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853c5b08f4bff8a1/01. cashflow13/01. Products/01. CashflowFree/"/>
    </mc:Choice>
  </mc:AlternateContent>
  <xr:revisionPtr revIDLastSave="3894" documentId="8_{EC779337-BA44-4FFA-B18F-F7A65DA2D154}" xr6:coauthVersionLast="47" xr6:coauthVersionMax="47" xr10:uidLastSave="{5AA3D3C2-A59D-4029-A7AC-CF47906501EC}"/>
  <bookViews>
    <workbookView xWindow="-28920" yWindow="-120" windowWidth="29040" windowHeight="15720" tabRatio="838" xr2:uid="{029297F2-03E0-49BF-8A46-86929433E484}"/>
  </bookViews>
  <sheets>
    <sheet name="Disclaimer!" sheetId="29" r:id="rId1"/>
    <sheet name="Index" sheetId="17" r:id="rId2"/>
    <sheet name="Outputs &gt;&gt;" sheetId="18" r:id="rId3"/>
    <sheet name="Dashboard" sheetId="22" r:id="rId4"/>
    <sheet name="CFF" sheetId="1" r:id="rId5"/>
    <sheet name="Cash actuals" sheetId="28" r:id="rId6"/>
    <sheet name="Forecast versions &gt;&gt;" sheetId="25" r:id="rId7"/>
    <sheet name="Forecast output table" sheetId="26" r:id="rId8"/>
    <sheet name="Forecast versions" sheetId="27" r:id="rId9"/>
    <sheet name="Inputs &gt;&gt;" sheetId="19" r:id="rId10"/>
    <sheet name="Assumptions" sheetId="7" r:id="rId11"/>
    <sheet name="Bank postings" sheetId="24" r:id="rId12"/>
    <sheet name="Accounts receivable" sheetId="3" r:id="rId13"/>
    <sheet name="Accounts payable" sheetId="14" r:id="rId14"/>
    <sheet name="Sales orders" sheetId="11" r:id="rId15"/>
    <sheet name="Purchase orders" sheetId="16" r:id="rId16"/>
    <sheet name="Customer master data" sheetId="4" r:id="rId17"/>
    <sheet name="Supplier master data" sheetId="6" r:id="rId18"/>
    <sheet name="Lookups &gt;&gt;" sheetId="20" r:id="rId19"/>
    <sheet name="Category lookups" sheetId="8" r:id="rId20"/>
    <sheet name="Lists" sheetId="2" r:id="rId21"/>
  </sheets>
  <definedNames>
    <definedName name="Capex">'Category lookups'!$M$8:$M$10</definedName>
    <definedName name="Finance_Cashflows">'Category lookups'!$O$8:$O$10</definedName>
    <definedName name="GST_First_Month">Assumptions!$E$19</definedName>
    <definedName name="GST_Freq">Assumptions!$D$17</definedName>
    <definedName name="Investing_Cashflows">'Category lookups'!$Q$8:$Q$10</definedName>
    <definedName name="Overheads">'Category lookups'!$K$8:$K$21</definedName>
    <definedName name="Staff_Costs">'Category lookups'!$G$8:$G$12</definedName>
    <definedName name="Supplier_and_Cost_of_Sales">'Category lookups'!$I$8:$I$10</definedName>
    <definedName name="Trading_Receipts">'Category lookups'!$E$8:$E$9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Q9" i="16" l="1"/>
  <c r="Q10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Q30" i="16"/>
  <c r="Q31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49" i="16"/>
  <c r="Q50" i="16"/>
  <c r="Q51" i="16"/>
  <c r="Q52" i="16"/>
  <c r="Q53" i="16"/>
  <c r="Q54" i="16"/>
  <c r="Q55" i="16"/>
  <c r="Q56" i="16"/>
  <c r="Q57" i="16"/>
  <c r="Q58" i="16"/>
  <c r="Q59" i="16"/>
  <c r="Q60" i="16"/>
  <c r="Q61" i="16"/>
  <c r="Q62" i="16"/>
  <c r="Q63" i="16"/>
  <c r="Q64" i="16"/>
  <c r="Q65" i="16"/>
  <c r="Q66" i="16"/>
  <c r="Q67" i="16"/>
  <c r="Q68" i="16"/>
  <c r="Q69" i="16"/>
  <c r="Q70" i="16"/>
  <c r="Q71" i="16"/>
  <c r="Q72" i="16"/>
  <c r="Q73" i="16"/>
  <c r="Q74" i="16"/>
  <c r="Q75" i="16"/>
  <c r="Q76" i="16"/>
  <c r="Q77" i="16"/>
  <c r="Q78" i="16"/>
  <c r="Q79" i="16"/>
  <c r="Q80" i="16"/>
  <c r="Q81" i="16"/>
  <c r="Q82" i="16"/>
  <c r="Q83" i="16"/>
  <c r="Q84" i="16"/>
  <c r="Q85" i="16"/>
  <c r="Q86" i="16"/>
  <c r="Q87" i="16"/>
  <c r="Q88" i="16"/>
  <c r="Q89" i="16"/>
  <c r="Q90" i="16"/>
  <c r="Q91" i="16"/>
  <c r="Q92" i="16"/>
  <c r="Q93" i="16"/>
  <c r="Q94" i="16"/>
  <c r="Q95" i="16"/>
  <c r="Q96" i="16"/>
  <c r="Q97" i="16"/>
  <c r="Q98" i="16"/>
  <c r="Q99" i="16"/>
  <c r="Q100" i="16"/>
  <c r="Q101" i="16"/>
  <c r="Q102" i="16"/>
  <c r="Q103" i="16"/>
  <c r="Q104" i="16"/>
  <c r="Q105" i="16"/>
  <c r="Q106" i="16"/>
  <c r="Q107" i="16"/>
  <c r="Q108" i="16"/>
  <c r="Q109" i="16"/>
  <c r="Q110" i="16"/>
  <c r="Q111" i="16"/>
  <c r="Q112" i="16"/>
  <c r="Q113" i="16"/>
  <c r="Q114" i="16"/>
  <c r="Q115" i="16"/>
  <c r="Q116" i="16"/>
  <c r="Q117" i="16"/>
  <c r="Q118" i="16"/>
  <c r="Q119" i="16"/>
  <c r="Q120" i="16"/>
  <c r="Q121" i="16"/>
  <c r="Q122" i="16"/>
  <c r="Q123" i="16"/>
  <c r="Q124" i="16"/>
  <c r="Q125" i="16"/>
  <c r="Q126" i="16"/>
  <c r="Q127" i="16"/>
  <c r="Q128" i="16"/>
  <c r="Q129" i="16"/>
  <c r="Q130" i="16"/>
  <c r="Q131" i="16"/>
  <c r="Q132" i="16"/>
  <c r="Q133" i="16"/>
  <c r="Q134" i="16"/>
  <c r="Q135" i="16"/>
  <c r="Q136" i="16"/>
  <c r="Q137" i="16"/>
  <c r="Q138" i="16"/>
  <c r="Q139" i="16"/>
  <c r="Q140" i="16"/>
  <c r="Q141" i="16"/>
  <c r="Q142" i="16"/>
  <c r="Q143" i="16"/>
  <c r="Q144" i="16"/>
  <c r="Q145" i="16"/>
  <c r="Q146" i="16"/>
  <c r="Q147" i="16"/>
  <c r="Q148" i="16"/>
  <c r="Q149" i="16"/>
  <c r="Q150" i="16"/>
  <c r="Q151" i="16"/>
  <c r="Q152" i="16"/>
  <c r="Q153" i="16"/>
  <c r="Q154" i="16"/>
  <c r="Q155" i="16"/>
  <c r="Q156" i="16"/>
  <c r="Q157" i="16"/>
  <c r="Q158" i="16"/>
  <c r="Q159" i="16"/>
  <c r="Q160" i="16"/>
  <c r="Q161" i="16"/>
  <c r="Q162" i="16"/>
  <c r="Q163" i="16"/>
  <c r="Q164" i="16"/>
  <c r="Q165" i="16"/>
  <c r="Q166" i="16"/>
  <c r="Q167" i="16"/>
  <c r="Q168" i="16"/>
  <c r="Q169" i="16"/>
  <c r="Q170" i="16"/>
  <c r="Q171" i="16"/>
  <c r="Q172" i="16"/>
  <c r="Q173" i="16"/>
  <c r="Q174" i="16"/>
  <c r="Q175" i="16"/>
  <c r="Q176" i="16"/>
  <c r="Q177" i="16"/>
  <c r="Q178" i="16"/>
  <c r="Q179" i="16"/>
  <c r="Q180" i="16"/>
  <c r="Q181" i="16"/>
  <c r="Q182" i="16"/>
  <c r="Q183" i="16"/>
  <c r="Q184" i="16"/>
  <c r="Q185" i="16"/>
  <c r="Q186" i="16"/>
  <c r="Q187" i="16"/>
  <c r="Q188" i="16"/>
  <c r="Q189" i="16"/>
  <c r="Q190" i="16"/>
  <c r="Q191" i="16"/>
  <c r="Q192" i="16"/>
  <c r="Q193" i="16"/>
  <c r="Q194" i="16"/>
  <c r="Q195" i="16"/>
  <c r="Q196" i="16"/>
  <c r="Q197" i="16"/>
  <c r="Q198" i="16"/>
  <c r="Q199" i="16"/>
  <c r="Q200" i="16"/>
  <c r="Q201" i="16"/>
  <c r="Q202" i="16"/>
  <c r="Q203" i="16"/>
  <c r="Q204" i="16"/>
  <c r="Q205" i="16"/>
  <c r="Q206" i="16"/>
  <c r="Q207" i="16"/>
  <c r="Q208" i="16"/>
  <c r="Q209" i="16"/>
  <c r="Q210" i="16"/>
  <c r="Q211" i="16"/>
  <c r="Q212" i="16"/>
  <c r="Q213" i="16"/>
  <c r="Q214" i="16"/>
  <c r="Q215" i="16"/>
  <c r="Q216" i="16"/>
  <c r="Q217" i="16"/>
  <c r="Q218" i="16"/>
  <c r="Q219" i="16"/>
  <c r="Q220" i="16"/>
  <c r="Q221" i="16"/>
  <c r="Q222" i="16"/>
  <c r="Q223" i="16"/>
  <c r="Q224" i="16"/>
  <c r="Q225" i="16"/>
  <c r="Q226" i="16"/>
  <c r="Q227" i="16"/>
  <c r="Q228" i="16"/>
  <c r="Q229" i="16"/>
  <c r="Q230" i="16"/>
  <c r="Q231" i="16"/>
  <c r="Q232" i="16"/>
  <c r="Q233" i="16"/>
  <c r="Q234" i="16"/>
  <c r="Q235" i="16"/>
  <c r="Q236" i="16"/>
  <c r="Q237" i="16"/>
  <c r="Q238" i="16"/>
  <c r="Q239" i="16"/>
  <c r="Q240" i="16"/>
  <c r="Q241" i="16"/>
  <c r="Q242" i="16"/>
  <c r="Q243" i="16"/>
  <c r="Q244" i="16"/>
  <c r="Q245" i="16"/>
  <c r="Q246" i="16"/>
  <c r="Q247" i="16"/>
  <c r="Q248" i="16"/>
  <c r="Q249" i="16"/>
  <c r="Q250" i="16"/>
  <c r="Q251" i="16"/>
  <c r="Q252" i="16"/>
  <c r="Q253" i="16"/>
  <c r="Q254" i="16"/>
  <c r="Q255" i="16"/>
  <c r="Q256" i="16"/>
  <c r="Q257" i="16"/>
  <c r="Q258" i="16"/>
  <c r="Q259" i="16"/>
  <c r="Q260" i="16"/>
  <c r="Q261" i="16"/>
  <c r="Q262" i="16"/>
  <c r="Q263" i="16"/>
  <c r="Q264" i="16"/>
  <c r="Q265" i="16"/>
  <c r="Q266" i="16"/>
  <c r="Q267" i="16"/>
  <c r="Q268" i="16"/>
  <c r="Q269" i="16"/>
  <c r="Q270" i="16"/>
  <c r="Q271" i="16"/>
  <c r="Q272" i="16"/>
  <c r="Q273" i="16"/>
  <c r="Q274" i="16"/>
  <c r="Q275" i="16"/>
  <c r="Q276" i="16"/>
  <c r="Q277" i="16"/>
  <c r="Q278" i="16"/>
  <c r="Q279" i="16"/>
  <c r="Q280" i="16"/>
  <c r="Q281" i="16"/>
  <c r="Q282" i="16"/>
  <c r="Q283" i="16"/>
  <c r="Q284" i="16"/>
  <c r="Q285" i="16"/>
  <c r="Q286" i="16"/>
  <c r="Q287" i="16"/>
  <c r="Q288" i="16"/>
  <c r="Q289" i="16"/>
  <c r="Q290" i="16"/>
  <c r="Q291" i="16"/>
  <c r="Q292" i="16"/>
  <c r="Q293" i="16"/>
  <c r="Q294" i="16"/>
  <c r="Q295" i="16"/>
  <c r="Q296" i="16"/>
  <c r="Q297" i="16"/>
  <c r="Q298" i="16"/>
  <c r="Q299" i="16"/>
  <c r="Q300" i="16"/>
  <c r="Q301" i="16"/>
  <c r="Q302" i="16"/>
  <c r="Q303" i="16"/>
  <c r="Q304" i="16"/>
  <c r="Q305" i="16"/>
  <c r="Q306" i="16"/>
  <c r="Q307" i="16"/>
  <c r="Q308" i="16"/>
  <c r="Q309" i="16"/>
  <c r="Q310" i="16"/>
  <c r="Q311" i="16"/>
  <c r="Q312" i="16"/>
  <c r="Q313" i="16"/>
  <c r="Q314" i="16"/>
  <c r="Q315" i="16"/>
  <c r="Q316" i="16"/>
  <c r="Q317" i="16"/>
  <c r="Q318" i="16"/>
  <c r="Q319" i="16"/>
  <c r="Q320" i="16"/>
  <c r="Q321" i="16"/>
  <c r="Q322" i="16"/>
  <c r="Q323" i="16"/>
  <c r="Q324" i="16"/>
  <c r="Q325" i="16"/>
  <c r="Q326" i="16"/>
  <c r="Q327" i="16"/>
  <c r="Q328" i="16"/>
  <c r="Q329" i="16"/>
  <c r="Q330" i="16"/>
  <c r="Q331" i="16"/>
  <c r="Q332" i="16"/>
  <c r="Q333" i="16"/>
  <c r="Q334" i="16"/>
  <c r="Q335" i="16"/>
  <c r="Q336" i="16"/>
  <c r="Q337" i="16"/>
  <c r="Q338" i="16"/>
  <c r="Q339" i="16"/>
  <c r="Q340" i="16"/>
  <c r="Q341" i="16"/>
  <c r="Q342" i="16"/>
  <c r="Q343" i="16"/>
  <c r="Q344" i="16"/>
  <c r="Q345" i="16"/>
  <c r="Q346" i="16"/>
  <c r="Q347" i="16"/>
  <c r="Q348" i="16"/>
  <c r="Q349" i="16"/>
  <c r="Q350" i="16"/>
  <c r="Q351" i="16"/>
  <c r="Q352" i="16"/>
  <c r="Q353" i="16"/>
  <c r="Q354" i="16"/>
  <c r="Q355" i="16"/>
  <c r="Q356" i="16"/>
  <c r="Q357" i="16"/>
  <c r="Q358" i="16"/>
  <c r="Q359" i="16"/>
  <c r="Q360" i="16"/>
  <c r="Q361" i="16"/>
  <c r="Q362" i="16"/>
  <c r="Q363" i="16"/>
  <c r="Q364" i="16"/>
  <c r="Q365" i="16"/>
  <c r="Q366" i="16"/>
  <c r="Q367" i="16"/>
  <c r="Q368" i="16"/>
  <c r="Q369" i="16"/>
  <c r="Q370" i="16"/>
  <c r="Q371" i="16"/>
  <c r="Q372" i="16"/>
  <c r="Q373" i="16"/>
  <c r="Q374" i="16"/>
  <c r="Q375" i="16"/>
  <c r="Q376" i="16"/>
  <c r="Q377" i="16"/>
  <c r="Q378" i="16"/>
  <c r="Q379" i="16"/>
  <c r="Q380" i="16"/>
  <c r="Q381" i="16"/>
  <c r="Q382" i="16"/>
  <c r="Q383" i="16"/>
  <c r="Q384" i="16"/>
  <c r="Q385" i="16"/>
  <c r="Q386" i="16"/>
  <c r="Q387" i="16"/>
  <c r="Q388" i="16"/>
  <c r="Q389" i="16"/>
  <c r="Q390" i="16"/>
  <c r="Q391" i="16"/>
  <c r="Q392" i="16"/>
  <c r="Q393" i="16"/>
  <c r="Q394" i="16"/>
  <c r="Q395" i="16"/>
  <c r="Q396" i="16"/>
  <c r="Q397" i="16"/>
  <c r="Q398" i="16"/>
  <c r="Q399" i="16"/>
  <c r="Q400" i="16"/>
  <c r="Q401" i="16"/>
  <c r="Q402" i="16"/>
  <c r="Q403" i="16"/>
  <c r="Q404" i="16"/>
  <c r="Q405" i="16"/>
  <c r="Q406" i="16"/>
  <c r="Q407" i="16"/>
  <c r="Q408" i="16"/>
  <c r="Q409" i="16"/>
  <c r="Q410" i="16"/>
  <c r="Q411" i="16"/>
  <c r="Q412" i="16"/>
  <c r="Q413" i="16"/>
  <c r="Q414" i="16"/>
  <c r="Q415" i="16"/>
  <c r="Q416" i="16"/>
  <c r="Q417" i="16"/>
  <c r="Q418" i="16"/>
  <c r="Q419" i="16"/>
  <c r="Q420" i="16"/>
  <c r="Q421" i="16"/>
  <c r="Q422" i="16"/>
  <c r="Q423" i="16"/>
  <c r="Q424" i="16"/>
  <c r="Q425" i="16"/>
  <c r="Q426" i="16"/>
  <c r="Q427" i="16"/>
  <c r="Q428" i="16"/>
  <c r="Q429" i="16"/>
  <c r="Q430" i="16"/>
  <c r="Q431" i="16"/>
  <c r="Q432" i="16"/>
  <c r="Q433" i="16"/>
  <c r="Q434" i="16"/>
  <c r="Q435" i="16"/>
  <c r="Q436" i="16"/>
  <c r="Q437" i="16"/>
  <c r="Q438" i="16"/>
  <c r="Q439" i="16"/>
  <c r="Q440" i="16"/>
  <c r="Q441" i="16"/>
  <c r="Q442" i="16"/>
  <c r="Q443" i="16"/>
  <c r="Q444" i="16"/>
  <c r="Q445" i="16"/>
  <c r="Q446" i="16"/>
  <c r="Q447" i="16"/>
  <c r="Q448" i="16"/>
  <c r="Q449" i="16"/>
  <c r="Q450" i="16"/>
  <c r="Q451" i="16"/>
  <c r="Q452" i="16"/>
  <c r="Q453" i="16"/>
  <c r="Q454" i="16"/>
  <c r="Q455" i="16"/>
  <c r="Q456" i="16"/>
  <c r="Q457" i="16"/>
  <c r="Q458" i="16"/>
  <c r="Q459" i="16"/>
  <c r="Q460" i="16"/>
  <c r="Q461" i="16"/>
  <c r="Q462" i="16"/>
  <c r="Q463" i="16"/>
  <c r="Q464" i="16"/>
  <c r="Q465" i="16"/>
  <c r="Q466" i="16"/>
  <c r="Q467" i="16"/>
  <c r="Q468" i="16"/>
  <c r="Q469" i="16"/>
  <c r="Q470" i="16"/>
  <c r="Q471" i="16"/>
  <c r="Q472" i="16"/>
  <c r="Q473" i="16"/>
  <c r="Q474" i="16"/>
  <c r="Q475" i="16"/>
  <c r="Q476" i="16"/>
  <c r="Q477" i="16"/>
  <c r="Q478" i="16"/>
  <c r="Q479" i="16"/>
  <c r="Q480" i="16"/>
  <c r="Q481" i="16"/>
  <c r="Q482" i="16"/>
  <c r="Q483" i="16"/>
  <c r="Q484" i="16"/>
  <c r="Q485" i="16"/>
  <c r="Q486" i="16"/>
  <c r="Q487" i="16"/>
  <c r="Q488" i="16"/>
  <c r="Q489" i="16"/>
  <c r="Q490" i="16"/>
  <c r="Q491" i="16"/>
  <c r="Q492" i="16"/>
  <c r="Q493" i="16"/>
  <c r="Q494" i="16"/>
  <c r="Q495" i="16"/>
  <c r="Q496" i="16"/>
  <c r="Q497" i="16"/>
  <c r="Q498" i="16"/>
  <c r="Q499" i="16"/>
  <c r="Q500" i="16"/>
  <c r="Q501" i="16"/>
  <c r="Q502" i="16"/>
  <c r="Q503" i="16"/>
  <c r="Q504" i="16"/>
  <c r="Q505" i="16"/>
  <c r="Q506" i="16"/>
  <c r="Q507" i="16"/>
  <c r="Q508" i="16"/>
  <c r="Q509" i="16"/>
  <c r="Q510" i="16"/>
  <c r="Q511" i="16"/>
  <c r="Q512" i="16"/>
  <c r="Q513" i="16"/>
  <c r="Q514" i="16"/>
  <c r="Q515" i="16"/>
  <c r="Q516" i="16"/>
  <c r="Q517" i="16"/>
  <c r="Q518" i="16"/>
  <c r="Q519" i="16"/>
  <c r="Q520" i="16"/>
  <c r="Q521" i="16"/>
  <c r="Q522" i="16"/>
  <c r="Q523" i="16"/>
  <c r="Q524" i="16"/>
  <c r="Q525" i="16"/>
  <c r="Q526" i="16"/>
  <c r="Q527" i="16"/>
  <c r="Q528" i="16"/>
  <c r="Q529" i="16"/>
  <c r="Q530" i="16"/>
  <c r="Q531" i="16"/>
  <c r="Q532" i="16"/>
  <c r="Q533" i="16"/>
  <c r="Q534" i="16"/>
  <c r="Q535" i="16"/>
  <c r="Q536" i="16"/>
  <c r="Q537" i="16"/>
  <c r="Q538" i="16"/>
  <c r="Q539" i="16"/>
  <c r="Q540" i="16"/>
  <c r="Q541" i="16"/>
  <c r="Q542" i="16"/>
  <c r="Q543" i="16"/>
  <c r="Q544" i="16"/>
  <c r="Q545" i="16"/>
  <c r="Q546" i="16"/>
  <c r="Q547" i="16"/>
  <c r="Q548" i="16"/>
  <c r="Q549" i="16"/>
  <c r="Q550" i="16"/>
  <c r="Q551" i="16"/>
  <c r="Q552" i="16"/>
  <c r="Q553" i="16"/>
  <c r="Q554" i="16"/>
  <c r="Q555" i="16"/>
  <c r="Q556" i="16"/>
  <c r="Q557" i="16"/>
  <c r="Q558" i="16"/>
  <c r="Q559" i="16"/>
  <c r="Q560" i="16"/>
  <c r="Q561" i="16"/>
  <c r="Q562" i="16"/>
  <c r="Q563" i="16"/>
  <c r="Q564" i="16"/>
  <c r="Q565" i="16"/>
  <c r="Q566" i="16"/>
  <c r="Q567" i="16"/>
  <c r="Q568" i="16"/>
  <c r="Q569" i="16"/>
  <c r="Q570" i="16"/>
  <c r="Q571" i="16"/>
  <c r="Q572" i="16"/>
  <c r="Q573" i="16"/>
  <c r="Q574" i="16"/>
  <c r="Q575" i="16"/>
  <c r="Q576" i="16"/>
  <c r="Q577" i="16"/>
  <c r="Q578" i="16"/>
  <c r="Q579" i="16"/>
  <c r="Q580" i="16"/>
  <c r="Q581" i="16"/>
  <c r="Q582" i="16"/>
  <c r="Q583" i="16"/>
  <c r="Q584" i="16"/>
  <c r="Q585" i="16"/>
  <c r="Q586" i="16"/>
  <c r="Q587" i="16"/>
  <c r="Q588" i="16"/>
  <c r="Q589" i="16"/>
  <c r="Q590" i="16"/>
  <c r="Q591" i="16"/>
  <c r="Q592" i="16"/>
  <c r="Q593" i="16"/>
  <c r="Q594" i="16"/>
  <c r="Q595" i="16"/>
  <c r="Q596" i="16"/>
  <c r="Q597" i="16"/>
  <c r="Q598" i="16"/>
  <c r="Q599" i="16"/>
  <c r="Q600" i="16"/>
  <c r="Q601" i="16"/>
  <c r="Q602" i="16"/>
  <c r="Q603" i="16"/>
  <c r="Q604" i="16"/>
  <c r="Q605" i="16"/>
  <c r="Q606" i="16"/>
  <c r="Q607" i="16"/>
  <c r="Q608" i="16"/>
  <c r="Q609" i="16"/>
  <c r="Q610" i="16"/>
  <c r="Q611" i="16"/>
  <c r="Q612" i="16"/>
  <c r="Q613" i="16"/>
  <c r="Q614" i="16"/>
  <c r="Q615" i="16"/>
  <c r="Q616" i="16"/>
  <c r="Q617" i="16"/>
  <c r="Q618" i="16"/>
  <c r="Q619" i="16"/>
  <c r="Q620" i="16"/>
  <c r="Q621" i="16"/>
  <c r="Q622" i="16"/>
  <c r="Q623" i="16"/>
  <c r="Q624" i="16"/>
  <c r="Q625" i="16"/>
  <c r="Q626" i="16"/>
  <c r="Q627" i="16"/>
  <c r="Q628" i="16"/>
  <c r="Q629" i="16"/>
  <c r="Q630" i="16"/>
  <c r="Q631" i="16"/>
  <c r="Q632" i="16"/>
  <c r="Q633" i="16"/>
  <c r="Q634" i="16"/>
  <c r="Q635" i="16"/>
  <c r="Q636" i="16"/>
  <c r="Q637" i="16"/>
  <c r="Q638" i="16"/>
  <c r="Q639" i="16"/>
  <c r="Q640" i="16"/>
  <c r="Q641" i="16"/>
  <c r="Q642" i="16"/>
  <c r="Q643" i="16"/>
  <c r="Q644" i="16"/>
  <c r="Q645" i="16"/>
  <c r="Q646" i="16"/>
  <c r="Q647" i="16"/>
  <c r="Q648" i="16"/>
  <c r="Q649" i="16"/>
  <c r="Q650" i="16"/>
  <c r="Q651" i="16"/>
  <c r="Q652" i="16"/>
  <c r="Q653" i="16"/>
  <c r="Q654" i="16"/>
  <c r="Q655" i="16"/>
  <c r="Q656" i="16"/>
  <c r="Q657" i="16"/>
  <c r="Q658" i="16"/>
  <c r="Q659" i="16"/>
  <c r="Q660" i="16"/>
  <c r="Q661" i="16"/>
  <c r="Q662" i="16"/>
  <c r="Q663" i="16"/>
  <c r="Q664" i="16"/>
  <c r="Q665" i="16"/>
  <c r="Q666" i="16"/>
  <c r="Q667" i="16"/>
  <c r="Q668" i="16"/>
  <c r="Q669" i="16"/>
  <c r="Q670" i="16"/>
  <c r="Q671" i="16"/>
  <c r="Q672" i="16"/>
  <c r="Q673" i="16"/>
  <c r="Q674" i="16"/>
  <c r="Q675" i="16"/>
  <c r="Q676" i="16"/>
  <c r="Q677" i="16"/>
  <c r="Q678" i="16"/>
  <c r="Q679" i="16"/>
  <c r="Q680" i="16"/>
  <c r="Q681" i="16"/>
  <c r="Q682" i="16"/>
  <c r="Q683" i="16"/>
  <c r="Q684" i="16"/>
  <c r="Q685" i="16"/>
  <c r="Q686" i="16"/>
  <c r="Q687" i="16"/>
  <c r="Q688" i="16"/>
  <c r="Q689" i="16"/>
  <c r="Q690" i="16"/>
  <c r="Q691" i="16"/>
  <c r="Q692" i="16"/>
  <c r="Q693" i="16"/>
  <c r="Q694" i="16"/>
  <c r="Q695" i="16"/>
  <c r="Q696" i="16"/>
  <c r="Q697" i="16"/>
  <c r="Q698" i="16"/>
  <c r="Q699" i="16"/>
  <c r="Q700" i="16"/>
  <c r="Q701" i="16"/>
  <c r="Q702" i="16"/>
  <c r="Q703" i="16"/>
  <c r="Q704" i="16"/>
  <c r="Q705" i="16"/>
  <c r="Q706" i="16"/>
  <c r="Q707" i="16"/>
  <c r="Q708" i="16"/>
  <c r="Q709" i="16"/>
  <c r="Q710" i="16"/>
  <c r="Q711" i="16"/>
  <c r="Q712" i="16"/>
  <c r="Q713" i="16"/>
  <c r="Q714" i="16"/>
  <c r="Q715" i="16"/>
  <c r="Q716" i="16"/>
  <c r="Q717" i="16"/>
  <c r="Q718" i="16"/>
  <c r="Q719" i="16"/>
  <c r="Q720" i="16"/>
  <c r="Q721" i="16"/>
  <c r="Q722" i="16"/>
  <c r="Q723" i="16"/>
  <c r="Q724" i="16"/>
  <c r="Q725" i="16"/>
  <c r="Q726" i="16"/>
  <c r="Q727" i="16"/>
  <c r="Q728" i="16"/>
  <c r="Q729" i="16"/>
  <c r="Q730" i="16"/>
  <c r="Q731" i="16"/>
  <c r="Q732" i="16"/>
  <c r="Q733" i="16"/>
  <c r="Q734" i="16"/>
  <c r="Q735" i="16"/>
  <c r="Q736" i="16"/>
  <c r="Q737" i="16"/>
  <c r="Q738" i="16"/>
  <c r="Q739" i="16"/>
  <c r="Q740" i="16"/>
  <c r="Q741" i="16"/>
  <c r="Q742" i="16"/>
  <c r="Q743" i="16"/>
  <c r="Q744" i="16"/>
  <c r="Q745" i="16"/>
  <c r="Q746" i="16"/>
  <c r="Q747" i="16"/>
  <c r="Q748" i="16"/>
  <c r="Q749" i="16"/>
  <c r="Q750" i="16"/>
  <c r="Q751" i="16"/>
  <c r="Q752" i="16"/>
  <c r="Q753" i="16"/>
  <c r="Q754" i="16"/>
  <c r="Q755" i="16"/>
  <c r="Q756" i="16"/>
  <c r="Q757" i="16"/>
  <c r="Q758" i="16"/>
  <c r="Q759" i="16"/>
  <c r="Q760" i="16"/>
  <c r="Q761" i="16"/>
  <c r="Q762" i="16"/>
  <c r="Q763" i="16"/>
  <c r="Q764" i="16"/>
  <c r="Q765" i="16"/>
  <c r="Q766" i="16"/>
  <c r="Q767" i="16"/>
  <c r="Q768" i="16"/>
  <c r="Q769" i="16"/>
  <c r="Q770" i="16"/>
  <c r="Q771" i="16"/>
  <c r="Q772" i="16"/>
  <c r="Q773" i="16"/>
  <c r="Q774" i="16"/>
  <c r="Q775" i="16"/>
  <c r="Q776" i="16"/>
  <c r="Q777" i="16"/>
  <c r="Q778" i="16"/>
  <c r="Q779" i="16"/>
  <c r="Q780" i="16"/>
  <c r="Q781" i="16"/>
  <c r="Q782" i="16"/>
  <c r="Q783" i="16"/>
  <c r="Q784" i="16"/>
  <c r="Q785" i="16"/>
  <c r="Q786" i="16"/>
  <c r="Q787" i="16"/>
  <c r="Q788" i="16"/>
  <c r="Q789" i="16"/>
  <c r="Q790" i="16"/>
  <c r="Q791" i="16"/>
  <c r="Q792" i="16"/>
  <c r="Q793" i="16"/>
  <c r="Q794" i="16"/>
  <c r="Q795" i="16"/>
  <c r="Q796" i="16"/>
  <c r="Q797" i="16"/>
  <c r="Q798" i="16"/>
  <c r="Q799" i="16"/>
  <c r="Q800" i="16"/>
  <c r="Q801" i="16"/>
  <c r="Q802" i="16"/>
  <c r="Q803" i="16"/>
  <c r="Q804" i="16"/>
  <c r="Q805" i="16"/>
  <c r="Q806" i="16"/>
  <c r="Q807" i="16"/>
  <c r="Q808" i="16"/>
  <c r="Q809" i="16"/>
  <c r="Q810" i="16"/>
  <c r="Q811" i="16"/>
  <c r="Q812" i="16"/>
  <c r="Q813" i="16"/>
  <c r="Q814" i="16"/>
  <c r="Q815" i="16"/>
  <c r="Q816" i="16"/>
  <c r="Q817" i="16"/>
  <c r="Q818" i="16"/>
  <c r="Q819" i="16"/>
  <c r="Q820" i="16"/>
  <c r="Q821" i="16"/>
  <c r="Q822" i="16"/>
  <c r="Q823" i="16"/>
  <c r="Q824" i="16"/>
  <c r="Q825" i="16"/>
  <c r="Q826" i="16"/>
  <c r="Q827" i="16"/>
  <c r="Q828" i="16"/>
  <c r="Q829" i="16"/>
  <c r="Q830" i="16"/>
  <c r="Q831" i="16"/>
  <c r="Q832" i="16"/>
  <c r="Q833" i="16"/>
  <c r="Q834" i="16"/>
  <c r="Q835" i="16"/>
  <c r="Q836" i="16"/>
  <c r="Q837" i="16"/>
  <c r="Q838" i="16"/>
  <c r="Q839" i="16"/>
  <c r="Q840" i="16"/>
  <c r="Q841" i="16"/>
  <c r="Q842" i="16"/>
  <c r="Q843" i="16"/>
  <c r="Q844" i="16"/>
  <c r="Q845" i="16"/>
  <c r="Q846" i="16"/>
  <c r="Q847" i="16"/>
  <c r="Q848" i="16"/>
  <c r="Q849" i="16"/>
  <c r="Q850" i="16"/>
  <c r="Q851" i="16"/>
  <c r="Q852" i="16"/>
  <c r="Q853" i="16"/>
  <c r="Q854" i="16"/>
  <c r="Q855" i="16"/>
  <c r="Q856" i="16"/>
  <c r="Q857" i="16"/>
  <c r="Q858" i="16"/>
  <c r="Q859" i="16"/>
  <c r="Q860" i="16"/>
  <c r="Q861" i="16"/>
  <c r="Q862" i="16"/>
  <c r="Q863" i="16"/>
  <c r="Q864" i="16"/>
  <c r="Q865" i="16"/>
  <c r="Q866" i="16"/>
  <c r="Q867" i="16"/>
  <c r="Q868" i="16"/>
  <c r="Q869" i="16"/>
  <c r="Q870" i="16"/>
  <c r="Q871" i="16"/>
  <c r="Q872" i="16"/>
  <c r="Q873" i="16"/>
  <c r="Q874" i="16"/>
  <c r="Q875" i="16"/>
  <c r="Q876" i="16"/>
  <c r="Q877" i="16"/>
  <c r="Q878" i="16"/>
  <c r="Q879" i="16"/>
  <c r="Q880" i="16"/>
  <c r="Q881" i="16"/>
  <c r="Q882" i="16"/>
  <c r="Q883" i="16"/>
  <c r="Q884" i="16"/>
  <c r="Q885" i="16"/>
  <c r="Q886" i="16"/>
  <c r="Q887" i="16"/>
  <c r="Q888" i="16"/>
  <c r="Q889" i="16"/>
  <c r="Q890" i="16"/>
  <c r="Q891" i="16"/>
  <c r="Q892" i="16"/>
  <c r="Q893" i="16"/>
  <c r="Q894" i="16"/>
  <c r="Q895" i="16"/>
  <c r="Q896" i="16"/>
  <c r="Q897" i="16"/>
  <c r="Q898" i="16"/>
  <c r="Q899" i="16"/>
  <c r="Q900" i="16"/>
  <c r="Q901" i="16"/>
  <c r="Q902" i="16"/>
  <c r="Q903" i="16"/>
  <c r="Q904" i="16"/>
  <c r="Q905" i="16"/>
  <c r="Q906" i="16"/>
  <c r="Q907" i="16"/>
  <c r="Q908" i="16"/>
  <c r="Q909" i="16"/>
  <c r="Q910" i="16"/>
  <c r="Q911" i="16"/>
  <c r="Q912" i="16"/>
  <c r="Q913" i="16"/>
  <c r="Q914" i="16"/>
  <c r="Q915" i="16"/>
  <c r="Q916" i="16"/>
  <c r="Q917" i="16"/>
  <c r="Q918" i="16"/>
  <c r="Q919" i="16"/>
  <c r="Q920" i="16"/>
  <c r="Q921" i="16"/>
  <c r="Q922" i="16"/>
  <c r="Q923" i="16"/>
  <c r="Q924" i="16"/>
  <c r="Q925" i="16"/>
  <c r="Q926" i="16"/>
  <c r="Q927" i="16"/>
  <c r="Q928" i="16"/>
  <c r="Q929" i="16"/>
  <c r="Q930" i="16"/>
  <c r="Q931" i="16"/>
  <c r="Q932" i="16"/>
  <c r="Q933" i="16"/>
  <c r="Q934" i="16"/>
  <c r="Q935" i="16"/>
  <c r="Q936" i="16"/>
  <c r="Q937" i="16"/>
  <c r="Q938" i="16"/>
  <c r="Q939" i="16"/>
  <c r="Q940" i="16"/>
  <c r="Q941" i="16"/>
  <c r="Q942" i="16"/>
  <c r="Q943" i="16"/>
  <c r="Q944" i="16"/>
  <c r="Q945" i="16"/>
  <c r="Q946" i="16"/>
  <c r="Q947" i="16"/>
  <c r="Q948" i="16"/>
  <c r="Q949" i="16"/>
  <c r="Q950" i="16"/>
  <c r="Q951" i="16"/>
  <c r="Q952" i="16"/>
  <c r="Q953" i="16"/>
  <c r="Q954" i="16"/>
  <c r="Q955" i="16"/>
  <c r="Q956" i="16"/>
  <c r="Q957" i="16"/>
  <c r="Q958" i="16"/>
  <c r="Q959" i="16"/>
  <c r="Q960" i="16"/>
  <c r="Q961" i="16"/>
  <c r="Q962" i="16"/>
  <c r="Q963" i="16"/>
  <c r="Q964" i="16"/>
  <c r="Q965" i="16"/>
  <c r="Q966" i="16"/>
  <c r="Q967" i="16"/>
  <c r="Q968" i="16"/>
  <c r="Q969" i="16"/>
  <c r="Q970" i="16"/>
  <c r="Q971" i="16"/>
  <c r="Q972" i="16"/>
  <c r="Q973" i="16"/>
  <c r="Q974" i="16"/>
  <c r="Q975" i="16"/>
  <c r="Q976" i="16"/>
  <c r="Q977" i="16"/>
  <c r="Q978" i="16"/>
  <c r="Q979" i="16"/>
  <c r="Q980" i="16"/>
  <c r="Q981" i="16"/>
  <c r="Q982" i="16"/>
  <c r="Q983" i="16"/>
  <c r="Q984" i="16"/>
  <c r="Q985" i="16"/>
  <c r="Q986" i="16"/>
  <c r="Q987" i="16"/>
  <c r="Q988" i="16"/>
  <c r="Q989" i="16"/>
  <c r="Q990" i="16"/>
  <c r="Q991" i="16"/>
  <c r="Q992" i="16"/>
  <c r="Q993" i="16"/>
  <c r="Q994" i="16"/>
  <c r="Q995" i="16"/>
  <c r="Q996" i="16"/>
  <c r="Q997" i="16"/>
  <c r="Q998" i="16"/>
  <c r="Q999" i="16"/>
  <c r="Q1000" i="16"/>
  <c r="P9" i="16"/>
  <c r="P10" i="16"/>
  <c r="P11" i="16"/>
  <c r="P12" i="16"/>
  <c r="P13" i="16"/>
  <c r="P14" i="16"/>
  <c r="P15" i="16"/>
  <c r="P16" i="16"/>
  <c r="P17" i="16"/>
  <c r="P18" i="16"/>
  <c r="P19" i="16"/>
  <c r="P20" i="16"/>
  <c r="P21" i="16"/>
  <c r="P22" i="16"/>
  <c r="P23" i="16"/>
  <c r="P24" i="16"/>
  <c r="P25" i="16"/>
  <c r="P26" i="16"/>
  <c r="P27" i="16"/>
  <c r="P28" i="16"/>
  <c r="P29" i="16"/>
  <c r="P30" i="16"/>
  <c r="P31" i="16"/>
  <c r="P32" i="16"/>
  <c r="P33" i="16"/>
  <c r="P34" i="16"/>
  <c r="P35" i="16"/>
  <c r="P36" i="16"/>
  <c r="P37" i="16"/>
  <c r="P38" i="16"/>
  <c r="P39" i="16"/>
  <c r="P40" i="16"/>
  <c r="P41" i="16"/>
  <c r="P42" i="16"/>
  <c r="P43" i="16"/>
  <c r="P44" i="16"/>
  <c r="P45" i="16"/>
  <c r="P46" i="16"/>
  <c r="P47" i="16"/>
  <c r="P48" i="16"/>
  <c r="P49" i="16"/>
  <c r="P50" i="16"/>
  <c r="P51" i="16"/>
  <c r="P52" i="16"/>
  <c r="P53" i="16"/>
  <c r="P54" i="16"/>
  <c r="P55" i="16"/>
  <c r="P56" i="16"/>
  <c r="P57" i="16"/>
  <c r="P58" i="16"/>
  <c r="P59" i="16"/>
  <c r="P60" i="16"/>
  <c r="P61" i="16"/>
  <c r="P62" i="16"/>
  <c r="P63" i="16"/>
  <c r="P64" i="16"/>
  <c r="P65" i="16"/>
  <c r="P66" i="16"/>
  <c r="P67" i="16"/>
  <c r="P68" i="16"/>
  <c r="P69" i="16"/>
  <c r="P70" i="16"/>
  <c r="P71" i="16"/>
  <c r="P72" i="16"/>
  <c r="P73" i="16"/>
  <c r="P74" i="16"/>
  <c r="P75" i="16"/>
  <c r="P76" i="16"/>
  <c r="P77" i="16"/>
  <c r="P78" i="16"/>
  <c r="P79" i="16"/>
  <c r="P80" i="16"/>
  <c r="P81" i="16"/>
  <c r="P82" i="16"/>
  <c r="P83" i="16"/>
  <c r="P84" i="16"/>
  <c r="P85" i="16"/>
  <c r="P86" i="16"/>
  <c r="P87" i="16"/>
  <c r="P88" i="16"/>
  <c r="P89" i="16"/>
  <c r="P90" i="16"/>
  <c r="P91" i="16"/>
  <c r="P92" i="16"/>
  <c r="P93" i="16"/>
  <c r="P94" i="16"/>
  <c r="P95" i="16"/>
  <c r="P96" i="16"/>
  <c r="P97" i="16"/>
  <c r="P98" i="16"/>
  <c r="P99" i="16"/>
  <c r="P100" i="16"/>
  <c r="P101" i="16"/>
  <c r="P102" i="16"/>
  <c r="P103" i="16"/>
  <c r="P104" i="16"/>
  <c r="P105" i="16"/>
  <c r="P106" i="16"/>
  <c r="P107" i="16"/>
  <c r="P108" i="16"/>
  <c r="P109" i="16"/>
  <c r="P110" i="16"/>
  <c r="P111" i="16"/>
  <c r="P112" i="16"/>
  <c r="P113" i="16"/>
  <c r="P114" i="16"/>
  <c r="P115" i="16"/>
  <c r="P116" i="16"/>
  <c r="P117" i="16"/>
  <c r="P118" i="16"/>
  <c r="P119" i="16"/>
  <c r="P120" i="16"/>
  <c r="P121" i="16"/>
  <c r="P122" i="16"/>
  <c r="P123" i="16"/>
  <c r="P124" i="16"/>
  <c r="P125" i="16"/>
  <c r="P126" i="16"/>
  <c r="P127" i="16"/>
  <c r="P128" i="16"/>
  <c r="P129" i="16"/>
  <c r="P130" i="16"/>
  <c r="P131" i="16"/>
  <c r="P132" i="16"/>
  <c r="P133" i="16"/>
  <c r="P134" i="16"/>
  <c r="P135" i="16"/>
  <c r="P136" i="16"/>
  <c r="P137" i="16"/>
  <c r="P138" i="16"/>
  <c r="P139" i="16"/>
  <c r="P140" i="16"/>
  <c r="P141" i="16"/>
  <c r="P142" i="16"/>
  <c r="P143" i="16"/>
  <c r="P144" i="16"/>
  <c r="P145" i="16"/>
  <c r="P146" i="16"/>
  <c r="P147" i="16"/>
  <c r="P148" i="16"/>
  <c r="P149" i="16"/>
  <c r="P150" i="16"/>
  <c r="P151" i="16"/>
  <c r="P152" i="16"/>
  <c r="P153" i="16"/>
  <c r="P154" i="16"/>
  <c r="P155" i="16"/>
  <c r="P156" i="16"/>
  <c r="P157" i="16"/>
  <c r="P158" i="16"/>
  <c r="P159" i="16"/>
  <c r="P160" i="16"/>
  <c r="P161" i="16"/>
  <c r="P162" i="16"/>
  <c r="P163" i="16"/>
  <c r="P164" i="16"/>
  <c r="P165" i="16"/>
  <c r="P166" i="16"/>
  <c r="P167" i="16"/>
  <c r="P168" i="16"/>
  <c r="P169" i="16"/>
  <c r="P170" i="16"/>
  <c r="P171" i="16"/>
  <c r="P172" i="16"/>
  <c r="P173" i="16"/>
  <c r="P174" i="16"/>
  <c r="P175" i="16"/>
  <c r="P176" i="16"/>
  <c r="P177" i="16"/>
  <c r="P178" i="16"/>
  <c r="P179" i="16"/>
  <c r="P180" i="16"/>
  <c r="P181" i="16"/>
  <c r="P182" i="16"/>
  <c r="P183" i="16"/>
  <c r="P184" i="16"/>
  <c r="P185" i="16"/>
  <c r="P186" i="16"/>
  <c r="P187" i="16"/>
  <c r="P188" i="16"/>
  <c r="P189" i="16"/>
  <c r="P190" i="16"/>
  <c r="P191" i="16"/>
  <c r="P192" i="16"/>
  <c r="P193" i="16"/>
  <c r="P194" i="16"/>
  <c r="P195" i="16"/>
  <c r="P196" i="16"/>
  <c r="P197" i="16"/>
  <c r="P198" i="16"/>
  <c r="P199" i="16"/>
  <c r="P200" i="16"/>
  <c r="P201" i="16"/>
  <c r="P202" i="16"/>
  <c r="P203" i="16"/>
  <c r="P204" i="16"/>
  <c r="P205" i="16"/>
  <c r="P206" i="16"/>
  <c r="P207" i="16"/>
  <c r="P208" i="16"/>
  <c r="P209" i="16"/>
  <c r="P210" i="16"/>
  <c r="P211" i="16"/>
  <c r="P212" i="16"/>
  <c r="P213" i="16"/>
  <c r="P214" i="16"/>
  <c r="P215" i="16"/>
  <c r="P216" i="16"/>
  <c r="P217" i="16"/>
  <c r="P218" i="16"/>
  <c r="P219" i="16"/>
  <c r="P220" i="16"/>
  <c r="P221" i="16"/>
  <c r="P222" i="16"/>
  <c r="P223" i="16"/>
  <c r="P224" i="16"/>
  <c r="P225" i="16"/>
  <c r="P226" i="16"/>
  <c r="P227" i="16"/>
  <c r="P228" i="16"/>
  <c r="P229" i="16"/>
  <c r="P230" i="16"/>
  <c r="P231" i="16"/>
  <c r="P232" i="16"/>
  <c r="P233" i="16"/>
  <c r="P234" i="16"/>
  <c r="P235" i="16"/>
  <c r="P236" i="16"/>
  <c r="P237" i="16"/>
  <c r="P238" i="16"/>
  <c r="P239" i="16"/>
  <c r="P240" i="16"/>
  <c r="P241" i="16"/>
  <c r="P242" i="16"/>
  <c r="P243" i="16"/>
  <c r="P244" i="16"/>
  <c r="P245" i="16"/>
  <c r="P246" i="16"/>
  <c r="P247" i="16"/>
  <c r="P248" i="16"/>
  <c r="P249" i="16"/>
  <c r="P250" i="16"/>
  <c r="P251" i="16"/>
  <c r="P252" i="16"/>
  <c r="P253" i="16"/>
  <c r="P254" i="16"/>
  <c r="P255" i="16"/>
  <c r="P256" i="16"/>
  <c r="P257" i="16"/>
  <c r="P258" i="16"/>
  <c r="P259" i="16"/>
  <c r="P260" i="16"/>
  <c r="P261" i="16"/>
  <c r="P262" i="16"/>
  <c r="P263" i="16"/>
  <c r="P264" i="16"/>
  <c r="P265" i="16"/>
  <c r="P266" i="16"/>
  <c r="P267" i="16"/>
  <c r="P268" i="16"/>
  <c r="P269" i="16"/>
  <c r="P270" i="16"/>
  <c r="P271" i="16"/>
  <c r="P272" i="16"/>
  <c r="P273" i="16"/>
  <c r="P274" i="16"/>
  <c r="P275" i="16"/>
  <c r="P276" i="16"/>
  <c r="P277" i="16"/>
  <c r="P278" i="16"/>
  <c r="P279" i="16"/>
  <c r="P280" i="16"/>
  <c r="P281" i="16"/>
  <c r="P282" i="16"/>
  <c r="P283" i="16"/>
  <c r="P284" i="16"/>
  <c r="P285" i="16"/>
  <c r="P286" i="16"/>
  <c r="P287" i="16"/>
  <c r="P288" i="16"/>
  <c r="P289" i="16"/>
  <c r="P290" i="16"/>
  <c r="P291" i="16"/>
  <c r="P292" i="16"/>
  <c r="P293" i="16"/>
  <c r="P294" i="16"/>
  <c r="P295" i="16"/>
  <c r="P296" i="16"/>
  <c r="P297" i="16"/>
  <c r="P298" i="16"/>
  <c r="P299" i="16"/>
  <c r="P300" i="16"/>
  <c r="P301" i="16"/>
  <c r="P302" i="16"/>
  <c r="P303" i="16"/>
  <c r="P304" i="16"/>
  <c r="P305" i="16"/>
  <c r="P306" i="16"/>
  <c r="P307" i="16"/>
  <c r="P308" i="16"/>
  <c r="P309" i="16"/>
  <c r="P310" i="16"/>
  <c r="P311" i="16"/>
  <c r="P312" i="16"/>
  <c r="P313" i="16"/>
  <c r="P314" i="16"/>
  <c r="P315" i="16"/>
  <c r="P316" i="16"/>
  <c r="P317" i="16"/>
  <c r="P318" i="16"/>
  <c r="P319" i="16"/>
  <c r="P320" i="16"/>
  <c r="P321" i="16"/>
  <c r="P322" i="16"/>
  <c r="P323" i="16"/>
  <c r="P324" i="16"/>
  <c r="P325" i="16"/>
  <c r="P326" i="16"/>
  <c r="P327" i="16"/>
  <c r="P328" i="16"/>
  <c r="P329" i="16"/>
  <c r="P330" i="16"/>
  <c r="P331" i="16"/>
  <c r="P332" i="16"/>
  <c r="P333" i="16"/>
  <c r="P334" i="16"/>
  <c r="P335" i="16"/>
  <c r="P336" i="16"/>
  <c r="P337" i="16"/>
  <c r="P338" i="16"/>
  <c r="P339" i="16"/>
  <c r="P340" i="16"/>
  <c r="P341" i="16"/>
  <c r="P342" i="16"/>
  <c r="P343" i="16"/>
  <c r="P344" i="16"/>
  <c r="P345" i="16"/>
  <c r="P346" i="16"/>
  <c r="P347" i="16"/>
  <c r="P348" i="16"/>
  <c r="P349" i="16"/>
  <c r="P350" i="16"/>
  <c r="P351" i="16"/>
  <c r="P352" i="16"/>
  <c r="P353" i="16"/>
  <c r="P354" i="16"/>
  <c r="P355" i="16"/>
  <c r="P356" i="16"/>
  <c r="P357" i="16"/>
  <c r="P358" i="16"/>
  <c r="P359" i="16"/>
  <c r="P360" i="16"/>
  <c r="P361" i="16"/>
  <c r="P362" i="16"/>
  <c r="P363" i="16"/>
  <c r="P364" i="16"/>
  <c r="P365" i="16"/>
  <c r="P366" i="16"/>
  <c r="P367" i="16"/>
  <c r="P368" i="16"/>
  <c r="P369" i="16"/>
  <c r="P370" i="16"/>
  <c r="P371" i="16"/>
  <c r="P372" i="16"/>
  <c r="P373" i="16"/>
  <c r="P374" i="16"/>
  <c r="P375" i="16"/>
  <c r="P376" i="16"/>
  <c r="P377" i="16"/>
  <c r="P378" i="16"/>
  <c r="P379" i="16"/>
  <c r="P380" i="16"/>
  <c r="P381" i="16"/>
  <c r="P382" i="16"/>
  <c r="P383" i="16"/>
  <c r="P384" i="16"/>
  <c r="P385" i="16"/>
  <c r="P386" i="16"/>
  <c r="P387" i="16"/>
  <c r="P388" i="16"/>
  <c r="P389" i="16"/>
  <c r="P390" i="16"/>
  <c r="P391" i="16"/>
  <c r="P392" i="16"/>
  <c r="P393" i="16"/>
  <c r="P394" i="16"/>
  <c r="P395" i="16"/>
  <c r="P396" i="16"/>
  <c r="P397" i="16"/>
  <c r="P398" i="16"/>
  <c r="P399" i="16"/>
  <c r="P400" i="16"/>
  <c r="P401" i="16"/>
  <c r="P402" i="16"/>
  <c r="P403" i="16"/>
  <c r="P404" i="16"/>
  <c r="P405" i="16"/>
  <c r="P406" i="16"/>
  <c r="P407" i="16"/>
  <c r="P408" i="16"/>
  <c r="P409" i="16"/>
  <c r="P410" i="16"/>
  <c r="P411" i="16"/>
  <c r="P412" i="16"/>
  <c r="P413" i="16"/>
  <c r="P414" i="16"/>
  <c r="P415" i="16"/>
  <c r="P416" i="16"/>
  <c r="P417" i="16"/>
  <c r="P418" i="16"/>
  <c r="P419" i="16"/>
  <c r="P420" i="16"/>
  <c r="P421" i="16"/>
  <c r="P422" i="16"/>
  <c r="P423" i="16"/>
  <c r="P424" i="16"/>
  <c r="P425" i="16"/>
  <c r="P426" i="16"/>
  <c r="P427" i="16"/>
  <c r="P428" i="16"/>
  <c r="P429" i="16"/>
  <c r="P430" i="16"/>
  <c r="P431" i="16"/>
  <c r="P432" i="16"/>
  <c r="P433" i="16"/>
  <c r="P434" i="16"/>
  <c r="P435" i="16"/>
  <c r="P436" i="16"/>
  <c r="P437" i="16"/>
  <c r="P438" i="16"/>
  <c r="P439" i="16"/>
  <c r="P440" i="16"/>
  <c r="P441" i="16"/>
  <c r="P442" i="16"/>
  <c r="P443" i="16"/>
  <c r="P444" i="16"/>
  <c r="P445" i="16"/>
  <c r="P446" i="16"/>
  <c r="P447" i="16"/>
  <c r="P448" i="16"/>
  <c r="P449" i="16"/>
  <c r="P450" i="16"/>
  <c r="P451" i="16"/>
  <c r="P452" i="16"/>
  <c r="P453" i="16"/>
  <c r="P454" i="16"/>
  <c r="P455" i="16"/>
  <c r="P456" i="16"/>
  <c r="P457" i="16"/>
  <c r="P458" i="16"/>
  <c r="P459" i="16"/>
  <c r="P460" i="16"/>
  <c r="P461" i="16"/>
  <c r="P462" i="16"/>
  <c r="P463" i="16"/>
  <c r="P464" i="16"/>
  <c r="P465" i="16"/>
  <c r="P466" i="16"/>
  <c r="P467" i="16"/>
  <c r="P468" i="16"/>
  <c r="P469" i="16"/>
  <c r="P470" i="16"/>
  <c r="P471" i="16"/>
  <c r="P472" i="16"/>
  <c r="P473" i="16"/>
  <c r="P474" i="16"/>
  <c r="P475" i="16"/>
  <c r="P476" i="16"/>
  <c r="P477" i="16"/>
  <c r="P478" i="16"/>
  <c r="P479" i="16"/>
  <c r="P480" i="16"/>
  <c r="P481" i="16"/>
  <c r="P482" i="16"/>
  <c r="P483" i="16"/>
  <c r="P484" i="16"/>
  <c r="P485" i="16"/>
  <c r="P486" i="16"/>
  <c r="P487" i="16"/>
  <c r="P488" i="16"/>
  <c r="P489" i="16"/>
  <c r="P490" i="16"/>
  <c r="P491" i="16"/>
  <c r="P492" i="16"/>
  <c r="P493" i="16"/>
  <c r="P494" i="16"/>
  <c r="P495" i="16"/>
  <c r="P496" i="16"/>
  <c r="P497" i="16"/>
  <c r="P498" i="16"/>
  <c r="P499" i="16"/>
  <c r="P500" i="16"/>
  <c r="P501" i="16"/>
  <c r="P502" i="16"/>
  <c r="P503" i="16"/>
  <c r="P504" i="16"/>
  <c r="P505" i="16"/>
  <c r="P506" i="16"/>
  <c r="P507" i="16"/>
  <c r="P508" i="16"/>
  <c r="P509" i="16"/>
  <c r="P510" i="16"/>
  <c r="P511" i="16"/>
  <c r="P512" i="16"/>
  <c r="P513" i="16"/>
  <c r="P514" i="16"/>
  <c r="P515" i="16"/>
  <c r="P516" i="16"/>
  <c r="P517" i="16"/>
  <c r="P518" i="16"/>
  <c r="P519" i="16"/>
  <c r="P520" i="16"/>
  <c r="P521" i="16"/>
  <c r="P522" i="16"/>
  <c r="P523" i="16"/>
  <c r="P524" i="16"/>
  <c r="P525" i="16"/>
  <c r="P526" i="16"/>
  <c r="P527" i="16"/>
  <c r="P528" i="16"/>
  <c r="P529" i="16"/>
  <c r="P530" i="16"/>
  <c r="P531" i="16"/>
  <c r="P532" i="16"/>
  <c r="P533" i="16"/>
  <c r="P534" i="16"/>
  <c r="P535" i="16"/>
  <c r="P536" i="16"/>
  <c r="P537" i="16"/>
  <c r="P538" i="16"/>
  <c r="P539" i="16"/>
  <c r="P540" i="16"/>
  <c r="P541" i="16"/>
  <c r="P542" i="16"/>
  <c r="P543" i="16"/>
  <c r="P544" i="16"/>
  <c r="P545" i="16"/>
  <c r="P546" i="16"/>
  <c r="P547" i="16"/>
  <c r="P548" i="16"/>
  <c r="P549" i="16"/>
  <c r="P550" i="16"/>
  <c r="P551" i="16"/>
  <c r="P552" i="16"/>
  <c r="P553" i="16"/>
  <c r="P554" i="16"/>
  <c r="P555" i="16"/>
  <c r="P556" i="16"/>
  <c r="P557" i="16"/>
  <c r="P558" i="16"/>
  <c r="P559" i="16"/>
  <c r="P560" i="16"/>
  <c r="P561" i="16"/>
  <c r="P562" i="16"/>
  <c r="P563" i="16"/>
  <c r="P564" i="16"/>
  <c r="P565" i="16"/>
  <c r="P566" i="16"/>
  <c r="P567" i="16"/>
  <c r="P568" i="16"/>
  <c r="P569" i="16"/>
  <c r="P570" i="16"/>
  <c r="P571" i="16"/>
  <c r="P572" i="16"/>
  <c r="P573" i="16"/>
  <c r="P574" i="16"/>
  <c r="P575" i="16"/>
  <c r="P576" i="16"/>
  <c r="P577" i="16"/>
  <c r="P578" i="16"/>
  <c r="P579" i="16"/>
  <c r="P580" i="16"/>
  <c r="P581" i="16"/>
  <c r="P582" i="16"/>
  <c r="P583" i="16"/>
  <c r="P584" i="16"/>
  <c r="P585" i="16"/>
  <c r="P586" i="16"/>
  <c r="P587" i="16"/>
  <c r="P588" i="16"/>
  <c r="P589" i="16"/>
  <c r="P590" i="16"/>
  <c r="P591" i="16"/>
  <c r="P592" i="16"/>
  <c r="P593" i="16"/>
  <c r="P594" i="16"/>
  <c r="P595" i="16"/>
  <c r="P596" i="16"/>
  <c r="P597" i="16"/>
  <c r="P598" i="16"/>
  <c r="P599" i="16"/>
  <c r="P600" i="16"/>
  <c r="P601" i="16"/>
  <c r="P602" i="16"/>
  <c r="P603" i="16"/>
  <c r="P604" i="16"/>
  <c r="P605" i="16"/>
  <c r="P606" i="16"/>
  <c r="P607" i="16"/>
  <c r="P608" i="16"/>
  <c r="P609" i="16"/>
  <c r="P610" i="16"/>
  <c r="P611" i="16"/>
  <c r="P612" i="16"/>
  <c r="P613" i="16"/>
  <c r="P614" i="16"/>
  <c r="P615" i="16"/>
  <c r="P616" i="16"/>
  <c r="P617" i="16"/>
  <c r="P618" i="16"/>
  <c r="P619" i="16"/>
  <c r="P620" i="16"/>
  <c r="P621" i="16"/>
  <c r="P622" i="16"/>
  <c r="P623" i="16"/>
  <c r="P624" i="16"/>
  <c r="P625" i="16"/>
  <c r="P626" i="16"/>
  <c r="P627" i="16"/>
  <c r="P628" i="16"/>
  <c r="P629" i="16"/>
  <c r="P630" i="16"/>
  <c r="P631" i="16"/>
  <c r="P632" i="16"/>
  <c r="P633" i="16"/>
  <c r="P634" i="16"/>
  <c r="P635" i="16"/>
  <c r="P636" i="16"/>
  <c r="P637" i="16"/>
  <c r="P638" i="16"/>
  <c r="P639" i="16"/>
  <c r="P640" i="16"/>
  <c r="P641" i="16"/>
  <c r="P642" i="16"/>
  <c r="P643" i="16"/>
  <c r="P644" i="16"/>
  <c r="P645" i="16"/>
  <c r="P646" i="16"/>
  <c r="P647" i="16"/>
  <c r="P648" i="16"/>
  <c r="P649" i="16"/>
  <c r="P650" i="16"/>
  <c r="P651" i="16"/>
  <c r="P652" i="16"/>
  <c r="P653" i="16"/>
  <c r="P654" i="16"/>
  <c r="P655" i="16"/>
  <c r="P656" i="16"/>
  <c r="P657" i="16"/>
  <c r="P658" i="16"/>
  <c r="P659" i="16"/>
  <c r="P660" i="16"/>
  <c r="P661" i="16"/>
  <c r="P662" i="16"/>
  <c r="P663" i="16"/>
  <c r="P664" i="16"/>
  <c r="P665" i="16"/>
  <c r="P666" i="16"/>
  <c r="P667" i="16"/>
  <c r="P668" i="16"/>
  <c r="P669" i="16"/>
  <c r="P670" i="16"/>
  <c r="P671" i="16"/>
  <c r="P672" i="16"/>
  <c r="P673" i="16"/>
  <c r="P674" i="16"/>
  <c r="P675" i="16"/>
  <c r="P676" i="16"/>
  <c r="P677" i="16"/>
  <c r="P678" i="16"/>
  <c r="P679" i="16"/>
  <c r="P680" i="16"/>
  <c r="P681" i="16"/>
  <c r="P682" i="16"/>
  <c r="P683" i="16"/>
  <c r="P684" i="16"/>
  <c r="P685" i="16"/>
  <c r="P686" i="16"/>
  <c r="P687" i="16"/>
  <c r="P688" i="16"/>
  <c r="P689" i="16"/>
  <c r="P690" i="16"/>
  <c r="P691" i="16"/>
  <c r="P692" i="16"/>
  <c r="P693" i="16"/>
  <c r="P694" i="16"/>
  <c r="P695" i="16"/>
  <c r="P696" i="16"/>
  <c r="P697" i="16"/>
  <c r="P698" i="16"/>
  <c r="P699" i="16"/>
  <c r="P700" i="16"/>
  <c r="P701" i="16"/>
  <c r="P702" i="16"/>
  <c r="P703" i="16"/>
  <c r="P704" i="16"/>
  <c r="P705" i="16"/>
  <c r="P706" i="16"/>
  <c r="P707" i="16"/>
  <c r="P708" i="16"/>
  <c r="P709" i="16"/>
  <c r="P710" i="16"/>
  <c r="P711" i="16"/>
  <c r="P712" i="16"/>
  <c r="P713" i="16"/>
  <c r="P714" i="16"/>
  <c r="P715" i="16"/>
  <c r="P716" i="16"/>
  <c r="P717" i="16"/>
  <c r="P718" i="16"/>
  <c r="P719" i="16"/>
  <c r="P720" i="16"/>
  <c r="P721" i="16"/>
  <c r="P722" i="16"/>
  <c r="P723" i="16"/>
  <c r="P724" i="16"/>
  <c r="P725" i="16"/>
  <c r="P726" i="16"/>
  <c r="P727" i="16"/>
  <c r="P728" i="16"/>
  <c r="P729" i="16"/>
  <c r="P730" i="16"/>
  <c r="P731" i="16"/>
  <c r="P732" i="16"/>
  <c r="P733" i="16"/>
  <c r="P734" i="16"/>
  <c r="P735" i="16"/>
  <c r="P736" i="16"/>
  <c r="P737" i="16"/>
  <c r="P738" i="16"/>
  <c r="P739" i="16"/>
  <c r="P740" i="16"/>
  <c r="P741" i="16"/>
  <c r="P742" i="16"/>
  <c r="P743" i="16"/>
  <c r="P744" i="16"/>
  <c r="P745" i="16"/>
  <c r="P746" i="16"/>
  <c r="P747" i="16"/>
  <c r="P748" i="16"/>
  <c r="P749" i="16"/>
  <c r="P750" i="16"/>
  <c r="P751" i="16"/>
  <c r="P752" i="16"/>
  <c r="P753" i="16"/>
  <c r="P754" i="16"/>
  <c r="P755" i="16"/>
  <c r="P756" i="16"/>
  <c r="P757" i="16"/>
  <c r="P758" i="16"/>
  <c r="P759" i="16"/>
  <c r="P760" i="16"/>
  <c r="P761" i="16"/>
  <c r="P762" i="16"/>
  <c r="P763" i="16"/>
  <c r="P764" i="16"/>
  <c r="P765" i="16"/>
  <c r="P766" i="16"/>
  <c r="P767" i="16"/>
  <c r="P768" i="16"/>
  <c r="P769" i="16"/>
  <c r="P770" i="16"/>
  <c r="P771" i="16"/>
  <c r="P772" i="16"/>
  <c r="P773" i="16"/>
  <c r="P774" i="16"/>
  <c r="P775" i="16"/>
  <c r="P776" i="16"/>
  <c r="P777" i="16"/>
  <c r="P778" i="16"/>
  <c r="P779" i="16"/>
  <c r="P780" i="16"/>
  <c r="P781" i="16"/>
  <c r="P782" i="16"/>
  <c r="P783" i="16"/>
  <c r="P784" i="16"/>
  <c r="P785" i="16"/>
  <c r="P786" i="16"/>
  <c r="P787" i="16"/>
  <c r="P788" i="16"/>
  <c r="P789" i="16"/>
  <c r="P790" i="16"/>
  <c r="P791" i="16"/>
  <c r="P792" i="16"/>
  <c r="P793" i="16"/>
  <c r="P794" i="16"/>
  <c r="P795" i="16"/>
  <c r="P796" i="16"/>
  <c r="P797" i="16"/>
  <c r="P798" i="16"/>
  <c r="P799" i="16"/>
  <c r="P800" i="16"/>
  <c r="P801" i="16"/>
  <c r="P802" i="16"/>
  <c r="P803" i="16"/>
  <c r="P804" i="16"/>
  <c r="P805" i="16"/>
  <c r="P806" i="16"/>
  <c r="P807" i="16"/>
  <c r="P808" i="16"/>
  <c r="P809" i="16"/>
  <c r="P810" i="16"/>
  <c r="P811" i="16"/>
  <c r="P812" i="16"/>
  <c r="P813" i="16"/>
  <c r="P814" i="16"/>
  <c r="P815" i="16"/>
  <c r="P816" i="16"/>
  <c r="P817" i="16"/>
  <c r="P818" i="16"/>
  <c r="P819" i="16"/>
  <c r="P820" i="16"/>
  <c r="P821" i="16"/>
  <c r="P822" i="16"/>
  <c r="P823" i="16"/>
  <c r="P824" i="16"/>
  <c r="P825" i="16"/>
  <c r="P826" i="16"/>
  <c r="P827" i="16"/>
  <c r="P828" i="16"/>
  <c r="P829" i="16"/>
  <c r="P830" i="16"/>
  <c r="P831" i="16"/>
  <c r="P832" i="16"/>
  <c r="P833" i="16"/>
  <c r="P834" i="16"/>
  <c r="P835" i="16"/>
  <c r="P836" i="16"/>
  <c r="P837" i="16"/>
  <c r="P838" i="16"/>
  <c r="P839" i="16"/>
  <c r="P840" i="16"/>
  <c r="P841" i="16"/>
  <c r="P842" i="16"/>
  <c r="P843" i="16"/>
  <c r="P844" i="16"/>
  <c r="P845" i="16"/>
  <c r="P846" i="16"/>
  <c r="P847" i="16"/>
  <c r="P848" i="16"/>
  <c r="P849" i="16"/>
  <c r="P850" i="16"/>
  <c r="P851" i="16"/>
  <c r="P852" i="16"/>
  <c r="P853" i="16"/>
  <c r="P854" i="16"/>
  <c r="P855" i="16"/>
  <c r="P856" i="16"/>
  <c r="P857" i="16"/>
  <c r="P858" i="16"/>
  <c r="P859" i="16"/>
  <c r="P860" i="16"/>
  <c r="P861" i="16"/>
  <c r="P862" i="16"/>
  <c r="P863" i="16"/>
  <c r="P864" i="16"/>
  <c r="P865" i="16"/>
  <c r="P866" i="16"/>
  <c r="P867" i="16"/>
  <c r="P868" i="16"/>
  <c r="P869" i="16"/>
  <c r="P870" i="16"/>
  <c r="P871" i="16"/>
  <c r="P872" i="16"/>
  <c r="P873" i="16"/>
  <c r="P874" i="16"/>
  <c r="P875" i="16"/>
  <c r="P876" i="16"/>
  <c r="P877" i="16"/>
  <c r="P878" i="16"/>
  <c r="P879" i="16"/>
  <c r="P880" i="16"/>
  <c r="P881" i="16"/>
  <c r="P882" i="16"/>
  <c r="P883" i="16"/>
  <c r="P884" i="16"/>
  <c r="P885" i="16"/>
  <c r="P886" i="16"/>
  <c r="P887" i="16"/>
  <c r="P888" i="16"/>
  <c r="P889" i="16"/>
  <c r="P890" i="16"/>
  <c r="P891" i="16"/>
  <c r="P892" i="16"/>
  <c r="P893" i="16"/>
  <c r="P894" i="16"/>
  <c r="P895" i="16"/>
  <c r="P896" i="16"/>
  <c r="P897" i="16"/>
  <c r="P898" i="16"/>
  <c r="P899" i="16"/>
  <c r="P900" i="16"/>
  <c r="P901" i="16"/>
  <c r="P902" i="16"/>
  <c r="P903" i="16"/>
  <c r="P904" i="16"/>
  <c r="P905" i="16"/>
  <c r="P906" i="16"/>
  <c r="P907" i="16"/>
  <c r="P908" i="16"/>
  <c r="P909" i="16"/>
  <c r="P910" i="16"/>
  <c r="P911" i="16"/>
  <c r="P912" i="16"/>
  <c r="P913" i="16"/>
  <c r="P914" i="16"/>
  <c r="P915" i="16"/>
  <c r="P916" i="16"/>
  <c r="P917" i="16"/>
  <c r="P918" i="16"/>
  <c r="P919" i="16"/>
  <c r="P920" i="16"/>
  <c r="P921" i="16"/>
  <c r="P922" i="16"/>
  <c r="P923" i="16"/>
  <c r="P924" i="16"/>
  <c r="P925" i="16"/>
  <c r="P926" i="16"/>
  <c r="P927" i="16"/>
  <c r="P928" i="16"/>
  <c r="P929" i="16"/>
  <c r="P930" i="16"/>
  <c r="P931" i="16"/>
  <c r="P932" i="16"/>
  <c r="P933" i="16"/>
  <c r="P934" i="16"/>
  <c r="P935" i="16"/>
  <c r="P936" i="16"/>
  <c r="P937" i="16"/>
  <c r="P938" i="16"/>
  <c r="P939" i="16"/>
  <c r="P940" i="16"/>
  <c r="P941" i="16"/>
  <c r="P942" i="16"/>
  <c r="P943" i="16"/>
  <c r="P944" i="16"/>
  <c r="P945" i="16"/>
  <c r="P946" i="16"/>
  <c r="P947" i="16"/>
  <c r="P948" i="16"/>
  <c r="P949" i="16"/>
  <c r="P950" i="16"/>
  <c r="P951" i="16"/>
  <c r="P952" i="16"/>
  <c r="P953" i="16"/>
  <c r="P954" i="16"/>
  <c r="P955" i="16"/>
  <c r="P956" i="16"/>
  <c r="P957" i="16"/>
  <c r="P958" i="16"/>
  <c r="P959" i="16"/>
  <c r="P960" i="16"/>
  <c r="P961" i="16"/>
  <c r="P962" i="16"/>
  <c r="P963" i="16"/>
  <c r="P964" i="16"/>
  <c r="P965" i="16"/>
  <c r="P966" i="16"/>
  <c r="P967" i="16"/>
  <c r="P968" i="16"/>
  <c r="P969" i="16"/>
  <c r="P970" i="16"/>
  <c r="P971" i="16"/>
  <c r="P972" i="16"/>
  <c r="P973" i="16"/>
  <c r="P974" i="16"/>
  <c r="P975" i="16"/>
  <c r="P976" i="16"/>
  <c r="P977" i="16"/>
  <c r="P978" i="16"/>
  <c r="P979" i="16"/>
  <c r="P980" i="16"/>
  <c r="P981" i="16"/>
  <c r="P982" i="16"/>
  <c r="P983" i="16"/>
  <c r="P984" i="16"/>
  <c r="P985" i="16"/>
  <c r="P986" i="16"/>
  <c r="P987" i="16"/>
  <c r="P988" i="16"/>
  <c r="P989" i="16"/>
  <c r="P990" i="16"/>
  <c r="P991" i="16"/>
  <c r="P992" i="16"/>
  <c r="P993" i="16"/>
  <c r="P994" i="16"/>
  <c r="P995" i="16"/>
  <c r="P996" i="16"/>
  <c r="P997" i="16"/>
  <c r="P998" i="16"/>
  <c r="P999" i="16"/>
  <c r="P1000" i="16"/>
  <c r="C307" i="26"/>
  <c r="C308" i="26"/>
  <c r="C309" i="26"/>
  <c r="C310" i="26"/>
  <c r="C311" i="26"/>
  <c r="C312" i="26"/>
  <c r="C313" i="26"/>
  <c r="C314" i="26"/>
  <c r="C315" i="26"/>
  <c r="C316" i="26"/>
  <c r="C317" i="26"/>
  <c r="C318" i="26"/>
  <c r="C319" i="26"/>
  <c r="D319" i="26"/>
  <c r="D318" i="26"/>
  <c r="D317" i="26"/>
  <c r="D316" i="26"/>
  <c r="D315" i="26"/>
  <c r="D314" i="26"/>
  <c r="D313" i="26"/>
  <c r="D312" i="26"/>
  <c r="D311" i="26"/>
  <c r="D310" i="26"/>
  <c r="D309" i="26"/>
  <c r="D308" i="26"/>
  <c r="D307" i="26"/>
  <c r="K21" i="8"/>
  <c r="E103" i="22"/>
  <c r="C103" i="22"/>
  <c r="D103" i="22" s="1"/>
  <c r="BE72" i="28"/>
  <c r="BD72" i="28"/>
  <c r="BC72" i="28"/>
  <c r="BB72" i="28"/>
  <c r="BA72" i="28"/>
  <c r="AZ72" i="28"/>
  <c r="AY72" i="28"/>
  <c r="AX72" i="28"/>
  <c r="AW72" i="28"/>
  <c r="AV72" i="28"/>
  <c r="AU72" i="28"/>
  <c r="AT72" i="28"/>
  <c r="AS72" i="28"/>
  <c r="AR72" i="28"/>
  <c r="AQ72" i="28"/>
  <c r="AP72" i="28"/>
  <c r="AO72" i="28"/>
  <c r="AN72" i="28"/>
  <c r="AM72" i="28"/>
  <c r="AL72" i="28"/>
  <c r="AK72" i="28"/>
  <c r="AJ72" i="28"/>
  <c r="AI72" i="28"/>
  <c r="AH72" i="28"/>
  <c r="AG72" i="28"/>
  <c r="AF72" i="28"/>
  <c r="AE72" i="28"/>
  <c r="AD72" i="28"/>
  <c r="AC72" i="28"/>
  <c r="AB72" i="28"/>
  <c r="AA72" i="28"/>
  <c r="Z72" i="28"/>
  <c r="Y72" i="28"/>
  <c r="X72" i="28"/>
  <c r="W72" i="28"/>
  <c r="V72" i="28"/>
  <c r="U72" i="28"/>
  <c r="T72" i="28"/>
  <c r="S72" i="28"/>
  <c r="R72" i="28"/>
  <c r="Q72" i="28"/>
  <c r="P72" i="28"/>
  <c r="O72" i="28"/>
  <c r="N72" i="28"/>
  <c r="M72" i="28"/>
  <c r="L72" i="28"/>
  <c r="K72" i="28"/>
  <c r="J72" i="28"/>
  <c r="I72" i="28"/>
  <c r="H72" i="28"/>
  <c r="G72" i="28"/>
  <c r="F72" i="28"/>
  <c r="T237" i="1"/>
  <c r="T236" i="1"/>
  <c r="T235" i="1"/>
  <c r="S234" i="1"/>
  <c r="F319" i="26" s="1"/>
  <c r="R234" i="1"/>
  <c r="F318" i="26" s="1"/>
  <c r="Q234" i="1"/>
  <c r="F317" i="26" s="1"/>
  <c r="P234" i="1"/>
  <c r="F316" i="26" s="1"/>
  <c r="O234" i="1"/>
  <c r="F315" i="26" s="1"/>
  <c r="N234" i="1"/>
  <c r="F314" i="26" s="1"/>
  <c r="M234" i="1"/>
  <c r="F313" i="26" s="1"/>
  <c r="L234" i="1"/>
  <c r="F312" i="26" s="1"/>
  <c r="K234" i="1"/>
  <c r="F311" i="26" s="1"/>
  <c r="J234" i="1"/>
  <c r="F310" i="26" s="1"/>
  <c r="I234" i="1"/>
  <c r="F309" i="26" s="1"/>
  <c r="H234" i="1"/>
  <c r="F308" i="26" s="1"/>
  <c r="G234" i="1"/>
  <c r="F307" i="26" s="1"/>
  <c r="U9" i="16"/>
  <c r="U10" i="16"/>
  <c r="U11" i="16"/>
  <c r="U12" i="16"/>
  <c r="U13" i="16"/>
  <c r="U14" i="16"/>
  <c r="U15" i="16"/>
  <c r="U16" i="16"/>
  <c r="U17" i="16"/>
  <c r="U18" i="16"/>
  <c r="U19" i="16"/>
  <c r="U20" i="16"/>
  <c r="U21" i="16"/>
  <c r="U22" i="16"/>
  <c r="U23" i="16"/>
  <c r="U24" i="16"/>
  <c r="U25" i="16"/>
  <c r="U26" i="16"/>
  <c r="U27" i="16"/>
  <c r="U28" i="16"/>
  <c r="U29" i="16"/>
  <c r="U30" i="16"/>
  <c r="U31" i="16"/>
  <c r="U32" i="16"/>
  <c r="U33" i="16"/>
  <c r="U34" i="16"/>
  <c r="U35" i="16"/>
  <c r="U36" i="16"/>
  <c r="U37" i="16"/>
  <c r="U38" i="16"/>
  <c r="U39" i="16"/>
  <c r="U40" i="16"/>
  <c r="U41" i="16"/>
  <c r="U42" i="16"/>
  <c r="U43" i="16"/>
  <c r="U44" i="16"/>
  <c r="U45" i="16"/>
  <c r="U46" i="16"/>
  <c r="U47" i="16"/>
  <c r="U48" i="16"/>
  <c r="U49" i="16"/>
  <c r="U50" i="16"/>
  <c r="U51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U68" i="16"/>
  <c r="U69" i="16"/>
  <c r="U70" i="16"/>
  <c r="U71" i="16"/>
  <c r="U72" i="16"/>
  <c r="U73" i="16"/>
  <c r="U74" i="16"/>
  <c r="U75" i="16"/>
  <c r="U76" i="16"/>
  <c r="U77" i="16"/>
  <c r="U78" i="16"/>
  <c r="U79" i="16"/>
  <c r="U80" i="16"/>
  <c r="U81" i="16"/>
  <c r="U82" i="16"/>
  <c r="U83" i="16"/>
  <c r="U84" i="16"/>
  <c r="U85" i="16"/>
  <c r="U86" i="16"/>
  <c r="U87" i="16"/>
  <c r="U88" i="16"/>
  <c r="U89" i="16"/>
  <c r="U90" i="16"/>
  <c r="U91" i="16"/>
  <c r="U92" i="16"/>
  <c r="U93" i="16"/>
  <c r="U94" i="16"/>
  <c r="U95" i="16"/>
  <c r="U96" i="16"/>
  <c r="U97" i="16"/>
  <c r="U98" i="16"/>
  <c r="U99" i="16"/>
  <c r="U100" i="16"/>
  <c r="U101" i="16"/>
  <c r="U102" i="16"/>
  <c r="U103" i="16"/>
  <c r="U104" i="16"/>
  <c r="U105" i="16"/>
  <c r="U106" i="16"/>
  <c r="U107" i="16"/>
  <c r="U108" i="16"/>
  <c r="U109" i="16"/>
  <c r="U110" i="16"/>
  <c r="U111" i="16"/>
  <c r="U112" i="16"/>
  <c r="U113" i="16"/>
  <c r="U114" i="16"/>
  <c r="U115" i="16"/>
  <c r="U116" i="16"/>
  <c r="U117" i="16"/>
  <c r="U118" i="16"/>
  <c r="U119" i="16"/>
  <c r="U120" i="16"/>
  <c r="U121" i="16"/>
  <c r="U122" i="16"/>
  <c r="U123" i="16"/>
  <c r="U124" i="16"/>
  <c r="U125" i="16"/>
  <c r="U126" i="16"/>
  <c r="U127" i="16"/>
  <c r="U128" i="16"/>
  <c r="U129" i="16"/>
  <c r="U130" i="16"/>
  <c r="U131" i="16"/>
  <c r="U132" i="16"/>
  <c r="U133" i="16"/>
  <c r="U134" i="16"/>
  <c r="U135" i="16"/>
  <c r="U136" i="16"/>
  <c r="U137" i="16"/>
  <c r="U138" i="16"/>
  <c r="U139" i="16"/>
  <c r="U140" i="16"/>
  <c r="U141" i="16"/>
  <c r="U142" i="16"/>
  <c r="U143" i="16"/>
  <c r="U144" i="16"/>
  <c r="U145" i="16"/>
  <c r="U146" i="16"/>
  <c r="U147" i="16"/>
  <c r="U148" i="16"/>
  <c r="U149" i="16"/>
  <c r="U150" i="16"/>
  <c r="U151" i="16"/>
  <c r="U152" i="16"/>
  <c r="U153" i="16"/>
  <c r="U154" i="16"/>
  <c r="U155" i="16"/>
  <c r="U156" i="16"/>
  <c r="U157" i="16"/>
  <c r="U158" i="16"/>
  <c r="U159" i="16"/>
  <c r="U160" i="16"/>
  <c r="U161" i="16"/>
  <c r="U162" i="16"/>
  <c r="U163" i="16"/>
  <c r="U164" i="16"/>
  <c r="U165" i="16"/>
  <c r="U166" i="16"/>
  <c r="U167" i="16"/>
  <c r="U168" i="16"/>
  <c r="U169" i="16"/>
  <c r="U170" i="16"/>
  <c r="U171" i="16"/>
  <c r="U172" i="16"/>
  <c r="U173" i="16"/>
  <c r="U174" i="16"/>
  <c r="U175" i="16"/>
  <c r="U176" i="16"/>
  <c r="U177" i="16"/>
  <c r="U178" i="16"/>
  <c r="U179" i="16"/>
  <c r="U180" i="16"/>
  <c r="U181" i="16"/>
  <c r="U182" i="16"/>
  <c r="U183" i="16"/>
  <c r="U184" i="16"/>
  <c r="U185" i="16"/>
  <c r="U186" i="16"/>
  <c r="U187" i="16"/>
  <c r="U188" i="16"/>
  <c r="U189" i="16"/>
  <c r="U190" i="16"/>
  <c r="U191" i="16"/>
  <c r="U192" i="16"/>
  <c r="U193" i="16"/>
  <c r="U194" i="16"/>
  <c r="U195" i="16"/>
  <c r="U196" i="16"/>
  <c r="U197" i="16"/>
  <c r="U198" i="16"/>
  <c r="U199" i="16"/>
  <c r="U200" i="16"/>
  <c r="U201" i="16"/>
  <c r="U202" i="16"/>
  <c r="U203" i="16"/>
  <c r="U204" i="16"/>
  <c r="U205" i="16"/>
  <c r="U206" i="16"/>
  <c r="U207" i="16"/>
  <c r="U208" i="16"/>
  <c r="U209" i="16"/>
  <c r="U210" i="16"/>
  <c r="U211" i="16"/>
  <c r="U212" i="16"/>
  <c r="U213" i="16"/>
  <c r="U214" i="16"/>
  <c r="U215" i="16"/>
  <c r="U216" i="16"/>
  <c r="U217" i="16"/>
  <c r="U218" i="16"/>
  <c r="U219" i="16"/>
  <c r="U220" i="16"/>
  <c r="U221" i="16"/>
  <c r="U222" i="16"/>
  <c r="U223" i="16"/>
  <c r="U224" i="16"/>
  <c r="U225" i="16"/>
  <c r="U226" i="16"/>
  <c r="U227" i="16"/>
  <c r="U228" i="16"/>
  <c r="U229" i="16"/>
  <c r="U230" i="16"/>
  <c r="U231" i="16"/>
  <c r="U232" i="16"/>
  <c r="U233" i="16"/>
  <c r="U234" i="16"/>
  <c r="U235" i="16"/>
  <c r="U236" i="16"/>
  <c r="U237" i="16"/>
  <c r="U238" i="16"/>
  <c r="U239" i="16"/>
  <c r="U240" i="16"/>
  <c r="U241" i="16"/>
  <c r="U242" i="16"/>
  <c r="U243" i="16"/>
  <c r="U244" i="16"/>
  <c r="U245" i="16"/>
  <c r="U246" i="16"/>
  <c r="U247" i="16"/>
  <c r="U248" i="16"/>
  <c r="U249" i="16"/>
  <c r="U250" i="16"/>
  <c r="U251" i="16"/>
  <c r="U252" i="16"/>
  <c r="U253" i="16"/>
  <c r="U254" i="16"/>
  <c r="U255" i="16"/>
  <c r="U256" i="16"/>
  <c r="U257" i="16"/>
  <c r="U258" i="16"/>
  <c r="U259" i="16"/>
  <c r="U260" i="16"/>
  <c r="U261" i="16"/>
  <c r="U262" i="16"/>
  <c r="U263" i="16"/>
  <c r="U264" i="16"/>
  <c r="U265" i="16"/>
  <c r="U266" i="16"/>
  <c r="U267" i="16"/>
  <c r="U268" i="16"/>
  <c r="U269" i="16"/>
  <c r="U270" i="16"/>
  <c r="U271" i="16"/>
  <c r="U272" i="16"/>
  <c r="U273" i="16"/>
  <c r="U274" i="16"/>
  <c r="U275" i="16"/>
  <c r="U276" i="16"/>
  <c r="U277" i="16"/>
  <c r="U278" i="16"/>
  <c r="U279" i="16"/>
  <c r="U280" i="16"/>
  <c r="U281" i="16"/>
  <c r="U282" i="16"/>
  <c r="U283" i="16"/>
  <c r="U284" i="16"/>
  <c r="U285" i="16"/>
  <c r="U286" i="16"/>
  <c r="U287" i="16"/>
  <c r="U288" i="16"/>
  <c r="U289" i="16"/>
  <c r="U290" i="16"/>
  <c r="U291" i="16"/>
  <c r="U292" i="16"/>
  <c r="U293" i="16"/>
  <c r="U294" i="16"/>
  <c r="U295" i="16"/>
  <c r="U296" i="16"/>
  <c r="U297" i="16"/>
  <c r="U298" i="16"/>
  <c r="U299" i="16"/>
  <c r="U300" i="16"/>
  <c r="U301" i="16"/>
  <c r="U302" i="16"/>
  <c r="U303" i="16"/>
  <c r="U304" i="16"/>
  <c r="U305" i="16"/>
  <c r="U306" i="16"/>
  <c r="U307" i="16"/>
  <c r="U308" i="16"/>
  <c r="U309" i="16"/>
  <c r="U310" i="16"/>
  <c r="U311" i="16"/>
  <c r="U312" i="16"/>
  <c r="U313" i="16"/>
  <c r="U314" i="16"/>
  <c r="U315" i="16"/>
  <c r="U316" i="16"/>
  <c r="U317" i="16"/>
  <c r="U318" i="16"/>
  <c r="U319" i="16"/>
  <c r="U320" i="16"/>
  <c r="U321" i="16"/>
  <c r="U322" i="16"/>
  <c r="U323" i="16"/>
  <c r="U324" i="16"/>
  <c r="U325" i="16"/>
  <c r="U326" i="16"/>
  <c r="U327" i="16"/>
  <c r="U328" i="16"/>
  <c r="U329" i="16"/>
  <c r="U330" i="16"/>
  <c r="U331" i="16"/>
  <c r="U332" i="16"/>
  <c r="U333" i="16"/>
  <c r="U334" i="16"/>
  <c r="U335" i="16"/>
  <c r="U336" i="16"/>
  <c r="U337" i="16"/>
  <c r="U338" i="16"/>
  <c r="U339" i="16"/>
  <c r="U340" i="16"/>
  <c r="U341" i="16"/>
  <c r="U342" i="16"/>
  <c r="U343" i="16"/>
  <c r="U344" i="16"/>
  <c r="U345" i="16"/>
  <c r="U346" i="16"/>
  <c r="U347" i="16"/>
  <c r="U348" i="16"/>
  <c r="U349" i="16"/>
  <c r="U350" i="16"/>
  <c r="U351" i="16"/>
  <c r="U352" i="16"/>
  <c r="U353" i="16"/>
  <c r="U354" i="16"/>
  <c r="U355" i="16"/>
  <c r="U356" i="16"/>
  <c r="U357" i="16"/>
  <c r="U358" i="16"/>
  <c r="U359" i="16"/>
  <c r="U360" i="16"/>
  <c r="U361" i="16"/>
  <c r="U362" i="16"/>
  <c r="U363" i="16"/>
  <c r="U364" i="16"/>
  <c r="U365" i="16"/>
  <c r="U366" i="16"/>
  <c r="U367" i="16"/>
  <c r="U368" i="16"/>
  <c r="U369" i="16"/>
  <c r="U370" i="16"/>
  <c r="U371" i="16"/>
  <c r="U372" i="16"/>
  <c r="U373" i="16"/>
  <c r="U374" i="16"/>
  <c r="U375" i="16"/>
  <c r="U376" i="16"/>
  <c r="U377" i="16"/>
  <c r="U378" i="16"/>
  <c r="U379" i="16"/>
  <c r="U380" i="16"/>
  <c r="U381" i="16"/>
  <c r="U382" i="16"/>
  <c r="U383" i="16"/>
  <c r="U384" i="16"/>
  <c r="U385" i="16"/>
  <c r="U386" i="16"/>
  <c r="U387" i="16"/>
  <c r="U388" i="16"/>
  <c r="U389" i="16"/>
  <c r="U390" i="16"/>
  <c r="U391" i="16"/>
  <c r="U392" i="16"/>
  <c r="U393" i="16"/>
  <c r="U394" i="16"/>
  <c r="U395" i="16"/>
  <c r="U396" i="16"/>
  <c r="U397" i="16"/>
  <c r="U398" i="16"/>
  <c r="U399" i="16"/>
  <c r="U400" i="16"/>
  <c r="U401" i="16"/>
  <c r="U402" i="16"/>
  <c r="U403" i="16"/>
  <c r="U404" i="16"/>
  <c r="U405" i="16"/>
  <c r="U406" i="16"/>
  <c r="U407" i="16"/>
  <c r="U408" i="16"/>
  <c r="U409" i="16"/>
  <c r="U410" i="16"/>
  <c r="U411" i="16"/>
  <c r="U412" i="16"/>
  <c r="U413" i="16"/>
  <c r="U414" i="16"/>
  <c r="U415" i="16"/>
  <c r="U416" i="16"/>
  <c r="U417" i="16"/>
  <c r="U418" i="16"/>
  <c r="U419" i="16"/>
  <c r="U420" i="16"/>
  <c r="U421" i="16"/>
  <c r="U422" i="16"/>
  <c r="U423" i="16"/>
  <c r="U424" i="16"/>
  <c r="U425" i="16"/>
  <c r="U426" i="16"/>
  <c r="U427" i="16"/>
  <c r="U428" i="16"/>
  <c r="U429" i="16"/>
  <c r="U430" i="16"/>
  <c r="U431" i="16"/>
  <c r="U432" i="16"/>
  <c r="U433" i="16"/>
  <c r="U434" i="16"/>
  <c r="U435" i="16"/>
  <c r="U436" i="16"/>
  <c r="U437" i="16"/>
  <c r="U438" i="16"/>
  <c r="U439" i="16"/>
  <c r="U440" i="16"/>
  <c r="U441" i="16"/>
  <c r="U442" i="16"/>
  <c r="U443" i="16"/>
  <c r="U444" i="16"/>
  <c r="U445" i="16"/>
  <c r="U446" i="16"/>
  <c r="U447" i="16"/>
  <c r="U448" i="16"/>
  <c r="U449" i="16"/>
  <c r="U450" i="16"/>
  <c r="U451" i="16"/>
  <c r="U452" i="16"/>
  <c r="U453" i="16"/>
  <c r="U454" i="16"/>
  <c r="U455" i="16"/>
  <c r="U456" i="16"/>
  <c r="U457" i="16"/>
  <c r="U458" i="16"/>
  <c r="U459" i="16"/>
  <c r="U460" i="16"/>
  <c r="U461" i="16"/>
  <c r="U462" i="16"/>
  <c r="U463" i="16"/>
  <c r="U464" i="16"/>
  <c r="U465" i="16"/>
  <c r="U466" i="16"/>
  <c r="U467" i="16"/>
  <c r="U468" i="16"/>
  <c r="U469" i="16"/>
  <c r="U470" i="16"/>
  <c r="U471" i="16"/>
  <c r="U472" i="16"/>
  <c r="U473" i="16"/>
  <c r="U474" i="16"/>
  <c r="U475" i="16"/>
  <c r="U476" i="16"/>
  <c r="U477" i="16"/>
  <c r="U478" i="16"/>
  <c r="U479" i="16"/>
  <c r="U480" i="16"/>
  <c r="U481" i="16"/>
  <c r="U482" i="16"/>
  <c r="U483" i="16"/>
  <c r="U484" i="16"/>
  <c r="U485" i="16"/>
  <c r="U486" i="16"/>
  <c r="U487" i="16"/>
  <c r="U488" i="16"/>
  <c r="U489" i="16"/>
  <c r="U490" i="16"/>
  <c r="U491" i="16"/>
  <c r="U492" i="16"/>
  <c r="U493" i="16"/>
  <c r="U494" i="16"/>
  <c r="U495" i="16"/>
  <c r="U496" i="16"/>
  <c r="U497" i="16"/>
  <c r="U498" i="16"/>
  <c r="U499" i="16"/>
  <c r="U500" i="16"/>
  <c r="U501" i="16"/>
  <c r="U502" i="16"/>
  <c r="U503" i="16"/>
  <c r="U504" i="16"/>
  <c r="U505" i="16"/>
  <c r="U506" i="16"/>
  <c r="U507" i="16"/>
  <c r="U508" i="16"/>
  <c r="U509" i="16"/>
  <c r="U510" i="16"/>
  <c r="U511" i="16"/>
  <c r="U512" i="16"/>
  <c r="U513" i="16"/>
  <c r="U514" i="16"/>
  <c r="U515" i="16"/>
  <c r="U516" i="16"/>
  <c r="U517" i="16"/>
  <c r="U518" i="16"/>
  <c r="U519" i="16"/>
  <c r="U520" i="16"/>
  <c r="U521" i="16"/>
  <c r="U522" i="16"/>
  <c r="U523" i="16"/>
  <c r="U524" i="16"/>
  <c r="U525" i="16"/>
  <c r="U526" i="16"/>
  <c r="U527" i="16"/>
  <c r="U528" i="16"/>
  <c r="U529" i="16"/>
  <c r="U530" i="16"/>
  <c r="U531" i="16"/>
  <c r="U532" i="16"/>
  <c r="U533" i="16"/>
  <c r="U534" i="16"/>
  <c r="U535" i="16"/>
  <c r="U536" i="16"/>
  <c r="U537" i="16"/>
  <c r="U538" i="16"/>
  <c r="U539" i="16"/>
  <c r="U540" i="16"/>
  <c r="U541" i="16"/>
  <c r="U542" i="16"/>
  <c r="U543" i="16"/>
  <c r="U544" i="16"/>
  <c r="U545" i="16"/>
  <c r="U546" i="16"/>
  <c r="U547" i="16"/>
  <c r="U548" i="16"/>
  <c r="U549" i="16"/>
  <c r="U550" i="16"/>
  <c r="U551" i="16"/>
  <c r="U552" i="16"/>
  <c r="U553" i="16"/>
  <c r="U554" i="16"/>
  <c r="U555" i="16"/>
  <c r="U556" i="16"/>
  <c r="U557" i="16"/>
  <c r="U558" i="16"/>
  <c r="U559" i="16"/>
  <c r="U560" i="16"/>
  <c r="U561" i="16"/>
  <c r="U562" i="16"/>
  <c r="U563" i="16"/>
  <c r="U564" i="16"/>
  <c r="U565" i="16"/>
  <c r="U566" i="16"/>
  <c r="U567" i="16"/>
  <c r="U568" i="16"/>
  <c r="U569" i="16"/>
  <c r="U570" i="16"/>
  <c r="U571" i="16"/>
  <c r="U572" i="16"/>
  <c r="U573" i="16"/>
  <c r="U574" i="16"/>
  <c r="U575" i="16"/>
  <c r="U576" i="16"/>
  <c r="U577" i="16"/>
  <c r="U578" i="16"/>
  <c r="U579" i="16"/>
  <c r="U580" i="16"/>
  <c r="U581" i="16"/>
  <c r="U582" i="16"/>
  <c r="U583" i="16"/>
  <c r="U584" i="16"/>
  <c r="U585" i="16"/>
  <c r="U586" i="16"/>
  <c r="U587" i="16"/>
  <c r="U588" i="16"/>
  <c r="U589" i="16"/>
  <c r="U590" i="16"/>
  <c r="U591" i="16"/>
  <c r="U592" i="16"/>
  <c r="U593" i="16"/>
  <c r="U594" i="16"/>
  <c r="U595" i="16"/>
  <c r="U596" i="16"/>
  <c r="U597" i="16"/>
  <c r="U598" i="16"/>
  <c r="U599" i="16"/>
  <c r="U600" i="16"/>
  <c r="U601" i="16"/>
  <c r="U602" i="16"/>
  <c r="U603" i="16"/>
  <c r="U604" i="16"/>
  <c r="U605" i="16"/>
  <c r="U606" i="16"/>
  <c r="U607" i="16"/>
  <c r="U608" i="16"/>
  <c r="U609" i="16"/>
  <c r="U610" i="16"/>
  <c r="U611" i="16"/>
  <c r="U612" i="16"/>
  <c r="U613" i="16"/>
  <c r="U614" i="16"/>
  <c r="U615" i="16"/>
  <c r="U616" i="16"/>
  <c r="U617" i="16"/>
  <c r="U618" i="16"/>
  <c r="U619" i="16"/>
  <c r="U620" i="16"/>
  <c r="U621" i="16"/>
  <c r="U622" i="16"/>
  <c r="U623" i="16"/>
  <c r="U624" i="16"/>
  <c r="U625" i="16"/>
  <c r="U626" i="16"/>
  <c r="U627" i="16"/>
  <c r="U628" i="16"/>
  <c r="U629" i="16"/>
  <c r="U630" i="16"/>
  <c r="U631" i="16"/>
  <c r="U632" i="16"/>
  <c r="U633" i="16"/>
  <c r="U634" i="16"/>
  <c r="U635" i="16"/>
  <c r="U636" i="16"/>
  <c r="U637" i="16"/>
  <c r="U638" i="16"/>
  <c r="U639" i="16"/>
  <c r="U640" i="16"/>
  <c r="U641" i="16"/>
  <c r="U642" i="16"/>
  <c r="U643" i="16"/>
  <c r="U644" i="16"/>
  <c r="U645" i="16"/>
  <c r="U646" i="16"/>
  <c r="U647" i="16"/>
  <c r="U648" i="16"/>
  <c r="U649" i="16"/>
  <c r="U650" i="16"/>
  <c r="U651" i="16"/>
  <c r="U652" i="16"/>
  <c r="U653" i="16"/>
  <c r="U654" i="16"/>
  <c r="U655" i="16"/>
  <c r="U656" i="16"/>
  <c r="U657" i="16"/>
  <c r="U658" i="16"/>
  <c r="U659" i="16"/>
  <c r="U660" i="16"/>
  <c r="U661" i="16"/>
  <c r="U662" i="16"/>
  <c r="U663" i="16"/>
  <c r="U664" i="16"/>
  <c r="U665" i="16"/>
  <c r="U666" i="16"/>
  <c r="U667" i="16"/>
  <c r="U668" i="16"/>
  <c r="U669" i="16"/>
  <c r="U670" i="16"/>
  <c r="U671" i="16"/>
  <c r="U672" i="16"/>
  <c r="U673" i="16"/>
  <c r="U674" i="16"/>
  <c r="U675" i="16"/>
  <c r="U676" i="16"/>
  <c r="U677" i="16"/>
  <c r="U678" i="16"/>
  <c r="U679" i="16"/>
  <c r="U680" i="16"/>
  <c r="U681" i="16"/>
  <c r="U682" i="16"/>
  <c r="U683" i="16"/>
  <c r="U684" i="16"/>
  <c r="U685" i="16"/>
  <c r="U686" i="16"/>
  <c r="U687" i="16"/>
  <c r="U688" i="16"/>
  <c r="U689" i="16"/>
  <c r="U690" i="16"/>
  <c r="U691" i="16"/>
  <c r="U692" i="16"/>
  <c r="U693" i="16"/>
  <c r="U694" i="16"/>
  <c r="U695" i="16"/>
  <c r="U696" i="16"/>
  <c r="U697" i="16"/>
  <c r="U698" i="16"/>
  <c r="U699" i="16"/>
  <c r="U700" i="16"/>
  <c r="U701" i="16"/>
  <c r="U702" i="16"/>
  <c r="U703" i="16"/>
  <c r="U704" i="16"/>
  <c r="U705" i="16"/>
  <c r="U706" i="16"/>
  <c r="U707" i="16"/>
  <c r="U708" i="16"/>
  <c r="U709" i="16"/>
  <c r="U710" i="16"/>
  <c r="U711" i="16"/>
  <c r="U712" i="16"/>
  <c r="U713" i="16"/>
  <c r="U714" i="16"/>
  <c r="U715" i="16"/>
  <c r="U716" i="16"/>
  <c r="U717" i="16"/>
  <c r="U718" i="16"/>
  <c r="U719" i="16"/>
  <c r="U720" i="16"/>
  <c r="U721" i="16"/>
  <c r="U722" i="16"/>
  <c r="U723" i="16"/>
  <c r="U724" i="16"/>
  <c r="U725" i="16"/>
  <c r="U726" i="16"/>
  <c r="U727" i="16"/>
  <c r="U728" i="16"/>
  <c r="U729" i="16"/>
  <c r="U730" i="16"/>
  <c r="U731" i="16"/>
  <c r="U732" i="16"/>
  <c r="U733" i="16"/>
  <c r="U734" i="16"/>
  <c r="U735" i="16"/>
  <c r="U736" i="16"/>
  <c r="U737" i="16"/>
  <c r="U738" i="16"/>
  <c r="U739" i="16"/>
  <c r="U740" i="16"/>
  <c r="U741" i="16"/>
  <c r="U742" i="16"/>
  <c r="U743" i="16"/>
  <c r="U744" i="16"/>
  <c r="U745" i="16"/>
  <c r="U746" i="16"/>
  <c r="U747" i="16"/>
  <c r="U748" i="16"/>
  <c r="U749" i="16"/>
  <c r="U750" i="16"/>
  <c r="U751" i="16"/>
  <c r="U752" i="16"/>
  <c r="U753" i="16"/>
  <c r="U754" i="16"/>
  <c r="U755" i="16"/>
  <c r="U756" i="16"/>
  <c r="U757" i="16"/>
  <c r="U758" i="16"/>
  <c r="U759" i="16"/>
  <c r="U760" i="16"/>
  <c r="U761" i="16"/>
  <c r="U762" i="16"/>
  <c r="U763" i="16"/>
  <c r="U764" i="16"/>
  <c r="U765" i="16"/>
  <c r="U766" i="16"/>
  <c r="U767" i="16"/>
  <c r="U768" i="16"/>
  <c r="U769" i="16"/>
  <c r="U770" i="16"/>
  <c r="U771" i="16"/>
  <c r="U772" i="16"/>
  <c r="U773" i="16"/>
  <c r="U774" i="16"/>
  <c r="U775" i="16"/>
  <c r="U776" i="16"/>
  <c r="U777" i="16"/>
  <c r="U778" i="16"/>
  <c r="U779" i="16"/>
  <c r="U780" i="16"/>
  <c r="U781" i="16"/>
  <c r="U782" i="16"/>
  <c r="U783" i="16"/>
  <c r="U784" i="16"/>
  <c r="U785" i="16"/>
  <c r="U786" i="16"/>
  <c r="U787" i="16"/>
  <c r="U788" i="16"/>
  <c r="U789" i="16"/>
  <c r="U790" i="16"/>
  <c r="U791" i="16"/>
  <c r="U792" i="16"/>
  <c r="U793" i="16"/>
  <c r="U794" i="16"/>
  <c r="U795" i="16"/>
  <c r="U796" i="16"/>
  <c r="U797" i="16"/>
  <c r="U798" i="16"/>
  <c r="U799" i="16"/>
  <c r="U800" i="16"/>
  <c r="U801" i="16"/>
  <c r="U802" i="16"/>
  <c r="U803" i="16"/>
  <c r="U804" i="16"/>
  <c r="U805" i="16"/>
  <c r="U806" i="16"/>
  <c r="U807" i="16"/>
  <c r="U808" i="16"/>
  <c r="U809" i="16"/>
  <c r="U810" i="16"/>
  <c r="U811" i="16"/>
  <c r="U812" i="16"/>
  <c r="U813" i="16"/>
  <c r="U814" i="16"/>
  <c r="U815" i="16"/>
  <c r="U816" i="16"/>
  <c r="U817" i="16"/>
  <c r="U818" i="16"/>
  <c r="U819" i="16"/>
  <c r="U820" i="16"/>
  <c r="U821" i="16"/>
  <c r="U822" i="16"/>
  <c r="U823" i="16"/>
  <c r="U824" i="16"/>
  <c r="U825" i="16"/>
  <c r="U826" i="16"/>
  <c r="U827" i="16"/>
  <c r="U828" i="16"/>
  <c r="U829" i="16"/>
  <c r="U830" i="16"/>
  <c r="U831" i="16"/>
  <c r="U832" i="16"/>
  <c r="U833" i="16"/>
  <c r="U834" i="16"/>
  <c r="U835" i="16"/>
  <c r="U836" i="16"/>
  <c r="U837" i="16"/>
  <c r="U838" i="16"/>
  <c r="U839" i="16"/>
  <c r="U840" i="16"/>
  <c r="U841" i="16"/>
  <c r="U842" i="16"/>
  <c r="U843" i="16"/>
  <c r="U844" i="16"/>
  <c r="U845" i="16"/>
  <c r="U846" i="16"/>
  <c r="U847" i="16"/>
  <c r="U848" i="16"/>
  <c r="U849" i="16"/>
  <c r="U850" i="16"/>
  <c r="U851" i="16"/>
  <c r="U852" i="16"/>
  <c r="U853" i="16"/>
  <c r="U854" i="16"/>
  <c r="U855" i="16"/>
  <c r="U856" i="16"/>
  <c r="U857" i="16"/>
  <c r="U858" i="16"/>
  <c r="U859" i="16"/>
  <c r="U860" i="16"/>
  <c r="U861" i="16"/>
  <c r="U862" i="16"/>
  <c r="U863" i="16"/>
  <c r="U864" i="16"/>
  <c r="U865" i="16"/>
  <c r="U866" i="16"/>
  <c r="U867" i="16"/>
  <c r="U868" i="16"/>
  <c r="U869" i="16"/>
  <c r="U870" i="16"/>
  <c r="U871" i="16"/>
  <c r="U872" i="16"/>
  <c r="U873" i="16"/>
  <c r="U874" i="16"/>
  <c r="U875" i="16"/>
  <c r="U876" i="16"/>
  <c r="U877" i="16"/>
  <c r="U878" i="16"/>
  <c r="U879" i="16"/>
  <c r="U880" i="16"/>
  <c r="U881" i="16"/>
  <c r="U882" i="16"/>
  <c r="U883" i="16"/>
  <c r="U884" i="16"/>
  <c r="U885" i="16"/>
  <c r="U886" i="16"/>
  <c r="U887" i="16"/>
  <c r="U888" i="16"/>
  <c r="U889" i="16"/>
  <c r="U890" i="16"/>
  <c r="U891" i="16"/>
  <c r="U892" i="16"/>
  <c r="U893" i="16"/>
  <c r="U894" i="16"/>
  <c r="U895" i="16"/>
  <c r="U896" i="16"/>
  <c r="U897" i="16"/>
  <c r="U898" i="16"/>
  <c r="U899" i="16"/>
  <c r="U900" i="16"/>
  <c r="U901" i="16"/>
  <c r="U902" i="16"/>
  <c r="U903" i="16"/>
  <c r="U904" i="16"/>
  <c r="U905" i="16"/>
  <c r="U906" i="16"/>
  <c r="U907" i="16"/>
  <c r="U908" i="16"/>
  <c r="U909" i="16"/>
  <c r="U910" i="16"/>
  <c r="U911" i="16"/>
  <c r="U912" i="16"/>
  <c r="U913" i="16"/>
  <c r="U914" i="16"/>
  <c r="U915" i="16"/>
  <c r="U916" i="16"/>
  <c r="U917" i="16"/>
  <c r="U918" i="16"/>
  <c r="U919" i="16"/>
  <c r="U920" i="16"/>
  <c r="U921" i="16"/>
  <c r="U922" i="16"/>
  <c r="U923" i="16"/>
  <c r="U924" i="16"/>
  <c r="U925" i="16"/>
  <c r="U926" i="16"/>
  <c r="U927" i="16"/>
  <c r="U928" i="16"/>
  <c r="U929" i="16"/>
  <c r="U930" i="16"/>
  <c r="U931" i="16"/>
  <c r="U932" i="16"/>
  <c r="U933" i="16"/>
  <c r="U934" i="16"/>
  <c r="U935" i="16"/>
  <c r="U936" i="16"/>
  <c r="U937" i="16"/>
  <c r="U938" i="16"/>
  <c r="U939" i="16"/>
  <c r="U940" i="16"/>
  <c r="U941" i="16"/>
  <c r="U942" i="16"/>
  <c r="U943" i="16"/>
  <c r="U944" i="16"/>
  <c r="U945" i="16"/>
  <c r="U946" i="16"/>
  <c r="U947" i="16"/>
  <c r="U948" i="16"/>
  <c r="U949" i="16"/>
  <c r="U950" i="16"/>
  <c r="U951" i="16"/>
  <c r="U952" i="16"/>
  <c r="U953" i="16"/>
  <c r="U954" i="16"/>
  <c r="U955" i="16"/>
  <c r="U956" i="16"/>
  <c r="U957" i="16"/>
  <c r="U958" i="16"/>
  <c r="U959" i="16"/>
  <c r="U960" i="16"/>
  <c r="U961" i="16"/>
  <c r="U962" i="16"/>
  <c r="U963" i="16"/>
  <c r="U964" i="16"/>
  <c r="U965" i="16"/>
  <c r="U966" i="16"/>
  <c r="U967" i="16"/>
  <c r="U968" i="16"/>
  <c r="U969" i="16"/>
  <c r="U970" i="16"/>
  <c r="U971" i="16"/>
  <c r="U972" i="16"/>
  <c r="U973" i="16"/>
  <c r="U974" i="16"/>
  <c r="U975" i="16"/>
  <c r="U976" i="16"/>
  <c r="U977" i="16"/>
  <c r="U978" i="16"/>
  <c r="U979" i="16"/>
  <c r="U980" i="16"/>
  <c r="U981" i="16"/>
  <c r="U982" i="16"/>
  <c r="U983" i="16"/>
  <c r="U984" i="16"/>
  <c r="U985" i="16"/>
  <c r="U986" i="16"/>
  <c r="U987" i="16"/>
  <c r="U988" i="16"/>
  <c r="U989" i="16"/>
  <c r="U990" i="16"/>
  <c r="U991" i="16"/>
  <c r="U992" i="16"/>
  <c r="U993" i="16"/>
  <c r="U994" i="16"/>
  <c r="U995" i="16"/>
  <c r="U996" i="16"/>
  <c r="U997" i="16"/>
  <c r="U998" i="16"/>
  <c r="U999" i="16"/>
  <c r="U1000" i="16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3" i="11"/>
  <c r="O434" i="11"/>
  <c r="O435" i="11"/>
  <c r="O436" i="11"/>
  <c r="O437" i="11"/>
  <c r="O438" i="11"/>
  <c r="O439" i="11"/>
  <c r="O440" i="11"/>
  <c r="O441" i="11"/>
  <c r="O442" i="11"/>
  <c r="O443" i="11"/>
  <c r="O444" i="11"/>
  <c r="O445" i="11"/>
  <c r="O446" i="11"/>
  <c r="O447" i="11"/>
  <c r="O448" i="11"/>
  <c r="O449" i="11"/>
  <c r="O450" i="11"/>
  <c r="O451" i="11"/>
  <c r="O452" i="11"/>
  <c r="O453" i="11"/>
  <c r="O454" i="11"/>
  <c r="O455" i="11"/>
  <c r="O456" i="11"/>
  <c r="O457" i="11"/>
  <c r="O458" i="11"/>
  <c r="O459" i="11"/>
  <c r="O460" i="11"/>
  <c r="O461" i="11"/>
  <c r="O462" i="11"/>
  <c r="O463" i="11"/>
  <c r="O464" i="11"/>
  <c r="O465" i="11"/>
  <c r="O466" i="11"/>
  <c r="O467" i="11"/>
  <c r="O468" i="11"/>
  <c r="O469" i="11"/>
  <c r="O470" i="11"/>
  <c r="O471" i="11"/>
  <c r="O472" i="11"/>
  <c r="O473" i="11"/>
  <c r="O474" i="11"/>
  <c r="O475" i="11"/>
  <c r="O476" i="11"/>
  <c r="O477" i="11"/>
  <c r="O478" i="11"/>
  <c r="O479" i="11"/>
  <c r="O480" i="11"/>
  <c r="O481" i="11"/>
  <c r="O482" i="11"/>
  <c r="O483" i="11"/>
  <c r="O484" i="11"/>
  <c r="O485" i="11"/>
  <c r="O486" i="11"/>
  <c r="O487" i="11"/>
  <c r="O488" i="11"/>
  <c r="O489" i="11"/>
  <c r="O490" i="11"/>
  <c r="O491" i="11"/>
  <c r="O492" i="11"/>
  <c r="O493" i="11"/>
  <c r="O494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7" i="11"/>
  <c r="O548" i="11"/>
  <c r="O549" i="11"/>
  <c r="O550" i="11"/>
  <c r="O551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10" i="11"/>
  <c r="O611" i="11"/>
  <c r="O612" i="11"/>
  <c r="O613" i="11"/>
  <c r="O614" i="11"/>
  <c r="O615" i="11"/>
  <c r="O616" i="11"/>
  <c r="O617" i="11"/>
  <c r="O618" i="11"/>
  <c r="O619" i="11"/>
  <c r="O620" i="11"/>
  <c r="O621" i="11"/>
  <c r="O622" i="11"/>
  <c r="O623" i="11"/>
  <c r="O624" i="11"/>
  <c r="O625" i="11"/>
  <c r="O626" i="11"/>
  <c r="O627" i="11"/>
  <c r="O628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62" i="11"/>
  <c r="O663" i="11"/>
  <c r="O664" i="11"/>
  <c r="O665" i="11"/>
  <c r="O666" i="11"/>
  <c r="O667" i="11"/>
  <c r="O668" i="11"/>
  <c r="O669" i="11"/>
  <c r="O670" i="11"/>
  <c r="O671" i="11"/>
  <c r="O672" i="11"/>
  <c r="O673" i="11"/>
  <c r="O674" i="11"/>
  <c r="O675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2" i="11"/>
  <c r="O693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2" i="11"/>
  <c r="O783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799" i="11"/>
  <c r="O800" i="11"/>
  <c r="O801" i="11"/>
  <c r="O802" i="11"/>
  <c r="O803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18" i="11"/>
  <c r="O819" i="11"/>
  <c r="O820" i="11"/>
  <c r="O821" i="11"/>
  <c r="O822" i="11"/>
  <c r="O823" i="11"/>
  <c r="O824" i="11"/>
  <c r="O825" i="11"/>
  <c r="O826" i="11"/>
  <c r="O827" i="11"/>
  <c r="O828" i="11"/>
  <c r="O829" i="11"/>
  <c r="O830" i="11"/>
  <c r="O831" i="11"/>
  <c r="O832" i="11"/>
  <c r="O833" i="11"/>
  <c r="O834" i="11"/>
  <c r="O835" i="11"/>
  <c r="O836" i="11"/>
  <c r="O837" i="11"/>
  <c r="O838" i="11"/>
  <c r="O839" i="11"/>
  <c r="O840" i="11"/>
  <c r="O841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3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U9" i="14"/>
  <c r="U10" i="14"/>
  <c r="U11" i="14"/>
  <c r="U12" i="14"/>
  <c r="U13" i="14"/>
  <c r="U14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U27" i="14"/>
  <c r="U28" i="14"/>
  <c r="U29" i="14"/>
  <c r="U30" i="14"/>
  <c r="U31" i="14"/>
  <c r="U32" i="14"/>
  <c r="U33" i="14"/>
  <c r="U34" i="14"/>
  <c r="U35" i="14"/>
  <c r="U36" i="14"/>
  <c r="U37" i="14"/>
  <c r="U38" i="14"/>
  <c r="U39" i="14"/>
  <c r="U40" i="14"/>
  <c r="U41" i="14"/>
  <c r="U42" i="14"/>
  <c r="U43" i="14"/>
  <c r="U44" i="14"/>
  <c r="U45" i="14"/>
  <c r="U46" i="14"/>
  <c r="U47" i="14"/>
  <c r="U48" i="14"/>
  <c r="U49" i="14"/>
  <c r="U50" i="14"/>
  <c r="U51" i="14"/>
  <c r="U52" i="14"/>
  <c r="U53" i="14"/>
  <c r="U54" i="14"/>
  <c r="U55" i="14"/>
  <c r="U56" i="14"/>
  <c r="U57" i="14"/>
  <c r="U58" i="14"/>
  <c r="U59" i="14"/>
  <c r="U60" i="14"/>
  <c r="U61" i="14"/>
  <c r="U62" i="14"/>
  <c r="U63" i="14"/>
  <c r="U64" i="14"/>
  <c r="U65" i="14"/>
  <c r="U66" i="14"/>
  <c r="U67" i="14"/>
  <c r="U68" i="14"/>
  <c r="U69" i="14"/>
  <c r="U70" i="14"/>
  <c r="U71" i="14"/>
  <c r="U72" i="14"/>
  <c r="U73" i="14"/>
  <c r="U74" i="14"/>
  <c r="U75" i="14"/>
  <c r="U76" i="14"/>
  <c r="U77" i="14"/>
  <c r="U78" i="14"/>
  <c r="U79" i="14"/>
  <c r="U80" i="14"/>
  <c r="U81" i="14"/>
  <c r="U82" i="14"/>
  <c r="U83" i="14"/>
  <c r="U84" i="14"/>
  <c r="U85" i="14"/>
  <c r="U86" i="14"/>
  <c r="U87" i="14"/>
  <c r="U88" i="14"/>
  <c r="U89" i="14"/>
  <c r="U90" i="14"/>
  <c r="U91" i="14"/>
  <c r="U92" i="14"/>
  <c r="U93" i="14"/>
  <c r="U94" i="14"/>
  <c r="U95" i="14"/>
  <c r="U96" i="14"/>
  <c r="U97" i="14"/>
  <c r="U98" i="14"/>
  <c r="U99" i="14"/>
  <c r="U100" i="14"/>
  <c r="U101" i="14"/>
  <c r="U102" i="14"/>
  <c r="U103" i="14"/>
  <c r="U104" i="14"/>
  <c r="U105" i="14"/>
  <c r="U106" i="14"/>
  <c r="U107" i="14"/>
  <c r="U108" i="14"/>
  <c r="U109" i="14"/>
  <c r="U110" i="14"/>
  <c r="U111" i="14"/>
  <c r="U112" i="14"/>
  <c r="U113" i="14"/>
  <c r="U114" i="14"/>
  <c r="U115" i="14"/>
  <c r="U116" i="14"/>
  <c r="U117" i="14"/>
  <c r="U118" i="14"/>
  <c r="U119" i="14"/>
  <c r="U120" i="14"/>
  <c r="U121" i="14"/>
  <c r="U122" i="14"/>
  <c r="U123" i="14"/>
  <c r="U124" i="14"/>
  <c r="U125" i="14"/>
  <c r="U126" i="14"/>
  <c r="U127" i="14"/>
  <c r="U128" i="14"/>
  <c r="U129" i="14"/>
  <c r="U130" i="14"/>
  <c r="U131" i="14"/>
  <c r="U132" i="14"/>
  <c r="U133" i="14"/>
  <c r="U134" i="14"/>
  <c r="U135" i="14"/>
  <c r="U136" i="14"/>
  <c r="U137" i="14"/>
  <c r="U138" i="14"/>
  <c r="U139" i="14"/>
  <c r="U140" i="14"/>
  <c r="U141" i="14"/>
  <c r="U142" i="14"/>
  <c r="U143" i="14"/>
  <c r="U144" i="14"/>
  <c r="U145" i="14"/>
  <c r="U146" i="14"/>
  <c r="U147" i="14"/>
  <c r="U148" i="14"/>
  <c r="U149" i="14"/>
  <c r="U150" i="14"/>
  <c r="U151" i="14"/>
  <c r="U152" i="14"/>
  <c r="U153" i="14"/>
  <c r="U154" i="14"/>
  <c r="U155" i="14"/>
  <c r="U156" i="14"/>
  <c r="U157" i="14"/>
  <c r="U158" i="14"/>
  <c r="U159" i="14"/>
  <c r="U160" i="14"/>
  <c r="U161" i="14"/>
  <c r="U162" i="14"/>
  <c r="U163" i="14"/>
  <c r="U164" i="14"/>
  <c r="U165" i="14"/>
  <c r="U166" i="14"/>
  <c r="U167" i="14"/>
  <c r="U168" i="14"/>
  <c r="U169" i="14"/>
  <c r="U170" i="14"/>
  <c r="U171" i="14"/>
  <c r="U172" i="14"/>
  <c r="U173" i="14"/>
  <c r="U174" i="14"/>
  <c r="U175" i="14"/>
  <c r="U176" i="14"/>
  <c r="U177" i="14"/>
  <c r="U178" i="14"/>
  <c r="U179" i="14"/>
  <c r="U180" i="14"/>
  <c r="U181" i="14"/>
  <c r="U182" i="14"/>
  <c r="U183" i="14"/>
  <c r="U184" i="14"/>
  <c r="U185" i="14"/>
  <c r="U186" i="14"/>
  <c r="U187" i="14"/>
  <c r="U188" i="14"/>
  <c r="U189" i="14"/>
  <c r="U190" i="14"/>
  <c r="U191" i="14"/>
  <c r="U192" i="14"/>
  <c r="U193" i="14"/>
  <c r="U194" i="14"/>
  <c r="U195" i="14"/>
  <c r="U196" i="14"/>
  <c r="U197" i="14"/>
  <c r="U198" i="14"/>
  <c r="U199" i="14"/>
  <c r="U200" i="14"/>
  <c r="U201" i="14"/>
  <c r="U202" i="14"/>
  <c r="U203" i="14"/>
  <c r="U204" i="14"/>
  <c r="U205" i="14"/>
  <c r="U206" i="14"/>
  <c r="U207" i="14"/>
  <c r="U208" i="14"/>
  <c r="U209" i="14"/>
  <c r="U210" i="14"/>
  <c r="U211" i="14"/>
  <c r="U212" i="14"/>
  <c r="U213" i="14"/>
  <c r="U214" i="14"/>
  <c r="U215" i="14"/>
  <c r="U216" i="14"/>
  <c r="U217" i="14"/>
  <c r="U218" i="14"/>
  <c r="U219" i="14"/>
  <c r="U220" i="14"/>
  <c r="U221" i="14"/>
  <c r="U222" i="14"/>
  <c r="U223" i="14"/>
  <c r="U224" i="14"/>
  <c r="U225" i="14"/>
  <c r="U226" i="14"/>
  <c r="U227" i="14"/>
  <c r="U228" i="14"/>
  <c r="U229" i="14"/>
  <c r="U230" i="14"/>
  <c r="U231" i="14"/>
  <c r="U232" i="14"/>
  <c r="U233" i="14"/>
  <c r="U234" i="14"/>
  <c r="U235" i="14"/>
  <c r="U236" i="14"/>
  <c r="U237" i="14"/>
  <c r="U238" i="14"/>
  <c r="U239" i="14"/>
  <c r="U240" i="14"/>
  <c r="U241" i="14"/>
  <c r="U242" i="14"/>
  <c r="U243" i="14"/>
  <c r="U244" i="14"/>
  <c r="U245" i="14"/>
  <c r="U246" i="14"/>
  <c r="U247" i="14"/>
  <c r="U248" i="14"/>
  <c r="U249" i="14"/>
  <c r="U250" i="14"/>
  <c r="U251" i="14"/>
  <c r="U252" i="14"/>
  <c r="U253" i="14"/>
  <c r="U254" i="14"/>
  <c r="U255" i="14"/>
  <c r="U256" i="14"/>
  <c r="U257" i="14"/>
  <c r="U258" i="14"/>
  <c r="U259" i="14"/>
  <c r="U260" i="14"/>
  <c r="U261" i="14"/>
  <c r="U262" i="14"/>
  <c r="U263" i="14"/>
  <c r="U264" i="14"/>
  <c r="U265" i="14"/>
  <c r="U266" i="14"/>
  <c r="U267" i="14"/>
  <c r="U268" i="14"/>
  <c r="U269" i="14"/>
  <c r="U270" i="14"/>
  <c r="U271" i="14"/>
  <c r="U272" i="14"/>
  <c r="U273" i="14"/>
  <c r="U274" i="14"/>
  <c r="U275" i="14"/>
  <c r="U276" i="14"/>
  <c r="U277" i="14"/>
  <c r="U278" i="14"/>
  <c r="U279" i="14"/>
  <c r="U280" i="14"/>
  <c r="U281" i="14"/>
  <c r="U282" i="14"/>
  <c r="U283" i="14"/>
  <c r="U284" i="14"/>
  <c r="U285" i="14"/>
  <c r="U286" i="14"/>
  <c r="U287" i="14"/>
  <c r="U288" i="14"/>
  <c r="U289" i="14"/>
  <c r="U290" i="14"/>
  <c r="U291" i="14"/>
  <c r="U292" i="14"/>
  <c r="U293" i="14"/>
  <c r="U294" i="14"/>
  <c r="U295" i="14"/>
  <c r="U296" i="14"/>
  <c r="U297" i="14"/>
  <c r="U298" i="14"/>
  <c r="U299" i="14"/>
  <c r="U300" i="14"/>
  <c r="U301" i="14"/>
  <c r="U302" i="14"/>
  <c r="U303" i="14"/>
  <c r="U304" i="14"/>
  <c r="U305" i="14"/>
  <c r="U306" i="14"/>
  <c r="U307" i="14"/>
  <c r="U308" i="14"/>
  <c r="U309" i="14"/>
  <c r="U310" i="14"/>
  <c r="U311" i="14"/>
  <c r="U312" i="14"/>
  <c r="U313" i="14"/>
  <c r="U314" i="14"/>
  <c r="U315" i="14"/>
  <c r="U316" i="14"/>
  <c r="U317" i="14"/>
  <c r="U318" i="14"/>
  <c r="U319" i="14"/>
  <c r="U320" i="14"/>
  <c r="U321" i="14"/>
  <c r="U322" i="14"/>
  <c r="U323" i="14"/>
  <c r="U324" i="14"/>
  <c r="U325" i="14"/>
  <c r="U326" i="14"/>
  <c r="U327" i="14"/>
  <c r="U328" i="14"/>
  <c r="U329" i="14"/>
  <c r="U330" i="14"/>
  <c r="U331" i="14"/>
  <c r="U332" i="14"/>
  <c r="U333" i="14"/>
  <c r="U334" i="14"/>
  <c r="U335" i="14"/>
  <c r="U336" i="14"/>
  <c r="U337" i="14"/>
  <c r="U338" i="14"/>
  <c r="U339" i="14"/>
  <c r="U340" i="14"/>
  <c r="U341" i="14"/>
  <c r="U342" i="14"/>
  <c r="U343" i="14"/>
  <c r="U344" i="14"/>
  <c r="U345" i="14"/>
  <c r="U346" i="14"/>
  <c r="U347" i="14"/>
  <c r="U348" i="14"/>
  <c r="U349" i="14"/>
  <c r="U350" i="14"/>
  <c r="U351" i="14"/>
  <c r="U352" i="14"/>
  <c r="U353" i="14"/>
  <c r="U354" i="14"/>
  <c r="U355" i="14"/>
  <c r="U356" i="14"/>
  <c r="U357" i="14"/>
  <c r="U358" i="14"/>
  <c r="U359" i="14"/>
  <c r="U360" i="14"/>
  <c r="U361" i="14"/>
  <c r="U362" i="14"/>
  <c r="U363" i="14"/>
  <c r="U364" i="14"/>
  <c r="U365" i="14"/>
  <c r="U366" i="14"/>
  <c r="U367" i="14"/>
  <c r="U368" i="14"/>
  <c r="U369" i="14"/>
  <c r="U370" i="14"/>
  <c r="U371" i="14"/>
  <c r="U372" i="14"/>
  <c r="U373" i="14"/>
  <c r="U374" i="14"/>
  <c r="U375" i="14"/>
  <c r="U376" i="14"/>
  <c r="U377" i="14"/>
  <c r="U378" i="14"/>
  <c r="U379" i="14"/>
  <c r="U380" i="14"/>
  <c r="U381" i="14"/>
  <c r="U382" i="14"/>
  <c r="U383" i="14"/>
  <c r="U384" i="14"/>
  <c r="U385" i="14"/>
  <c r="U386" i="14"/>
  <c r="U387" i="14"/>
  <c r="U388" i="14"/>
  <c r="U389" i="14"/>
  <c r="U390" i="14"/>
  <c r="U391" i="14"/>
  <c r="U392" i="14"/>
  <c r="U393" i="14"/>
  <c r="U394" i="14"/>
  <c r="U395" i="14"/>
  <c r="U396" i="14"/>
  <c r="U397" i="14"/>
  <c r="U398" i="14"/>
  <c r="U399" i="14"/>
  <c r="U400" i="14"/>
  <c r="U401" i="14"/>
  <c r="U402" i="14"/>
  <c r="U403" i="14"/>
  <c r="U404" i="14"/>
  <c r="U405" i="14"/>
  <c r="U406" i="14"/>
  <c r="U407" i="14"/>
  <c r="U408" i="14"/>
  <c r="U409" i="14"/>
  <c r="U410" i="14"/>
  <c r="U411" i="14"/>
  <c r="U412" i="14"/>
  <c r="U413" i="14"/>
  <c r="U414" i="14"/>
  <c r="U415" i="14"/>
  <c r="U416" i="14"/>
  <c r="U417" i="14"/>
  <c r="U418" i="14"/>
  <c r="U419" i="14"/>
  <c r="U420" i="14"/>
  <c r="U421" i="14"/>
  <c r="U422" i="14"/>
  <c r="U423" i="14"/>
  <c r="U424" i="14"/>
  <c r="U425" i="14"/>
  <c r="U426" i="14"/>
  <c r="U427" i="14"/>
  <c r="U428" i="14"/>
  <c r="U429" i="14"/>
  <c r="U430" i="14"/>
  <c r="U431" i="14"/>
  <c r="U432" i="14"/>
  <c r="U433" i="14"/>
  <c r="U434" i="14"/>
  <c r="U435" i="14"/>
  <c r="U436" i="14"/>
  <c r="U437" i="14"/>
  <c r="U438" i="14"/>
  <c r="U439" i="14"/>
  <c r="U440" i="14"/>
  <c r="U441" i="14"/>
  <c r="U442" i="14"/>
  <c r="U443" i="14"/>
  <c r="U444" i="14"/>
  <c r="U445" i="14"/>
  <c r="U446" i="14"/>
  <c r="U447" i="14"/>
  <c r="U448" i="14"/>
  <c r="U449" i="14"/>
  <c r="U450" i="14"/>
  <c r="U451" i="14"/>
  <c r="U452" i="14"/>
  <c r="U453" i="14"/>
  <c r="U454" i="14"/>
  <c r="U455" i="14"/>
  <c r="U456" i="14"/>
  <c r="U457" i="14"/>
  <c r="U458" i="14"/>
  <c r="U459" i="14"/>
  <c r="U460" i="14"/>
  <c r="U461" i="14"/>
  <c r="U462" i="14"/>
  <c r="U463" i="14"/>
  <c r="U464" i="14"/>
  <c r="U465" i="14"/>
  <c r="U466" i="14"/>
  <c r="U467" i="14"/>
  <c r="U468" i="14"/>
  <c r="U469" i="14"/>
  <c r="U470" i="14"/>
  <c r="U471" i="14"/>
  <c r="U472" i="14"/>
  <c r="U473" i="14"/>
  <c r="U474" i="14"/>
  <c r="U475" i="14"/>
  <c r="U476" i="14"/>
  <c r="U477" i="14"/>
  <c r="U478" i="14"/>
  <c r="U479" i="14"/>
  <c r="U480" i="14"/>
  <c r="U481" i="14"/>
  <c r="U482" i="14"/>
  <c r="U483" i="14"/>
  <c r="U484" i="14"/>
  <c r="U485" i="14"/>
  <c r="U486" i="14"/>
  <c r="U487" i="14"/>
  <c r="U488" i="14"/>
  <c r="U489" i="14"/>
  <c r="U490" i="14"/>
  <c r="U491" i="14"/>
  <c r="U492" i="14"/>
  <c r="U493" i="14"/>
  <c r="U494" i="14"/>
  <c r="U495" i="14"/>
  <c r="U496" i="14"/>
  <c r="U497" i="14"/>
  <c r="U498" i="14"/>
  <c r="U499" i="14"/>
  <c r="U500" i="14"/>
  <c r="U501" i="14"/>
  <c r="U502" i="14"/>
  <c r="U503" i="14"/>
  <c r="U504" i="14"/>
  <c r="U505" i="14"/>
  <c r="U506" i="14"/>
  <c r="U507" i="14"/>
  <c r="U508" i="14"/>
  <c r="U509" i="14"/>
  <c r="U510" i="14"/>
  <c r="U511" i="14"/>
  <c r="U512" i="14"/>
  <c r="U513" i="14"/>
  <c r="U514" i="14"/>
  <c r="U515" i="14"/>
  <c r="U516" i="14"/>
  <c r="U517" i="14"/>
  <c r="U518" i="14"/>
  <c r="U519" i="14"/>
  <c r="U520" i="14"/>
  <c r="U521" i="14"/>
  <c r="U522" i="14"/>
  <c r="U523" i="14"/>
  <c r="U524" i="14"/>
  <c r="U525" i="14"/>
  <c r="U526" i="14"/>
  <c r="U527" i="14"/>
  <c r="U528" i="14"/>
  <c r="U529" i="14"/>
  <c r="U530" i="14"/>
  <c r="U531" i="14"/>
  <c r="U532" i="14"/>
  <c r="U533" i="14"/>
  <c r="U534" i="14"/>
  <c r="U535" i="14"/>
  <c r="U536" i="14"/>
  <c r="U537" i="14"/>
  <c r="U538" i="14"/>
  <c r="U539" i="14"/>
  <c r="U540" i="14"/>
  <c r="U541" i="14"/>
  <c r="U542" i="14"/>
  <c r="U543" i="14"/>
  <c r="U544" i="14"/>
  <c r="U545" i="14"/>
  <c r="U546" i="14"/>
  <c r="U547" i="14"/>
  <c r="U548" i="14"/>
  <c r="U549" i="14"/>
  <c r="U550" i="14"/>
  <c r="U551" i="14"/>
  <c r="U552" i="14"/>
  <c r="U553" i="14"/>
  <c r="U554" i="14"/>
  <c r="U555" i="14"/>
  <c r="U556" i="14"/>
  <c r="U557" i="14"/>
  <c r="U558" i="14"/>
  <c r="U559" i="14"/>
  <c r="U560" i="14"/>
  <c r="U561" i="14"/>
  <c r="U562" i="14"/>
  <c r="U563" i="14"/>
  <c r="U564" i="14"/>
  <c r="U565" i="14"/>
  <c r="U566" i="14"/>
  <c r="U567" i="14"/>
  <c r="U568" i="14"/>
  <c r="U569" i="14"/>
  <c r="U570" i="14"/>
  <c r="U571" i="14"/>
  <c r="U572" i="14"/>
  <c r="U573" i="14"/>
  <c r="U574" i="14"/>
  <c r="U575" i="14"/>
  <c r="U576" i="14"/>
  <c r="U577" i="14"/>
  <c r="U578" i="14"/>
  <c r="U579" i="14"/>
  <c r="U580" i="14"/>
  <c r="U581" i="14"/>
  <c r="U582" i="14"/>
  <c r="U583" i="14"/>
  <c r="U584" i="14"/>
  <c r="U585" i="14"/>
  <c r="U586" i="14"/>
  <c r="U587" i="14"/>
  <c r="U588" i="14"/>
  <c r="U589" i="14"/>
  <c r="U590" i="14"/>
  <c r="U591" i="14"/>
  <c r="U592" i="14"/>
  <c r="U593" i="14"/>
  <c r="U594" i="14"/>
  <c r="U595" i="14"/>
  <c r="U596" i="14"/>
  <c r="U597" i="14"/>
  <c r="U598" i="14"/>
  <c r="U599" i="14"/>
  <c r="U600" i="14"/>
  <c r="U601" i="14"/>
  <c r="U602" i="14"/>
  <c r="U603" i="14"/>
  <c r="U604" i="14"/>
  <c r="U605" i="14"/>
  <c r="U606" i="14"/>
  <c r="U607" i="14"/>
  <c r="U608" i="14"/>
  <c r="U609" i="14"/>
  <c r="U610" i="14"/>
  <c r="U611" i="14"/>
  <c r="U612" i="14"/>
  <c r="U613" i="14"/>
  <c r="U614" i="14"/>
  <c r="U615" i="14"/>
  <c r="U616" i="14"/>
  <c r="U617" i="14"/>
  <c r="U618" i="14"/>
  <c r="U619" i="14"/>
  <c r="U620" i="14"/>
  <c r="U621" i="14"/>
  <c r="U622" i="14"/>
  <c r="U623" i="14"/>
  <c r="U624" i="14"/>
  <c r="U625" i="14"/>
  <c r="U626" i="14"/>
  <c r="U627" i="14"/>
  <c r="U628" i="14"/>
  <c r="U629" i="14"/>
  <c r="U630" i="14"/>
  <c r="U631" i="14"/>
  <c r="U632" i="14"/>
  <c r="U633" i="14"/>
  <c r="U634" i="14"/>
  <c r="U635" i="14"/>
  <c r="U636" i="14"/>
  <c r="U637" i="14"/>
  <c r="U638" i="14"/>
  <c r="U639" i="14"/>
  <c r="U640" i="14"/>
  <c r="U641" i="14"/>
  <c r="U642" i="14"/>
  <c r="U643" i="14"/>
  <c r="U644" i="14"/>
  <c r="U645" i="14"/>
  <c r="U646" i="14"/>
  <c r="U647" i="14"/>
  <c r="U648" i="14"/>
  <c r="U649" i="14"/>
  <c r="U650" i="14"/>
  <c r="U651" i="14"/>
  <c r="U652" i="14"/>
  <c r="U653" i="14"/>
  <c r="U654" i="14"/>
  <c r="U655" i="14"/>
  <c r="U656" i="14"/>
  <c r="U657" i="14"/>
  <c r="U658" i="14"/>
  <c r="U659" i="14"/>
  <c r="U660" i="14"/>
  <c r="U661" i="14"/>
  <c r="U662" i="14"/>
  <c r="U663" i="14"/>
  <c r="U664" i="14"/>
  <c r="U665" i="14"/>
  <c r="U666" i="14"/>
  <c r="U667" i="14"/>
  <c r="U668" i="14"/>
  <c r="U669" i="14"/>
  <c r="U670" i="14"/>
  <c r="U671" i="14"/>
  <c r="U672" i="14"/>
  <c r="U673" i="14"/>
  <c r="U674" i="14"/>
  <c r="U675" i="14"/>
  <c r="U676" i="14"/>
  <c r="U677" i="14"/>
  <c r="U678" i="14"/>
  <c r="U679" i="14"/>
  <c r="U680" i="14"/>
  <c r="U681" i="14"/>
  <c r="U682" i="14"/>
  <c r="U683" i="14"/>
  <c r="U684" i="14"/>
  <c r="U685" i="14"/>
  <c r="U686" i="14"/>
  <c r="U687" i="14"/>
  <c r="U688" i="14"/>
  <c r="U689" i="14"/>
  <c r="U690" i="14"/>
  <c r="U691" i="14"/>
  <c r="U692" i="14"/>
  <c r="U693" i="14"/>
  <c r="U694" i="14"/>
  <c r="U695" i="14"/>
  <c r="U696" i="14"/>
  <c r="U697" i="14"/>
  <c r="U698" i="14"/>
  <c r="U699" i="14"/>
  <c r="U700" i="14"/>
  <c r="U701" i="14"/>
  <c r="U702" i="14"/>
  <c r="U703" i="14"/>
  <c r="U704" i="14"/>
  <c r="U705" i="14"/>
  <c r="U706" i="14"/>
  <c r="U707" i="14"/>
  <c r="U708" i="14"/>
  <c r="U709" i="14"/>
  <c r="U710" i="14"/>
  <c r="U711" i="14"/>
  <c r="U712" i="14"/>
  <c r="U713" i="14"/>
  <c r="U714" i="14"/>
  <c r="U715" i="14"/>
  <c r="U716" i="14"/>
  <c r="U717" i="14"/>
  <c r="U718" i="14"/>
  <c r="U719" i="14"/>
  <c r="U720" i="14"/>
  <c r="U721" i="14"/>
  <c r="U722" i="14"/>
  <c r="U723" i="14"/>
  <c r="U724" i="14"/>
  <c r="U725" i="14"/>
  <c r="U726" i="14"/>
  <c r="U727" i="14"/>
  <c r="U728" i="14"/>
  <c r="U729" i="14"/>
  <c r="U730" i="14"/>
  <c r="U731" i="14"/>
  <c r="U732" i="14"/>
  <c r="U733" i="14"/>
  <c r="U734" i="14"/>
  <c r="U735" i="14"/>
  <c r="U736" i="14"/>
  <c r="U737" i="14"/>
  <c r="U738" i="14"/>
  <c r="U739" i="14"/>
  <c r="U740" i="14"/>
  <c r="U741" i="14"/>
  <c r="U742" i="14"/>
  <c r="U743" i="14"/>
  <c r="U744" i="14"/>
  <c r="U745" i="14"/>
  <c r="U746" i="14"/>
  <c r="U747" i="14"/>
  <c r="U748" i="14"/>
  <c r="U749" i="14"/>
  <c r="U750" i="14"/>
  <c r="U751" i="14"/>
  <c r="U752" i="14"/>
  <c r="U753" i="14"/>
  <c r="U754" i="14"/>
  <c r="U755" i="14"/>
  <c r="U756" i="14"/>
  <c r="U757" i="14"/>
  <c r="U758" i="14"/>
  <c r="U759" i="14"/>
  <c r="U760" i="14"/>
  <c r="U761" i="14"/>
  <c r="U762" i="14"/>
  <c r="U763" i="14"/>
  <c r="U764" i="14"/>
  <c r="U765" i="14"/>
  <c r="U766" i="14"/>
  <c r="U767" i="14"/>
  <c r="U768" i="14"/>
  <c r="U769" i="14"/>
  <c r="U770" i="14"/>
  <c r="U771" i="14"/>
  <c r="U772" i="14"/>
  <c r="U773" i="14"/>
  <c r="U774" i="14"/>
  <c r="U775" i="14"/>
  <c r="U776" i="14"/>
  <c r="U777" i="14"/>
  <c r="U778" i="14"/>
  <c r="U779" i="14"/>
  <c r="U780" i="14"/>
  <c r="U781" i="14"/>
  <c r="U782" i="14"/>
  <c r="U783" i="14"/>
  <c r="U784" i="14"/>
  <c r="U785" i="14"/>
  <c r="U786" i="14"/>
  <c r="U787" i="14"/>
  <c r="U788" i="14"/>
  <c r="U789" i="14"/>
  <c r="U790" i="14"/>
  <c r="U791" i="14"/>
  <c r="U792" i="14"/>
  <c r="U793" i="14"/>
  <c r="U794" i="14"/>
  <c r="U795" i="14"/>
  <c r="U796" i="14"/>
  <c r="U797" i="14"/>
  <c r="U798" i="14"/>
  <c r="U799" i="14"/>
  <c r="U800" i="14"/>
  <c r="U801" i="14"/>
  <c r="U802" i="14"/>
  <c r="U803" i="14"/>
  <c r="U804" i="14"/>
  <c r="U805" i="14"/>
  <c r="U806" i="14"/>
  <c r="U807" i="14"/>
  <c r="U808" i="14"/>
  <c r="U809" i="14"/>
  <c r="U810" i="14"/>
  <c r="U811" i="14"/>
  <c r="U812" i="14"/>
  <c r="U813" i="14"/>
  <c r="U814" i="14"/>
  <c r="U815" i="14"/>
  <c r="U816" i="14"/>
  <c r="U817" i="14"/>
  <c r="U818" i="14"/>
  <c r="U819" i="14"/>
  <c r="U820" i="14"/>
  <c r="U821" i="14"/>
  <c r="U822" i="14"/>
  <c r="U823" i="14"/>
  <c r="U824" i="14"/>
  <c r="U825" i="14"/>
  <c r="U826" i="14"/>
  <c r="U827" i="14"/>
  <c r="U828" i="14"/>
  <c r="U829" i="14"/>
  <c r="U830" i="14"/>
  <c r="U831" i="14"/>
  <c r="U832" i="14"/>
  <c r="U833" i="14"/>
  <c r="U834" i="14"/>
  <c r="U835" i="14"/>
  <c r="U836" i="14"/>
  <c r="U837" i="14"/>
  <c r="U838" i="14"/>
  <c r="U839" i="14"/>
  <c r="U840" i="14"/>
  <c r="U841" i="14"/>
  <c r="U842" i="14"/>
  <c r="U843" i="14"/>
  <c r="U844" i="14"/>
  <c r="U845" i="14"/>
  <c r="U846" i="14"/>
  <c r="U847" i="14"/>
  <c r="U848" i="14"/>
  <c r="U849" i="14"/>
  <c r="U850" i="14"/>
  <c r="U851" i="14"/>
  <c r="U852" i="14"/>
  <c r="U853" i="14"/>
  <c r="U854" i="14"/>
  <c r="U855" i="14"/>
  <c r="U856" i="14"/>
  <c r="U857" i="14"/>
  <c r="U858" i="14"/>
  <c r="U859" i="14"/>
  <c r="U860" i="14"/>
  <c r="U861" i="14"/>
  <c r="U862" i="14"/>
  <c r="U863" i="14"/>
  <c r="U864" i="14"/>
  <c r="U865" i="14"/>
  <c r="U866" i="14"/>
  <c r="U867" i="14"/>
  <c r="U868" i="14"/>
  <c r="U869" i="14"/>
  <c r="U870" i="14"/>
  <c r="U871" i="14"/>
  <c r="U872" i="14"/>
  <c r="U873" i="14"/>
  <c r="U874" i="14"/>
  <c r="U875" i="14"/>
  <c r="U876" i="14"/>
  <c r="U877" i="14"/>
  <c r="U878" i="14"/>
  <c r="U879" i="14"/>
  <c r="U880" i="14"/>
  <c r="U881" i="14"/>
  <c r="U882" i="14"/>
  <c r="U883" i="14"/>
  <c r="U884" i="14"/>
  <c r="U885" i="14"/>
  <c r="U886" i="14"/>
  <c r="U887" i="14"/>
  <c r="U888" i="14"/>
  <c r="U889" i="14"/>
  <c r="U890" i="14"/>
  <c r="U891" i="14"/>
  <c r="U892" i="14"/>
  <c r="U893" i="14"/>
  <c r="U894" i="14"/>
  <c r="U895" i="14"/>
  <c r="U896" i="14"/>
  <c r="U897" i="14"/>
  <c r="U898" i="14"/>
  <c r="U899" i="14"/>
  <c r="U900" i="14"/>
  <c r="U901" i="14"/>
  <c r="U902" i="14"/>
  <c r="U903" i="14"/>
  <c r="U904" i="14"/>
  <c r="U905" i="14"/>
  <c r="U906" i="14"/>
  <c r="U907" i="14"/>
  <c r="U908" i="14"/>
  <c r="U909" i="14"/>
  <c r="U910" i="14"/>
  <c r="U911" i="14"/>
  <c r="U912" i="14"/>
  <c r="U913" i="14"/>
  <c r="U914" i="14"/>
  <c r="U915" i="14"/>
  <c r="U916" i="14"/>
  <c r="U917" i="14"/>
  <c r="U918" i="14"/>
  <c r="U919" i="14"/>
  <c r="U920" i="14"/>
  <c r="U921" i="14"/>
  <c r="U922" i="14"/>
  <c r="U923" i="14"/>
  <c r="U924" i="14"/>
  <c r="U925" i="14"/>
  <c r="U926" i="14"/>
  <c r="U927" i="14"/>
  <c r="U928" i="14"/>
  <c r="U929" i="14"/>
  <c r="U930" i="14"/>
  <c r="U931" i="14"/>
  <c r="U932" i="14"/>
  <c r="U933" i="14"/>
  <c r="U934" i="14"/>
  <c r="U935" i="14"/>
  <c r="U936" i="14"/>
  <c r="U937" i="14"/>
  <c r="U938" i="14"/>
  <c r="U939" i="14"/>
  <c r="U940" i="14"/>
  <c r="U941" i="14"/>
  <c r="U942" i="14"/>
  <c r="U943" i="14"/>
  <c r="U944" i="14"/>
  <c r="U945" i="14"/>
  <c r="U946" i="14"/>
  <c r="U947" i="14"/>
  <c r="U948" i="14"/>
  <c r="U949" i="14"/>
  <c r="U950" i="14"/>
  <c r="U951" i="14"/>
  <c r="U952" i="14"/>
  <c r="U953" i="14"/>
  <c r="U954" i="14"/>
  <c r="U955" i="14"/>
  <c r="U956" i="14"/>
  <c r="U957" i="14"/>
  <c r="U958" i="14"/>
  <c r="U959" i="14"/>
  <c r="U960" i="14"/>
  <c r="U961" i="14"/>
  <c r="U962" i="14"/>
  <c r="U963" i="14"/>
  <c r="U964" i="14"/>
  <c r="U965" i="14"/>
  <c r="U966" i="14"/>
  <c r="U967" i="14"/>
  <c r="U968" i="14"/>
  <c r="U969" i="14"/>
  <c r="U970" i="14"/>
  <c r="U971" i="14"/>
  <c r="U972" i="14"/>
  <c r="U973" i="14"/>
  <c r="U974" i="14"/>
  <c r="U975" i="14"/>
  <c r="U976" i="14"/>
  <c r="U977" i="14"/>
  <c r="U978" i="14"/>
  <c r="U979" i="14"/>
  <c r="U980" i="14"/>
  <c r="U981" i="14"/>
  <c r="U982" i="14"/>
  <c r="U983" i="14"/>
  <c r="U984" i="14"/>
  <c r="U985" i="14"/>
  <c r="U986" i="14"/>
  <c r="U987" i="14"/>
  <c r="U988" i="14"/>
  <c r="U989" i="14"/>
  <c r="U990" i="14"/>
  <c r="U991" i="14"/>
  <c r="U992" i="14"/>
  <c r="U993" i="14"/>
  <c r="U994" i="14"/>
  <c r="U995" i="14"/>
  <c r="U996" i="14"/>
  <c r="U997" i="14"/>
  <c r="U998" i="14"/>
  <c r="U999" i="14"/>
  <c r="U1000" i="14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2" i="3"/>
  <c r="O573" i="3"/>
  <c r="O574" i="3"/>
  <c r="O575" i="3"/>
  <c r="O576" i="3"/>
  <c r="O577" i="3"/>
  <c r="O578" i="3"/>
  <c r="O579" i="3"/>
  <c r="O580" i="3"/>
  <c r="O581" i="3"/>
  <c r="O582" i="3"/>
  <c r="O583" i="3"/>
  <c r="O584" i="3"/>
  <c r="O585" i="3"/>
  <c r="O586" i="3"/>
  <c r="O587" i="3"/>
  <c r="O588" i="3"/>
  <c r="O589" i="3"/>
  <c r="O590" i="3"/>
  <c r="O591" i="3"/>
  <c r="O592" i="3"/>
  <c r="O593" i="3"/>
  <c r="O594" i="3"/>
  <c r="O595" i="3"/>
  <c r="O596" i="3"/>
  <c r="O597" i="3"/>
  <c r="O598" i="3"/>
  <c r="O599" i="3"/>
  <c r="O600" i="3"/>
  <c r="O601" i="3"/>
  <c r="O602" i="3"/>
  <c r="O603" i="3"/>
  <c r="O604" i="3"/>
  <c r="O605" i="3"/>
  <c r="O606" i="3"/>
  <c r="O607" i="3"/>
  <c r="O608" i="3"/>
  <c r="O609" i="3"/>
  <c r="O610" i="3"/>
  <c r="O611" i="3"/>
  <c r="O612" i="3"/>
  <c r="O613" i="3"/>
  <c r="O614" i="3"/>
  <c r="O615" i="3"/>
  <c r="O616" i="3"/>
  <c r="O617" i="3"/>
  <c r="O618" i="3"/>
  <c r="O619" i="3"/>
  <c r="O620" i="3"/>
  <c r="O621" i="3"/>
  <c r="O622" i="3"/>
  <c r="O623" i="3"/>
  <c r="O624" i="3"/>
  <c r="O625" i="3"/>
  <c r="O626" i="3"/>
  <c r="O627" i="3"/>
  <c r="O628" i="3"/>
  <c r="O629" i="3"/>
  <c r="O630" i="3"/>
  <c r="O631" i="3"/>
  <c r="O632" i="3"/>
  <c r="O633" i="3"/>
  <c r="O634" i="3"/>
  <c r="O635" i="3"/>
  <c r="O636" i="3"/>
  <c r="O637" i="3"/>
  <c r="O638" i="3"/>
  <c r="O639" i="3"/>
  <c r="O640" i="3"/>
  <c r="O641" i="3"/>
  <c r="O642" i="3"/>
  <c r="O643" i="3"/>
  <c r="O644" i="3"/>
  <c r="O645" i="3"/>
  <c r="O646" i="3"/>
  <c r="O647" i="3"/>
  <c r="O648" i="3"/>
  <c r="O649" i="3"/>
  <c r="O650" i="3"/>
  <c r="O651" i="3"/>
  <c r="O652" i="3"/>
  <c r="O653" i="3"/>
  <c r="O654" i="3"/>
  <c r="O655" i="3"/>
  <c r="O656" i="3"/>
  <c r="O657" i="3"/>
  <c r="O658" i="3"/>
  <c r="O659" i="3"/>
  <c r="O660" i="3"/>
  <c r="O661" i="3"/>
  <c r="O662" i="3"/>
  <c r="O663" i="3"/>
  <c r="O664" i="3"/>
  <c r="O665" i="3"/>
  <c r="O666" i="3"/>
  <c r="O667" i="3"/>
  <c r="O668" i="3"/>
  <c r="O669" i="3"/>
  <c r="O670" i="3"/>
  <c r="O671" i="3"/>
  <c r="O672" i="3"/>
  <c r="O673" i="3"/>
  <c r="O674" i="3"/>
  <c r="O675" i="3"/>
  <c r="O676" i="3"/>
  <c r="O677" i="3"/>
  <c r="O678" i="3"/>
  <c r="O679" i="3"/>
  <c r="O680" i="3"/>
  <c r="O681" i="3"/>
  <c r="O682" i="3"/>
  <c r="O683" i="3"/>
  <c r="O684" i="3"/>
  <c r="O685" i="3"/>
  <c r="O686" i="3"/>
  <c r="O687" i="3"/>
  <c r="O688" i="3"/>
  <c r="O689" i="3"/>
  <c r="O690" i="3"/>
  <c r="O691" i="3"/>
  <c r="O692" i="3"/>
  <c r="O693" i="3"/>
  <c r="O694" i="3"/>
  <c r="O695" i="3"/>
  <c r="O696" i="3"/>
  <c r="O697" i="3"/>
  <c r="O698" i="3"/>
  <c r="O699" i="3"/>
  <c r="O700" i="3"/>
  <c r="O701" i="3"/>
  <c r="O702" i="3"/>
  <c r="O703" i="3"/>
  <c r="O704" i="3"/>
  <c r="O705" i="3"/>
  <c r="O706" i="3"/>
  <c r="O707" i="3"/>
  <c r="O708" i="3"/>
  <c r="O709" i="3"/>
  <c r="O710" i="3"/>
  <c r="O711" i="3"/>
  <c r="O712" i="3"/>
  <c r="O713" i="3"/>
  <c r="O714" i="3"/>
  <c r="O715" i="3"/>
  <c r="O716" i="3"/>
  <c r="O717" i="3"/>
  <c r="O718" i="3"/>
  <c r="O719" i="3"/>
  <c r="O720" i="3"/>
  <c r="O721" i="3"/>
  <c r="O722" i="3"/>
  <c r="O723" i="3"/>
  <c r="O724" i="3"/>
  <c r="O725" i="3"/>
  <c r="O726" i="3"/>
  <c r="O727" i="3"/>
  <c r="O728" i="3"/>
  <c r="O729" i="3"/>
  <c r="O730" i="3"/>
  <c r="O731" i="3"/>
  <c r="O732" i="3"/>
  <c r="O733" i="3"/>
  <c r="O734" i="3"/>
  <c r="O735" i="3"/>
  <c r="O736" i="3"/>
  <c r="O737" i="3"/>
  <c r="O738" i="3"/>
  <c r="O739" i="3"/>
  <c r="O740" i="3"/>
  <c r="O741" i="3"/>
  <c r="O742" i="3"/>
  <c r="O743" i="3"/>
  <c r="O744" i="3"/>
  <c r="O745" i="3"/>
  <c r="O746" i="3"/>
  <c r="O747" i="3"/>
  <c r="O748" i="3"/>
  <c r="O749" i="3"/>
  <c r="O750" i="3"/>
  <c r="O751" i="3"/>
  <c r="O752" i="3"/>
  <c r="O753" i="3"/>
  <c r="O754" i="3"/>
  <c r="O755" i="3"/>
  <c r="O756" i="3"/>
  <c r="O757" i="3"/>
  <c r="O758" i="3"/>
  <c r="O759" i="3"/>
  <c r="O760" i="3"/>
  <c r="O761" i="3"/>
  <c r="O762" i="3"/>
  <c r="O763" i="3"/>
  <c r="O764" i="3"/>
  <c r="O765" i="3"/>
  <c r="O766" i="3"/>
  <c r="O767" i="3"/>
  <c r="O768" i="3"/>
  <c r="O769" i="3"/>
  <c r="O770" i="3"/>
  <c r="O771" i="3"/>
  <c r="O772" i="3"/>
  <c r="O773" i="3"/>
  <c r="O774" i="3"/>
  <c r="O775" i="3"/>
  <c r="O776" i="3"/>
  <c r="O777" i="3"/>
  <c r="O778" i="3"/>
  <c r="O779" i="3"/>
  <c r="O780" i="3"/>
  <c r="O781" i="3"/>
  <c r="O782" i="3"/>
  <c r="O783" i="3"/>
  <c r="O784" i="3"/>
  <c r="O785" i="3"/>
  <c r="O786" i="3"/>
  <c r="O787" i="3"/>
  <c r="O788" i="3"/>
  <c r="O789" i="3"/>
  <c r="O790" i="3"/>
  <c r="O791" i="3"/>
  <c r="O792" i="3"/>
  <c r="O793" i="3"/>
  <c r="O794" i="3"/>
  <c r="O795" i="3"/>
  <c r="O796" i="3"/>
  <c r="O797" i="3"/>
  <c r="O798" i="3"/>
  <c r="O799" i="3"/>
  <c r="O800" i="3"/>
  <c r="O801" i="3"/>
  <c r="O802" i="3"/>
  <c r="O803" i="3"/>
  <c r="O804" i="3"/>
  <c r="O805" i="3"/>
  <c r="O806" i="3"/>
  <c r="O807" i="3"/>
  <c r="O808" i="3"/>
  <c r="O809" i="3"/>
  <c r="O810" i="3"/>
  <c r="O811" i="3"/>
  <c r="O812" i="3"/>
  <c r="O813" i="3"/>
  <c r="O814" i="3"/>
  <c r="O815" i="3"/>
  <c r="O816" i="3"/>
  <c r="O817" i="3"/>
  <c r="O818" i="3"/>
  <c r="O819" i="3"/>
  <c r="O820" i="3"/>
  <c r="O821" i="3"/>
  <c r="O822" i="3"/>
  <c r="O823" i="3"/>
  <c r="O824" i="3"/>
  <c r="O825" i="3"/>
  <c r="O826" i="3"/>
  <c r="O827" i="3"/>
  <c r="O828" i="3"/>
  <c r="O829" i="3"/>
  <c r="O830" i="3"/>
  <c r="O831" i="3"/>
  <c r="O832" i="3"/>
  <c r="O833" i="3"/>
  <c r="O834" i="3"/>
  <c r="O835" i="3"/>
  <c r="O836" i="3"/>
  <c r="O837" i="3"/>
  <c r="O838" i="3"/>
  <c r="O839" i="3"/>
  <c r="O840" i="3"/>
  <c r="O841" i="3"/>
  <c r="O842" i="3"/>
  <c r="O843" i="3"/>
  <c r="O844" i="3"/>
  <c r="O845" i="3"/>
  <c r="O846" i="3"/>
  <c r="O847" i="3"/>
  <c r="O848" i="3"/>
  <c r="O849" i="3"/>
  <c r="O850" i="3"/>
  <c r="O851" i="3"/>
  <c r="O852" i="3"/>
  <c r="O853" i="3"/>
  <c r="O854" i="3"/>
  <c r="O855" i="3"/>
  <c r="O856" i="3"/>
  <c r="O857" i="3"/>
  <c r="O858" i="3"/>
  <c r="O859" i="3"/>
  <c r="O860" i="3"/>
  <c r="O861" i="3"/>
  <c r="O862" i="3"/>
  <c r="O863" i="3"/>
  <c r="O864" i="3"/>
  <c r="O865" i="3"/>
  <c r="O866" i="3"/>
  <c r="O867" i="3"/>
  <c r="O868" i="3"/>
  <c r="O869" i="3"/>
  <c r="O870" i="3"/>
  <c r="O871" i="3"/>
  <c r="O872" i="3"/>
  <c r="O873" i="3"/>
  <c r="O874" i="3"/>
  <c r="O875" i="3"/>
  <c r="O876" i="3"/>
  <c r="O877" i="3"/>
  <c r="O878" i="3"/>
  <c r="O879" i="3"/>
  <c r="O880" i="3"/>
  <c r="O881" i="3"/>
  <c r="O882" i="3"/>
  <c r="O883" i="3"/>
  <c r="O884" i="3"/>
  <c r="O885" i="3"/>
  <c r="O886" i="3"/>
  <c r="O887" i="3"/>
  <c r="O888" i="3"/>
  <c r="O889" i="3"/>
  <c r="O890" i="3"/>
  <c r="O891" i="3"/>
  <c r="O892" i="3"/>
  <c r="O893" i="3"/>
  <c r="O894" i="3"/>
  <c r="O895" i="3"/>
  <c r="O896" i="3"/>
  <c r="O897" i="3"/>
  <c r="O898" i="3"/>
  <c r="O899" i="3"/>
  <c r="O900" i="3"/>
  <c r="O901" i="3"/>
  <c r="O902" i="3"/>
  <c r="O903" i="3"/>
  <c r="O904" i="3"/>
  <c r="O905" i="3"/>
  <c r="O906" i="3"/>
  <c r="O907" i="3"/>
  <c r="O908" i="3"/>
  <c r="O909" i="3"/>
  <c r="O910" i="3"/>
  <c r="O911" i="3"/>
  <c r="O912" i="3"/>
  <c r="O913" i="3"/>
  <c r="O914" i="3"/>
  <c r="O915" i="3"/>
  <c r="O916" i="3"/>
  <c r="O917" i="3"/>
  <c r="O918" i="3"/>
  <c r="O919" i="3"/>
  <c r="O920" i="3"/>
  <c r="O921" i="3"/>
  <c r="O922" i="3"/>
  <c r="O923" i="3"/>
  <c r="O924" i="3"/>
  <c r="O925" i="3"/>
  <c r="O926" i="3"/>
  <c r="O927" i="3"/>
  <c r="O928" i="3"/>
  <c r="O929" i="3"/>
  <c r="O930" i="3"/>
  <c r="O931" i="3"/>
  <c r="O932" i="3"/>
  <c r="O933" i="3"/>
  <c r="O934" i="3"/>
  <c r="O935" i="3"/>
  <c r="O936" i="3"/>
  <c r="O937" i="3"/>
  <c r="O938" i="3"/>
  <c r="O939" i="3"/>
  <c r="O940" i="3"/>
  <c r="O941" i="3"/>
  <c r="O942" i="3"/>
  <c r="O943" i="3"/>
  <c r="O944" i="3"/>
  <c r="O945" i="3"/>
  <c r="O946" i="3"/>
  <c r="O947" i="3"/>
  <c r="O948" i="3"/>
  <c r="O949" i="3"/>
  <c r="O950" i="3"/>
  <c r="O951" i="3"/>
  <c r="O952" i="3"/>
  <c r="O953" i="3"/>
  <c r="O954" i="3"/>
  <c r="O955" i="3"/>
  <c r="O956" i="3"/>
  <c r="O957" i="3"/>
  <c r="O958" i="3"/>
  <c r="O959" i="3"/>
  <c r="O960" i="3"/>
  <c r="O961" i="3"/>
  <c r="O962" i="3"/>
  <c r="O963" i="3"/>
  <c r="O964" i="3"/>
  <c r="O965" i="3"/>
  <c r="O966" i="3"/>
  <c r="O967" i="3"/>
  <c r="O968" i="3"/>
  <c r="O969" i="3"/>
  <c r="O970" i="3"/>
  <c r="O971" i="3"/>
  <c r="O972" i="3"/>
  <c r="O973" i="3"/>
  <c r="O974" i="3"/>
  <c r="O975" i="3"/>
  <c r="O976" i="3"/>
  <c r="O977" i="3"/>
  <c r="O978" i="3"/>
  <c r="O979" i="3"/>
  <c r="O980" i="3"/>
  <c r="O981" i="3"/>
  <c r="O982" i="3"/>
  <c r="O983" i="3"/>
  <c r="O984" i="3"/>
  <c r="O985" i="3"/>
  <c r="O986" i="3"/>
  <c r="O987" i="3"/>
  <c r="O988" i="3"/>
  <c r="O989" i="3"/>
  <c r="O990" i="3"/>
  <c r="O991" i="3"/>
  <c r="O992" i="3"/>
  <c r="O993" i="3"/>
  <c r="O994" i="3"/>
  <c r="O995" i="3"/>
  <c r="O996" i="3"/>
  <c r="O997" i="3"/>
  <c r="O998" i="3"/>
  <c r="O999" i="3"/>
  <c r="O1000" i="3"/>
  <c r="C118" i="22"/>
  <c r="C117" i="22"/>
  <c r="D117" i="22" s="1"/>
  <c r="C116" i="22"/>
  <c r="C90" i="22"/>
  <c r="D90" i="22" s="1"/>
  <c r="C75" i="22"/>
  <c r="C74" i="22"/>
  <c r="D74" i="22" s="1"/>
  <c r="B2" i="17"/>
  <c r="D124" i="22"/>
  <c r="D120" i="22"/>
  <c r="D118" i="22"/>
  <c r="D116" i="22"/>
  <c r="D75" i="22"/>
  <c r="B2" i="22"/>
  <c r="E69" i="22"/>
  <c r="C92" i="28"/>
  <c r="C90" i="28"/>
  <c r="C88" i="28"/>
  <c r="C82" i="28"/>
  <c r="C80" i="28"/>
  <c r="C78" i="28"/>
  <c r="C70" i="28"/>
  <c r="C68" i="28"/>
  <c r="C66" i="28"/>
  <c r="C64" i="28"/>
  <c r="C62" i="28"/>
  <c r="C60" i="28"/>
  <c r="C58" i="28"/>
  <c r="C56" i="28"/>
  <c r="C54" i="28"/>
  <c r="C52" i="28"/>
  <c r="C50" i="28"/>
  <c r="C48" i="28"/>
  <c r="C40" i="28"/>
  <c r="C38" i="28"/>
  <c r="C36" i="28"/>
  <c r="C30" i="28"/>
  <c r="C28" i="28"/>
  <c r="C26" i="28"/>
  <c r="C24" i="28"/>
  <c r="C22" i="28"/>
  <c r="F8" i="28"/>
  <c r="F102" i="28" s="1"/>
  <c r="B2" i="28"/>
  <c r="B2" i="27"/>
  <c r="C438" i="26"/>
  <c r="C439" i="26"/>
  <c r="C440" i="26"/>
  <c r="C441" i="26"/>
  <c r="C442" i="26"/>
  <c r="C443" i="26"/>
  <c r="C444" i="26"/>
  <c r="C445" i="26"/>
  <c r="C446" i="26"/>
  <c r="C447" i="26"/>
  <c r="C448" i="26"/>
  <c r="C449" i="26"/>
  <c r="C450" i="26"/>
  <c r="C451" i="26"/>
  <c r="C452" i="26"/>
  <c r="C453" i="26"/>
  <c r="C454" i="26"/>
  <c r="C455" i="26"/>
  <c r="C456" i="26"/>
  <c r="C457" i="26"/>
  <c r="C458" i="26"/>
  <c r="C459" i="26"/>
  <c r="C460" i="26"/>
  <c r="C461" i="26"/>
  <c r="C462" i="26"/>
  <c r="D451" i="26"/>
  <c r="D452" i="26"/>
  <c r="D453" i="26"/>
  <c r="D454" i="26"/>
  <c r="D455" i="26"/>
  <c r="D456" i="26"/>
  <c r="D457" i="26"/>
  <c r="D458" i="26"/>
  <c r="D459" i="26"/>
  <c r="D460" i="26"/>
  <c r="D461" i="26"/>
  <c r="D462" i="26"/>
  <c r="D438" i="26"/>
  <c r="D439" i="26"/>
  <c r="D440" i="26"/>
  <c r="D441" i="26"/>
  <c r="D442" i="26"/>
  <c r="D443" i="26"/>
  <c r="D444" i="26"/>
  <c r="D445" i="26"/>
  <c r="D446" i="26"/>
  <c r="D447" i="26"/>
  <c r="D448" i="26"/>
  <c r="D449" i="26"/>
  <c r="F437" i="26"/>
  <c r="D450" i="26"/>
  <c r="D437" i="26"/>
  <c r="C437" i="26"/>
  <c r="C399" i="26"/>
  <c r="C400" i="26"/>
  <c r="C401" i="26"/>
  <c r="C402" i="26"/>
  <c r="C403" i="26"/>
  <c r="C404" i="26"/>
  <c r="C405" i="26"/>
  <c r="C406" i="26"/>
  <c r="C407" i="26"/>
  <c r="C408" i="26"/>
  <c r="C409" i="26"/>
  <c r="C410" i="26"/>
  <c r="C411" i="26"/>
  <c r="C412" i="26"/>
  <c r="C413" i="26"/>
  <c r="C414" i="26"/>
  <c r="C415" i="26"/>
  <c r="C416" i="26"/>
  <c r="C417" i="26"/>
  <c r="C418" i="26"/>
  <c r="C419" i="26"/>
  <c r="C420" i="26"/>
  <c r="C421" i="26"/>
  <c r="C422" i="26"/>
  <c r="C423" i="26"/>
  <c r="C424" i="26"/>
  <c r="C425" i="26"/>
  <c r="C426" i="26"/>
  <c r="C427" i="26"/>
  <c r="C428" i="26"/>
  <c r="C429" i="26"/>
  <c r="C430" i="26"/>
  <c r="C431" i="26"/>
  <c r="C432" i="26"/>
  <c r="C433" i="26"/>
  <c r="C434" i="26"/>
  <c r="C435" i="26"/>
  <c r="C436" i="26"/>
  <c r="D425" i="26"/>
  <c r="D426" i="26"/>
  <c r="D427" i="26"/>
  <c r="D428" i="26"/>
  <c r="D429" i="26"/>
  <c r="D430" i="26"/>
  <c r="D431" i="26"/>
  <c r="D432" i="26"/>
  <c r="D433" i="26"/>
  <c r="D434" i="26"/>
  <c r="D435" i="26"/>
  <c r="D436" i="26"/>
  <c r="D412" i="26"/>
  <c r="D413" i="26"/>
  <c r="D414" i="26"/>
  <c r="D415" i="26"/>
  <c r="D416" i="26"/>
  <c r="D417" i="26"/>
  <c r="D418" i="26"/>
  <c r="D419" i="26"/>
  <c r="D420" i="26"/>
  <c r="D421" i="26"/>
  <c r="D422" i="26"/>
  <c r="D423" i="26"/>
  <c r="D399" i="26"/>
  <c r="D400" i="26"/>
  <c r="D401" i="26"/>
  <c r="D402" i="26"/>
  <c r="D403" i="26"/>
  <c r="D404" i="26"/>
  <c r="D405" i="26"/>
  <c r="D406" i="26"/>
  <c r="D407" i="26"/>
  <c r="D408" i="26"/>
  <c r="D409" i="26"/>
  <c r="D410" i="26"/>
  <c r="D424" i="26"/>
  <c r="D411" i="26"/>
  <c r="D398" i="26"/>
  <c r="C398" i="26"/>
  <c r="C360" i="26"/>
  <c r="C361" i="26"/>
  <c r="C362" i="26"/>
  <c r="C363" i="26"/>
  <c r="C364" i="26"/>
  <c r="C365" i="26"/>
  <c r="C366" i="26"/>
  <c r="C367" i="26"/>
  <c r="C368" i="26"/>
  <c r="C369" i="26"/>
  <c r="C370" i="26"/>
  <c r="C371" i="26"/>
  <c r="C372" i="26"/>
  <c r="C373" i="26"/>
  <c r="C374" i="26"/>
  <c r="C375" i="26"/>
  <c r="C376" i="26"/>
  <c r="C377" i="26"/>
  <c r="C378" i="26"/>
  <c r="C379" i="26"/>
  <c r="C380" i="26"/>
  <c r="C381" i="26"/>
  <c r="C382" i="26"/>
  <c r="C383" i="26"/>
  <c r="C384" i="26"/>
  <c r="C385" i="26"/>
  <c r="C386" i="26"/>
  <c r="C387" i="26"/>
  <c r="C388" i="26"/>
  <c r="C389" i="26"/>
  <c r="C390" i="26"/>
  <c r="C391" i="26"/>
  <c r="C392" i="26"/>
  <c r="C393" i="26"/>
  <c r="C394" i="26"/>
  <c r="C395" i="26"/>
  <c r="C396" i="26"/>
  <c r="C397" i="26"/>
  <c r="C359" i="26"/>
  <c r="C321" i="26"/>
  <c r="C322" i="26"/>
  <c r="C323" i="26"/>
  <c r="C324" i="26"/>
  <c r="C325" i="26"/>
  <c r="C326" i="26"/>
  <c r="C327" i="26"/>
  <c r="C328" i="26"/>
  <c r="C329" i="26"/>
  <c r="C330" i="26"/>
  <c r="C331" i="26"/>
  <c r="C332" i="26"/>
  <c r="C333" i="26"/>
  <c r="C334" i="26"/>
  <c r="C335" i="26"/>
  <c r="C336" i="26"/>
  <c r="C337" i="26"/>
  <c r="C338" i="26"/>
  <c r="C339" i="26"/>
  <c r="C340" i="26"/>
  <c r="C341" i="26"/>
  <c r="C342" i="26"/>
  <c r="C343" i="26"/>
  <c r="C344" i="26"/>
  <c r="C345" i="26"/>
  <c r="C346" i="26"/>
  <c r="C347" i="26"/>
  <c r="C348" i="26"/>
  <c r="C349" i="26"/>
  <c r="C350" i="26"/>
  <c r="C351" i="26"/>
  <c r="C352" i="26"/>
  <c r="C353" i="26"/>
  <c r="C354" i="26"/>
  <c r="C355" i="26"/>
  <c r="C356" i="26"/>
  <c r="C357" i="26"/>
  <c r="C358" i="26"/>
  <c r="C320" i="26"/>
  <c r="C139" i="26"/>
  <c r="C140" i="26"/>
  <c r="C141" i="26"/>
  <c r="C142" i="26"/>
  <c r="C143" i="26"/>
  <c r="C144" i="26"/>
  <c r="C145" i="26"/>
  <c r="C146" i="26"/>
  <c r="C147" i="26"/>
  <c r="C148" i="26"/>
  <c r="C149" i="26"/>
  <c r="C150" i="26"/>
  <c r="C151" i="26"/>
  <c r="C152" i="26"/>
  <c r="C153" i="26"/>
  <c r="C154" i="26"/>
  <c r="C155" i="26"/>
  <c r="C156" i="26"/>
  <c r="C157" i="26"/>
  <c r="C158" i="26"/>
  <c r="C159" i="26"/>
  <c r="C160" i="26"/>
  <c r="C161" i="26"/>
  <c r="C162" i="26"/>
  <c r="C163" i="26"/>
  <c r="C164" i="26"/>
  <c r="C165" i="26"/>
  <c r="C166" i="26"/>
  <c r="C167" i="26"/>
  <c r="C168" i="26"/>
  <c r="C169" i="26"/>
  <c r="C170" i="26"/>
  <c r="C171" i="26"/>
  <c r="C172" i="26"/>
  <c r="C173" i="26"/>
  <c r="C174" i="26"/>
  <c r="C175" i="26"/>
  <c r="C176" i="26"/>
  <c r="C177" i="26"/>
  <c r="C178" i="26"/>
  <c r="C179" i="26"/>
  <c r="C180" i="26"/>
  <c r="C181" i="26"/>
  <c r="C182" i="26"/>
  <c r="C183" i="26"/>
  <c r="C184" i="26"/>
  <c r="C185" i="26"/>
  <c r="C186" i="26"/>
  <c r="C187" i="26"/>
  <c r="C188" i="26"/>
  <c r="C189" i="26"/>
  <c r="C190" i="26"/>
  <c r="C191" i="26"/>
  <c r="C192" i="26"/>
  <c r="C193" i="26"/>
  <c r="C194" i="26"/>
  <c r="C195" i="26"/>
  <c r="C196" i="26"/>
  <c r="C197" i="26"/>
  <c r="C198" i="26"/>
  <c r="C199" i="26"/>
  <c r="C200" i="26"/>
  <c r="C201" i="26"/>
  <c r="C202" i="26"/>
  <c r="C203" i="26"/>
  <c r="C204" i="26"/>
  <c r="C205" i="26"/>
  <c r="C206" i="26"/>
  <c r="C207" i="26"/>
  <c r="C208" i="26"/>
  <c r="C209" i="26"/>
  <c r="C210" i="26"/>
  <c r="C211" i="26"/>
  <c r="C212" i="26"/>
  <c r="C213" i="26"/>
  <c r="C214" i="26"/>
  <c r="C215" i="26"/>
  <c r="C216" i="26"/>
  <c r="C217" i="26"/>
  <c r="C218" i="26"/>
  <c r="C219" i="26"/>
  <c r="C220" i="26"/>
  <c r="C221" i="26"/>
  <c r="C222" i="26"/>
  <c r="C223" i="26"/>
  <c r="C224" i="26"/>
  <c r="C225" i="26"/>
  <c r="C226" i="26"/>
  <c r="C227" i="26"/>
  <c r="C228" i="26"/>
  <c r="C229" i="26"/>
  <c r="C230" i="26"/>
  <c r="C231" i="26"/>
  <c r="C232" i="26"/>
  <c r="C233" i="26"/>
  <c r="C234" i="26"/>
  <c r="C235" i="26"/>
  <c r="C236" i="26"/>
  <c r="C237" i="26"/>
  <c r="C238" i="26"/>
  <c r="C239" i="26"/>
  <c r="C240" i="26"/>
  <c r="C241" i="26"/>
  <c r="C242" i="26"/>
  <c r="C243" i="26"/>
  <c r="C244" i="26"/>
  <c r="C245" i="26"/>
  <c r="C246" i="26"/>
  <c r="C247" i="26"/>
  <c r="C248" i="26"/>
  <c r="C249" i="26"/>
  <c r="C250" i="26"/>
  <c r="C251" i="26"/>
  <c r="C252" i="26"/>
  <c r="C253" i="26"/>
  <c r="C254" i="26"/>
  <c r="C255" i="26"/>
  <c r="C256" i="26"/>
  <c r="C257" i="26"/>
  <c r="C258" i="26"/>
  <c r="C259" i="26"/>
  <c r="C260" i="26"/>
  <c r="C261" i="26"/>
  <c r="C262" i="26"/>
  <c r="C263" i="26"/>
  <c r="C264" i="26"/>
  <c r="C265" i="26"/>
  <c r="C266" i="26"/>
  <c r="C267" i="26"/>
  <c r="C268" i="26"/>
  <c r="C269" i="26"/>
  <c r="C270" i="26"/>
  <c r="C271" i="26"/>
  <c r="C272" i="26"/>
  <c r="C273" i="26"/>
  <c r="C274" i="26"/>
  <c r="C275" i="26"/>
  <c r="C276" i="26"/>
  <c r="C277" i="26"/>
  <c r="C278" i="26"/>
  <c r="C279" i="26"/>
  <c r="C280" i="26"/>
  <c r="C281" i="26"/>
  <c r="C282" i="26"/>
  <c r="C283" i="26"/>
  <c r="C284" i="26"/>
  <c r="C285" i="26"/>
  <c r="C286" i="26"/>
  <c r="C287" i="26"/>
  <c r="C288" i="26"/>
  <c r="C289" i="26"/>
  <c r="C290" i="26"/>
  <c r="C291" i="26"/>
  <c r="C292" i="26"/>
  <c r="C293" i="26"/>
  <c r="C294" i="26"/>
  <c r="C295" i="26"/>
  <c r="C296" i="26"/>
  <c r="C297" i="26"/>
  <c r="C298" i="26"/>
  <c r="C299" i="26"/>
  <c r="C300" i="26"/>
  <c r="C301" i="26"/>
  <c r="C302" i="26"/>
  <c r="C303" i="26"/>
  <c r="C304" i="26"/>
  <c r="C305" i="26"/>
  <c r="C306" i="26"/>
  <c r="D139" i="26"/>
  <c r="D140" i="26"/>
  <c r="D141" i="26"/>
  <c r="D142" i="26"/>
  <c r="D143" i="26"/>
  <c r="D144" i="26"/>
  <c r="D145" i="26"/>
  <c r="D146" i="26"/>
  <c r="D147" i="26"/>
  <c r="D148" i="26"/>
  <c r="D149" i="26"/>
  <c r="D150" i="26"/>
  <c r="D138" i="26"/>
  <c r="C138" i="26"/>
  <c r="C100" i="26"/>
  <c r="C101" i="26"/>
  <c r="C102" i="26"/>
  <c r="C103" i="26"/>
  <c r="C104" i="26"/>
  <c r="C105" i="26"/>
  <c r="C106" i="26"/>
  <c r="C107" i="26"/>
  <c r="C108" i="26"/>
  <c r="C109" i="26"/>
  <c r="C110" i="26"/>
  <c r="C111" i="26"/>
  <c r="C112" i="26"/>
  <c r="C113" i="26"/>
  <c r="C114" i="26"/>
  <c r="C115" i="26"/>
  <c r="C116" i="26"/>
  <c r="C117" i="26"/>
  <c r="C118" i="26"/>
  <c r="C119" i="26"/>
  <c r="C120" i="26"/>
  <c r="C121" i="26"/>
  <c r="C122" i="26"/>
  <c r="C123" i="26"/>
  <c r="C124" i="26"/>
  <c r="C125" i="26"/>
  <c r="C126" i="26"/>
  <c r="C127" i="26"/>
  <c r="C128" i="26"/>
  <c r="C129" i="26"/>
  <c r="C130" i="26"/>
  <c r="C131" i="26"/>
  <c r="C132" i="26"/>
  <c r="C133" i="26"/>
  <c r="C134" i="26"/>
  <c r="C135" i="26"/>
  <c r="C136" i="26"/>
  <c r="C137" i="26"/>
  <c r="C99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50" i="26"/>
  <c r="C51" i="26"/>
  <c r="C52" i="26"/>
  <c r="C53" i="26"/>
  <c r="C54" i="26"/>
  <c r="C55" i="26"/>
  <c r="C56" i="26"/>
  <c r="C57" i="26"/>
  <c r="C58" i="26"/>
  <c r="C59" i="26"/>
  <c r="C60" i="26"/>
  <c r="C61" i="26"/>
  <c r="C62" i="26"/>
  <c r="C63" i="26"/>
  <c r="C64" i="26"/>
  <c r="C65" i="26"/>
  <c r="C66" i="26"/>
  <c r="C67" i="26"/>
  <c r="C68" i="26"/>
  <c r="C69" i="26"/>
  <c r="C70" i="26"/>
  <c r="C71" i="26"/>
  <c r="C72" i="26"/>
  <c r="C73" i="26"/>
  <c r="C74" i="26"/>
  <c r="C75" i="26"/>
  <c r="C76" i="26"/>
  <c r="C77" i="26"/>
  <c r="C78" i="26"/>
  <c r="C79" i="26"/>
  <c r="C80" i="26"/>
  <c r="C81" i="26"/>
  <c r="C82" i="26"/>
  <c r="C83" i="26"/>
  <c r="C84" i="26"/>
  <c r="C85" i="26"/>
  <c r="C86" i="26"/>
  <c r="C87" i="26"/>
  <c r="C88" i="26"/>
  <c r="C89" i="26"/>
  <c r="C90" i="26"/>
  <c r="C91" i="26"/>
  <c r="C92" i="26"/>
  <c r="C93" i="26"/>
  <c r="C94" i="26"/>
  <c r="C95" i="26"/>
  <c r="C96" i="26"/>
  <c r="C97" i="26"/>
  <c r="C98" i="26"/>
  <c r="C34" i="26"/>
  <c r="C9" i="26"/>
  <c r="C10" i="26"/>
  <c r="C11" i="26"/>
  <c r="C12" i="26"/>
  <c r="C13" i="26"/>
  <c r="C14" i="26"/>
  <c r="C15" i="26"/>
  <c r="C16" i="26"/>
  <c r="C17" i="26"/>
  <c r="C18" i="26"/>
  <c r="C19" i="26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D22" i="26"/>
  <c r="D23" i="26"/>
  <c r="D24" i="26"/>
  <c r="D25" i="26"/>
  <c r="D26" i="26"/>
  <c r="D27" i="26"/>
  <c r="D28" i="26"/>
  <c r="D29" i="26"/>
  <c r="D30" i="26"/>
  <c r="D31" i="26"/>
  <c r="D32" i="26"/>
  <c r="D33" i="26"/>
  <c r="D21" i="26"/>
  <c r="D9" i="26"/>
  <c r="D10" i="26"/>
  <c r="D11" i="26"/>
  <c r="D12" i="26"/>
  <c r="D13" i="26"/>
  <c r="D14" i="26"/>
  <c r="D15" i="26"/>
  <c r="D16" i="26"/>
  <c r="D17" i="26"/>
  <c r="D18" i="26"/>
  <c r="D19" i="26"/>
  <c r="D20" i="26"/>
  <c r="D8" i="26"/>
  <c r="C8" i="26"/>
  <c r="B2" i="26"/>
  <c r="Q10" i="8"/>
  <c r="Q9" i="8"/>
  <c r="Q8" i="8"/>
  <c r="K8" i="8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4" i="24"/>
  <c r="G35" i="24"/>
  <c r="G36" i="24"/>
  <c r="G37" i="24"/>
  <c r="G38" i="24"/>
  <c r="G39" i="24"/>
  <c r="G40" i="24"/>
  <c r="G41" i="24"/>
  <c r="G42" i="24"/>
  <c r="G43" i="24"/>
  <c r="G44" i="24"/>
  <c r="G45" i="24"/>
  <c r="G46" i="24"/>
  <c r="G47" i="24"/>
  <c r="G48" i="24"/>
  <c r="G49" i="24"/>
  <c r="G50" i="24"/>
  <c r="G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76" i="24"/>
  <c r="G77" i="24"/>
  <c r="G78" i="24"/>
  <c r="G79" i="24"/>
  <c r="G80" i="24"/>
  <c r="G81" i="24"/>
  <c r="G82" i="24"/>
  <c r="G83" i="24"/>
  <c r="G84" i="24"/>
  <c r="G85" i="24"/>
  <c r="G86" i="24"/>
  <c r="G87" i="24"/>
  <c r="G88" i="24"/>
  <c r="G89" i="24"/>
  <c r="G90" i="24"/>
  <c r="G91" i="24"/>
  <c r="G92" i="24"/>
  <c r="G93" i="24"/>
  <c r="G94" i="24"/>
  <c r="G95" i="24"/>
  <c r="G96" i="24"/>
  <c r="G97" i="24"/>
  <c r="G98" i="24"/>
  <c r="G99" i="24"/>
  <c r="G100" i="24"/>
  <c r="G101" i="24"/>
  <c r="G102" i="24"/>
  <c r="G103" i="24"/>
  <c r="G104" i="24"/>
  <c r="G105" i="24"/>
  <c r="G106" i="24"/>
  <c r="G107" i="24"/>
  <c r="G108" i="24"/>
  <c r="G109" i="24"/>
  <c r="G110" i="24"/>
  <c r="G111" i="24"/>
  <c r="G112" i="24"/>
  <c r="G113" i="24"/>
  <c r="G114" i="24"/>
  <c r="G115" i="24"/>
  <c r="G116" i="24"/>
  <c r="G117" i="24"/>
  <c r="G118" i="24"/>
  <c r="G119" i="24"/>
  <c r="G120" i="24"/>
  <c r="G121" i="24"/>
  <c r="G122" i="24"/>
  <c r="G123" i="24"/>
  <c r="G124" i="24"/>
  <c r="G125" i="24"/>
  <c r="G126" i="24"/>
  <c r="G127" i="24"/>
  <c r="G128" i="24"/>
  <c r="G129" i="24"/>
  <c r="G130" i="24"/>
  <c r="G131" i="24"/>
  <c r="G132" i="24"/>
  <c r="G133" i="24"/>
  <c r="G134" i="24"/>
  <c r="G135" i="24"/>
  <c r="G136" i="24"/>
  <c r="G137" i="24"/>
  <c r="G138" i="24"/>
  <c r="G139" i="24"/>
  <c r="G140" i="24"/>
  <c r="G141" i="24"/>
  <c r="G142" i="24"/>
  <c r="G143" i="24"/>
  <c r="G144" i="24"/>
  <c r="G145" i="24"/>
  <c r="G146" i="24"/>
  <c r="G147" i="24"/>
  <c r="G148" i="24"/>
  <c r="G149" i="24"/>
  <c r="G150" i="24"/>
  <c r="G151" i="24"/>
  <c r="G152" i="24"/>
  <c r="G153" i="24"/>
  <c r="G154" i="24"/>
  <c r="G155" i="24"/>
  <c r="G156" i="24"/>
  <c r="G157" i="24"/>
  <c r="G158" i="24"/>
  <c r="G159" i="24"/>
  <c r="G160" i="24"/>
  <c r="G161" i="24"/>
  <c r="G162" i="24"/>
  <c r="G163" i="24"/>
  <c r="G164" i="24"/>
  <c r="G165" i="24"/>
  <c r="G166" i="24"/>
  <c r="G167" i="24"/>
  <c r="G168" i="24"/>
  <c r="G169" i="24"/>
  <c r="G170" i="24"/>
  <c r="G171" i="24"/>
  <c r="G172" i="24"/>
  <c r="G173" i="24"/>
  <c r="G174" i="24"/>
  <c r="G175" i="24"/>
  <c r="G176" i="24"/>
  <c r="G177" i="24"/>
  <c r="G178" i="24"/>
  <c r="G179" i="24"/>
  <c r="G180" i="24"/>
  <c r="G181" i="24"/>
  <c r="G182" i="24"/>
  <c r="G183" i="24"/>
  <c r="G184" i="24"/>
  <c r="G185" i="24"/>
  <c r="G186" i="24"/>
  <c r="G187" i="24"/>
  <c r="G188" i="24"/>
  <c r="G189" i="24"/>
  <c r="G190" i="24"/>
  <c r="G191" i="24"/>
  <c r="G192" i="24"/>
  <c r="G193" i="24"/>
  <c r="G194" i="24"/>
  <c r="G195" i="24"/>
  <c r="G196" i="24"/>
  <c r="G197" i="24"/>
  <c r="G198" i="24"/>
  <c r="G199" i="24"/>
  <c r="G200" i="24"/>
  <c r="G201" i="24"/>
  <c r="G202" i="24"/>
  <c r="G203" i="24"/>
  <c r="G204" i="24"/>
  <c r="G205" i="24"/>
  <c r="G206" i="24"/>
  <c r="G207" i="24"/>
  <c r="G208" i="24"/>
  <c r="G209" i="24"/>
  <c r="G210" i="24"/>
  <c r="G211" i="24"/>
  <c r="G212" i="24"/>
  <c r="G213" i="24"/>
  <c r="G214" i="24"/>
  <c r="G215" i="24"/>
  <c r="G216" i="24"/>
  <c r="G217" i="24"/>
  <c r="G218" i="24"/>
  <c r="G219" i="24"/>
  <c r="G220" i="24"/>
  <c r="G221" i="24"/>
  <c r="G222" i="24"/>
  <c r="G223" i="24"/>
  <c r="G224" i="24"/>
  <c r="G225" i="24"/>
  <c r="G226" i="24"/>
  <c r="G227" i="24"/>
  <c r="G228" i="24"/>
  <c r="G229" i="24"/>
  <c r="G230" i="24"/>
  <c r="G231" i="24"/>
  <c r="G232" i="24"/>
  <c r="G233" i="24"/>
  <c r="G234" i="24"/>
  <c r="G235" i="24"/>
  <c r="G236" i="24"/>
  <c r="G237" i="24"/>
  <c r="G238" i="24"/>
  <c r="G239" i="24"/>
  <c r="G240" i="24"/>
  <c r="G241" i="24"/>
  <c r="G242" i="24"/>
  <c r="G243" i="24"/>
  <c r="G244" i="24"/>
  <c r="G245" i="24"/>
  <c r="G246" i="24"/>
  <c r="G247" i="24"/>
  <c r="G248" i="24"/>
  <c r="G249" i="24"/>
  <c r="G250" i="24"/>
  <c r="G251" i="24"/>
  <c r="G252" i="24"/>
  <c r="G253" i="24"/>
  <c r="G254" i="24"/>
  <c r="G255" i="24"/>
  <c r="G256" i="24"/>
  <c r="G257" i="24"/>
  <c r="G258" i="24"/>
  <c r="G259" i="24"/>
  <c r="G260" i="24"/>
  <c r="G261" i="24"/>
  <c r="G262" i="24"/>
  <c r="G263" i="24"/>
  <c r="G264" i="24"/>
  <c r="G265" i="24"/>
  <c r="G266" i="24"/>
  <c r="G267" i="24"/>
  <c r="G268" i="24"/>
  <c r="G269" i="24"/>
  <c r="G270" i="24"/>
  <c r="G271" i="24"/>
  <c r="G272" i="24"/>
  <c r="G273" i="24"/>
  <c r="G274" i="24"/>
  <c r="G275" i="24"/>
  <c r="G276" i="24"/>
  <c r="G277" i="24"/>
  <c r="G278" i="24"/>
  <c r="G279" i="24"/>
  <c r="G280" i="24"/>
  <c r="G281" i="24"/>
  <c r="G282" i="24"/>
  <c r="G283" i="24"/>
  <c r="G284" i="24"/>
  <c r="G285" i="24"/>
  <c r="G286" i="24"/>
  <c r="G287" i="24"/>
  <c r="G288" i="24"/>
  <c r="G289" i="24"/>
  <c r="G290" i="24"/>
  <c r="G291" i="24"/>
  <c r="G292" i="24"/>
  <c r="G293" i="24"/>
  <c r="G294" i="24"/>
  <c r="G295" i="24"/>
  <c r="G296" i="24"/>
  <c r="G297" i="24"/>
  <c r="G298" i="24"/>
  <c r="G299" i="24"/>
  <c r="G300" i="24"/>
  <c r="G301" i="24"/>
  <c r="G302" i="24"/>
  <c r="G303" i="24"/>
  <c r="G304" i="24"/>
  <c r="G305" i="24"/>
  <c r="G306" i="24"/>
  <c r="G307" i="24"/>
  <c r="G308" i="24"/>
  <c r="G309" i="24"/>
  <c r="G310" i="24"/>
  <c r="G311" i="24"/>
  <c r="G312" i="24"/>
  <c r="G313" i="24"/>
  <c r="G314" i="24"/>
  <c r="G315" i="24"/>
  <c r="G316" i="24"/>
  <c r="G317" i="24"/>
  <c r="G318" i="24"/>
  <c r="G319" i="24"/>
  <c r="G320" i="24"/>
  <c r="G321" i="24"/>
  <c r="G322" i="24"/>
  <c r="G323" i="24"/>
  <c r="G324" i="24"/>
  <c r="G325" i="24"/>
  <c r="G326" i="24"/>
  <c r="G327" i="24"/>
  <c r="G328" i="24"/>
  <c r="G329" i="24"/>
  <c r="G330" i="24"/>
  <c r="G331" i="24"/>
  <c r="G332" i="24"/>
  <c r="G333" i="24"/>
  <c r="G334" i="24"/>
  <c r="G335" i="24"/>
  <c r="G336" i="24"/>
  <c r="G337" i="24"/>
  <c r="G338" i="24"/>
  <c r="T234" i="1" l="1"/>
  <c r="F14" i="28"/>
  <c r="F46" i="28"/>
  <c r="F100" i="28"/>
  <c r="F80" i="28"/>
  <c r="F16" i="28"/>
  <c r="F98" i="28"/>
  <c r="F48" i="28"/>
  <c r="F22" i="28"/>
  <c r="D115" i="22"/>
  <c r="D73" i="22"/>
  <c r="F40" i="28"/>
  <c r="F52" i="28"/>
  <c r="F68" i="28"/>
  <c r="F28" i="28"/>
  <c r="F54" i="28"/>
  <c r="F70" i="28"/>
  <c r="F26" i="28"/>
  <c r="F90" i="28"/>
  <c r="F50" i="28"/>
  <c r="F66" i="28"/>
  <c r="F92" i="28"/>
  <c r="F30" i="28"/>
  <c r="F78" i="28"/>
  <c r="F36" i="28"/>
  <c r="F58" i="28"/>
  <c r="F38" i="28"/>
  <c r="F60" i="28"/>
  <c r="F24" i="28"/>
  <c r="F56" i="28"/>
  <c r="F64" i="28"/>
  <c r="F62" i="28"/>
  <c r="F88" i="28"/>
  <c r="F82" i="28"/>
  <c r="F9" i="28"/>
  <c r="G7" i="28"/>
  <c r="F104" i="28"/>
  <c r="F74" i="28" l="1"/>
  <c r="G9" i="28"/>
  <c r="G8" i="28"/>
  <c r="G58" i="28" s="1"/>
  <c r="G30" i="28" l="1"/>
  <c r="G14" i="28"/>
  <c r="G48" i="28"/>
  <c r="G66" i="28"/>
  <c r="G98" i="28"/>
  <c r="G88" i="28"/>
  <c r="G54" i="28"/>
  <c r="G78" i="28"/>
  <c r="G56" i="28"/>
  <c r="G80" i="28"/>
  <c r="G50" i="28"/>
  <c r="H7" i="28"/>
  <c r="G82" i="28"/>
  <c r="G62" i="28"/>
  <c r="G60" i="28"/>
  <c r="G40" i="28"/>
  <c r="G24" i="28"/>
  <c r="G70" i="28"/>
  <c r="G46" i="28"/>
  <c r="G68" i="28"/>
  <c r="G90" i="28"/>
  <c r="G100" i="28"/>
  <c r="G92" i="28"/>
  <c r="G52" i="28"/>
  <c r="G38" i="28"/>
  <c r="G26" i="28"/>
  <c r="G22" i="28"/>
  <c r="G16" i="28"/>
  <c r="G36" i="28"/>
  <c r="G28" i="28"/>
  <c r="G102" i="28"/>
  <c r="G64" i="28"/>
  <c r="F32" i="28"/>
  <c r="F84" i="28"/>
  <c r="F42" i="28"/>
  <c r="F94" i="28"/>
  <c r="H9" i="28"/>
  <c r="H8" i="28"/>
  <c r="I7" i="28" s="1"/>
  <c r="F18" i="28"/>
  <c r="G74" i="28" l="1"/>
  <c r="G104" i="28"/>
  <c r="H102" i="28"/>
  <c r="H98" i="28"/>
  <c r="H16" i="28"/>
  <c r="H100" i="28"/>
  <c r="H46" i="28"/>
  <c r="H14" i="28"/>
  <c r="H26" i="28"/>
  <c r="H62" i="28"/>
  <c r="H52" i="28"/>
  <c r="H50" i="28"/>
  <c r="H28" i="28"/>
  <c r="H68" i="28"/>
  <c r="H54" i="28"/>
  <c r="H64" i="28"/>
  <c r="H40" i="28"/>
  <c r="H70" i="28"/>
  <c r="H90" i="28"/>
  <c r="H80" i="28"/>
  <c r="H66" i="28"/>
  <c r="H22" i="28"/>
  <c r="H24" i="28"/>
  <c r="H58" i="28"/>
  <c r="H92" i="28"/>
  <c r="H38" i="28"/>
  <c r="H60" i="28"/>
  <c r="H56" i="28"/>
  <c r="H78" i="28"/>
  <c r="H36" i="28"/>
  <c r="H48" i="28"/>
  <c r="H82" i="28"/>
  <c r="H30" i="28"/>
  <c r="H88" i="28"/>
  <c r="I9" i="28"/>
  <c r="I8" i="28"/>
  <c r="J7" i="28" s="1"/>
  <c r="H74" i="28" l="1"/>
  <c r="I40" i="28"/>
  <c r="I66" i="28"/>
  <c r="I78" i="28"/>
  <c r="I68" i="28"/>
  <c r="I52" i="28"/>
  <c r="I82" i="28"/>
  <c r="I26" i="28"/>
  <c r="I62" i="28"/>
  <c r="I64" i="28"/>
  <c r="I92" i="28"/>
  <c r="I16" i="28"/>
  <c r="I56" i="28"/>
  <c r="I30" i="28"/>
  <c r="I54" i="28"/>
  <c r="I90" i="28"/>
  <c r="I98" i="28"/>
  <c r="I88" i="28"/>
  <c r="I58" i="28"/>
  <c r="I70" i="28"/>
  <c r="I102" i="28"/>
  <c r="I80" i="28"/>
  <c r="I48" i="28"/>
  <c r="I38" i="28"/>
  <c r="I14" i="28"/>
  <c r="H104" i="28"/>
  <c r="I36" i="28"/>
  <c r="I60" i="28"/>
  <c r="I28" i="28"/>
  <c r="I46" i="28"/>
  <c r="I50" i="28"/>
  <c r="I22" i="28"/>
  <c r="I24" i="28"/>
  <c r="I100" i="28"/>
  <c r="H18" i="28"/>
  <c r="G42" i="28"/>
  <c r="G94" i="28"/>
  <c r="G18" i="28"/>
  <c r="G32" i="28"/>
  <c r="G84" i="28"/>
  <c r="J8" i="28"/>
  <c r="K7" i="28" s="1"/>
  <c r="J9" i="28"/>
  <c r="I74" i="28" l="1"/>
  <c r="J16" i="28"/>
  <c r="J36" i="28"/>
  <c r="J98" i="28"/>
  <c r="J56" i="28"/>
  <c r="J102" i="28"/>
  <c r="J60" i="28"/>
  <c r="J90" i="28"/>
  <c r="J78" i="28"/>
  <c r="J88" i="28"/>
  <c r="J70" i="28"/>
  <c r="J80" i="28"/>
  <c r="J62" i="28"/>
  <c r="J54" i="28"/>
  <c r="J82" i="28"/>
  <c r="J24" i="28"/>
  <c r="J48" i="28"/>
  <c r="J28" i="28"/>
  <c r="J66" i="28"/>
  <c r="J26" i="28"/>
  <c r="J14" i="28"/>
  <c r="J40" i="28"/>
  <c r="J64" i="28"/>
  <c r="J92" i="28"/>
  <c r="J46" i="28"/>
  <c r="J38" i="28"/>
  <c r="J50" i="28"/>
  <c r="J52" i="28"/>
  <c r="J100" i="28"/>
  <c r="J104" i="28" s="1"/>
  <c r="I104" i="28"/>
  <c r="J58" i="28"/>
  <c r="J22" i="28"/>
  <c r="J30" i="28"/>
  <c r="J68" i="28"/>
  <c r="H32" i="28"/>
  <c r="H84" i="28"/>
  <c r="H42" i="28"/>
  <c r="J18" i="28"/>
  <c r="H94" i="28"/>
  <c r="K8" i="28"/>
  <c r="L7" i="28" s="1"/>
  <c r="K9" i="28"/>
  <c r="J74" i="28" l="1"/>
  <c r="K30" i="28"/>
  <c r="K92" i="28"/>
  <c r="K62" i="28"/>
  <c r="K70" i="28"/>
  <c r="K54" i="28"/>
  <c r="K56" i="28"/>
  <c r="K98" i="28"/>
  <c r="K100" i="28"/>
  <c r="K22" i="28"/>
  <c r="K60" i="28"/>
  <c r="K66" i="28"/>
  <c r="K24" i="28"/>
  <c r="K38" i="28"/>
  <c r="K80" i="28"/>
  <c r="K50" i="28"/>
  <c r="K26" i="28"/>
  <c r="K58" i="28"/>
  <c r="K36" i="28"/>
  <c r="K90" i="28"/>
  <c r="K16" i="28"/>
  <c r="K88" i="28"/>
  <c r="K82" i="28"/>
  <c r="K28" i="28"/>
  <c r="K102" i="28"/>
  <c r="K40" i="28"/>
  <c r="K64" i="28"/>
  <c r="K68" i="28"/>
  <c r="K14" i="28"/>
  <c r="K78" i="28"/>
  <c r="K48" i="28"/>
  <c r="K52" i="28"/>
  <c r="K46" i="28"/>
  <c r="I94" i="28"/>
  <c r="I42" i="28"/>
  <c r="I32" i="28"/>
  <c r="L8" i="28"/>
  <c r="M7" i="28" s="1"/>
  <c r="L9" i="28"/>
  <c r="I84" i="28"/>
  <c r="I18" i="28"/>
  <c r="K104" i="28" l="1"/>
  <c r="K74" i="28"/>
  <c r="L68" i="28"/>
  <c r="L40" i="28"/>
  <c r="L66" i="28"/>
  <c r="L50" i="28"/>
  <c r="L98" i="28"/>
  <c r="L36" i="28"/>
  <c r="L30" i="28"/>
  <c r="L54" i="28"/>
  <c r="L102" i="28"/>
  <c r="L88" i="28"/>
  <c r="L58" i="28"/>
  <c r="L16" i="28"/>
  <c r="L78" i="28"/>
  <c r="L92" i="28"/>
  <c r="L70" i="28"/>
  <c r="L14" i="28"/>
  <c r="L62" i="28"/>
  <c r="L22" i="28"/>
  <c r="L24" i="28"/>
  <c r="L46" i="28"/>
  <c r="L82" i="28"/>
  <c r="L48" i="28"/>
  <c r="L38" i="28"/>
  <c r="L100" i="28"/>
  <c r="L60" i="28"/>
  <c r="L64" i="28"/>
  <c r="L28" i="28"/>
  <c r="L52" i="28"/>
  <c r="L80" i="28"/>
  <c r="L90" i="28"/>
  <c r="L56" i="28"/>
  <c r="L26" i="28"/>
  <c r="J94" i="28"/>
  <c r="J84" i="28"/>
  <c r="J32" i="28"/>
  <c r="J42" i="28"/>
  <c r="M8" i="28"/>
  <c r="N7" i="28" s="1"/>
  <c r="M9" i="28"/>
  <c r="L18" i="28" l="1"/>
  <c r="L74" i="28"/>
  <c r="M82" i="28"/>
  <c r="M58" i="28"/>
  <c r="M24" i="28"/>
  <c r="M50" i="28"/>
  <c r="M66" i="28"/>
  <c r="L104" i="28"/>
  <c r="M80" i="28"/>
  <c r="M54" i="28"/>
  <c r="M102" i="28"/>
  <c r="M28" i="28"/>
  <c r="M88" i="28"/>
  <c r="M64" i="28"/>
  <c r="M26" i="28"/>
  <c r="M36" i="28"/>
  <c r="M38" i="28"/>
  <c r="M30" i="28"/>
  <c r="M14" i="28"/>
  <c r="M56" i="28"/>
  <c r="M78" i="28"/>
  <c r="M22" i="28"/>
  <c r="M46" i="28"/>
  <c r="M70" i="28"/>
  <c r="M92" i="28"/>
  <c r="M68" i="28"/>
  <c r="M100" i="28"/>
  <c r="M60" i="28"/>
  <c r="M48" i="28"/>
  <c r="M52" i="28"/>
  <c r="M16" i="28"/>
  <c r="N100" i="28"/>
  <c r="N14" i="28"/>
  <c r="N56" i="28"/>
  <c r="N22" i="28"/>
  <c r="N52" i="28"/>
  <c r="N64" i="28"/>
  <c r="N38" i="28"/>
  <c r="N26" i="28"/>
  <c r="N70" i="28"/>
  <c r="N90" i="28"/>
  <c r="N50" i="28"/>
  <c r="N80" i="28"/>
  <c r="N62" i="28"/>
  <c r="M62" i="28"/>
  <c r="M40" i="28"/>
  <c r="M90" i="28"/>
  <c r="M98" i="28"/>
  <c r="M104" i="28" s="1"/>
  <c r="K94" i="28"/>
  <c r="K42" i="28"/>
  <c r="N8" i="28"/>
  <c r="O7" i="28" s="1"/>
  <c r="N9" i="28"/>
  <c r="K18" i="28"/>
  <c r="K84" i="28"/>
  <c r="K32" i="28"/>
  <c r="M18" i="28"/>
  <c r="M74" i="28" l="1"/>
  <c r="N82" i="28"/>
  <c r="N78" i="28"/>
  <c r="N16" i="28"/>
  <c r="N40" i="28"/>
  <c r="N30" i="28"/>
  <c r="N98" i="28"/>
  <c r="N58" i="28"/>
  <c r="N66" i="28"/>
  <c r="N28" i="28"/>
  <c r="N102" i="28"/>
  <c r="N104" i="28" s="1"/>
  <c r="N48" i="28"/>
  <c r="N36" i="28"/>
  <c r="N92" i="28"/>
  <c r="N54" i="28"/>
  <c r="N24" i="28"/>
  <c r="N88" i="28"/>
  <c r="N68" i="28"/>
  <c r="N60" i="28"/>
  <c r="N46" i="28"/>
  <c r="L42" i="28"/>
  <c r="L84" i="28"/>
  <c r="L32" i="28"/>
  <c r="L94" i="28"/>
  <c r="O9" i="28"/>
  <c r="O8" i="28"/>
  <c r="P7" i="28" s="1"/>
  <c r="N74" i="28" l="1"/>
  <c r="O60" i="28"/>
  <c r="O56" i="28"/>
  <c r="O24" i="28"/>
  <c r="O46" i="28"/>
  <c r="O62" i="28"/>
  <c r="O78" i="28"/>
  <c r="O90" i="28"/>
  <c r="O100" i="28"/>
  <c r="O58" i="28"/>
  <c r="O16" i="28"/>
  <c r="O82" i="28"/>
  <c r="O70" i="28"/>
  <c r="O22" i="28"/>
  <c r="O102" i="28"/>
  <c r="O92" i="28"/>
  <c r="O52" i="28"/>
  <c r="O30" i="28"/>
  <c r="O50" i="28"/>
  <c r="O64" i="28"/>
  <c r="O98" i="28"/>
  <c r="O38" i="28"/>
  <c r="O88" i="28"/>
  <c r="O54" i="28"/>
  <c r="O68" i="28"/>
  <c r="O66" i="28"/>
  <c r="O36" i="28"/>
  <c r="O48" i="28"/>
  <c r="O26" i="28"/>
  <c r="O40" i="28"/>
  <c r="O80" i="28"/>
  <c r="O28" i="28"/>
  <c r="O14" i="28"/>
  <c r="N18" i="28"/>
  <c r="M42" i="28"/>
  <c r="M32" i="28"/>
  <c r="M94" i="28"/>
  <c r="M84" i="28"/>
  <c r="P9" i="28"/>
  <c r="P8" i="28"/>
  <c r="Q7" i="28" s="1"/>
  <c r="O74" i="28" l="1"/>
  <c r="O104" i="28"/>
  <c r="P88" i="28"/>
  <c r="P90" i="28"/>
  <c r="P36" i="28"/>
  <c r="P16" i="28"/>
  <c r="P60" i="28"/>
  <c r="P64" i="28"/>
  <c r="P52" i="28"/>
  <c r="P98" i="28"/>
  <c r="P58" i="28"/>
  <c r="P54" i="28"/>
  <c r="P66" i="28"/>
  <c r="P100" i="28"/>
  <c r="P80" i="28"/>
  <c r="P56" i="28"/>
  <c r="P26" i="28"/>
  <c r="P102" i="28"/>
  <c r="P40" i="28"/>
  <c r="P48" i="28"/>
  <c r="P68" i="28"/>
  <c r="P28" i="28"/>
  <c r="P24" i="28"/>
  <c r="P50" i="28"/>
  <c r="P22" i="28"/>
  <c r="P30" i="28"/>
  <c r="P62" i="28"/>
  <c r="P38" i="28"/>
  <c r="P78" i="28"/>
  <c r="P14" i="28"/>
  <c r="Q88" i="28"/>
  <c r="P82" i="28"/>
  <c r="P92" i="28"/>
  <c r="P70" i="28"/>
  <c r="P46" i="28"/>
  <c r="N94" i="28"/>
  <c r="N84" i="28"/>
  <c r="N42" i="28"/>
  <c r="N32" i="28"/>
  <c r="Q9" i="28"/>
  <c r="Q8" i="28"/>
  <c r="R7" i="28" s="1"/>
  <c r="O18" i="28"/>
  <c r="P74" i="28" l="1"/>
  <c r="Q78" i="28"/>
  <c r="Q102" i="28"/>
  <c r="Q68" i="28"/>
  <c r="Q30" i="28"/>
  <c r="Q50" i="28"/>
  <c r="Q22" i="28"/>
  <c r="Q14" i="28"/>
  <c r="Q54" i="28"/>
  <c r="Q36" i="28"/>
  <c r="Q26" i="28"/>
  <c r="Q66" i="28"/>
  <c r="P104" i="28"/>
  <c r="Q60" i="28"/>
  <c r="Q92" i="28"/>
  <c r="Q90" i="28"/>
  <c r="Q46" i="28"/>
  <c r="Q24" i="28"/>
  <c r="Q64" i="28"/>
  <c r="Q48" i="28"/>
  <c r="Q100" i="28"/>
  <c r="Q56" i="28"/>
  <c r="Q58" i="28"/>
  <c r="Q38" i="28"/>
  <c r="Q52" i="28"/>
  <c r="Q62" i="28"/>
  <c r="Q40" i="28"/>
  <c r="Q70" i="28"/>
  <c r="Q16" i="28"/>
  <c r="Q82" i="28"/>
  <c r="Q80" i="28"/>
  <c r="Q28" i="28"/>
  <c r="Q98" i="28"/>
  <c r="Q104" i="28" s="1"/>
  <c r="O84" i="28"/>
  <c r="O42" i="28"/>
  <c r="O94" i="28"/>
  <c r="O32" i="28"/>
  <c r="P18" i="28"/>
  <c r="R8" i="28"/>
  <c r="S7" i="28" s="1"/>
  <c r="R9" i="28"/>
  <c r="Q18" i="28" l="1"/>
  <c r="Q74" i="28"/>
  <c r="R82" i="28"/>
  <c r="R66" i="28"/>
  <c r="R70" i="28"/>
  <c r="R98" i="28"/>
  <c r="R36" i="28"/>
  <c r="R22" i="28"/>
  <c r="R102" i="28"/>
  <c r="R56" i="28"/>
  <c r="R28" i="28"/>
  <c r="R68" i="28"/>
  <c r="R14" i="28"/>
  <c r="R38" i="28"/>
  <c r="R26" i="28"/>
  <c r="R52" i="28"/>
  <c r="R46" i="28"/>
  <c r="R78" i="28"/>
  <c r="R90" i="28"/>
  <c r="R54" i="28"/>
  <c r="R100" i="28"/>
  <c r="R58" i="28"/>
  <c r="R88" i="28"/>
  <c r="R60" i="28"/>
  <c r="R24" i="28"/>
  <c r="R62" i="28"/>
  <c r="R40" i="28"/>
  <c r="R92" i="28"/>
  <c r="R50" i="28"/>
  <c r="R64" i="28"/>
  <c r="R80" i="28"/>
  <c r="R30" i="28"/>
  <c r="R48" i="28"/>
  <c r="R16" i="28"/>
  <c r="S9" i="28"/>
  <c r="S8" i="28"/>
  <c r="T7" i="28" s="1"/>
  <c r="P94" i="28"/>
  <c r="P84" i="28"/>
  <c r="P42" i="28"/>
  <c r="P32" i="28"/>
  <c r="R104" i="28" l="1"/>
  <c r="R74" i="28"/>
  <c r="S62" i="28"/>
  <c r="S56" i="28"/>
  <c r="S66" i="28"/>
  <c r="S16" i="28"/>
  <c r="S88" i="28"/>
  <c r="S40" i="28"/>
  <c r="S54" i="28"/>
  <c r="S52" i="28"/>
  <c r="S82" i="28"/>
  <c r="S36" i="28"/>
  <c r="S58" i="28"/>
  <c r="S26" i="28"/>
  <c r="S78" i="28"/>
  <c r="S60" i="28"/>
  <c r="S50" i="28"/>
  <c r="S98" i="28"/>
  <c r="S38" i="28"/>
  <c r="S92" i="28"/>
  <c r="S90" i="28"/>
  <c r="S102" i="28"/>
  <c r="S80" i="28"/>
  <c r="S64" i="28"/>
  <c r="S28" i="28"/>
  <c r="S14" i="28"/>
  <c r="S18" i="28" s="1"/>
  <c r="S22" i="28"/>
  <c r="S70" i="28"/>
  <c r="S24" i="28"/>
  <c r="S46" i="28"/>
  <c r="S30" i="28"/>
  <c r="S48" i="28"/>
  <c r="S68" i="28"/>
  <c r="S100" i="28"/>
  <c r="T8" i="28"/>
  <c r="U7" i="28" s="1"/>
  <c r="T9" i="28"/>
  <c r="Q94" i="28"/>
  <c r="Q32" i="28"/>
  <c r="Q84" i="28"/>
  <c r="Q42" i="28"/>
  <c r="S74" i="28" l="1"/>
  <c r="T64" i="28"/>
  <c r="T70" i="28"/>
  <c r="T92" i="28"/>
  <c r="T48" i="28"/>
  <c r="T88" i="28"/>
  <c r="T24" i="28"/>
  <c r="T40" i="28"/>
  <c r="T36" i="28"/>
  <c r="T62" i="28"/>
  <c r="T52" i="28"/>
  <c r="T80" i="28"/>
  <c r="T82" i="28"/>
  <c r="T98" i="28"/>
  <c r="T78" i="28"/>
  <c r="T84" i="28" s="1"/>
  <c r="T102" i="28"/>
  <c r="T60" i="28"/>
  <c r="T90" i="28"/>
  <c r="T94" i="28" s="1"/>
  <c r="T56" i="28"/>
  <c r="T14" i="28"/>
  <c r="T30" i="28"/>
  <c r="T28" i="28"/>
  <c r="T66" i="28"/>
  <c r="T46" i="28"/>
  <c r="S42" i="28"/>
  <c r="U28" i="28"/>
  <c r="S32" i="28"/>
  <c r="T38" i="28"/>
  <c r="T22" i="28"/>
  <c r="T26" i="28"/>
  <c r="T100" i="28"/>
  <c r="T50" i="28"/>
  <c r="T58" i="28"/>
  <c r="T54" i="28"/>
  <c r="T68" i="28"/>
  <c r="S104" i="28"/>
  <c r="T16" i="28"/>
  <c r="S84" i="28"/>
  <c r="S94" i="28"/>
  <c r="U9" i="28"/>
  <c r="U8" i="28"/>
  <c r="V7" i="28" s="1"/>
  <c r="R94" i="28"/>
  <c r="R32" i="28"/>
  <c r="R84" i="28"/>
  <c r="R18" i="28"/>
  <c r="R42" i="28"/>
  <c r="T104" i="28" l="1"/>
  <c r="T74" i="28"/>
  <c r="T42" i="28"/>
  <c r="U26" i="28"/>
  <c r="U68" i="28"/>
  <c r="U54" i="28"/>
  <c r="U60" i="28"/>
  <c r="U14" i="28"/>
  <c r="U18" i="28" s="1"/>
  <c r="U40" i="28"/>
  <c r="S106" i="28"/>
  <c r="S112" i="28" s="1"/>
  <c r="U82" i="28"/>
  <c r="U46" i="28"/>
  <c r="U52" i="28"/>
  <c r="U100" i="28"/>
  <c r="U64" i="28"/>
  <c r="V92" i="28"/>
  <c r="T32" i="28"/>
  <c r="U80" i="28"/>
  <c r="U70" i="28"/>
  <c r="U92" i="28"/>
  <c r="U16" i="28"/>
  <c r="T18" i="28"/>
  <c r="U38" i="28"/>
  <c r="U22" i="28"/>
  <c r="U24" i="28"/>
  <c r="U98" i="28"/>
  <c r="U56" i="28"/>
  <c r="U78" i="28"/>
  <c r="U50" i="28"/>
  <c r="U102" i="28"/>
  <c r="U62" i="28"/>
  <c r="U30" i="28"/>
  <c r="U66" i="28"/>
  <c r="U90" i="28"/>
  <c r="U58" i="28"/>
  <c r="U36" i="28"/>
  <c r="U48" i="28"/>
  <c r="U88" i="28"/>
  <c r="V9" i="28"/>
  <c r="V8" i="28"/>
  <c r="W7" i="28" s="1"/>
  <c r="U74" i="28" l="1"/>
  <c r="V14" i="28"/>
  <c r="U32" i="28"/>
  <c r="V88" i="28"/>
  <c r="V60" i="28"/>
  <c r="V58" i="28"/>
  <c r="V24" i="28"/>
  <c r="V78" i="28"/>
  <c r="U84" i="28"/>
  <c r="V40" i="28"/>
  <c r="U94" i="28"/>
  <c r="V80" i="28"/>
  <c r="V56" i="28"/>
  <c r="V68" i="28"/>
  <c r="V36" i="28"/>
  <c r="T106" i="28"/>
  <c r="T112" i="28" s="1"/>
  <c r="V64" i="28"/>
  <c r="V70" i="28"/>
  <c r="V54" i="28"/>
  <c r="V46" i="28"/>
  <c r="U42" i="28"/>
  <c r="V30" i="28"/>
  <c r="V90" i="28"/>
  <c r="V94" i="28" s="1"/>
  <c r="V52" i="28"/>
  <c r="V100" i="28"/>
  <c r="V62" i="28"/>
  <c r="V48" i="28"/>
  <c r="V22" i="28"/>
  <c r="V16" i="28"/>
  <c r="V18" i="28" s="1"/>
  <c r="U104" i="28"/>
  <c r="V38" i="28"/>
  <c r="V42" i="28" s="1"/>
  <c r="V66" i="28"/>
  <c r="V26" i="28"/>
  <c r="V98" i="28"/>
  <c r="W62" i="28"/>
  <c r="V50" i="28"/>
  <c r="V28" i="28"/>
  <c r="V82" i="28"/>
  <c r="V102" i="28"/>
  <c r="W9" i="28"/>
  <c r="W8" i="28"/>
  <c r="X7" i="28" s="1"/>
  <c r="U106" i="28" l="1"/>
  <c r="U112" i="28" s="1"/>
  <c r="V74" i="28"/>
  <c r="W60" i="28"/>
  <c r="W92" i="28"/>
  <c r="W14" i="28"/>
  <c r="W52" i="28"/>
  <c r="W58" i="28"/>
  <c r="W48" i="28"/>
  <c r="W64" i="28"/>
  <c r="W100" i="28"/>
  <c r="W82" i="28"/>
  <c r="W56" i="28"/>
  <c r="W68" i="28"/>
  <c r="W16" i="28"/>
  <c r="W18" i="28" s="1"/>
  <c r="W30" i="28"/>
  <c r="W78" i="28"/>
  <c r="W46" i="28"/>
  <c r="V32" i="28"/>
  <c r="V84" i="28"/>
  <c r="W88" i="28"/>
  <c r="W24" i="28"/>
  <c r="W54" i="28"/>
  <c r="W98" i="28"/>
  <c r="W80" i="28"/>
  <c r="W90" i="28"/>
  <c r="W28" i="28"/>
  <c r="W102" i="28"/>
  <c r="W36" i="28"/>
  <c r="W66" i="28"/>
  <c r="W50" i="28"/>
  <c r="W26" i="28"/>
  <c r="X16" i="28"/>
  <c r="X100" i="28"/>
  <c r="X24" i="28"/>
  <c r="X50" i="28"/>
  <c r="X78" i="28"/>
  <c r="W40" i="28"/>
  <c r="W38" i="28"/>
  <c r="W70" i="28"/>
  <c r="W22" i="28"/>
  <c r="V104" i="28"/>
  <c r="X9" i="28"/>
  <c r="X8" i="28"/>
  <c r="Y7" i="28" s="1"/>
  <c r="W74" i="28" l="1"/>
  <c r="X54" i="28"/>
  <c r="X82" i="28"/>
  <c r="X56" i="28"/>
  <c r="X40" i="28"/>
  <c r="X28" i="28"/>
  <c r="X64" i="28"/>
  <c r="W42" i="28"/>
  <c r="X62" i="28"/>
  <c r="W32" i="28"/>
  <c r="X88" i="28"/>
  <c r="X52" i="28"/>
  <c r="V106" i="28"/>
  <c r="V112" i="28" s="1"/>
  <c r="W94" i="28"/>
  <c r="X22" i="28"/>
  <c r="X46" i="28"/>
  <c r="X38" i="28"/>
  <c r="X80" i="28"/>
  <c r="X84" i="28" s="1"/>
  <c r="X26" i="28"/>
  <c r="X98" i="28"/>
  <c r="X92" i="28"/>
  <c r="X90" i="28"/>
  <c r="X48" i="28"/>
  <c r="X102" i="28"/>
  <c r="W84" i="28"/>
  <c r="X66" i="28"/>
  <c r="X60" i="28"/>
  <c r="X70" i="28"/>
  <c r="X68" i="28"/>
  <c r="W104" i="28"/>
  <c r="X58" i="28"/>
  <c r="X30" i="28"/>
  <c r="X36" i="28"/>
  <c r="X14" i="28"/>
  <c r="X18" i="28" s="1"/>
  <c r="Y9" i="28"/>
  <c r="Y8" i="28"/>
  <c r="Z7" i="28" s="1"/>
  <c r="X74" i="28" l="1"/>
  <c r="X94" i="28"/>
  <c r="Y36" i="28"/>
  <c r="Y52" i="28"/>
  <c r="Y40" i="28"/>
  <c r="Y92" i="28"/>
  <c r="Y16" i="28"/>
  <c r="Y82" i="28"/>
  <c r="Y22" i="28"/>
  <c r="Y102" i="28"/>
  <c r="Y38" i="28"/>
  <c r="Y50" i="28"/>
  <c r="Y14" i="28"/>
  <c r="Y18" i="28" s="1"/>
  <c r="Y68" i="28"/>
  <c r="Y66" i="28"/>
  <c r="Y62" i="28"/>
  <c r="Y58" i="28"/>
  <c r="Y46" i="28"/>
  <c r="X32" i="28"/>
  <c r="Y54" i="28"/>
  <c r="Y24" i="28"/>
  <c r="Y60" i="28"/>
  <c r="Y28" i="28"/>
  <c r="W106" i="28"/>
  <c r="W112" i="28" s="1"/>
  <c r="Y80" i="28"/>
  <c r="Y64" i="28"/>
  <c r="Y90" i="28"/>
  <c r="Y100" i="28"/>
  <c r="Y30" i="28"/>
  <c r="Y88" i="28"/>
  <c r="Y94" i="28" s="1"/>
  <c r="Y48" i="28"/>
  <c r="Y26" i="28"/>
  <c r="X104" i="28"/>
  <c r="Z102" i="28"/>
  <c r="Z26" i="28"/>
  <c r="Z56" i="28"/>
  <c r="Z80" i="28"/>
  <c r="Y56" i="28"/>
  <c r="Y78" i="28"/>
  <c r="Y70" i="28"/>
  <c r="Y98" i="28"/>
  <c r="X42" i="28"/>
  <c r="Z8" i="28"/>
  <c r="AA7" i="28" s="1"/>
  <c r="Z9" i="28"/>
  <c r="Y42" i="28" l="1"/>
  <c r="Y104" i="28"/>
  <c r="Y32" i="28"/>
  <c r="Y74" i="28"/>
  <c r="Z36" i="28"/>
  <c r="Z66" i="28"/>
  <c r="X106" i="28"/>
  <c r="X112" i="28" s="1"/>
  <c r="Y84" i="28"/>
  <c r="Z14" i="28"/>
  <c r="Z58" i="28"/>
  <c r="Z24" i="28"/>
  <c r="Z30" i="28"/>
  <c r="Z54" i="28"/>
  <c r="Z100" i="28"/>
  <c r="Z88" i="28"/>
  <c r="Z22" i="28"/>
  <c r="Z64" i="28"/>
  <c r="Z48" i="28"/>
  <c r="Z38" i="28"/>
  <c r="Z92" i="28"/>
  <c r="Z70" i="28"/>
  <c r="Z46" i="28"/>
  <c r="Z82" i="28"/>
  <c r="Z50" i="28"/>
  <c r="Z28" i="28"/>
  <c r="Z62" i="28"/>
  <c r="AA52" i="28"/>
  <c r="Z78" i="28"/>
  <c r="Z40" i="28"/>
  <c r="Z42" i="28" s="1"/>
  <c r="Z68" i="28"/>
  <c r="Z98" i="28"/>
  <c r="Z104" i="28" s="1"/>
  <c r="Z60" i="28"/>
  <c r="Z90" i="28"/>
  <c r="Z52" i="28"/>
  <c r="Z16" i="28"/>
  <c r="Z18" i="28" s="1"/>
  <c r="AA9" i="28"/>
  <c r="AA8" i="28"/>
  <c r="AB7" i="28" s="1"/>
  <c r="Z84" i="28" l="1"/>
  <c r="Y106" i="28"/>
  <c r="Y112" i="28" s="1"/>
  <c r="Z74" i="28"/>
  <c r="AA80" i="28"/>
  <c r="AA62" i="28"/>
  <c r="AA50" i="28"/>
  <c r="AA82" i="28"/>
  <c r="AA60" i="28"/>
  <c r="AA90" i="28"/>
  <c r="AA16" i="28"/>
  <c r="AA24" i="28"/>
  <c r="AA36" i="28"/>
  <c r="AA30" i="28"/>
  <c r="AA102" i="28"/>
  <c r="Z94" i="28"/>
  <c r="AA22" i="28"/>
  <c r="AA58" i="28"/>
  <c r="AA26" i="28"/>
  <c r="AA98" i="28"/>
  <c r="Z32" i="28"/>
  <c r="AA38" i="28"/>
  <c r="AA28" i="28"/>
  <c r="AA64" i="28"/>
  <c r="AA14" i="28"/>
  <c r="AB102" i="28"/>
  <c r="AB68" i="28"/>
  <c r="AB40" i="28"/>
  <c r="AA88" i="28"/>
  <c r="AA54" i="28"/>
  <c r="AA70" i="28"/>
  <c r="AA100" i="28"/>
  <c r="AA78" i="28"/>
  <c r="AA84" i="28" s="1"/>
  <c r="AA48" i="28"/>
  <c r="AA92" i="28"/>
  <c r="AA46" i="28"/>
  <c r="AA56" i="28"/>
  <c r="AA40" i="28"/>
  <c r="AA66" i="28"/>
  <c r="AA68" i="28"/>
  <c r="AB8" i="28"/>
  <c r="AC7" i="28" s="1"/>
  <c r="AB9" i="28"/>
  <c r="AA74" i="28" l="1"/>
  <c r="AB60" i="28"/>
  <c r="AA18" i="28"/>
  <c r="AB82" i="28"/>
  <c r="AB64" i="28"/>
  <c r="AB54" i="28"/>
  <c r="AB90" i="28"/>
  <c r="Z106" i="28"/>
  <c r="Z112" i="28" s="1"/>
  <c r="AA42" i="28"/>
  <c r="AB78" i="28"/>
  <c r="AB66" i="28"/>
  <c r="AB56" i="28"/>
  <c r="AB46" i="28"/>
  <c r="AA104" i="28"/>
  <c r="AB36" i="28"/>
  <c r="AB52" i="28"/>
  <c r="AB70" i="28"/>
  <c r="AB14" i="28"/>
  <c r="AA94" i="28"/>
  <c r="AB62" i="28"/>
  <c r="AB58" i="28"/>
  <c r="AB26" i="28"/>
  <c r="AB100" i="28"/>
  <c r="AB50" i="28"/>
  <c r="AB30" i="28"/>
  <c r="AB92" i="28"/>
  <c r="AB28" i="28"/>
  <c r="AA32" i="28"/>
  <c r="AB24" i="28"/>
  <c r="AB80" i="28"/>
  <c r="AB22" i="28"/>
  <c r="AB16" i="28"/>
  <c r="AC28" i="28"/>
  <c r="AC30" i="28"/>
  <c r="AC80" i="28"/>
  <c r="AB88" i="28"/>
  <c r="AB38" i="28"/>
  <c r="AB48" i="28"/>
  <c r="AB98" i="28"/>
  <c r="AC9" i="28"/>
  <c r="AC8" i="28"/>
  <c r="AD7" i="28" s="1"/>
  <c r="AB74" i="28" l="1"/>
  <c r="AB94" i="28"/>
  <c r="AA106" i="28"/>
  <c r="AA112" i="28" s="1"/>
  <c r="AC70" i="28"/>
  <c r="AB42" i="28"/>
  <c r="AB104" i="28"/>
  <c r="AC66" i="28"/>
  <c r="AC52" i="28"/>
  <c r="AC68" i="28"/>
  <c r="AC46" i="28"/>
  <c r="AB32" i="28"/>
  <c r="AC60" i="28"/>
  <c r="AC92" i="28"/>
  <c r="AC56" i="28"/>
  <c r="AC100" i="28"/>
  <c r="AC22" i="28"/>
  <c r="AC38" i="28"/>
  <c r="AC50" i="28"/>
  <c r="AC14" i="28"/>
  <c r="AC62" i="28"/>
  <c r="AC58" i="28"/>
  <c r="AC48" i="28"/>
  <c r="AC16" i="28"/>
  <c r="AC36" i="28"/>
  <c r="AC90" i="28"/>
  <c r="AC24" i="28"/>
  <c r="AC102" i="28"/>
  <c r="AC82" i="28"/>
  <c r="AC64" i="28"/>
  <c r="AC26" i="28"/>
  <c r="AC98" i="28"/>
  <c r="AC88" i="28"/>
  <c r="AC78" i="28"/>
  <c r="AC54" i="28"/>
  <c r="AC40" i="28"/>
  <c r="AB18" i="28"/>
  <c r="AB84" i="28"/>
  <c r="AD9" i="28"/>
  <c r="AD8" i="28"/>
  <c r="AE7" i="28" s="1"/>
  <c r="AC32" i="28" l="1"/>
  <c r="AC74" i="28"/>
  <c r="AC18" i="28"/>
  <c r="AD88" i="28"/>
  <c r="AD40" i="28"/>
  <c r="AD22" i="28"/>
  <c r="AD68" i="28"/>
  <c r="AD48" i="28"/>
  <c r="AD62" i="28"/>
  <c r="AD54" i="28"/>
  <c r="AD56" i="28"/>
  <c r="AD38" i="28"/>
  <c r="AD92" i="28"/>
  <c r="AD90" i="28"/>
  <c r="AD102" i="28"/>
  <c r="AC84" i="28"/>
  <c r="AC94" i="28"/>
  <c r="AC42" i="28"/>
  <c r="AD30" i="28"/>
  <c r="AD58" i="28"/>
  <c r="AD66" i="28"/>
  <c r="AD14" i="28"/>
  <c r="AD82" i="28"/>
  <c r="AD28" i="28"/>
  <c r="AD64" i="28"/>
  <c r="AD46" i="28"/>
  <c r="AD36" i="28"/>
  <c r="AD78" i="28"/>
  <c r="AD70" i="28"/>
  <c r="AD100" i="28"/>
  <c r="AE16" i="28"/>
  <c r="AE52" i="28"/>
  <c r="AE62" i="28"/>
  <c r="AE40" i="28"/>
  <c r="AD80" i="28"/>
  <c r="AD52" i="28"/>
  <c r="AD26" i="28"/>
  <c r="AD16" i="28"/>
  <c r="AC104" i="28"/>
  <c r="AB106" i="28"/>
  <c r="AB112" i="28" s="1"/>
  <c r="AD60" i="28"/>
  <c r="AD24" i="28"/>
  <c r="AD50" i="28"/>
  <c r="AD98" i="28"/>
  <c r="AE9" i="28"/>
  <c r="AE8" i="28"/>
  <c r="AF7" i="28" s="1"/>
  <c r="AD104" i="28" l="1"/>
  <c r="AD74" i="28"/>
  <c r="AE56" i="28"/>
  <c r="AE98" i="28"/>
  <c r="AD18" i="28"/>
  <c r="AE66" i="28"/>
  <c r="AE30" i="28"/>
  <c r="AD84" i="28"/>
  <c r="AE70" i="28"/>
  <c r="AE68" i="28"/>
  <c r="AE88" i="28"/>
  <c r="AE28" i="28"/>
  <c r="AC106" i="28"/>
  <c r="AC112" i="28" s="1"/>
  <c r="AE60" i="28"/>
  <c r="AE50" i="28"/>
  <c r="AE22" i="28"/>
  <c r="AE102" i="28"/>
  <c r="AD32" i="28"/>
  <c r="AE24" i="28"/>
  <c r="AE58" i="28"/>
  <c r="AE48" i="28"/>
  <c r="AE26" i="28"/>
  <c r="AE38" i="28"/>
  <c r="AE82" i="28"/>
  <c r="AE54" i="28"/>
  <c r="AE14" i="28"/>
  <c r="AE18" i="28" s="1"/>
  <c r="AE80" i="28"/>
  <c r="AE90" i="28"/>
  <c r="AE94" i="28" s="1"/>
  <c r="AE78" i="28"/>
  <c r="AE46" i="28"/>
  <c r="AD42" i="28"/>
  <c r="AD94" i="28"/>
  <c r="AF98" i="28"/>
  <c r="AF54" i="28"/>
  <c r="AF26" i="28"/>
  <c r="AF50" i="28"/>
  <c r="AF40" i="28"/>
  <c r="AF66" i="28"/>
  <c r="AE36" i="28"/>
  <c r="AE42" i="28" s="1"/>
  <c r="AE64" i="28"/>
  <c r="AE92" i="28"/>
  <c r="AE100" i="28"/>
  <c r="AE104" i="28" s="1"/>
  <c r="AF9" i="28"/>
  <c r="AF8" i="28"/>
  <c r="AG7" i="28" s="1"/>
  <c r="AE32" i="28" l="1"/>
  <c r="AE74" i="28"/>
  <c r="AF24" i="28"/>
  <c r="AF102" i="28"/>
  <c r="AF30" i="28"/>
  <c r="AF48" i="28"/>
  <c r="AF58" i="28"/>
  <c r="AF90" i="28"/>
  <c r="AD106" i="28"/>
  <c r="AD112" i="28" s="1"/>
  <c r="AF82" i="28"/>
  <c r="AF38" i="28"/>
  <c r="AF22" i="28"/>
  <c r="AF62" i="28"/>
  <c r="AF14" i="28"/>
  <c r="AF56" i="28"/>
  <c r="AF78" i="28"/>
  <c r="AF46" i="28"/>
  <c r="AE84" i="28"/>
  <c r="AF88" i="28"/>
  <c r="AF28" i="28"/>
  <c r="AF100" i="28"/>
  <c r="AF104" i="28" s="1"/>
  <c r="AF36" i="28"/>
  <c r="AF42" i="28" s="1"/>
  <c r="AF68" i="28"/>
  <c r="AF16" i="28"/>
  <c r="AF18" i="28" s="1"/>
  <c r="AF92" i="28"/>
  <c r="AF70" i="28"/>
  <c r="AG50" i="28"/>
  <c r="AG88" i="28"/>
  <c r="AF60" i="28"/>
  <c r="AF80" i="28"/>
  <c r="AF64" i="28"/>
  <c r="AF52" i="28"/>
  <c r="AE106" i="28"/>
  <c r="AE112" i="28" s="1"/>
  <c r="AG9" i="28"/>
  <c r="AG8" i="28"/>
  <c r="AH7" i="28" s="1"/>
  <c r="AF74" i="28" l="1"/>
  <c r="AF94" i="28"/>
  <c r="AG48" i="28"/>
  <c r="AG28" i="28"/>
  <c r="AF84" i="28"/>
  <c r="AG68" i="28"/>
  <c r="AG46" i="28"/>
  <c r="AF32" i="28"/>
  <c r="AG24" i="28"/>
  <c r="AG60" i="28"/>
  <c r="AG22" i="28"/>
  <c r="AG56" i="28"/>
  <c r="AG30" i="28"/>
  <c r="AG100" i="28"/>
  <c r="AG92" i="28"/>
  <c r="AG38" i="28"/>
  <c r="AG90" i="28"/>
  <c r="AG26" i="28"/>
  <c r="AG82" i="28"/>
  <c r="AG36" i="28"/>
  <c r="AG54" i="28"/>
  <c r="AG16" i="28"/>
  <c r="AG78" i="28"/>
  <c r="AG58" i="28"/>
  <c r="AG52" i="28"/>
  <c r="AG98" i="28"/>
  <c r="AG40" i="28"/>
  <c r="AG66" i="28"/>
  <c r="AG70" i="28"/>
  <c r="AG102" i="28"/>
  <c r="AG62" i="28"/>
  <c r="AG80" i="28"/>
  <c r="AG64" i="28"/>
  <c r="AG14" i="28"/>
  <c r="AG18" i="28" s="1"/>
  <c r="AH8" i="28"/>
  <c r="AI7" i="28" s="1"/>
  <c r="AH9" i="28"/>
  <c r="AG94" i="28" l="1"/>
  <c r="AF106" i="28"/>
  <c r="AF112" i="28" s="1"/>
  <c r="AG74" i="28"/>
  <c r="AH90" i="28"/>
  <c r="AG84" i="28"/>
  <c r="AH82" i="28"/>
  <c r="AH70" i="28"/>
  <c r="AH28" i="28"/>
  <c r="AH46" i="28"/>
  <c r="AH56" i="28"/>
  <c r="AH80" i="28"/>
  <c r="AH26" i="28"/>
  <c r="AH100" i="28"/>
  <c r="AH22" i="28"/>
  <c r="AH66" i="28"/>
  <c r="AH14" i="28"/>
  <c r="AH40" i="28"/>
  <c r="AH48" i="28"/>
  <c r="AH92" i="28"/>
  <c r="AH68" i="28"/>
  <c r="AH88" i="28"/>
  <c r="AH24" i="28"/>
  <c r="AH64" i="28"/>
  <c r="AH52" i="28"/>
  <c r="AG42" i="28"/>
  <c r="AH60" i="28"/>
  <c r="AH62" i="28"/>
  <c r="AH30" i="28"/>
  <c r="AH102" i="28"/>
  <c r="AG104" i="28"/>
  <c r="AH58" i="28"/>
  <c r="AH78" i="28"/>
  <c r="AH84" i="28" s="1"/>
  <c r="AH54" i="28"/>
  <c r="AH16" i="28"/>
  <c r="AH36" i="28"/>
  <c r="AH50" i="28"/>
  <c r="AH38" i="28"/>
  <c r="AH98" i="28"/>
  <c r="AH104" i="28" s="1"/>
  <c r="AG32" i="28"/>
  <c r="AG106" i="28" s="1"/>
  <c r="AG112" i="28" s="1"/>
  <c r="AI8" i="28"/>
  <c r="AJ7" i="28" s="1"/>
  <c r="AI9" i="28"/>
  <c r="AH94" i="28" l="1"/>
  <c r="AH74" i="28"/>
  <c r="AH42" i="28"/>
  <c r="AI58" i="28"/>
  <c r="AI30" i="28"/>
  <c r="AI54" i="28"/>
  <c r="AI100" i="28"/>
  <c r="AI80" i="28"/>
  <c r="AI28" i="28"/>
  <c r="AI46" i="28"/>
  <c r="AI22" i="28"/>
  <c r="AI40" i="28"/>
  <c r="AI68" i="28"/>
  <c r="AI70" i="28"/>
  <c r="AI24" i="28"/>
  <c r="AI88" i="28"/>
  <c r="AI90" i="28"/>
  <c r="AI52" i="28"/>
  <c r="AH18" i="28"/>
  <c r="AI50" i="28"/>
  <c r="AI56" i="28"/>
  <c r="AI92" i="28"/>
  <c r="AI98" i="28"/>
  <c r="AI62" i="28"/>
  <c r="AI64" i="28"/>
  <c r="AI66" i="28"/>
  <c r="AI102" i="28"/>
  <c r="AJ92" i="28"/>
  <c r="AI38" i="28"/>
  <c r="AI82" i="28"/>
  <c r="AI60" i="28"/>
  <c r="AI48" i="28"/>
  <c r="AI74" i="28" s="1"/>
  <c r="AI14" i="28"/>
  <c r="AH32" i="28"/>
  <c r="AI36" i="28"/>
  <c r="AI26" i="28"/>
  <c r="AI16" i="28"/>
  <c r="AI78" i="28"/>
  <c r="AJ8" i="28"/>
  <c r="AK7" i="28" s="1"/>
  <c r="AJ9" i="28"/>
  <c r="AI84" i="28" l="1"/>
  <c r="AJ48" i="28"/>
  <c r="AJ28" i="28"/>
  <c r="AI104" i="28"/>
  <c r="AJ24" i="28"/>
  <c r="AJ50" i="28"/>
  <c r="AJ16" i="28"/>
  <c r="AJ30" i="28"/>
  <c r="AI42" i="28"/>
  <c r="AJ82" i="28"/>
  <c r="AH106" i="28"/>
  <c r="AH112" i="28" s="1"/>
  <c r="AI32" i="28"/>
  <c r="AI18" i="28"/>
  <c r="AJ88" i="28"/>
  <c r="AJ22" i="28"/>
  <c r="AJ64" i="28"/>
  <c r="AJ98" i="28"/>
  <c r="AJ80" i="28"/>
  <c r="AJ90" i="28"/>
  <c r="AJ26" i="28"/>
  <c r="AJ102" i="28"/>
  <c r="AI94" i="28"/>
  <c r="AK82" i="28"/>
  <c r="AJ36" i="28"/>
  <c r="AJ70" i="28"/>
  <c r="AJ52" i="28"/>
  <c r="AJ14" i="28"/>
  <c r="AJ18" i="28" s="1"/>
  <c r="AJ40" i="28"/>
  <c r="AJ78" i="28"/>
  <c r="AJ68" i="28"/>
  <c r="AJ46" i="28"/>
  <c r="AJ60" i="28"/>
  <c r="AJ66" i="28"/>
  <c r="AJ38" i="28"/>
  <c r="AJ100" i="28"/>
  <c r="AJ62" i="28"/>
  <c r="AJ58" i="28"/>
  <c r="AJ54" i="28"/>
  <c r="AJ56" i="28"/>
  <c r="AK8" i="28"/>
  <c r="AL7" i="28" s="1"/>
  <c r="AK9" i="28"/>
  <c r="AJ84" i="28" l="1"/>
  <c r="AJ74" i="28"/>
  <c r="AK28" i="28"/>
  <c r="AK14" i="28"/>
  <c r="AK38" i="28"/>
  <c r="AK40" i="28"/>
  <c r="AK78" i="28"/>
  <c r="AK64" i="28"/>
  <c r="AK46" i="28"/>
  <c r="AK58" i="28"/>
  <c r="AK92" i="28"/>
  <c r="AK70" i="28"/>
  <c r="AK100" i="28"/>
  <c r="AK56" i="28"/>
  <c r="AK30" i="28"/>
  <c r="AK54" i="28"/>
  <c r="AK16" i="28"/>
  <c r="AJ104" i="28"/>
  <c r="AK88" i="28"/>
  <c r="AK22" i="28"/>
  <c r="AK52" i="28"/>
  <c r="AK98" i="28"/>
  <c r="AJ42" i="28"/>
  <c r="AK36" i="28"/>
  <c r="AK42" i="28" s="1"/>
  <c r="AK50" i="28"/>
  <c r="AK66" i="28"/>
  <c r="AK102" i="28"/>
  <c r="AJ32" i="28"/>
  <c r="AL90" i="28"/>
  <c r="AL36" i="28"/>
  <c r="AK48" i="28"/>
  <c r="AK60" i="28"/>
  <c r="AK24" i="28"/>
  <c r="AK68" i="28"/>
  <c r="AJ94" i="28"/>
  <c r="AK80" i="28"/>
  <c r="AK62" i="28"/>
  <c r="AK90" i="28"/>
  <c r="AK26" i="28"/>
  <c r="AI106" i="28"/>
  <c r="AI112" i="28" s="1"/>
  <c r="AL8" i="28"/>
  <c r="AM7" i="28" s="1"/>
  <c r="AL9" i="28"/>
  <c r="AK18" i="28" l="1"/>
  <c r="AK74" i="28"/>
  <c r="AL22" i="28"/>
  <c r="AL88" i="28"/>
  <c r="AL24" i="28"/>
  <c r="AL92" i="28"/>
  <c r="AL94" i="28" s="1"/>
  <c r="AL38" i="28"/>
  <c r="AL46" i="28"/>
  <c r="AL78" i="28"/>
  <c r="AL98" i="28"/>
  <c r="AL60" i="28"/>
  <c r="AJ106" i="28"/>
  <c r="AJ112" i="28" s="1"/>
  <c r="AK94" i="28"/>
  <c r="AL64" i="28"/>
  <c r="AL82" i="28"/>
  <c r="AL58" i="28"/>
  <c r="AL28" i="28"/>
  <c r="AL14" i="28"/>
  <c r="AL70" i="28"/>
  <c r="AL30" i="28"/>
  <c r="AL54" i="28"/>
  <c r="AL100" i="28"/>
  <c r="AL62" i="28"/>
  <c r="AL50" i="28"/>
  <c r="AL68" i="28"/>
  <c r="AL16" i="28"/>
  <c r="AK104" i="28"/>
  <c r="AL56" i="28"/>
  <c r="AL80" i="28"/>
  <c r="AL84" i="28" s="1"/>
  <c r="AL52" i="28"/>
  <c r="AL102" i="28"/>
  <c r="AK84" i="28"/>
  <c r="AL40" i="28"/>
  <c r="AL42" i="28" s="1"/>
  <c r="AL48" i="28"/>
  <c r="AL66" i="28"/>
  <c r="AL26" i="28"/>
  <c r="AL32" i="28" s="1"/>
  <c r="AK32" i="28"/>
  <c r="AM8" i="28"/>
  <c r="AN7" i="28" s="1"/>
  <c r="AM9" i="28"/>
  <c r="AL18" i="28" l="1"/>
  <c r="AL74" i="28"/>
  <c r="AM38" i="28"/>
  <c r="AM58" i="28"/>
  <c r="AM24" i="28"/>
  <c r="AM56" i="28"/>
  <c r="AL104" i="28"/>
  <c r="AM68" i="28"/>
  <c r="AM98" i="28"/>
  <c r="AL106" i="28"/>
  <c r="AL112" i="28" s="1"/>
  <c r="AM30" i="28"/>
  <c r="AM66" i="28"/>
  <c r="AM52" i="28"/>
  <c r="AM102" i="28"/>
  <c r="AK106" i="28"/>
  <c r="AK112" i="28" s="1"/>
  <c r="AM88" i="28"/>
  <c r="AM82" i="28"/>
  <c r="AM92" i="28"/>
  <c r="AM26" i="28"/>
  <c r="AM36" i="28"/>
  <c r="AM80" i="28"/>
  <c r="AM54" i="28"/>
  <c r="AM22" i="28"/>
  <c r="AM70" i="28"/>
  <c r="AM14" i="28"/>
  <c r="AM40" i="28"/>
  <c r="AM60" i="28"/>
  <c r="AM28" i="28"/>
  <c r="AM46" i="28"/>
  <c r="AM48" i="28"/>
  <c r="AM78" i="28"/>
  <c r="AM50" i="28"/>
  <c r="AM100" i="28"/>
  <c r="AM104" i="28" s="1"/>
  <c r="AM62" i="28"/>
  <c r="AM64" i="28"/>
  <c r="AM90" i="28"/>
  <c r="AM16" i="28"/>
  <c r="AN9" i="28"/>
  <c r="AN8" i="28"/>
  <c r="AO7" i="28" s="1"/>
  <c r="AM32" i="28" l="1"/>
  <c r="AM74" i="28"/>
  <c r="AN68" i="28"/>
  <c r="AN66" i="28"/>
  <c r="AN62" i="28"/>
  <c r="AN102" i="28"/>
  <c r="AM18" i="28"/>
  <c r="AN38" i="28"/>
  <c r="AN54" i="28"/>
  <c r="AN48" i="28"/>
  <c r="AN16" i="28"/>
  <c r="AM84" i="28"/>
  <c r="AM94" i="28"/>
  <c r="AN30" i="28"/>
  <c r="AN24" i="28"/>
  <c r="AN52" i="28"/>
  <c r="AN98" i="28"/>
  <c r="AN88" i="28"/>
  <c r="AN90" i="28"/>
  <c r="AN78" i="28"/>
  <c r="AN28" i="28"/>
  <c r="AN80" i="28"/>
  <c r="AN70" i="28"/>
  <c r="AN56" i="28"/>
  <c r="AN26" i="28"/>
  <c r="AM42" i="28"/>
  <c r="AN60" i="28"/>
  <c r="AN50" i="28"/>
  <c r="AN36" i="28"/>
  <c r="AN14" i="28"/>
  <c r="AN18" i="28" s="1"/>
  <c r="AN22" i="28"/>
  <c r="AN40" i="28"/>
  <c r="AN92" i="28"/>
  <c r="AN46" i="28"/>
  <c r="AN82" i="28"/>
  <c r="AN58" i="28"/>
  <c r="AN64" i="28"/>
  <c r="AN100" i="28"/>
  <c r="AO9" i="28"/>
  <c r="AO8" i="28"/>
  <c r="AP7" i="28" s="1"/>
  <c r="AN42" i="28" l="1"/>
  <c r="AN74" i="28"/>
  <c r="AN106" i="28" s="1"/>
  <c r="AN112" i="28" s="1"/>
  <c r="AN32" i="28"/>
  <c r="AN84" i="28"/>
  <c r="AO90" i="28"/>
  <c r="AO66" i="28"/>
  <c r="AO50" i="28"/>
  <c r="AO46" i="28"/>
  <c r="AO22" i="28"/>
  <c r="AO64" i="28"/>
  <c r="AO70" i="28"/>
  <c r="AO100" i="28"/>
  <c r="AO82" i="28"/>
  <c r="AO38" i="28"/>
  <c r="AN94" i="28"/>
  <c r="AO58" i="28"/>
  <c r="AO30" i="28"/>
  <c r="AO48" i="28"/>
  <c r="AO54" i="28"/>
  <c r="AO92" i="28"/>
  <c r="AO14" i="28"/>
  <c r="AO62" i="28"/>
  <c r="AO80" i="28"/>
  <c r="AO26" i="28"/>
  <c r="AO52" i="28"/>
  <c r="AP52" i="28"/>
  <c r="AP90" i="28"/>
  <c r="AP80" i="28"/>
  <c r="AP36" i="28"/>
  <c r="AN104" i="28"/>
  <c r="AO40" i="28"/>
  <c r="AO60" i="28"/>
  <c r="AO28" i="28"/>
  <c r="AO16" i="28"/>
  <c r="AO24" i="28"/>
  <c r="AO88" i="28"/>
  <c r="AO94" i="28" s="1"/>
  <c r="AO68" i="28"/>
  <c r="AO98" i="28"/>
  <c r="AO56" i="28"/>
  <c r="AO36" i="28"/>
  <c r="AO78" i="28"/>
  <c r="AO84" i="28" s="1"/>
  <c r="AO102" i="28"/>
  <c r="AM106" i="28"/>
  <c r="AM112" i="28" s="1"/>
  <c r="AP9" i="28"/>
  <c r="AP8" i="28"/>
  <c r="AQ7" i="28" s="1"/>
  <c r="AO74" i="28" l="1"/>
  <c r="AP26" i="28"/>
  <c r="AP28" i="28"/>
  <c r="AP30" i="28"/>
  <c r="AP58" i="28"/>
  <c r="AP88" i="28"/>
  <c r="AP14" i="28"/>
  <c r="AP56" i="28"/>
  <c r="AP46" i="28"/>
  <c r="AO104" i="28"/>
  <c r="AP82" i="28"/>
  <c r="AP66" i="28"/>
  <c r="AP38" i="28"/>
  <c r="AP100" i="28"/>
  <c r="AP62" i="28"/>
  <c r="AP78" i="28"/>
  <c r="AP84" i="28" s="1"/>
  <c r="AP92" i="28"/>
  <c r="AP68" i="28"/>
  <c r="AO32" i="28"/>
  <c r="AP40" i="28"/>
  <c r="AP48" i="28"/>
  <c r="AP50" i="28"/>
  <c r="AP16" i="28"/>
  <c r="AP18" i="28" s="1"/>
  <c r="AP22" i="28"/>
  <c r="AP32" i="28" s="1"/>
  <c r="AP24" i="28"/>
  <c r="AP64" i="28"/>
  <c r="AP98" i="28"/>
  <c r="AO42" i="28"/>
  <c r="AP60" i="28"/>
  <c r="AP70" i="28"/>
  <c r="AP54" i="28"/>
  <c r="AP102" i="28"/>
  <c r="AO18" i="28"/>
  <c r="AQ8" i="28"/>
  <c r="AR7" i="28" s="1"/>
  <c r="AQ9" i="28"/>
  <c r="AP74" i="28" l="1"/>
  <c r="AP94" i="28"/>
  <c r="AP42" i="28"/>
  <c r="AP104" i="28"/>
  <c r="AQ66" i="28"/>
  <c r="AQ90" i="28"/>
  <c r="AQ64" i="28"/>
  <c r="AQ16" i="28"/>
  <c r="AR102" i="28"/>
  <c r="AQ50" i="28"/>
  <c r="AQ24" i="28"/>
  <c r="AQ70" i="28"/>
  <c r="AQ98" i="28"/>
  <c r="AQ82" i="28"/>
  <c r="AQ88" i="28"/>
  <c r="AQ54" i="28"/>
  <c r="AQ14" i="28"/>
  <c r="AQ62" i="28"/>
  <c r="AQ58" i="28"/>
  <c r="AQ78" i="28"/>
  <c r="AQ102" i="28"/>
  <c r="AP106" i="28"/>
  <c r="AP112" i="28" s="1"/>
  <c r="AQ38" i="28"/>
  <c r="AQ40" i="28"/>
  <c r="AQ68" i="28"/>
  <c r="AQ46" i="28"/>
  <c r="AO106" i="28"/>
  <c r="AO112" i="28" s="1"/>
  <c r="AQ80" i="28"/>
  <c r="AQ60" i="28"/>
  <c r="AQ48" i="28"/>
  <c r="AQ100" i="28"/>
  <c r="AQ22" i="28"/>
  <c r="AQ30" i="28"/>
  <c r="AQ28" i="28"/>
  <c r="AQ26" i="28"/>
  <c r="AQ56" i="28"/>
  <c r="AQ92" i="28"/>
  <c r="AQ36" i="28"/>
  <c r="AQ52" i="28"/>
  <c r="AR8" i="28"/>
  <c r="AS7" i="28" s="1"/>
  <c r="AR9" i="28"/>
  <c r="AQ18" i="28" l="1"/>
  <c r="AQ74" i="28"/>
  <c r="AQ42" i="28"/>
  <c r="AR50" i="28"/>
  <c r="AR56" i="28"/>
  <c r="AR68" i="28"/>
  <c r="AQ84" i="28"/>
  <c r="AR78" i="28"/>
  <c r="AR48" i="28"/>
  <c r="AR26" i="28"/>
  <c r="AR14" i="28"/>
  <c r="AR38" i="28"/>
  <c r="AR22" i="28"/>
  <c r="AR64" i="28"/>
  <c r="AR46" i="28"/>
  <c r="AR88" i="28"/>
  <c r="AR80" i="28"/>
  <c r="AR28" i="28"/>
  <c r="AR100" i="28"/>
  <c r="AQ104" i="28"/>
  <c r="AR62" i="28"/>
  <c r="AR40" i="28"/>
  <c r="AR90" i="28"/>
  <c r="AR52" i="28"/>
  <c r="AS100" i="28"/>
  <c r="AS28" i="28"/>
  <c r="AQ32" i="28"/>
  <c r="AR82" i="28"/>
  <c r="AR36" i="28"/>
  <c r="AR42" i="28" s="1"/>
  <c r="AR66" i="28"/>
  <c r="AR92" i="28"/>
  <c r="AQ94" i="28"/>
  <c r="AR60" i="28"/>
  <c r="AR58" i="28"/>
  <c r="AR70" i="28"/>
  <c r="AR16" i="28"/>
  <c r="AR24" i="28"/>
  <c r="AR30" i="28"/>
  <c r="AR54" i="28"/>
  <c r="AR98" i="28"/>
  <c r="AR104" i="28" s="1"/>
  <c r="AS8" i="28"/>
  <c r="AT7" i="28" s="1"/>
  <c r="AS9" i="28"/>
  <c r="AQ106" i="28" l="1"/>
  <c r="AQ112" i="28" s="1"/>
  <c r="AR74" i="28"/>
  <c r="AS40" i="28"/>
  <c r="AS92" i="28"/>
  <c r="AS66" i="28"/>
  <c r="AS78" i="28"/>
  <c r="AS70" i="28"/>
  <c r="AS16" i="28"/>
  <c r="AR32" i="28"/>
  <c r="AS90" i="28"/>
  <c r="AS58" i="28"/>
  <c r="AS68" i="28"/>
  <c r="AS98" i="28"/>
  <c r="AS104" i="28" s="1"/>
  <c r="AS60" i="28"/>
  <c r="AS56" i="28"/>
  <c r="AS26" i="28"/>
  <c r="AS102" i="28"/>
  <c r="AR18" i="28"/>
  <c r="AS38" i="28"/>
  <c r="AS42" i="28" s="1"/>
  <c r="AS54" i="28"/>
  <c r="AS50" i="28"/>
  <c r="AS88" i="28"/>
  <c r="AS80" i="28"/>
  <c r="AS24" i="28"/>
  <c r="AS36" i="28"/>
  <c r="AR94" i="28"/>
  <c r="AS62" i="28"/>
  <c r="AS48" i="28"/>
  <c r="AS82" i="28"/>
  <c r="AS64" i="28"/>
  <c r="AS46" i="28"/>
  <c r="AR84" i="28"/>
  <c r="AS22" i="28"/>
  <c r="AS30" i="28"/>
  <c r="AS52" i="28"/>
  <c r="AS14" i="28"/>
  <c r="AT8" i="28"/>
  <c r="AU7" i="28" s="1"/>
  <c r="AT9" i="28"/>
  <c r="AS18" i="28" l="1"/>
  <c r="AS74" i="28"/>
  <c r="AS32" i="28"/>
  <c r="AS94" i="28"/>
  <c r="AT82" i="28"/>
  <c r="AT60" i="28"/>
  <c r="AT36" i="28"/>
  <c r="AT100" i="28"/>
  <c r="AT54" i="28"/>
  <c r="AT14" i="28"/>
  <c r="AT92" i="28"/>
  <c r="AT90" i="28"/>
  <c r="AT68" i="28"/>
  <c r="AT46" i="28"/>
  <c r="AR106" i="28"/>
  <c r="AR112" i="28" s="1"/>
  <c r="AT78" i="28"/>
  <c r="AT66" i="28"/>
  <c r="AT88" i="28"/>
  <c r="AT70" i="28"/>
  <c r="AT28" i="28"/>
  <c r="AT16" i="28"/>
  <c r="AU70" i="28"/>
  <c r="AT30" i="28"/>
  <c r="AT50" i="28"/>
  <c r="AT26" i="28"/>
  <c r="AT98" i="28"/>
  <c r="AT80" i="28"/>
  <c r="AT24" i="28"/>
  <c r="AT22" i="28"/>
  <c r="AT102" i="28"/>
  <c r="AT56" i="28"/>
  <c r="AT62" i="28"/>
  <c r="AT64" i="28"/>
  <c r="AT48" i="28"/>
  <c r="AT74" i="28" s="1"/>
  <c r="AS84" i="28"/>
  <c r="AT58" i="28"/>
  <c r="AT38" i="28"/>
  <c r="AT52" i="28"/>
  <c r="AT40" i="28"/>
  <c r="AU8" i="28"/>
  <c r="AV7" i="28" s="1"/>
  <c r="AU9" i="28"/>
  <c r="AT32" i="28" l="1"/>
  <c r="AU82" i="28"/>
  <c r="AU68" i="28"/>
  <c r="AU88" i="28"/>
  <c r="AU26" i="28"/>
  <c r="AU52" i="28"/>
  <c r="AU62" i="28"/>
  <c r="AS106" i="28"/>
  <c r="AS112" i="28" s="1"/>
  <c r="AU30" i="28"/>
  <c r="AU102" i="28"/>
  <c r="AU80" i="28"/>
  <c r="AU28" i="28"/>
  <c r="AU22" i="28"/>
  <c r="AU38" i="28"/>
  <c r="AU56" i="28"/>
  <c r="AU54" i="28"/>
  <c r="AU14" i="28"/>
  <c r="AU36" i="28"/>
  <c r="AU90" i="28"/>
  <c r="AU66" i="28"/>
  <c r="AU46" i="28"/>
  <c r="AT94" i="28"/>
  <c r="AT18" i="28"/>
  <c r="AT104" i="28"/>
  <c r="AU60" i="28"/>
  <c r="AU58" i="28"/>
  <c r="AU50" i="28"/>
  <c r="AU100" i="28"/>
  <c r="AU78" i="28"/>
  <c r="AU84" i="28" s="1"/>
  <c r="AU64" i="28"/>
  <c r="AU48" i="28"/>
  <c r="AU16" i="28"/>
  <c r="AT84" i="28"/>
  <c r="AU40" i="28"/>
  <c r="AU92" i="28"/>
  <c r="AU94" i="28" s="1"/>
  <c r="AU24" i="28"/>
  <c r="AU32" i="28" s="1"/>
  <c r="AU98" i="28"/>
  <c r="AU104" i="28" s="1"/>
  <c r="AT42" i="28"/>
  <c r="AV9" i="28"/>
  <c r="AV8" i="28"/>
  <c r="AW7" i="28" s="1"/>
  <c r="AU74" i="28" l="1"/>
  <c r="AV82" i="28"/>
  <c r="AV46" i="28"/>
  <c r="AV56" i="28"/>
  <c r="AT106" i="28"/>
  <c r="AT112" i="28" s="1"/>
  <c r="AV92" i="28"/>
  <c r="AV70" i="28"/>
  <c r="AV28" i="28"/>
  <c r="AV90" i="28"/>
  <c r="AV38" i="28"/>
  <c r="AV68" i="28"/>
  <c r="AV88" i="28"/>
  <c r="AV14" i="28"/>
  <c r="AW48" i="28"/>
  <c r="AV80" i="28"/>
  <c r="AV22" i="28"/>
  <c r="AV48" i="28"/>
  <c r="AV100" i="28"/>
  <c r="AV78" i="28"/>
  <c r="AV66" i="28"/>
  <c r="AV24" i="28"/>
  <c r="AV16" i="28"/>
  <c r="AU42" i="28"/>
  <c r="AV62" i="28"/>
  <c r="AV50" i="28"/>
  <c r="AV52" i="28"/>
  <c r="AV98" i="28"/>
  <c r="AV60" i="28"/>
  <c r="AV64" i="28"/>
  <c r="AV58" i="28"/>
  <c r="AV102" i="28"/>
  <c r="AU18" i="28"/>
  <c r="AV40" i="28"/>
  <c r="AV30" i="28"/>
  <c r="AV54" i="28"/>
  <c r="AV26" i="28"/>
  <c r="AV36" i="28"/>
  <c r="AV18" i="28"/>
  <c r="AW9" i="28"/>
  <c r="AW8" i="28"/>
  <c r="AX7" i="28" s="1"/>
  <c r="AV42" i="28" l="1"/>
  <c r="AV84" i="28"/>
  <c r="AV74" i="28"/>
  <c r="AW68" i="28"/>
  <c r="AW78" i="28"/>
  <c r="AW16" i="28"/>
  <c r="AW36" i="28"/>
  <c r="AW58" i="28"/>
  <c r="AV94" i="28"/>
  <c r="AW62" i="28"/>
  <c r="AW80" i="28"/>
  <c r="AV104" i="28"/>
  <c r="AW92" i="28"/>
  <c r="AW60" i="28"/>
  <c r="AW54" i="28"/>
  <c r="AW98" i="28"/>
  <c r="AW38" i="28"/>
  <c r="AW90" i="28"/>
  <c r="AW56" i="28"/>
  <c r="AW102" i="28"/>
  <c r="AW40" i="28"/>
  <c r="AW26" i="28"/>
  <c r="AW50" i="28"/>
  <c r="AW14" i="28"/>
  <c r="AW18" i="28" s="1"/>
  <c r="AV32" i="28"/>
  <c r="AW22" i="28"/>
  <c r="AW66" i="28"/>
  <c r="AW28" i="28"/>
  <c r="AW46" i="28"/>
  <c r="AX102" i="28"/>
  <c r="AX98" i="28"/>
  <c r="AX26" i="28"/>
  <c r="AX54" i="28"/>
  <c r="AX48" i="28"/>
  <c r="AX56" i="28"/>
  <c r="AX78" i="28"/>
  <c r="AX82" i="28"/>
  <c r="AX66" i="28"/>
  <c r="AX36" i="28"/>
  <c r="AX22" i="28"/>
  <c r="AX40" i="28"/>
  <c r="AX88" i="28"/>
  <c r="AX80" i="28"/>
  <c r="AU106" i="28"/>
  <c r="AU112" i="28" s="1"/>
  <c r="AW82" i="28"/>
  <c r="AW84" i="28" s="1"/>
  <c r="AW30" i="28"/>
  <c r="AW52" i="28"/>
  <c r="AW100" i="28"/>
  <c r="AW88" i="28"/>
  <c r="AW70" i="28"/>
  <c r="AW64" i="28"/>
  <c r="AW24" i="28"/>
  <c r="AX9" i="28"/>
  <c r="AX8" i="28"/>
  <c r="AY7" i="28" s="1"/>
  <c r="AW74" i="28" l="1"/>
  <c r="AV106" i="28"/>
  <c r="AV112" i="28" s="1"/>
  <c r="AW94" i="28"/>
  <c r="AX50" i="28"/>
  <c r="AX30" i="28"/>
  <c r="AW42" i="28"/>
  <c r="AW32" i="28"/>
  <c r="AX92" i="28"/>
  <c r="AX38" i="28"/>
  <c r="AX42" i="28" s="1"/>
  <c r="AX28" i="28"/>
  <c r="AX16" i="28"/>
  <c r="AY64" i="28"/>
  <c r="AY82" i="28"/>
  <c r="AX64" i="28"/>
  <c r="AX70" i="28"/>
  <c r="AX68" i="28"/>
  <c r="AX14" i="28"/>
  <c r="AX60" i="28"/>
  <c r="AX58" i="28"/>
  <c r="AX52" i="28"/>
  <c r="AX46" i="28"/>
  <c r="AW104" i="28"/>
  <c r="AX62" i="28"/>
  <c r="AX24" i="28"/>
  <c r="AX32" i="28" s="1"/>
  <c r="AX90" i="28"/>
  <c r="AX94" i="28" s="1"/>
  <c r="AX100" i="28"/>
  <c r="AX104" i="28" s="1"/>
  <c r="AX84" i="28"/>
  <c r="AY8" i="28"/>
  <c r="AZ7" i="28" s="1"/>
  <c r="AY9" i="28"/>
  <c r="AX74" i="28" l="1"/>
  <c r="AY38" i="28"/>
  <c r="AY70" i="28"/>
  <c r="AY40" i="28"/>
  <c r="AY28" i="28"/>
  <c r="AW106" i="28"/>
  <c r="AW112" i="28" s="1"/>
  <c r="AY88" i="28"/>
  <c r="AY68" i="28"/>
  <c r="AY78" i="28"/>
  <c r="AY16" i="28"/>
  <c r="AY58" i="28"/>
  <c r="AY14" i="28"/>
  <c r="AY18" i="28" s="1"/>
  <c r="AY50" i="28"/>
  <c r="AY56" i="28"/>
  <c r="AY26" i="28"/>
  <c r="AY46" i="28"/>
  <c r="AY80" i="28"/>
  <c r="AY92" i="28"/>
  <c r="AY22" i="28"/>
  <c r="AY100" i="28"/>
  <c r="AY60" i="28"/>
  <c r="AY66" i="28"/>
  <c r="AY48" i="28"/>
  <c r="AY52" i="28"/>
  <c r="AY62" i="28"/>
  <c r="AY30" i="28"/>
  <c r="AY90" i="28"/>
  <c r="AY94" i="28" s="1"/>
  <c r="AY98" i="28"/>
  <c r="AZ98" i="28"/>
  <c r="AZ30" i="28"/>
  <c r="AZ52" i="28"/>
  <c r="AZ48" i="28"/>
  <c r="AZ36" i="28"/>
  <c r="AZ56" i="28"/>
  <c r="AZ62" i="28"/>
  <c r="AZ60" i="28"/>
  <c r="AX18" i="28"/>
  <c r="AX106" i="28" s="1"/>
  <c r="AX112" i="28" s="1"/>
  <c r="AY36" i="28"/>
  <c r="AY42" i="28" s="1"/>
  <c r="AY24" i="28"/>
  <c r="AY54" i="28"/>
  <c r="AY102" i="28"/>
  <c r="AZ8" i="28"/>
  <c r="BA7" i="28" s="1"/>
  <c r="AZ9" i="28"/>
  <c r="AY74" i="28" l="1"/>
  <c r="AY84" i="28"/>
  <c r="AZ80" i="28"/>
  <c r="AZ66" i="28"/>
  <c r="AZ102" i="28"/>
  <c r="AZ38" i="28"/>
  <c r="AZ42" i="28" s="1"/>
  <c r="AZ24" i="28"/>
  <c r="AZ46" i="28"/>
  <c r="AZ40" i="28"/>
  <c r="AZ64" i="28"/>
  <c r="AZ58" i="28"/>
  <c r="AZ78" i="28"/>
  <c r="AZ26" i="28"/>
  <c r="AZ70" i="28"/>
  <c r="AY32" i="28"/>
  <c r="AZ88" i="28"/>
  <c r="AZ50" i="28"/>
  <c r="AZ68" i="28"/>
  <c r="AZ14" i="28"/>
  <c r="AZ92" i="28"/>
  <c r="AZ90" i="28"/>
  <c r="AZ54" i="28"/>
  <c r="AZ100" i="28"/>
  <c r="AZ104" i="28" s="1"/>
  <c r="AY104" i="28"/>
  <c r="BA52" i="28"/>
  <c r="BA26" i="28"/>
  <c r="BA50" i="28"/>
  <c r="BA92" i="28"/>
  <c r="BA88" i="28"/>
  <c r="BA62" i="28"/>
  <c r="BA78" i="28"/>
  <c r="AZ82" i="28"/>
  <c r="AZ22" i="28"/>
  <c r="AZ28" i="28"/>
  <c r="AZ16" i="28"/>
  <c r="BA8" i="28"/>
  <c r="BB7" i="28" s="1"/>
  <c r="BA9" i="28"/>
  <c r="AZ74" i="28" l="1"/>
  <c r="AZ84" i="28"/>
  <c r="BA60" i="28"/>
  <c r="BA80" i="28"/>
  <c r="AZ32" i="28"/>
  <c r="BA56" i="28"/>
  <c r="BA66" i="28"/>
  <c r="BA30" i="28"/>
  <c r="BA98" i="28"/>
  <c r="BA36" i="28"/>
  <c r="BA90" i="28"/>
  <c r="BA94" i="28" s="1"/>
  <c r="BA102" i="28"/>
  <c r="AZ18" i="28"/>
  <c r="AZ94" i="28"/>
  <c r="BA82" i="28"/>
  <c r="BA84" i="28" s="1"/>
  <c r="BA64" i="28"/>
  <c r="BA70" i="28"/>
  <c r="AY106" i="28"/>
  <c r="AY112" i="28" s="1"/>
  <c r="BA24" i="28"/>
  <c r="BA40" i="28"/>
  <c r="BA28" i="28"/>
  <c r="BA100" i="28"/>
  <c r="BB78" i="28"/>
  <c r="BB26" i="28"/>
  <c r="BB62" i="28"/>
  <c r="BB36" i="28"/>
  <c r="BB88" i="28"/>
  <c r="BA54" i="28"/>
  <c r="BA14" i="28"/>
  <c r="BA48" i="28"/>
  <c r="BA38" i="28"/>
  <c r="BA46" i="28"/>
  <c r="BA58" i="28"/>
  <c r="BA22" i="28"/>
  <c r="BA68" i="28"/>
  <c r="BA16" i="28"/>
  <c r="BB8" i="28"/>
  <c r="BC7" i="28" s="1"/>
  <c r="BB9" i="28"/>
  <c r="BA74" i="28" l="1"/>
  <c r="BA32" i="28"/>
  <c r="BB38" i="28"/>
  <c r="BB24" i="28"/>
  <c r="BB58" i="28"/>
  <c r="BB46" i="28"/>
  <c r="BB40" i="28"/>
  <c r="BB90" i="28"/>
  <c r="BB16" i="28"/>
  <c r="BB80" i="28"/>
  <c r="BB66" i="28"/>
  <c r="BB68" i="28"/>
  <c r="BB70" i="28"/>
  <c r="BB82" i="28"/>
  <c r="BB50" i="28"/>
  <c r="BA42" i="28"/>
  <c r="AZ106" i="28"/>
  <c r="AZ112" i="28" s="1"/>
  <c r="BB60" i="28"/>
  <c r="BB64" i="28"/>
  <c r="BB52" i="28"/>
  <c r="BB100" i="28"/>
  <c r="BB56" i="28"/>
  <c r="BB92" i="28"/>
  <c r="BB22" i="28"/>
  <c r="BB14" i="28"/>
  <c r="BB18" i="28" s="1"/>
  <c r="BA18" i="28"/>
  <c r="BB48" i="28"/>
  <c r="BB30" i="28"/>
  <c r="BB54" i="28"/>
  <c r="BB98" i="28"/>
  <c r="BB42" i="28"/>
  <c r="BB28" i="28"/>
  <c r="BB102" i="28"/>
  <c r="BA104" i="28"/>
  <c r="BC8" i="28"/>
  <c r="BD7" i="28" s="1"/>
  <c r="BC9" i="28"/>
  <c r="BB94" i="28" l="1"/>
  <c r="BB84" i="28"/>
  <c r="BB74" i="28"/>
  <c r="BB104" i="28"/>
  <c r="BC92" i="28"/>
  <c r="BC36" i="28"/>
  <c r="BC64" i="28"/>
  <c r="BC46" i="28"/>
  <c r="BC38" i="28"/>
  <c r="BC30" i="28"/>
  <c r="BC54" i="28"/>
  <c r="BC100" i="28"/>
  <c r="BC40" i="28"/>
  <c r="BC68" i="28"/>
  <c r="BC28" i="28"/>
  <c r="BC16" i="28"/>
  <c r="BC80" i="28"/>
  <c r="BC60" i="28"/>
  <c r="BC66" i="28"/>
  <c r="BC98" i="28"/>
  <c r="BA106" i="28"/>
  <c r="BA112" i="28" s="1"/>
  <c r="BC62" i="28"/>
  <c r="BC78" i="28"/>
  <c r="BC52" i="28"/>
  <c r="BC102" i="28"/>
  <c r="BC88" i="28"/>
  <c r="BC48" i="28"/>
  <c r="BC24" i="28"/>
  <c r="BC26" i="28"/>
  <c r="BC82" i="28"/>
  <c r="BC58" i="28"/>
  <c r="BC50" i="28"/>
  <c r="BC22" i="28"/>
  <c r="BC56" i="28"/>
  <c r="BC70" i="28"/>
  <c r="BC90" i="28"/>
  <c r="BC14" i="28"/>
  <c r="BB32" i="28"/>
  <c r="BB106" i="28" s="1"/>
  <c r="BB112" i="28" s="1"/>
  <c r="BD9" i="28"/>
  <c r="BD8" i="28"/>
  <c r="BE7" i="28" s="1"/>
  <c r="BC18" i="28" l="1"/>
  <c r="BC74" i="28"/>
  <c r="BD28" i="28"/>
  <c r="BD100" i="28"/>
  <c r="BD16" i="28"/>
  <c r="BD58" i="28"/>
  <c r="BC84" i="28"/>
  <c r="BD88" i="28"/>
  <c r="BD62" i="28"/>
  <c r="BD48" i="28"/>
  <c r="BC104" i="28"/>
  <c r="BD92" i="28"/>
  <c r="BC32" i="28"/>
  <c r="BC94" i="28"/>
  <c r="BD60" i="28"/>
  <c r="BD56" i="28"/>
  <c r="BD26" i="28"/>
  <c r="BD98" i="28"/>
  <c r="BE40" i="28"/>
  <c r="BE56" i="28"/>
  <c r="E96" i="22"/>
  <c r="E75" i="22"/>
  <c r="G75" i="22" s="1"/>
  <c r="H75" i="22" s="1"/>
  <c r="E91" i="22"/>
  <c r="E107" i="22"/>
  <c r="E74" i="22"/>
  <c r="E97" i="22"/>
  <c r="E112" i="22"/>
  <c r="E111" i="22"/>
  <c r="E87" i="22"/>
  <c r="E120" i="22"/>
  <c r="G120" i="22" s="1"/>
  <c r="H120" i="22" s="1"/>
  <c r="E93" i="22"/>
  <c r="E116" i="22"/>
  <c r="E85" i="22"/>
  <c r="E102" i="22"/>
  <c r="E86" i="22"/>
  <c r="E79" i="22"/>
  <c r="E95" i="22"/>
  <c r="E100" i="22"/>
  <c r="E92" i="22"/>
  <c r="E90" i="22"/>
  <c r="E82" i="22"/>
  <c r="E78" i="22"/>
  <c r="E117" i="22"/>
  <c r="G117" i="22" s="1"/>
  <c r="H117" i="22" s="1"/>
  <c r="E94" i="22"/>
  <c r="E106" i="22"/>
  <c r="E81" i="22"/>
  <c r="E80" i="22"/>
  <c r="E98" i="22"/>
  <c r="E118" i="22"/>
  <c r="G118" i="22" s="1"/>
  <c r="H118" i="22" s="1"/>
  <c r="E99" i="22"/>
  <c r="E108" i="22"/>
  <c r="E101" i="22"/>
  <c r="E113" i="22"/>
  <c r="BD78" i="28"/>
  <c r="BD50" i="28"/>
  <c r="BD68" i="28"/>
  <c r="BD102" i="28"/>
  <c r="BD36" i="28"/>
  <c r="BD64" i="28"/>
  <c r="BD30" i="28"/>
  <c r="BD40" i="28"/>
  <c r="BD24" i="28"/>
  <c r="BD80" i="28"/>
  <c r="BD90" i="28"/>
  <c r="BD94" i="28" s="1"/>
  <c r="BD66" i="28"/>
  <c r="BD82" i="28"/>
  <c r="BD22" i="28"/>
  <c r="BD52" i="28"/>
  <c r="BD14" i="28"/>
  <c r="BD18" i="28" s="1"/>
  <c r="BC42" i="28"/>
  <c r="BC106" i="28" s="1"/>
  <c r="BC112" i="28" s="1"/>
  <c r="BD38" i="28"/>
  <c r="BD54" i="28"/>
  <c r="BD70" i="28"/>
  <c r="BD46" i="28"/>
  <c r="BE9" i="28"/>
  <c r="BE8" i="28"/>
  <c r="BE14" i="28" s="1"/>
  <c r="BD74" i="28" l="1"/>
  <c r="E89" i="22"/>
  <c r="BE48" i="28"/>
  <c r="BE28" i="28"/>
  <c r="BE52" i="28"/>
  <c r="BE24" i="28"/>
  <c r="BD32" i="28"/>
  <c r="BD84" i="28"/>
  <c r="BE46" i="28"/>
  <c r="E105" i="22"/>
  <c r="BE100" i="28"/>
  <c r="E110" i="22"/>
  <c r="BE88" i="28"/>
  <c r="BE62" i="28"/>
  <c r="BE30" i="28"/>
  <c r="BE26" i="28"/>
  <c r="BD104" i="28"/>
  <c r="BD42" i="28"/>
  <c r="BE36" i="28"/>
  <c r="BE50" i="28"/>
  <c r="BE92" i="28"/>
  <c r="BE90" i="28"/>
  <c r="E77" i="22"/>
  <c r="BE78" i="28"/>
  <c r="BE80" i="28"/>
  <c r="BE64" i="28"/>
  <c r="BE16" i="28"/>
  <c r="BE18" i="28" s="1"/>
  <c r="E84" i="22"/>
  <c r="E73" i="22"/>
  <c r="G74" i="22"/>
  <c r="H74" i="22" s="1"/>
  <c r="BE82" i="28"/>
  <c r="BE70" i="28"/>
  <c r="BE66" i="28"/>
  <c r="BE98" i="28"/>
  <c r="G90" i="22"/>
  <c r="H90" i="22" s="1"/>
  <c r="G116" i="22"/>
  <c r="H116" i="22" s="1"/>
  <c r="E115" i="22"/>
  <c r="G115" i="22" s="1"/>
  <c r="H115" i="22" s="1"/>
  <c r="BE58" i="28"/>
  <c r="BE60" i="28"/>
  <c r="BE68" i="28"/>
  <c r="BE102" i="28"/>
  <c r="BE22" i="28"/>
  <c r="BE54" i="28"/>
  <c r="BE38" i="28"/>
  <c r="B2" i="24"/>
  <c r="I338" i="24" a="1"/>
  <c r="I338" i="24" s="1"/>
  <c r="M338" i="24" s="1"/>
  <c r="H338" i="24" a="1"/>
  <c r="H338" i="24" s="1"/>
  <c r="L338" i="24" s="1"/>
  <c r="I337" i="24" a="1"/>
  <c r="I337" i="24" s="1"/>
  <c r="M337" i="24" s="1"/>
  <c r="H337" i="24" a="1"/>
  <c r="H337" i="24" s="1"/>
  <c r="L337" i="24" s="1"/>
  <c r="I336" i="24" a="1"/>
  <c r="I336" i="24" s="1"/>
  <c r="M336" i="24" s="1"/>
  <c r="H336" i="24" a="1"/>
  <c r="H336" i="24" s="1"/>
  <c r="L336" i="24" s="1"/>
  <c r="I335" i="24" a="1"/>
  <c r="I335" i="24" s="1"/>
  <c r="M335" i="24" s="1"/>
  <c r="H335" i="24" a="1"/>
  <c r="H335" i="24" s="1"/>
  <c r="L335" i="24" s="1"/>
  <c r="I334" i="24" a="1"/>
  <c r="I334" i="24" s="1"/>
  <c r="M334" i="24" s="1"/>
  <c r="H334" i="24" a="1"/>
  <c r="H334" i="24" s="1"/>
  <c r="L334" i="24" s="1"/>
  <c r="I333" i="24" a="1"/>
  <c r="I333" i="24" s="1"/>
  <c r="M333" i="24" s="1"/>
  <c r="H333" i="24" a="1"/>
  <c r="H333" i="24" s="1"/>
  <c r="L333" i="24" s="1"/>
  <c r="I332" i="24" a="1"/>
  <c r="I332" i="24" s="1"/>
  <c r="M332" i="24" s="1"/>
  <c r="H332" i="24" a="1"/>
  <c r="H332" i="24" s="1"/>
  <c r="L332" i="24" s="1"/>
  <c r="I331" i="24" a="1"/>
  <c r="I331" i="24" s="1"/>
  <c r="M331" i="24" s="1"/>
  <c r="H331" i="24" a="1"/>
  <c r="H331" i="24" s="1"/>
  <c r="L331" i="24" s="1"/>
  <c r="I330" i="24" a="1"/>
  <c r="I330" i="24" s="1"/>
  <c r="M330" i="24" s="1"/>
  <c r="H330" i="24" a="1"/>
  <c r="H330" i="24" s="1"/>
  <c r="L330" i="24" s="1"/>
  <c r="I329" i="24" a="1"/>
  <c r="I329" i="24" s="1"/>
  <c r="M329" i="24" s="1"/>
  <c r="H329" i="24" a="1"/>
  <c r="H329" i="24" s="1"/>
  <c r="L329" i="24" s="1"/>
  <c r="I328" i="24" a="1"/>
  <c r="I328" i="24" s="1"/>
  <c r="M328" i="24" s="1"/>
  <c r="H328" i="24" a="1"/>
  <c r="H328" i="24" s="1"/>
  <c r="L328" i="24" s="1"/>
  <c r="I327" i="24" a="1"/>
  <c r="I327" i="24" s="1"/>
  <c r="M327" i="24" s="1"/>
  <c r="H327" i="24" a="1"/>
  <c r="H327" i="24" s="1"/>
  <c r="L327" i="24" s="1"/>
  <c r="I326" i="24" a="1"/>
  <c r="I326" i="24" s="1"/>
  <c r="M326" i="24" s="1"/>
  <c r="H326" i="24" a="1"/>
  <c r="H326" i="24" s="1"/>
  <c r="L326" i="24" s="1"/>
  <c r="I325" i="24" a="1"/>
  <c r="I325" i="24" s="1"/>
  <c r="M325" i="24" s="1"/>
  <c r="H325" i="24" a="1"/>
  <c r="H325" i="24" s="1"/>
  <c r="L325" i="24" s="1"/>
  <c r="I324" i="24" a="1"/>
  <c r="I324" i="24" s="1"/>
  <c r="M324" i="24" s="1"/>
  <c r="H324" i="24" a="1"/>
  <c r="H324" i="24" s="1"/>
  <c r="L324" i="24" s="1"/>
  <c r="I323" i="24" a="1"/>
  <c r="I323" i="24" s="1"/>
  <c r="M323" i="24" s="1"/>
  <c r="H323" i="24" a="1"/>
  <c r="H323" i="24" s="1"/>
  <c r="L323" i="24" s="1"/>
  <c r="I322" i="24" a="1"/>
  <c r="I322" i="24" s="1"/>
  <c r="M322" i="24" s="1"/>
  <c r="H322" i="24" a="1"/>
  <c r="H322" i="24" s="1"/>
  <c r="L322" i="24" s="1"/>
  <c r="I321" i="24" a="1"/>
  <c r="I321" i="24" s="1"/>
  <c r="M321" i="24" s="1"/>
  <c r="H321" i="24" a="1"/>
  <c r="H321" i="24" s="1"/>
  <c r="L321" i="24" s="1"/>
  <c r="I320" i="24" a="1"/>
  <c r="I320" i="24" s="1"/>
  <c r="M320" i="24" s="1"/>
  <c r="H320" i="24" a="1"/>
  <c r="H320" i="24" s="1"/>
  <c r="L320" i="24" s="1"/>
  <c r="I319" i="24" a="1"/>
  <c r="I319" i="24" s="1"/>
  <c r="M319" i="24" s="1"/>
  <c r="H319" i="24" a="1"/>
  <c r="H319" i="24" s="1"/>
  <c r="L319" i="24" s="1"/>
  <c r="I318" i="24" a="1"/>
  <c r="I318" i="24" s="1"/>
  <c r="M318" i="24" s="1"/>
  <c r="H318" i="24" a="1"/>
  <c r="H318" i="24" s="1"/>
  <c r="L318" i="24" s="1"/>
  <c r="I317" i="24" a="1"/>
  <c r="I317" i="24" s="1"/>
  <c r="M317" i="24" s="1"/>
  <c r="H317" i="24" a="1"/>
  <c r="H317" i="24" s="1"/>
  <c r="L317" i="24" s="1"/>
  <c r="I316" i="24" a="1"/>
  <c r="I316" i="24" s="1"/>
  <c r="M316" i="24" s="1"/>
  <c r="H316" i="24" a="1"/>
  <c r="H316" i="24" s="1"/>
  <c r="L316" i="24" s="1"/>
  <c r="I315" i="24" a="1"/>
  <c r="I315" i="24" s="1"/>
  <c r="M315" i="24" s="1"/>
  <c r="H315" i="24" a="1"/>
  <c r="H315" i="24" s="1"/>
  <c r="L315" i="24" s="1"/>
  <c r="I314" i="24" a="1"/>
  <c r="I314" i="24" s="1"/>
  <c r="M314" i="24" s="1"/>
  <c r="H314" i="24" a="1"/>
  <c r="H314" i="24" s="1"/>
  <c r="L314" i="24" s="1"/>
  <c r="I313" i="24" a="1"/>
  <c r="I313" i="24" s="1"/>
  <c r="M313" i="24" s="1"/>
  <c r="H313" i="24" a="1"/>
  <c r="H313" i="24" s="1"/>
  <c r="L313" i="24" s="1"/>
  <c r="I312" i="24" a="1"/>
  <c r="I312" i="24" s="1"/>
  <c r="M312" i="24" s="1"/>
  <c r="H312" i="24" a="1"/>
  <c r="H312" i="24" s="1"/>
  <c r="L312" i="24" s="1"/>
  <c r="I311" i="24" a="1"/>
  <c r="I311" i="24" s="1"/>
  <c r="M311" i="24" s="1"/>
  <c r="H311" i="24" a="1"/>
  <c r="H311" i="24" s="1"/>
  <c r="L311" i="24" s="1"/>
  <c r="I310" i="24" a="1"/>
  <c r="I310" i="24" s="1"/>
  <c r="M310" i="24" s="1"/>
  <c r="H310" i="24" a="1"/>
  <c r="H310" i="24" s="1"/>
  <c r="L310" i="24" s="1"/>
  <c r="I309" i="24" a="1"/>
  <c r="I309" i="24" s="1"/>
  <c r="M309" i="24" s="1"/>
  <c r="H309" i="24" a="1"/>
  <c r="H309" i="24" s="1"/>
  <c r="L309" i="24" s="1"/>
  <c r="I308" i="24" a="1"/>
  <c r="I308" i="24" s="1"/>
  <c r="M308" i="24" s="1"/>
  <c r="H308" i="24" a="1"/>
  <c r="H308" i="24" s="1"/>
  <c r="L308" i="24" s="1"/>
  <c r="I307" i="24" a="1"/>
  <c r="I307" i="24" s="1"/>
  <c r="M307" i="24" s="1"/>
  <c r="H307" i="24" a="1"/>
  <c r="H307" i="24" s="1"/>
  <c r="L307" i="24" s="1"/>
  <c r="I306" i="24" a="1"/>
  <c r="I306" i="24" s="1"/>
  <c r="M306" i="24" s="1"/>
  <c r="H306" i="24" a="1"/>
  <c r="H306" i="24" s="1"/>
  <c r="L306" i="24" s="1"/>
  <c r="I305" i="24" a="1"/>
  <c r="I305" i="24" s="1"/>
  <c r="M305" i="24" s="1"/>
  <c r="H305" i="24" a="1"/>
  <c r="H305" i="24" s="1"/>
  <c r="L305" i="24" s="1"/>
  <c r="I304" i="24" a="1"/>
  <c r="I304" i="24" s="1"/>
  <c r="M304" i="24" s="1"/>
  <c r="H304" i="24" a="1"/>
  <c r="H304" i="24" s="1"/>
  <c r="L304" i="24" s="1"/>
  <c r="I303" i="24" a="1"/>
  <c r="I303" i="24" s="1"/>
  <c r="M303" i="24" s="1"/>
  <c r="H303" i="24" a="1"/>
  <c r="H303" i="24" s="1"/>
  <c r="L303" i="24" s="1"/>
  <c r="I302" i="24" a="1"/>
  <c r="I302" i="24" s="1"/>
  <c r="M302" i="24" s="1"/>
  <c r="H302" i="24" a="1"/>
  <c r="H302" i="24" s="1"/>
  <c r="L302" i="24" s="1"/>
  <c r="I301" i="24" a="1"/>
  <c r="I301" i="24" s="1"/>
  <c r="M301" i="24" s="1"/>
  <c r="H301" i="24" a="1"/>
  <c r="H301" i="24" s="1"/>
  <c r="L301" i="24" s="1"/>
  <c r="I300" i="24" a="1"/>
  <c r="I300" i="24" s="1"/>
  <c r="M300" i="24" s="1"/>
  <c r="H300" i="24" a="1"/>
  <c r="H300" i="24" s="1"/>
  <c r="L300" i="24" s="1"/>
  <c r="I299" i="24" a="1"/>
  <c r="I299" i="24" s="1"/>
  <c r="M299" i="24" s="1"/>
  <c r="H299" i="24" a="1"/>
  <c r="H299" i="24" s="1"/>
  <c r="L299" i="24" s="1"/>
  <c r="I298" i="24" a="1"/>
  <c r="I298" i="24" s="1"/>
  <c r="M298" i="24" s="1"/>
  <c r="H298" i="24" a="1"/>
  <c r="H298" i="24" s="1"/>
  <c r="L298" i="24" s="1"/>
  <c r="I297" i="24" a="1"/>
  <c r="I297" i="24" s="1"/>
  <c r="M297" i="24" s="1"/>
  <c r="H297" i="24" a="1"/>
  <c r="H297" i="24" s="1"/>
  <c r="L297" i="24" s="1"/>
  <c r="I296" i="24" a="1"/>
  <c r="I296" i="24" s="1"/>
  <c r="M296" i="24" s="1"/>
  <c r="H296" i="24" a="1"/>
  <c r="H296" i="24" s="1"/>
  <c r="L296" i="24" s="1"/>
  <c r="I295" i="24" a="1"/>
  <c r="I295" i="24" s="1"/>
  <c r="M295" i="24" s="1"/>
  <c r="H295" i="24" a="1"/>
  <c r="H295" i="24" s="1"/>
  <c r="L295" i="24" s="1"/>
  <c r="I294" i="24" a="1"/>
  <c r="I294" i="24" s="1"/>
  <c r="M294" i="24" s="1"/>
  <c r="H294" i="24" a="1"/>
  <c r="H294" i="24" s="1"/>
  <c r="L294" i="24" s="1"/>
  <c r="I293" i="24" a="1"/>
  <c r="I293" i="24" s="1"/>
  <c r="M293" i="24" s="1"/>
  <c r="H293" i="24" a="1"/>
  <c r="H293" i="24" s="1"/>
  <c r="L293" i="24" s="1"/>
  <c r="I292" i="24" a="1"/>
  <c r="I292" i="24" s="1"/>
  <c r="M292" i="24" s="1"/>
  <c r="H292" i="24" a="1"/>
  <c r="H292" i="24" s="1"/>
  <c r="L292" i="24" s="1"/>
  <c r="I291" i="24" a="1"/>
  <c r="I291" i="24" s="1"/>
  <c r="M291" i="24" s="1"/>
  <c r="H291" i="24" a="1"/>
  <c r="H291" i="24" s="1"/>
  <c r="L291" i="24" s="1"/>
  <c r="I290" i="24" a="1"/>
  <c r="I290" i="24" s="1"/>
  <c r="M290" i="24" s="1"/>
  <c r="H290" i="24" a="1"/>
  <c r="H290" i="24" s="1"/>
  <c r="L290" i="24" s="1"/>
  <c r="I289" i="24" a="1"/>
  <c r="I289" i="24" s="1"/>
  <c r="M289" i="24" s="1"/>
  <c r="H289" i="24" a="1"/>
  <c r="H289" i="24" s="1"/>
  <c r="L289" i="24" s="1"/>
  <c r="I288" i="24" a="1"/>
  <c r="I288" i="24" s="1"/>
  <c r="M288" i="24" s="1"/>
  <c r="H288" i="24" a="1"/>
  <c r="H288" i="24" s="1"/>
  <c r="L288" i="24" s="1"/>
  <c r="I287" i="24" a="1"/>
  <c r="I287" i="24" s="1"/>
  <c r="M287" i="24" s="1"/>
  <c r="H287" i="24" a="1"/>
  <c r="H287" i="24" s="1"/>
  <c r="L287" i="24" s="1"/>
  <c r="I286" i="24" a="1"/>
  <c r="I286" i="24" s="1"/>
  <c r="M286" i="24" s="1"/>
  <c r="H286" i="24" a="1"/>
  <c r="H286" i="24" s="1"/>
  <c r="L286" i="24" s="1"/>
  <c r="I285" i="24" a="1"/>
  <c r="I285" i="24" s="1"/>
  <c r="M285" i="24" s="1"/>
  <c r="H285" i="24" a="1"/>
  <c r="H285" i="24" s="1"/>
  <c r="L285" i="24" s="1"/>
  <c r="I284" i="24" a="1"/>
  <c r="I284" i="24" s="1"/>
  <c r="M284" i="24" s="1"/>
  <c r="H284" i="24" a="1"/>
  <c r="H284" i="24" s="1"/>
  <c r="L284" i="24" s="1"/>
  <c r="I283" i="24" a="1"/>
  <c r="I283" i="24" s="1"/>
  <c r="M283" i="24" s="1"/>
  <c r="H283" i="24" a="1"/>
  <c r="H283" i="24" s="1"/>
  <c r="L283" i="24" s="1"/>
  <c r="I282" i="24" a="1"/>
  <c r="I282" i="24" s="1"/>
  <c r="M282" i="24" s="1"/>
  <c r="H282" i="24" a="1"/>
  <c r="H282" i="24" s="1"/>
  <c r="L282" i="24" s="1"/>
  <c r="I281" i="24" a="1"/>
  <c r="I281" i="24" s="1"/>
  <c r="M281" i="24" s="1"/>
  <c r="H281" i="24" a="1"/>
  <c r="H281" i="24" s="1"/>
  <c r="L281" i="24" s="1"/>
  <c r="I280" i="24" a="1"/>
  <c r="I280" i="24" s="1"/>
  <c r="M280" i="24" s="1"/>
  <c r="H280" i="24" a="1"/>
  <c r="H280" i="24" s="1"/>
  <c r="L280" i="24" s="1"/>
  <c r="I279" i="24" a="1"/>
  <c r="I279" i="24" s="1"/>
  <c r="M279" i="24" s="1"/>
  <c r="H279" i="24" a="1"/>
  <c r="H279" i="24" s="1"/>
  <c r="L279" i="24" s="1"/>
  <c r="I278" i="24" a="1"/>
  <c r="I278" i="24" s="1"/>
  <c r="M278" i="24" s="1"/>
  <c r="H278" i="24" a="1"/>
  <c r="H278" i="24" s="1"/>
  <c r="L278" i="24" s="1"/>
  <c r="I277" i="24" a="1"/>
  <c r="I277" i="24" s="1"/>
  <c r="M277" i="24" s="1"/>
  <c r="H277" i="24" a="1"/>
  <c r="H277" i="24" s="1"/>
  <c r="L277" i="24" s="1"/>
  <c r="I276" i="24" a="1"/>
  <c r="I276" i="24" s="1"/>
  <c r="M276" i="24" s="1"/>
  <c r="H276" i="24" a="1"/>
  <c r="H276" i="24" s="1"/>
  <c r="L276" i="24" s="1"/>
  <c r="I275" i="24" a="1"/>
  <c r="I275" i="24" s="1"/>
  <c r="M275" i="24" s="1"/>
  <c r="H275" i="24" a="1"/>
  <c r="H275" i="24" s="1"/>
  <c r="L275" i="24" s="1"/>
  <c r="I274" i="24" a="1"/>
  <c r="I274" i="24" s="1"/>
  <c r="M274" i="24" s="1"/>
  <c r="H274" i="24" a="1"/>
  <c r="H274" i="24" s="1"/>
  <c r="L274" i="24" s="1"/>
  <c r="I273" i="24" a="1"/>
  <c r="I273" i="24" s="1"/>
  <c r="M273" i="24" s="1"/>
  <c r="H273" i="24" a="1"/>
  <c r="H273" i="24" s="1"/>
  <c r="L273" i="24" s="1"/>
  <c r="I272" i="24" a="1"/>
  <c r="I272" i="24" s="1"/>
  <c r="M272" i="24" s="1"/>
  <c r="H272" i="24" a="1"/>
  <c r="H272" i="24" s="1"/>
  <c r="L272" i="24" s="1"/>
  <c r="I271" i="24" a="1"/>
  <c r="I271" i="24" s="1"/>
  <c r="M271" i="24" s="1"/>
  <c r="H271" i="24" a="1"/>
  <c r="H271" i="24" s="1"/>
  <c r="L271" i="24" s="1"/>
  <c r="I270" i="24" a="1"/>
  <c r="I270" i="24" s="1"/>
  <c r="M270" i="24" s="1"/>
  <c r="H270" i="24" a="1"/>
  <c r="H270" i="24" s="1"/>
  <c r="L270" i="24" s="1"/>
  <c r="I269" i="24" a="1"/>
  <c r="I269" i="24" s="1"/>
  <c r="M269" i="24" s="1"/>
  <c r="H269" i="24" a="1"/>
  <c r="H269" i="24" s="1"/>
  <c r="L269" i="24" s="1"/>
  <c r="I268" i="24" a="1"/>
  <c r="I268" i="24" s="1"/>
  <c r="M268" i="24" s="1"/>
  <c r="H268" i="24" a="1"/>
  <c r="H268" i="24" s="1"/>
  <c r="L268" i="24" s="1"/>
  <c r="I267" i="24" a="1"/>
  <c r="I267" i="24" s="1"/>
  <c r="M267" i="24" s="1"/>
  <c r="H267" i="24" a="1"/>
  <c r="H267" i="24" s="1"/>
  <c r="L267" i="24" s="1"/>
  <c r="I266" i="24" a="1"/>
  <c r="I266" i="24" s="1"/>
  <c r="M266" i="24" s="1"/>
  <c r="H266" i="24" a="1"/>
  <c r="H266" i="24" s="1"/>
  <c r="L266" i="24" s="1"/>
  <c r="I265" i="24" a="1"/>
  <c r="I265" i="24" s="1"/>
  <c r="M265" i="24" s="1"/>
  <c r="H265" i="24" a="1"/>
  <c r="H265" i="24" s="1"/>
  <c r="L265" i="24" s="1"/>
  <c r="I264" i="24" a="1"/>
  <c r="I264" i="24" s="1"/>
  <c r="M264" i="24" s="1"/>
  <c r="H264" i="24" a="1"/>
  <c r="H264" i="24" s="1"/>
  <c r="L264" i="24" s="1"/>
  <c r="I263" i="24" a="1"/>
  <c r="I263" i="24" s="1"/>
  <c r="M263" i="24" s="1"/>
  <c r="H263" i="24" a="1"/>
  <c r="H263" i="24" s="1"/>
  <c r="L263" i="24" s="1"/>
  <c r="I262" i="24" a="1"/>
  <c r="I262" i="24" s="1"/>
  <c r="M262" i="24" s="1"/>
  <c r="H262" i="24" a="1"/>
  <c r="H262" i="24" s="1"/>
  <c r="L262" i="24" s="1"/>
  <c r="I261" i="24" a="1"/>
  <c r="I261" i="24" s="1"/>
  <c r="M261" i="24" s="1"/>
  <c r="H261" i="24" a="1"/>
  <c r="H261" i="24" s="1"/>
  <c r="L261" i="24" s="1"/>
  <c r="I260" i="24" a="1"/>
  <c r="I260" i="24" s="1"/>
  <c r="M260" i="24" s="1"/>
  <c r="H260" i="24" a="1"/>
  <c r="H260" i="24" s="1"/>
  <c r="L260" i="24" s="1"/>
  <c r="I259" i="24" a="1"/>
  <c r="I259" i="24" s="1"/>
  <c r="M259" i="24" s="1"/>
  <c r="H259" i="24" a="1"/>
  <c r="H259" i="24" s="1"/>
  <c r="L259" i="24" s="1"/>
  <c r="I258" i="24" a="1"/>
  <c r="I258" i="24" s="1"/>
  <c r="M258" i="24" s="1"/>
  <c r="H258" i="24" a="1"/>
  <c r="H258" i="24" s="1"/>
  <c r="L258" i="24" s="1"/>
  <c r="I257" i="24" a="1"/>
  <c r="I257" i="24" s="1"/>
  <c r="M257" i="24" s="1"/>
  <c r="H257" i="24" a="1"/>
  <c r="H257" i="24" s="1"/>
  <c r="L257" i="24" s="1"/>
  <c r="I256" i="24" a="1"/>
  <c r="I256" i="24" s="1"/>
  <c r="M256" i="24" s="1"/>
  <c r="H256" i="24" a="1"/>
  <c r="H256" i="24" s="1"/>
  <c r="L256" i="24" s="1"/>
  <c r="I255" i="24" a="1"/>
  <c r="I255" i="24" s="1"/>
  <c r="M255" i="24" s="1"/>
  <c r="H255" i="24" a="1"/>
  <c r="H255" i="24" s="1"/>
  <c r="L255" i="24" s="1"/>
  <c r="I254" i="24" a="1"/>
  <c r="I254" i="24" s="1"/>
  <c r="M254" i="24" s="1"/>
  <c r="H254" i="24" a="1"/>
  <c r="H254" i="24" s="1"/>
  <c r="L254" i="24" s="1"/>
  <c r="I253" i="24" a="1"/>
  <c r="I253" i="24" s="1"/>
  <c r="M253" i="24" s="1"/>
  <c r="H253" i="24" a="1"/>
  <c r="H253" i="24" s="1"/>
  <c r="L253" i="24" s="1"/>
  <c r="I252" i="24" a="1"/>
  <c r="I252" i="24" s="1"/>
  <c r="M252" i="24" s="1"/>
  <c r="H252" i="24" a="1"/>
  <c r="H252" i="24" s="1"/>
  <c r="L252" i="24" s="1"/>
  <c r="I251" i="24" a="1"/>
  <c r="I251" i="24" s="1"/>
  <c r="M251" i="24" s="1"/>
  <c r="H251" i="24" a="1"/>
  <c r="H251" i="24" s="1"/>
  <c r="L251" i="24" s="1"/>
  <c r="I250" i="24" a="1"/>
  <c r="I250" i="24" s="1"/>
  <c r="M250" i="24" s="1"/>
  <c r="H250" i="24" a="1"/>
  <c r="H250" i="24" s="1"/>
  <c r="L250" i="24" s="1"/>
  <c r="I249" i="24" a="1"/>
  <c r="I249" i="24" s="1"/>
  <c r="M249" i="24" s="1"/>
  <c r="H249" i="24" a="1"/>
  <c r="H249" i="24" s="1"/>
  <c r="L249" i="24" s="1"/>
  <c r="I248" i="24" a="1"/>
  <c r="I248" i="24" s="1"/>
  <c r="M248" i="24" s="1"/>
  <c r="H248" i="24" a="1"/>
  <c r="H248" i="24" s="1"/>
  <c r="L248" i="24" s="1"/>
  <c r="I247" i="24" a="1"/>
  <c r="I247" i="24" s="1"/>
  <c r="M247" i="24" s="1"/>
  <c r="H247" i="24" a="1"/>
  <c r="H247" i="24" s="1"/>
  <c r="L247" i="24" s="1"/>
  <c r="I246" i="24" a="1"/>
  <c r="I246" i="24" s="1"/>
  <c r="M246" i="24" s="1"/>
  <c r="H246" i="24" a="1"/>
  <c r="H246" i="24" s="1"/>
  <c r="L246" i="24" s="1"/>
  <c r="I245" i="24" a="1"/>
  <c r="I245" i="24" s="1"/>
  <c r="M245" i="24" s="1"/>
  <c r="H245" i="24" a="1"/>
  <c r="H245" i="24" s="1"/>
  <c r="L245" i="24" s="1"/>
  <c r="I244" i="24" a="1"/>
  <c r="I244" i="24" s="1"/>
  <c r="M244" i="24" s="1"/>
  <c r="H244" i="24" a="1"/>
  <c r="H244" i="24" s="1"/>
  <c r="L244" i="24" s="1"/>
  <c r="I243" i="24" a="1"/>
  <c r="I243" i="24" s="1"/>
  <c r="M243" i="24" s="1"/>
  <c r="H243" i="24" a="1"/>
  <c r="H243" i="24" s="1"/>
  <c r="L243" i="24" s="1"/>
  <c r="I242" i="24" a="1"/>
  <c r="I242" i="24" s="1"/>
  <c r="M242" i="24" s="1"/>
  <c r="H242" i="24" a="1"/>
  <c r="H242" i="24" s="1"/>
  <c r="L242" i="24" s="1"/>
  <c r="I241" i="24" a="1"/>
  <c r="I241" i="24" s="1"/>
  <c r="M241" i="24" s="1"/>
  <c r="H241" i="24" a="1"/>
  <c r="H241" i="24" s="1"/>
  <c r="L241" i="24" s="1"/>
  <c r="I240" i="24" a="1"/>
  <c r="I240" i="24" s="1"/>
  <c r="M240" i="24" s="1"/>
  <c r="H240" i="24" a="1"/>
  <c r="H240" i="24" s="1"/>
  <c r="L240" i="24" s="1"/>
  <c r="I239" i="24" a="1"/>
  <c r="I239" i="24" s="1"/>
  <c r="M239" i="24" s="1"/>
  <c r="H239" i="24" a="1"/>
  <c r="H239" i="24" s="1"/>
  <c r="L239" i="24" s="1"/>
  <c r="I238" i="24" a="1"/>
  <c r="I238" i="24" s="1"/>
  <c r="M238" i="24" s="1"/>
  <c r="H238" i="24" a="1"/>
  <c r="H238" i="24" s="1"/>
  <c r="L238" i="24" s="1"/>
  <c r="I237" i="24" a="1"/>
  <c r="I237" i="24" s="1"/>
  <c r="M237" i="24" s="1"/>
  <c r="H237" i="24" a="1"/>
  <c r="H237" i="24" s="1"/>
  <c r="L237" i="24" s="1"/>
  <c r="I236" i="24" a="1"/>
  <c r="I236" i="24" s="1"/>
  <c r="M236" i="24" s="1"/>
  <c r="H236" i="24" a="1"/>
  <c r="H236" i="24" s="1"/>
  <c r="L236" i="24" s="1"/>
  <c r="I235" i="24" a="1"/>
  <c r="I235" i="24" s="1"/>
  <c r="M235" i="24" s="1"/>
  <c r="H235" i="24" a="1"/>
  <c r="H235" i="24" s="1"/>
  <c r="L235" i="24" s="1"/>
  <c r="I234" i="24" a="1"/>
  <c r="I234" i="24" s="1"/>
  <c r="M234" i="24" s="1"/>
  <c r="H234" i="24" a="1"/>
  <c r="H234" i="24" s="1"/>
  <c r="L234" i="24" s="1"/>
  <c r="I233" i="24" a="1"/>
  <c r="I233" i="24" s="1"/>
  <c r="M233" i="24" s="1"/>
  <c r="H233" i="24" a="1"/>
  <c r="H233" i="24" s="1"/>
  <c r="L233" i="24" s="1"/>
  <c r="I232" i="24" a="1"/>
  <c r="I232" i="24" s="1"/>
  <c r="M232" i="24" s="1"/>
  <c r="H232" i="24" a="1"/>
  <c r="H232" i="24" s="1"/>
  <c r="L232" i="24" s="1"/>
  <c r="I231" i="24" a="1"/>
  <c r="I231" i="24" s="1"/>
  <c r="M231" i="24" s="1"/>
  <c r="H231" i="24" a="1"/>
  <c r="H231" i="24" s="1"/>
  <c r="L231" i="24" s="1"/>
  <c r="I230" i="24" a="1"/>
  <c r="I230" i="24" s="1"/>
  <c r="M230" i="24" s="1"/>
  <c r="H230" i="24" a="1"/>
  <c r="H230" i="24" s="1"/>
  <c r="L230" i="24" s="1"/>
  <c r="I229" i="24" a="1"/>
  <c r="I229" i="24" s="1"/>
  <c r="M229" i="24" s="1"/>
  <c r="H229" i="24" a="1"/>
  <c r="H229" i="24" s="1"/>
  <c r="L229" i="24" s="1"/>
  <c r="I228" i="24" a="1"/>
  <c r="I228" i="24" s="1"/>
  <c r="M228" i="24" s="1"/>
  <c r="H228" i="24" a="1"/>
  <c r="H228" i="24" s="1"/>
  <c r="L228" i="24" s="1"/>
  <c r="I227" i="24" a="1"/>
  <c r="I227" i="24" s="1"/>
  <c r="M227" i="24" s="1"/>
  <c r="H227" i="24" a="1"/>
  <c r="H227" i="24" s="1"/>
  <c r="L227" i="24" s="1"/>
  <c r="I226" i="24" a="1"/>
  <c r="I226" i="24" s="1"/>
  <c r="M226" i="24" s="1"/>
  <c r="H226" i="24" a="1"/>
  <c r="H226" i="24" s="1"/>
  <c r="L226" i="24" s="1"/>
  <c r="I225" i="24" a="1"/>
  <c r="I225" i="24" s="1"/>
  <c r="M225" i="24" s="1"/>
  <c r="H225" i="24" a="1"/>
  <c r="H225" i="24" s="1"/>
  <c r="L225" i="24" s="1"/>
  <c r="I224" i="24" a="1"/>
  <c r="I224" i="24" s="1"/>
  <c r="M224" i="24" s="1"/>
  <c r="H224" i="24" a="1"/>
  <c r="H224" i="24" s="1"/>
  <c r="L224" i="24" s="1"/>
  <c r="I223" i="24" a="1"/>
  <c r="I223" i="24" s="1"/>
  <c r="M223" i="24" s="1"/>
  <c r="H223" i="24" a="1"/>
  <c r="H223" i="24" s="1"/>
  <c r="L223" i="24" s="1"/>
  <c r="I222" i="24" a="1"/>
  <c r="I222" i="24" s="1"/>
  <c r="M222" i="24" s="1"/>
  <c r="H222" i="24" a="1"/>
  <c r="H222" i="24" s="1"/>
  <c r="L222" i="24" s="1"/>
  <c r="I221" i="24" a="1"/>
  <c r="I221" i="24" s="1"/>
  <c r="M221" i="24" s="1"/>
  <c r="H221" i="24" a="1"/>
  <c r="H221" i="24" s="1"/>
  <c r="L221" i="24" s="1"/>
  <c r="I220" i="24" a="1"/>
  <c r="I220" i="24" s="1"/>
  <c r="M220" i="24" s="1"/>
  <c r="H220" i="24" a="1"/>
  <c r="H220" i="24" s="1"/>
  <c r="L220" i="24" s="1"/>
  <c r="I219" i="24" a="1"/>
  <c r="I219" i="24" s="1"/>
  <c r="M219" i="24" s="1"/>
  <c r="H219" i="24" a="1"/>
  <c r="H219" i="24" s="1"/>
  <c r="L219" i="24" s="1"/>
  <c r="I218" i="24" a="1"/>
  <c r="I218" i="24" s="1"/>
  <c r="M218" i="24" s="1"/>
  <c r="H218" i="24" a="1"/>
  <c r="H218" i="24" s="1"/>
  <c r="L218" i="24" s="1"/>
  <c r="I217" i="24" a="1"/>
  <c r="I217" i="24" s="1"/>
  <c r="M217" i="24" s="1"/>
  <c r="H217" i="24" a="1"/>
  <c r="H217" i="24" s="1"/>
  <c r="L217" i="24" s="1"/>
  <c r="I216" i="24" a="1"/>
  <c r="I216" i="24" s="1"/>
  <c r="M216" i="24" s="1"/>
  <c r="H216" i="24" a="1"/>
  <c r="H216" i="24" s="1"/>
  <c r="L216" i="24" s="1"/>
  <c r="I215" i="24" a="1"/>
  <c r="I215" i="24" s="1"/>
  <c r="M215" i="24" s="1"/>
  <c r="H215" i="24" a="1"/>
  <c r="H215" i="24" s="1"/>
  <c r="L215" i="24" s="1"/>
  <c r="I214" i="24" a="1"/>
  <c r="I214" i="24" s="1"/>
  <c r="M214" i="24" s="1"/>
  <c r="H214" i="24" a="1"/>
  <c r="H214" i="24" s="1"/>
  <c r="L214" i="24" s="1"/>
  <c r="I213" i="24" a="1"/>
  <c r="I213" i="24" s="1"/>
  <c r="M213" i="24" s="1"/>
  <c r="H213" i="24" a="1"/>
  <c r="H213" i="24" s="1"/>
  <c r="L213" i="24" s="1"/>
  <c r="I212" i="24" a="1"/>
  <c r="I212" i="24" s="1"/>
  <c r="M212" i="24" s="1"/>
  <c r="H212" i="24" a="1"/>
  <c r="H212" i="24" s="1"/>
  <c r="L212" i="24" s="1"/>
  <c r="I211" i="24" a="1"/>
  <c r="I211" i="24" s="1"/>
  <c r="M211" i="24" s="1"/>
  <c r="H211" i="24" a="1"/>
  <c r="H211" i="24" s="1"/>
  <c r="L211" i="24" s="1"/>
  <c r="I210" i="24" a="1"/>
  <c r="I210" i="24" s="1"/>
  <c r="M210" i="24" s="1"/>
  <c r="H210" i="24" a="1"/>
  <c r="H210" i="24" s="1"/>
  <c r="L210" i="24" s="1"/>
  <c r="I209" i="24" a="1"/>
  <c r="I209" i="24" s="1"/>
  <c r="M209" i="24" s="1"/>
  <c r="H209" i="24" a="1"/>
  <c r="H209" i="24" s="1"/>
  <c r="L209" i="24" s="1"/>
  <c r="I208" i="24" a="1"/>
  <c r="I208" i="24" s="1"/>
  <c r="M208" i="24" s="1"/>
  <c r="H208" i="24" a="1"/>
  <c r="H208" i="24" s="1"/>
  <c r="L208" i="24" s="1"/>
  <c r="I207" i="24" a="1"/>
  <c r="I207" i="24" s="1"/>
  <c r="M207" i="24" s="1"/>
  <c r="H207" i="24" a="1"/>
  <c r="H207" i="24" s="1"/>
  <c r="L207" i="24" s="1"/>
  <c r="I206" i="24" a="1"/>
  <c r="I206" i="24" s="1"/>
  <c r="M206" i="24" s="1"/>
  <c r="H206" i="24" a="1"/>
  <c r="H206" i="24" s="1"/>
  <c r="L206" i="24" s="1"/>
  <c r="I205" i="24" a="1"/>
  <c r="I205" i="24" s="1"/>
  <c r="M205" i="24" s="1"/>
  <c r="H205" i="24" a="1"/>
  <c r="H205" i="24" s="1"/>
  <c r="L205" i="24" s="1"/>
  <c r="I204" i="24" a="1"/>
  <c r="I204" i="24" s="1"/>
  <c r="M204" i="24" s="1"/>
  <c r="H204" i="24" a="1"/>
  <c r="H204" i="24" s="1"/>
  <c r="L204" i="24" s="1"/>
  <c r="I203" i="24" a="1"/>
  <c r="I203" i="24" s="1"/>
  <c r="M203" i="24" s="1"/>
  <c r="H203" i="24" a="1"/>
  <c r="H203" i="24" s="1"/>
  <c r="L203" i="24" s="1"/>
  <c r="I202" i="24" a="1"/>
  <c r="I202" i="24" s="1"/>
  <c r="M202" i="24" s="1"/>
  <c r="H202" i="24" a="1"/>
  <c r="H202" i="24" s="1"/>
  <c r="L202" i="24" s="1"/>
  <c r="I201" i="24" a="1"/>
  <c r="I201" i="24" s="1"/>
  <c r="M201" i="24" s="1"/>
  <c r="H201" i="24" a="1"/>
  <c r="H201" i="24" s="1"/>
  <c r="L201" i="24" s="1"/>
  <c r="I200" i="24" a="1"/>
  <c r="I200" i="24" s="1"/>
  <c r="M200" i="24" s="1"/>
  <c r="H200" i="24" a="1"/>
  <c r="H200" i="24" s="1"/>
  <c r="L200" i="24" s="1"/>
  <c r="I199" i="24" a="1"/>
  <c r="I199" i="24" s="1"/>
  <c r="M199" i="24" s="1"/>
  <c r="H199" i="24" a="1"/>
  <c r="H199" i="24" s="1"/>
  <c r="L199" i="24" s="1"/>
  <c r="I198" i="24" a="1"/>
  <c r="I198" i="24" s="1"/>
  <c r="M198" i="24" s="1"/>
  <c r="H198" i="24" a="1"/>
  <c r="H198" i="24" s="1"/>
  <c r="L198" i="24" s="1"/>
  <c r="I197" i="24" a="1"/>
  <c r="I197" i="24" s="1"/>
  <c r="M197" i="24" s="1"/>
  <c r="H197" i="24" a="1"/>
  <c r="H197" i="24" s="1"/>
  <c r="L197" i="24" s="1"/>
  <c r="I196" i="24" a="1"/>
  <c r="I196" i="24" s="1"/>
  <c r="M196" i="24" s="1"/>
  <c r="H196" i="24" a="1"/>
  <c r="H196" i="24" s="1"/>
  <c r="L196" i="24" s="1"/>
  <c r="I195" i="24" a="1"/>
  <c r="I195" i="24" s="1"/>
  <c r="M195" i="24" s="1"/>
  <c r="H195" i="24" a="1"/>
  <c r="H195" i="24" s="1"/>
  <c r="L195" i="24" s="1"/>
  <c r="I194" i="24" a="1"/>
  <c r="I194" i="24" s="1"/>
  <c r="M194" i="24" s="1"/>
  <c r="H194" i="24" a="1"/>
  <c r="H194" i="24" s="1"/>
  <c r="L194" i="24" s="1"/>
  <c r="I193" i="24" a="1"/>
  <c r="I193" i="24" s="1"/>
  <c r="M193" i="24" s="1"/>
  <c r="H193" i="24" a="1"/>
  <c r="H193" i="24" s="1"/>
  <c r="L193" i="24" s="1"/>
  <c r="I192" i="24" a="1"/>
  <c r="I192" i="24" s="1"/>
  <c r="M192" i="24" s="1"/>
  <c r="H192" i="24" a="1"/>
  <c r="H192" i="24" s="1"/>
  <c r="L192" i="24" s="1"/>
  <c r="I191" i="24" a="1"/>
  <c r="I191" i="24" s="1"/>
  <c r="M191" i="24" s="1"/>
  <c r="H191" i="24" a="1"/>
  <c r="H191" i="24" s="1"/>
  <c r="L191" i="24" s="1"/>
  <c r="I190" i="24" a="1"/>
  <c r="I190" i="24" s="1"/>
  <c r="M190" i="24" s="1"/>
  <c r="H190" i="24" a="1"/>
  <c r="H190" i="24" s="1"/>
  <c r="L190" i="24" s="1"/>
  <c r="I189" i="24" a="1"/>
  <c r="I189" i="24" s="1"/>
  <c r="M189" i="24" s="1"/>
  <c r="H189" i="24" a="1"/>
  <c r="H189" i="24" s="1"/>
  <c r="L189" i="24" s="1"/>
  <c r="I188" i="24" a="1"/>
  <c r="I188" i="24" s="1"/>
  <c r="M188" i="24" s="1"/>
  <c r="H188" i="24" a="1"/>
  <c r="H188" i="24" s="1"/>
  <c r="L188" i="24" s="1"/>
  <c r="I187" i="24" a="1"/>
  <c r="I187" i="24" s="1"/>
  <c r="M187" i="24" s="1"/>
  <c r="H187" i="24" a="1"/>
  <c r="H187" i="24" s="1"/>
  <c r="L187" i="24" s="1"/>
  <c r="I186" i="24" a="1"/>
  <c r="I186" i="24" s="1"/>
  <c r="M186" i="24" s="1"/>
  <c r="H186" i="24" a="1"/>
  <c r="H186" i="24" s="1"/>
  <c r="L186" i="24" s="1"/>
  <c r="I185" i="24" a="1"/>
  <c r="I185" i="24" s="1"/>
  <c r="M185" i="24" s="1"/>
  <c r="H185" i="24" a="1"/>
  <c r="H185" i="24" s="1"/>
  <c r="L185" i="24" s="1"/>
  <c r="I184" i="24" a="1"/>
  <c r="I184" i="24" s="1"/>
  <c r="M184" i="24" s="1"/>
  <c r="H184" i="24" a="1"/>
  <c r="H184" i="24" s="1"/>
  <c r="L184" i="24" s="1"/>
  <c r="I183" i="24" a="1"/>
  <c r="I183" i="24" s="1"/>
  <c r="M183" i="24" s="1"/>
  <c r="H183" i="24" a="1"/>
  <c r="H183" i="24" s="1"/>
  <c r="L183" i="24" s="1"/>
  <c r="I182" i="24" a="1"/>
  <c r="I182" i="24" s="1"/>
  <c r="M182" i="24" s="1"/>
  <c r="H182" i="24" a="1"/>
  <c r="H182" i="24" s="1"/>
  <c r="L182" i="24" s="1"/>
  <c r="I181" i="24" a="1"/>
  <c r="I181" i="24" s="1"/>
  <c r="M181" i="24" s="1"/>
  <c r="H181" i="24" a="1"/>
  <c r="H181" i="24" s="1"/>
  <c r="L181" i="24" s="1"/>
  <c r="I180" i="24" a="1"/>
  <c r="I180" i="24" s="1"/>
  <c r="M180" i="24" s="1"/>
  <c r="H180" i="24" a="1"/>
  <c r="H180" i="24" s="1"/>
  <c r="L180" i="24" s="1"/>
  <c r="I179" i="24" a="1"/>
  <c r="I179" i="24" s="1"/>
  <c r="M179" i="24" s="1"/>
  <c r="H179" i="24" a="1"/>
  <c r="H179" i="24" s="1"/>
  <c r="L179" i="24" s="1"/>
  <c r="I178" i="24" a="1"/>
  <c r="I178" i="24" s="1"/>
  <c r="M178" i="24" s="1"/>
  <c r="H178" i="24" a="1"/>
  <c r="H178" i="24" s="1"/>
  <c r="L178" i="24" s="1"/>
  <c r="I177" i="24" a="1"/>
  <c r="I177" i="24" s="1"/>
  <c r="M177" i="24" s="1"/>
  <c r="H177" i="24" a="1"/>
  <c r="H177" i="24" s="1"/>
  <c r="L177" i="24" s="1"/>
  <c r="I176" i="24" a="1"/>
  <c r="I176" i="24" s="1"/>
  <c r="M176" i="24" s="1"/>
  <c r="H176" i="24" a="1"/>
  <c r="H176" i="24" s="1"/>
  <c r="L176" i="24" s="1"/>
  <c r="I175" i="24" a="1"/>
  <c r="I175" i="24" s="1"/>
  <c r="M175" i="24" s="1"/>
  <c r="H175" i="24" a="1"/>
  <c r="H175" i="24" s="1"/>
  <c r="L175" i="24" s="1"/>
  <c r="I174" i="24" a="1"/>
  <c r="I174" i="24" s="1"/>
  <c r="M174" i="24" s="1"/>
  <c r="H174" i="24" a="1"/>
  <c r="H174" i="24" s="1"/>
  <c r="L174" i="24" s="1"/>
  <c r="I173" i="24" a="1"/>
  <c r="I173" i="24" s="1"/>
  <c r="M173" i="24" s="1"/>
  <c r="H173" i="24" a="1"/>
  <c r="H173" i="24" s="1"/>
  <c r="L173" i="24" s="1"/>
  <c r="I172" i="24" a="1"/>
  <c r="I172" i="24" s="1"/>
  <c r="M172" i="24" s="1"/>
  <c r="H172" i="24" a="1"/>
  <c r="H172" i="24" s="1"/>
  <c r="L172" i="24" s="1"/>
  <c r="I171" i="24" a="1"/>
  <c r="I171" i="24" s="1"/>
  <c r="M171" i="24" s="1"/>
  <c r="H171" i="24" a="1"/>
  <c r="H171" i="24" s="1"/>
  <c r="L171" i="24" s="1"/>
  <c r="I170" i="24" a="1"/>
  <c r="I170" i="24" s="1"/>
  <c r="M170" i="24" s="1"/>
  <c r="H170" i="24" a="1"/>
  <c r="H170" i="24" s="1"/>
  <c r="L170" i="24" s="1"/>
  <c r="I169" i="24" a="1"/>
  <c r="I169" i="24" s="1"/>
  <c r="M169" i="24" s="1"/>
  <c r="H169" i="24" a="1"/>
  <c r="H169" i="24" s="1"/>
  <c r="L169" i="24" s="1"/>
  <c r="I168" i="24" a="1"/>
  <c r="I168" i="24" s="1"/>
  <c r="M168" i="24" s="1"/>
  <c r="H168" i="24" a="1"/>
  <c r="H168" i="24" s="1"/>
  <c r="L168" i="24" s="1"/>
  <c r="I167" i="24" a="1"/>
  <c r="I167" i="24" s="1"/>
  <c r="M167" i="24" s="1"/>
  <c r="H167" i="24" a="1"/>
  <c r="H167" i="24" s="1"/>
  <c r="L167" i="24" s="1"/>
  <c r="I166" i="24" a="1"/>
  <c r="I166" i="24" s="1"/>
  <c r="M166" i="24" s="1"/>
  <c r="H166" i="24" a="1"/>
  <c r="H166" i="24" s="1"/>
  <c r="L166" i="24" s="1"/>
  <c r="I165" i="24" a="1"/>
  <c r="I165" i="24" s="1"/>
  <c r="M165" i="24" s="1"/>
  <c r="H165" i="24" a="1"/>
  <c r="H165" i="24" s="1"/>
  <c r="L165" i="24" s="1"/>
  <c r="I164" i="24" a="1"/>
  <c r="I164" i="24" s="1"/>
  <c r="M164" i="24" s="1"/>
  <c r="H164" i="24" a="1"/>
  <c r="H164" i="24" s="1"/>
  <c r="L164" i="24" s="1"/>
  <c r="I163" i="24" a="1"/>
  <c r="I163" i="24" s="1"/>
  <c r="M163" i="24" s="1"/>
  <c r="H163" i="24" a="1"/>
  <c r="H163" i="24" s="1"/>
  <c r="L163" i="24" s="1"/>
  <c r="I162" i="24" a="1"/>
  <c r="I162" i="24" s="1"/>
  <c r="M162" i="24" s="1"/>
  <c r="H162" i="24" a="1"/>
  <c r="H162" i="24" s="1"/>
  <c r="L162" i="24" s="1"/>
  <c r="I161" i="24" a="1"/>
  <c r="I161" i="24" s="1"/>
  <c r="M161" i="24" s="1"/>
  <c r="H161" i="24" a="1"/>
  <c r="H161" i="24" s="1"/>
  <c r="L161" i="24" s="1"/>
  <c r="I160" i="24" a="1"/>
  <c r="I160" i="24" s="1"/>
  <c r="M160" i="24" s="1"/>
  <c r="H160" i="24" a="1"/>
  <c r="H160" i="24" s="1"/>
  <c r="L160" i="24" s="1"/>
  <c r="I159" i="24" a="1"/>
  <c r="I159" i="24" s="1"/>
  <c r="M159" i="24" s="1"/>
  <c r="H159" i="24" a="1"/>
  <c r="H159" i="24" s="1"/>
  <c r="L159" i="24" s="1"/>
  <c r="I158" i="24" a="1"/>
  <c r="I158" i="24" s="1"/>
  <c r="M158" i="24" s="1"/>
  <c r="H158" i="24" a="1"/>
  <c r="H158" i="24" s="1"/>
  <c r="L158" i="24" s="1"/>
  <c r="I157" i="24" a="1"/>
  <c r="I157" i="24" s="1"/>
  <c r="M157" i="24" s="1"/>
  <c r="H157" i="24" a="1"/>
  <c r="H157" i="24" s="1"/>
  <c r="L157" i="24" s="1"/>
  <c r="I156" i="24" a="1"/>
  <c r="I156" i="24" s="1"/>
  <c r="M156" i="24" s="1"/>
  <c r="H156" i="24" a="1"/>
  <c r="H156" i="24" s="1"/>
  <c r="L156" i="24" s="1"/>
  <c r="I155" i="24" a="1"/>
  <c r="I155" i="24" s="1"/>
  <c r="M155" i="24" s="1"/>
  <c r="H155" i="24" a="1"/>
  <c r="H155" i="24" s="1"/>
  <c r="L155" i="24" s="1"/>
  <c r="I154" i="24" a="1"/>
  <c r="I154" i="24" s="1"/>
  <c r="M154" i="24" s="1"/>
  <c r="H154" i="24" a="1"/>
  <c r="H154" i="24" s="1"/>
  <c r="L154" i="24" s="1"/>
  <c r="I153" i="24" a="1"/>
  <c r="I153" i="24" s="1"/>
  <c r="M153" i="24" s="1"/>
  <c r="H153" i="24" a="1"/>
  <c r="H153" i="24" s="1"/>
  <c r="L153" i="24" s="1"/>
  <c r="I152" i="24" a="1"/>
  <c r="I152" i="24" s="1"/>
  <c r="M152" i="24" s="1"/>
  <c r="H152" i="24" a="1"/>
  <c r="H152" i="24" s="1"/>
  <c r="L152" i="24" s="1"/>
  <c r="I151" i="24" a="1"/>
  <c r="I151" i="24" s="1"/>
  <c r="M151" i="24" s="1"/>
  <c r="H151" i="24" a="1"/>
  <c r="H151" i="24" s="1"/>
  <c r="L151" i="24" s="1"/>
  <c r="I150" i="24" a="1"/>
  <c r="I150" i="24" s="1"/>
  <c r="M150" i="24" s="1"/>
  <c r="H150" i="24" a="1"/>
  <c r="H150" i="24" s="1"/>
  <c r="L150" i="24" s="1"/>
  <c r="I149" i="24" a="1"/>
  <c r="I149" i="24" s="1"/>
  <c r="M149" i="24" s="1"/>
  <c r="H149" i="24" a="1"/>
  <c r="H149" i="24" s="1"/>
  <c r="L149" i="24" s="1"/>
  <c r="I148" i="24" a="1"/>
  <c r="I148" i="24" s="1"/>
  <c r="M148" i="24" s="1"/>
  <c r="H148" i="24" a="1"/>
  <c r="H148" i="24" s="1"/>
  <c r="L148" i="24" s="1"/>
  <c r="I147" i="24" a="1"/>
  <c r="I147" i="24" s="1"/>
  <c r="M147" i="24" s="1"/>
  <c r="H147" i="24" a="1"/>
  <c r="H147" i="24" s="1"/>
  <c r="L147" i="24" s="1"/>
  <c r="I146" i="24" a="1"/>
  <c r="I146" i="24" s="1"/>
  <c r="M146" i="24" s="1"/>
  <c r="H146" i="24" a="1"/>
  <c r="H146" i="24" s="1"/>
  <c r="L146" i="24" s="1"/>
  <c r="I145" i="24" a="1"/>
  <c r="I145" i="24" s="1"/>
  <c r="M145" i="24" s="1"/>
  <c r="H145" i="24" a="1"/>
  <c r="H145" i="24" s="1"/>
  <c r="L145" i="24" s="1"/>
  <c r="I144" i="24" a="1"/>
  <c r="I144" i="24" s="1"/>
  <c r="M144" i="24" s="1"/>
  <c r="H144" i="24" a="1"/>
  <c r="H144" i="24" s="1"/>
  <c r="L144" i="24" s="1"/>
  <c r="I143" i="24" a="1"/>
  <c r="I143" i="24" s="1"/>
  <c r="M143" i="24" s="1"/>
  <c r="H143" i="24" a="1"/>
  <c r="H143" i="24" s="1"/>
  <c r="L143" i="24" s="1"/>
  <c r="I142" i="24" a="1"/>
  <c r="I142" i="24" s="1"/>
  <c r="M142" i="24" s="1"/>
  <c r="H142" i="24" a="1"/>
  <c r="H142" i="24" s="1"/>
  <c r="L142" i="24" s="1"/>
  <c r="I141" i="24" a="1"/>
  <c r="I141" i="24" s="1"/>
  <c r="M141" i="24" s="1"/>
  <c r="H141" i="24" a="1"/>
  <c r="H141" i="24" s="1"/>
  <c r="L141" i="24" s="1"/>
  <c r="I140" i="24" a="1"/>
  <c r="I140" i="24" s="1"/>
  <c r="M140" i="24" s="1"/>
  <c r="H140" i="24" a="1"/>
  <c r="H140" i="24" s="1"/>
  <c r="L140" i="24" s="1"/>
  <c r="I139" i="24" a="1"/>
  <c r="I139" i="24" s="1"/>
  <c r="M139" i="24" s="1"/>
  <c r="H139" i="24" a="1"/>
  <c r="H139" i="24" s="1"/>
  <c r="L139" i="24" s="1"/>
  <c r="I138" i="24" a="1"/>
  <c r="I138" i="24" s="1"/>
  <c r="M138" i="24" s="1"/>
  <c r="H138" i="24" a="1"/>
  <c r="H138" i="24" s="1"/>
  <c r="L138" i="24" s="1"/>
  <c r="I137" i="24" a="1"/>
  <c r="I137" i="24" s="1"/>
  <c r="M137" i="24" s="1"/>
  <c r="H137" i="24" a="1"/>
  <c r="H137" i="24" s="1"/>
  <c r="L137" i="24" s="1"/>
  <c r="I136" i="24" a="1"/>
  <c r="I136" i="24" s="1"/>
  <c r="M136" i="24" s="1"/>
  <c r="H136" i="24" a="1"/>
  <c r="H136" i="24" s="1"/>
  <c r="L136" i="24" s="1"/>
  <c r="I135" i="24" a="1"/>
  <c r="I135" i="24" s="1"/>
  <c r="M135" i="24" s="1"/>
  <c r="H135" i="24" a="1"/>
  <c r="H135" i="24" s="1"/>
  <c r="L135" i="24" s="1"/>
  <c r="I134" i="24" a="1"/>
  <c r="I134" i="24" s="1"/>
  <c r="M134" i="24" s="1"/>
  <c r="H134" i="24" a="1"/>
  <c r="H134" i="24" s="1"/>
  <c r="L134" i="24" s="1"/>
  <c r="I133" i="24" a="1"/>
  <c r="I133" i="24" s="1"/>
  <c r="M133" i="24" s="1"/>
  <c r="H133" i="24" a="1"/>
  <c r="H133" i="24" s="1"/>
  <c r="L133" i="24" s="1"/>
  <c r="I132" i="24" a="1"/>
  <c r="I132" i="24" s="1"/>
  <c r="M132" i="24" s="1"/>
  <c r="H132" i="24" a="1"/>
  <c r="H132" i="24" s="1"/>
  <c r="L132" i="24" s="1"/>
  <c r="I131" i="24" a="1"/>
  <c r="I131" i="24" s="1"/>
  <c r="M131" i="24" s="1"/>
  <c r="H131" i="24" a="1"/>
  <c r="H131" i="24" s="1"/>
  <c r="L131" i="24" s="1"/>
  <c r="I130" i="24" a="1"/>
  <c r="I130" i="24" s="1"/>
  <c r="M130" i="24" s="1"/>
  <c r="H130" i="24" a="1"/>
  <c r="H130" i="24" s="1"/>
  <c r="L130" i="24" s="1"/>
  <c r="I129" i="24" a="1"/>
  <c r="I129" i="24" s="1"/>
  <c r="M129" i="24" s="1"/>
  <c r="H129" i="24" a="1"/>
  <c r="H129" i="24" s="1"/>
  <c r="L129" i="24" s="1"/>
  <c r="I128" i="24" a="1"/>
  <c r="I128" i="24" s="1"/>
  <c r="M128" i="24" s="1"/>
  <c r="H128" i="24" a="1"/>
  <c r="H128" i="24" s="1"/>
  <c r="L128" i="24" s="1"/>
  <c r="I127" i="24" a="1"/>
  <c r="I127" i="24" s="1"/>
  <c r="M127" i="24" s="1"/>
  <c r="H127" i="24" a="1"/>
  <c r="H127" i="24" s="1"/>
  <c r="L127" i="24" s="1"/>
  <c r="I126" i="24" a="1"/>
  <c r="I126" i="24" s="1"/>
  <c r="M126" i="24" s="1"/>
  <c r="H126" i="24" a="1"/>
  <c r="H126" i="24" s="1"/>
  <c r="L126" i="24" s="1"/>
  <c r="I125" i="24" a="1"/>
  <c r="I125" i="24" s="1"/>
  <c r="M125" i="24" s="1"/>
  <c r="H125" i="24" a="1"/>
  <c r="H125" i="24" s="1"/>
  <c r="L125" i="24" s="1"/>
  <c r="I124" i="24" a="1"/>
  <c r="I124" i="24" s="1"/>
  <c r="M124" i="24" s="1"/>
  <c r="H124" i="24" a="1"/>
  <c r="H124" i="24" s="1"/>
  <c r="L124" i="24" s="1"/>
  <c r="I123" i="24" a="1"/>
  <c r="I123" i="24" s="1"/>
  <c r="M123" i="24" s="1"/>
  <c r="H123" i="24" a="1"/>
  <c r="H123" i="24" s="1"/>
  <c r="L123" i="24" s="1"/>
  <c r="I122" i="24" a="1"/>
  <c r="I122" i="24" s="1"/>
  <c r="M122" i="24" s="1"/>
  <c r="H122" i="24" a="1"/>
  <c r="H122" i="24" s="1"/>
  <c r="L122" i="24" s="1"/>
  <c r="I121" i="24" a="1"/>
  <c r="I121" i="24" s="1"/>
  <c r="M121" i="24" s="1"/>
  <c r="H121" i="24" a="1"/>
  <c r="H121" i="24" s="1"/>
  <c r="L121" i="24" s="1"/>
  <c r="I120" i="24" a="1"/>
  <c r="I120" i="24" s="1"/>
  <c r="M120" i="24" s="1"/>
  <c r="H120" i="24" a="1"/>
  <c r="H120" i="24" s="1"/>
  <c r="L120" i="24" s="1"/>
  <c r="I119" i="24" a="1"/>
  <c r="I119" i="24" s="1"/>
  <c r="M119" i="24" s="1"/>
  <c r="H119" i="24" a="1"/>
  <c r="H119" i="24" s="1"/>
  <c r="L119" i="24" s="1"/>
  <c r="I118" i="24" a="1"/>
  <c r="I118" i="24" s="1"/>
  <c r="M118" i="24" s="1"/>
  <c r="H118" i="24" a="1"/>
  <c r="H118" i="24" s="1"/>
  <c r="L118" i="24" s="1"/>
  <c r="I117" i="24" a="1"/>
  <c r="I117" i="24" s="1"/>
  <c r="M117" i="24" s="1"/>
  <c r="H117" i="24" a="1"/>
  <c r="H117" i="24" s="1"/>
  <c r="L117" i="24" s="1"/>
  <c r="I116" i="24" a="1"/>
  <c r="I116" i="24" s="1"/>
  <c r="M116" i="24" s="1"/>
  <c r="H116" i="24" a="1"/>
  <c r="H116" i="24" s="1"/>
  <c r="L116" i="24" s="1"/>
  <c r="I115" i="24" a="1"/>
  <c r="I115" i="24" s="1"/>
  <c r="M115" i="24" s="1"/>
  <c r="H115" i="24" a="1"/>
  <c r="H115" i="24" s="1"/>
  <c r="L115" i="24" s="1"/>
  <c r="I114" i="24" a="1"/>
  <c r="I114" i="24" s="1"/>
  <c r="M114" i="24" s="1"/>
  <c r="H114" i="24" a="1"/>
  <c r="H114" i="24" s="1"/>
  <c r="L114" i="24" s="1"/>
  <c r="I113" i="24" a="1"/>
  <c r="I113" i="24" s="1"/>
  <c r="M113" i="24" s="1"/>
  <c r="H113" i="24" a="1"/>
  <c r="H113" i="24" s="1"/>
  <c r="L113" i="24" s="1"/>
  <c r="I112" i="24" a="1"/>
  <c r="I112" i="24" s="1"/>
  <c r="M112" i="24" s="1"/>
  <c r="H112" i="24" a="1"/>
  <c r="H112" i="24" s="1"/>
  <c r="L112" i="24" s="1"/>
  <c r="I111" i="24" a="1"/>
  <c r="I111" i="24" s="1"/>
  <c r="M111" i="24" s="1"/>
  <c r="H111" i="24" a="1"/>
  <c r="H111" i="24" s="1"/>
  <c r="L111" i="24" s="1"/>
  <c r="I110" i="24" a="1"/>
  <c r="I110" i="24" s="1"/>
  <c r="M110" i="24" s="1"/>
  <c r="H110" i="24" a="1"/>
  <c r="H110" i="24" s="1"/>
  <c r="L110" i="24" s="1"/>
  <c r="I109" i="24" a="1"/>
  <c r="I109" i="24" s="1"/>
  <c r="M109" i="24" s="1"/>
  <c r="H109" i="24" a="1"/>
  <c r="H109" i="24" s="1"/>
  <c r="L109" i="24" s="1"/>
  <c r="I108" i="24" a="1"/>
  <c r="I108" i="24" s="1"/>
  <c r="M108" i="24" s="1"/>
  <c r="H108" i="24" a="1"/>
  <c r="H108" i="24" s="1"/>
  <c r="L108" i="24" s="1"/>
  <c r="I107" i="24" a="1"/>
  <c r="I107" i="24" s="1"/>
  <c r="M107" i="24" s="1"/>
  <c r="H107" i="24" a="1"/>
  <c r="H107" i="24" s="1"/>
  <c r="L107" i="24" s="1"/>
  <c r="I106" i="24" a="1"/>
  <c r="I106" i="24" s="1"/>
  <c r="M106" i="24" s="1"/>
  <c r="H106" i="24" a="1"/>
  <c r="H106" i="24" s="1"/>
  <c r="L106" i="24" s="1"/>
  <c r="I105" i="24" a="1"/>
  <c r="I105" i="24" s="1"/>
  <c r="M105" i="24" s="1"/>
  <c r="H105" i="24" a="1"/>
  <c r="H105" i="24" s="1"/>
  <c r="L105" i="24" s="1"/>
  <c r="I104" i="24" a="1"/>
  <c r="I104" i="24" s="1"/>
  <c r="M104" i="24" s="1"/>
  <c r="H104" i="24" a="1"/>
  <c r="H104" i="24" s="1"/>
  <c r="L104" i="24" s="1"/>
  <c r="I103" i="24" a="1"/>
  <c r="I103" i="24" s="1"/>
  <c r="M103" i="24" s="1"/>
  <c r="H103" i="24" a="1"/>
  <c r="H103" i="24" s="1"/>
  <c r="L103" i="24" s="1"/>
  <c r="I102" i="24" a="1"/>
  <c r="I102" i="24" s="1"/>
  <c r="M102" i="24" s="1"/>
  <c r="H102" i="24" a="1"/>
  <c r="H102" i="24" s="1"/>
  <c r="L102" i="24" s="1"/>
  <c r="I101" i="24" a="1"/>
  <c r="I101" i="24" s="1"/>
  <c r="M101" i="24" s="1"/>
  <c r="H101" i="24" a="1"/>
  <c r="H101" i="24" s="1"/>
  <c r="L101" i="24" s="1"/>
  <c r="I100" i="24" a="1"/>
  <c r="I100" i="24" s="1"/>
  <c r="M100" i="24" s="1"/>
  <c r="H100" i="24" a="1"/>
  <c r="H100" i="24" s="1"/>
  <c r="L100" i="24" s="1"/>
  <c r="I99" i="24" a="1"/>
  <c r="I99" i="24" s="1"/>
  <c r="M99" i="24" s="1"/>
  <c r="H99" i="24" a="1"/>
  <c r="H99" i="24" s="1"/>
  <c r="L99" i="24" s="1"/>
  <c r="I98" i="24" a="1"/>
  <c r="I98" i="24" s="1"/>
  <c r="M98" i="24" s="1"/>
  <c r="H98" i="24" a="1"/>
  <c r="H98" i="24" s="1"/>
  <c r="L98" i="24" s="1"/>
  <c r="I97" i="24" a="1"/>
  <c r="I97" i="24" s="1"/>
  <c r="M97" i="24" s="1"/>
  <c r="H97" i="24" a="1"/>
  <c r="H97" i="24" s="1"/>
  <c r="L97" i="24" s="1"/>
  <c r="I96" i="24" a="1"/>
  <c r="I96" i="24" s="1"/>
  <c r="M96" i="24" s="1"/>
  <c r="H96" i="24" a="1"/>
  <c r="H96" i="24" s="1"/>
  <c r="L96" i="24" s="1"/>
  <c r="I95" i="24" a="1"/>
  <c r="I95" i="24" s="1"/>
  <c r="M95" i="24" s="1"/>
  <c r="H95" i="24" a="1"/>
  <c r="H95" i="24" s="1"/>
  <c r="L95" i="24" s="1"/>
  <c r="I94" i="24" a="1"/>
  <c r="I94" i="24" s="1"/>
  <c r="M94" i="24" s="1"/>
  <c r="H94" i="24" a="1"/>
  <c r="H94" i="24" s="1"/>
  <c r="L94" i="24" s="1"/>
  <c r="I93" i="24" a="1"/>
  <c r="I93" i="24" s="1"/>
  <c r="M93" i="24" s="1"/>
  <c r="H93" i="24" a="1"/>
  <c r="H93" i="24" s="1"/>
  <c r="L93" i="24" s="1"/>
  <c r="I92" i="24" a="1"/>
  <c r="I92" i="24" s="1"/>
  <c r="M92" i="24" s="1"/>
  <c r="H92" i="24" a="1"/>
  <c r="H92" i="24" s="1"/>
  <c r="L92" i="24" s="1"/>
  <c r="I91" i="24" a="1"/>
  <c r="I91" i="24" s="1"/>
  <c r="M91" i="24" s="1"/>
  <c r="H91" i="24" a="1"/>
  <c r="H91" i="24" s="1"/>
  <c r="L91" i="24" s="1"/>
  <c r="I90" i="24" a="1"/>
  <c r="I90" i="24" s="1"/>
  <c r="M90" i="24" s="1"/>
  <c r="H90" i="24" a="1"/>
  <c r="H90" i="24" s="1"/>
  <c r="L90" i="24" s="1"/>
  <c r="I89" i="24" a="1"/>
  <c r="I89" i="24" s="1"/>
  <c r="M89" i="24" s="1"/>
  <c r="H89" i="24" a="1"/>
  <c r="H89" i="24" s="1"/>
  <c r="L89" i="24" s="1"/>
  <c r="I88" i="24" a="1"/>
  <c r="I88" i="24" s="1"/>
  <c r="M88" i="24" s="1"/>
  <c r="H88" i="24" a="1"/>
  <c r="H88" i="24" s="1"/>
  <c r="L88" i="24" s="1"/>
  <c r="I87" i="24" a="1"/>
  <c r="I87" i="24" s="1"/>
  <c r="M87" i="24" s="1"/>
  <c r="H87" i="24" a="1"/>
  <c r="H87" i="24" s="1"/>
  <c r="L87" i="24" s="1"/>
  <c r="I86" i="24" a="1"/>
  <c r="I86" i="24" s="1"/>
  <c r="M86" i="24" s="1"/>
  <c r="H86" i="24" a="1"/>
  <c r="H86" i="24" s="1"/>
  <c r="L86" i="24" s="1"/>
  <c r="I85" i="24" a="1"/>
  <c r="I85" i="24" s="1"/>
  <c r="M85" i="24" s="1"/>
  <c r="H85" i="24" a="1"/>
  <c r="H85" i="24" s="1"/>
  <c r="L85" i="24" s="1"/>
  <c r="I84" i="24" a="1"/>
  <c r="I84" i="24" s="1"/>
  <c r="M84" i="24" s="1"/>
  <c r="H84" i="24" a="1"/>
  <c r="H84" i="24" s="1"/>
  <c r="L84" i="24" s="1"/>
  <c r="I83" i="24" a="1"/>
  <c r="I83" i="24" s="1"/>
  <c r="M83" i="24" s="1"/>
  <c r="H83" i="24" a="1"/>
  <c r="H83" i="24" s="1"/>
  <c r="L83" i="24" s="1"/>
  <c r="I82" i="24" a="1"/>
  <c r="I82" i="24" s="1"/>
  <c r="M82" i="24" s="1"/>
  <c r="H82" i="24" a="1"/>
  <c r="H82" i="24" s="1"/>
  <c r="L82" i="24" s="1"/>
  <c r="I81" i="24" a="1"/>
  <c r="I81" i="24" s="1"/>
  <c r="M81" i="24" s="1"/>
  <c r="H81" i="24" a="1"/>
  <c r="H81" i="24" s="1"/>
  <c r="L81" i="24" s="1"/>
  <c r="I80" i="24" a="1"/>
  <c r="I80" i="24" s="1"/>
  <c r="M80" i="24" s="1"/>
  <c r="H80" i="24" a="1"/>
  <c r="H80" i="24" s="1"/>
  <c r="L80" i="24" s="1"/>
  <c r="I79" i="24" a="1"/>
  <c r="I79" i="24" s="1"/>
  <c r="M79" i="24" s="1"/>
  <c r="H79" i="24" a="1"/>
  <c r="H79" i="24" s="1"/>
  <c r="L79" i="24" s="1"/>
  <c r="I78" i="24" a="1"/>
  <c r="I78" i="24" s="1"/>
  <c r="M78" i="24" s="1"/>
  <c r="H78" i="24" a="1"/>
  <c r="H78" i="24" s="1"/>
  <c r="L78" i="24" s="1"/>
  <c r="I77" i="24" a="1"/>
  <c r="I77" i="24" s="1"/>
  <c r="M77" i="24" s="1"/>
  <c r="H77" i="24" a="1"/>
  <c r="H77" i="24" s="1"/>
  <c r="L77" i="24" s="1"/>
  <c r="I76" i="24" a="1"/>
  <c r="I76" i="24" s="1"/>
  <c r="M76" i="24" s="1"/>
  <c r="H76" i="24" a="1"/>
  <c r="H76" i="24" s="1"/>
  <c r="L76" i="24" s="1"/>
  <c r="I75" i="24" a="1"/>
  <c r="I75" i="24" s="1"/>
  <c r="M75" i="24" s="1"/>
  <c r="H75" i="24" a="1"/>
  <c r="H75" i="24" s="1"/>
  <c r="L75" i="24" s="1"/>
  <c r="I74" i="24" a="1"/>
  <c r="I74" i="24" s="1"/>
  <c r="M74" i="24" s="1"/>
  <c r="H74" i="24" a="1"/>
  <c r="H74" i="24" s="1"/>
  <c r="L74" i="24" s="1"/>
  <c r="I73" i="24" a="1"/>
  <c r="I73" i="24" s="1"/>
  <c r="M73" i="24" s="1"/>
  <c r="H73" i="24" a="1"/>
  <c r="H73" i="24" s="1"/>
  <c r="L73" i="24" s="1"/>
  <c r="I72" i="24" a="1"/>
  <c r="I72" i="24" s="1"/>
  <c r="M72" i="24" s="1"/>
  <c r="H72" i="24" a="1"/>
  <c r="H72" i="24" s="1"/>
  <c r="L72" i="24" s="1"/>
  <c r="I71" i="24" a="1"/>
  <c r="I71" i="24" s="1"/>
  <c r="M71" i="24" s="1"/>
  <c r="H71" i="24" a="1"/>
  <c r="H71" i="24" s="1"/>
  <c r="L71" i="24" s="1"/>
  <c r="I70" i="24" a="1"/>
  <c r="I70" i="24" s="1"/>
  <c r="M70" i="24" s="1"/>
  <c r="H70" i="24" a="1"/>
  <c r="H70" i="24" s="1"/>
  <c r="L70" i="24" s="1"/>
  <c r="I69" i="24" a="1"/>
  <c r="I69" i="24" s="1"/>
  <c r="M69" i="24" s="1"/>
  <c r="H69" i="24" a="1"/>
  <c r="H69" i="24" s="1"/>
  <c r="L69" i="24" s="1"/>
  <c r="I68" i="24" a="1"/>
  <c r="I68" i="24" s="1"/>
  <c r="M68" i="24" s="1"/>
  <c r="H68" i="24" a="1"/>
  <c r="H68" i="24" s="1"/>
  <c r="L68" i="24" s="1"/>
  <c r="I67" i="24" a="1"/>
  <c r="I67" i="24" s="1"/>
  <c r="M67" i="24" s="1"/>
  <c r="H67" i="24" a="1"/>
  <c r="H67" i="24" s="1"/>
  <c r="L67" i="24" s="1"/>
  <c r="I66" i="24" a="1"/>
  <c r="I66" i="24" s="1"/>
  <c r="M66" i="24" s="1"/>
  <c r="H66" i="24" a="1"/>
  <c r="H66" i="24" s="1"/>
  <c r="L66" i="24" s="1"/>
  <c r="I65" i="24" a="1"/>
  <c r="I65" i="24" s="1"/>
  <c r="M65" i="24" s="1"/>
  <c r="H65" i="24" a="1"/>
  <c r="H65" i="24" s="1"/>
  <c r="L65" i="24" s="1"/>
  <c r="I64" i="24" a="1"/>
  <c r="I64" i="24" s="1"/>
  <c r="M64" i="24" s="1"/>
  <c r="H64" i="24" a="1"/>
  <c r="H64" i="24" s="1"/>
  <c r="L64" i="24" s="1"/>
  <c r="I63" i="24" a="1"/>
  <c r="I63" i="24" s="1"/>
  <c r="M63" i="24" s="1"/>
  <c r="H63" i="24" a="1"/>
  <c r="H63" i="24" s="1"/>
  <c r="L63" i="24" s="1"/>
  <c r="I62" i="24" a="1"/>
  <c r="I62" i="24" s="1"/>
  <c r="M62" i="24" s="1"/>
  <c r="H62" i="24" a="1"/>
  <c r="H62" i="24" s="1"/>
  <c r="L62" i="24" s="1"/>
  <c r="I61" i="24" a="1"/>
  <c r="I61" i="24" s="1"/>
  <c r="M61" i="24" s="1"/>
  <c r="H61" i="24" a="1"/>
  <c r="H61" i="24" s="1"/>
  <c r="L61" i="24" s="1"/>
  <c r="I60" i="24" a="1"/>
  <c r="I60" i="24" s="1"/>
  <c r="M60" i="24" s="1"/>
  <c r="H60" i="24" a="1"/>
  <c r="H60" i="24" s="1"/>
  <c r="L60" i="24" s="1"/>
  <c r="I59" i="24" a="1"/>
  <c r="I59" i="24" s="1"/>
  <c r="M59" i="24" s="1"/>
  <c r="H59" i="24" a="1"/>
  <c r="H59" i="24" s="1"/>
  <c r="L59" i="24" s="1"/>
  <c r="I58" i="24" a="1"/>
  <c r="I58" i="24" s="1"/>
  <c r="M58" i="24" s="1"/>
  <c r="H58" i="24" a="1"/>
  <c r="H58" i="24" s="1"/>
  <c r="L58" i="24" s="1"/>
  <c r="I57" i="24" a="1"/>
  <c r="I57" i="24" s="1"/>
  <c r="M57" i="24" s="1"/>
  <c r="H57" i="24" a="1"/>
  <c r="H57" i="24" s="1"/>
  <c r="L57" i="24" s="1"/>
  <c r="I56" i="24" a="1"/>
  <c r="I56" i="24" s="1"/>
  <c r="M56" i="24" s="1"/>
  <c r="H56" i="24" a="1"/>
  <c r="H56" i="24" s="1"/>
  <c r="L56" i="24" s="1"/>
  <c r="I55" i="24" a="1"/>
  <c r="I55" i="24" s="1"/>
  <c r="M55" i="24" s="1"/>
  <c r="H55" i="24" a="1"/>
  <c r="H55" i="24" s="1"/>
  <c r="L55" i="24" s="1"/>
  <c r="I54" i="24" a="1"/>
  <c r="I54" i="24" s="1"/>
  <c r="M54" i="24" s="1"/>
  <c r="H54" i="24" a="1"/>
  <c r="H54" i="24" s="1"/>
  <c r="L54" i="24" s="1"/>
  <c r="I53" i="24" a="1"/>
  <c r="I53" i="24" s="1"/>
  <c r="M53" i="24" s="1"/>
  <c r="H53" i="24" a="1"/>
  <c r="H53" i="24" s="1"/>
  <c r="L53" i="24" s="1"/>
  <c r="I52" i="24" a="1"/>
  <c r="I52" i="24" s="1"/>
  <c r="M52" i="24" s="1"/>
  <c r="H52" i="24" a="1"/>
  <c r="H52" i="24" s="1"/>
  <c r="L52" i="24" s="1"/>
  <c r="I51" i="24" a="1"/>
  <c r="I51" i="24" s="1"/>
  <c r="M51" i="24" s="1"/>
  <c r="H51" i="24" a="1"/>
  <c r="H51" i="24" s="1"/>
  <c r="L51" i="24" s="1"/>
  <c r="I50" i="24" a="1"/>
  <c r="I50" i="24" s="1"/>
  <c r="M50" i="24" s="1"/>
  <c r="H50" i="24" a="1"/>
  <c r="H50" i="24" s="1"/>
  <c r="L50" i="24" s="1"/>
  <c r="I49" i="24" a="1"/>
  <c r="I49" i="24" s="1"/>
  <c r="M49" i="24" s="1"/>
  <c r="H49" i="24" a="1"/>
  <c r="H49" i="24" s="1"/>
  <c r="L49" i="24" s="1"/>
  <c r="I48" i="24" a="1"/>
  <c r="I48" i="24" s="1"/>
  <c r="M48" i="24" s="1"/>
  <c r="H48" i="24" a="1"/>
  <c r="H48" i="24" s="1"/>
  <c r="L48" i="24" s="1"/>
  <c r="I47" i="24" a="1"/>
  <c r="I47" i="24" s="1"/>
  <c r="M47" i="24" s="1"/>
  <c r="H47" i="24" a="1"/>
  <c r="H47" i="24" s="1"/>
  <c r="L47" i="24" s="1"/>
  <c r="I46" i="24" a="1"/>
  <c r="I46" i="24" s="1"/>
  <c r="M46" i="24" s="1"/>
  <c r="H46" i="24" a="1"/>
  <c r="H46" i="24" s="1"/>
  <c r="L46" i="24" s="1"/>
  <c r="I45" i="24" a="1"/>
  <c r="I45" i="24" s="1"/>
  <c r="M45" i="24" s="1"/>
  <c r="H45" i="24" a="1"/>
  <c r="H45" i="24" s="1"/>
  <c r="L45" i="24" s="1"/>
  <c r="I44" i="24" a="1"/>
  <c r="I44" i="24" s="1"/>
  <c r="M44" i="24" s="1"/>
  <c r="H44" i="24" a="1"/>
  <c r="H44" i="24" s="1"/>
  <c r="L44" i="24" s="1"/>
  <c r="I43" i="24" a="1"/>
  <c r="I43" i="24" s="1"/>
  <c r="M43" i="24" s="1"/>
  <c r="H43" i="24" a="1"/>
  <c r="H43" i="24" s="1"/>
  <c r="L43" i="24" s="1"/>
  <c r="I42" i="24" a="1"/>
  <c r="I42" i="24" s="1"/>
  <c r="M42" i="24" s="1"/>
  <c r="H42" i="24" a="1"/>
  <c r="H42" i="24" s="1"/>
  <c r="L42" i="24" s="1"/>
  <c r="I41" i="24" a="1"/>
  <c r="I41" i="24" s="1"/>
  <c r="M41" i="24" s="1"/>
  <c r="H41" i="24" a="1"/>
  <c r="H41" i="24" s="1"/>
  <c r="L41" i="24" s="1"/>
  <c r="I40" i="24" a="1"/>
  <c r="I40" i="24" s="1"/>
  <c r="M40" i="24" s="1"/>
  <c r="H40" i="24" a="1"/>
  <c r="H40" i="24" s="1"/>
  <c r="L40" i="24" s="1"/>
  <c r="I39" i="24" a="1"/>
  <c r="I39" i="24" s="1"/>
  <c r="M39" i="24" s="1"/>
  <c r="H39" i="24" a="1"/>
  <c r="H39" i="24" s="1"/>
  <c r="L39" i="24" s="1"/>
  <c r="I38" i="24" a="1"/>
  <c r="I38" i="24" s="1"/>
  <c r="M38" i="24" s="1"/>
  <c r="H38" i="24" a="1"/>
  <c r="H38" i="24" s="1"/>
  <c r="L38" i="24" s="1"/>
  <c r="I37" i="24" a="1"/>
  <c r="I37" i="24" s="1"/>
  <c r="M37" i="24" s="1"/>
  <c r="H37" i="24" a="1"/>
  <c r="H37" i="24" s="1"/>
  <c r="L37" i="24" s="1"/>
  <c r="I36" i="24" a="1"/>
  <c r="I36" i="24" s="1"/>
  <c r="M36" i="24" s="1"/>
  <c r="H36" i="24" a="1"/>
  <c r="H36" i="24" s="1"/>
  <c r="L36" i="24" s="1"/>
  <c r="I35" i="24" a="1"/>
  <c r="I35" i="24" s="1"/>
  <c r="M35" i="24" s="1"/>
  <c r="H35" i="24" a="1"/>
  <c r="H35" i="24" s="1"/>
  <c r="L35" i="24" s="1"/>
  <c r="I34" i="24" a="1"/>
  <c r="I34" i="24" s="1"/>
  <c r="M34" i="24" s="1"/>
  <c r="H34" i="24" a="1"/>
  <c r="H34" i="24" s="1"/>
  <c r="L34" i="24" s="1"/>
  <c r="I33" i="24" a="1"/>
  <c r="I33" i="24" s="1"/>
  <c r="M33" i="24" s="1"/>
  <c r="H33" i="24" a="1"/>
  <c r="H33" i="24" s="1"/>
  <c r="L33" i="24" s="1"/>
  <c r="I32" i="24" a="1"/>
  <c r="I32" i="24" s="1"/>
  <c r="M32" i="24" s="1"/>
  <c r="H32" i="24" a="1"/>
  <c r="H32" i="24" s="1"/>
  <c r="L32" i="24" s="1"/>
  <c r="I31" i="24" a="1"/>
  <c r="I31" i="24" s="1"/>
  <c r="M31" i="24" s="1"/>
  <c r="H31" i="24" a="1"/>
  <c r="H31" i="24" s="1"/>
  <c r="L31" i="24" s="1"/>
  <c r="I30" i="24" a="1"/>
  <c r="I30" i="24" s="1"/>
  <c r="M30" i="24" s="1"/>
  <c r="H30" i="24" a="1"/>
  <c r="H30" i="24" s="1"/>
  <c r="L30" i="24" s="1"/>
  <c r="I29" i="24" a="1"/>
  <c r="I29" i="24" s="1"/>
  <c r="M29" i="24" s="1"/>
  <c r="H29" i="24" a="1"/>
  <c r="H29" i="24" s="1"/>
  <c r="L29" i="24" s="1"/>
  <c r="I28" i="24" a="1"/>
  <c r="I28" i="24" s="1"/>
  <c r="M28" i="24" s="1"/>
  <c r="H28" i="24" a="1"/>
  <c r="H28" i="24" s="1"/>
  <c r="L28" i="24" s="1"/>
  <c r="I27" i="24" a="1"/>
  <c r="I27" i="24" s="1"/>
  <c r="M27" i="24" s="1"/>
  <c r="H27" i="24" a="1"/>
  <c r="H27" i="24" s="1"/>
  <c r="L27" i="24" s="1"/>
  <c r="I26" i="24" a="1"/>
  <c r="I26" i="24" s="1"/>
  <c r="M26" i="24" s="1"/>
  <c r="H26" i="24" a="1"/>
  <c r="H26" i="24" s="1"/>
  <c r="L26" i="24" s="1"/>
  <c r="I25" i="24" a="1"/>
  <c r="I25" i="24" s="1"/>
  <c r="M25" i="24" s="1"/>
  <c r="H25" i="24" a="1"/>
  <c r="H25" i="24" s="1"/>
  <c r="L25" i="24" s="1"/>
  <c r="I24" i="24" a="1"/>
  <c r="I24" i="24" s="1"/>
  <c r="M24" i="24" s="1"/>
  <c r="H24" i="24" a="1"/>
  <c r="H24" i="24" s="1"/>
  <c r="L24" i="24" s="1"/>
  <c r="I23" i="24" a="1"/>
  <c r="I23" i="24" s="1"/>
  <c r="M23" i="24" s="1"/>
  <c r="H23" i="24" a="1"/>
  <c r="H23" i="24" s="1"/>
  <c r="L23" i="24" s="1"/>
  <c r="I22" i="24" a="1"/>
  <c r="I22" i="24" s="1"/>
  <c r="M22" i="24" s="1"/>
  <c r="H22" i="24" a="1"/>
  <c r="H22" i="24" s="1"/>
  <c r="L22" i="24" s="1"/>
  <c r="I21" i="24" a="1"/>
  <c r="I21" i="24" s="1"/>
  <c r="M21" i="24" s="1"/>
  <c r="H21" i="24" a="1"/>
  <c r="H21" i="24" s="1"/>
  <c r="L21" i="24" s="1"/>
  <c r="I20" i="24" a="1"/>
  <c r="I20" i="24" s="1"/>
  <c r="M20" i="24" s="1"/>
  <c r="H20" i="24" a="1"/>
  <c r="H20" i="24" s="1"/>
  <c r="L20" i="24" s="1"/>
  <c r="I19" i="24" a="1"/>
  <c r="I19" i="24" s="1"/>
  <c r="M19" i="24" s="1"/>
  <c r="H19" i="24" a="1"/>
  <c r="H19" i="24" s="1"/>
  <c r="L19" i="24" s="1"/>
  <c r="I18" i="24" a="1"/>
  <c r="I18" i="24" s="1"/>
  <c r="M18" i="24" s="1"/>
  <c r="H18" i="24" a="1"/>
  <c r="H18" i="24" s="1"/>
  <c r="L18" i="24" s="1"/>
  <c r="I17" i="24" a="1"/>
  <c r="I17" i="24" s="1"/>
  <c r="M17" i="24" s="1"/>
  <c r="H17" i="24" a="1"/>
  <c r="H17" i="24" s="1"/>
  <c r="L17" i="24" s="1"/>
  <c r="I16" i="24" a="1"/>
  <c r="I16" i="24" s="1"/>
  <c r="M16" i="24" s="1"/>
  <c r="H16" i="24" a="1"/>
  <c r="H16" i="24" s="1"/>
  <c r="L16" i="24" s="1"/>
  <c r="I15" i="24" a="1"/>
  <c r="I15" i="24" s="1"/>
  <c r="M15" i="24" s="1"/>
  <c r="H15" i="24" a="1"/>
  <c r="H15" i="24" s="1"/>
  <c r="L15" i="24" s="1"/>
  <c r="I14" i="24" a="1"/>
  <c r="I14" i="24" s="1"/>
  <c r="M14" i="24" s="1"/>
  <c r="H14" i="24" a="1"/>
  <c r="H14" i="24" s="1"/>
  <c r="L14" i="24" s="1"/>
  <c r="I13" i="24" a="1"/>
  <c r="I13" i="24" s="1"/>
  <c r="M13" i="24" s="1"/>
  <c r="H13" i="24" a="1"/>
  <c r="H13" i="24" s="1"/>
  <c r="L13" i="24" s="1"/>
  <c r="I12" i="24" a="1"/>
  <c r="I12" i="24" s="1"/>
  <c r="M12" i="24" s="1"/>
  <c r="H12" i="24" a="1"/>
  <c r="H12" i="24" s="1"/>
  <c r="L12" i="24" s="1"/>
  <c r="I11" i="24" a="1"/>
  <c r="I11" i="24" s="1"/>
  <c r="M11" i="24" s="1"/>
  <c r="H11" i="24" a="1"/>
  <c r="H11" i="24" s="1"/>
  <c r="L11" i="24" s="1"/>
  <c r="BE74" i="28" l="1"/>
  <c r="BD106" i="28"/>
  <c r="BD112" i="28" s="1"/>
  <c r="BE84" i="28"/>
  <c r="G73" i="22"/>
  <c r="H73" i="22" s="1"/>
  <c r="E122" i="22"/>
  <c r="BE94" i="28"/>
  <c r="BE32" i="28"/>
  <c r="BE104" i="28"/>
  <c r="BE42" i="28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BE106" i="28" l="1"/>
  <c r="BE112" i="28" s="1"/>
  <c r="S48" i="1"/>
  <c r="F33" i="26" s="1"/>
  <c r="R48" i="1"/>
  <c r="F32" i="26" s="1"/>
  <c r="Q48" i="1"/>
  <c r="F31" i="26" s="1"/>
  <c r="P48" i="1"/>
  <c r="F30" i="26" s="1"/>
  <c r="O48" i="1"/>
  <c r="F29" i="26" s="1"/>
  <c r="N48" i="1"/>
  <c r="F28" i="26" s="1"/>
  <c r="M48" i="1"/>
  <c r="F27" i="26" s="1"/>
  <c r="L48" i="1"/>
  <c r="F26" i="26" s="1"/>
  <c r="K48" i="1"/>
  <c r="F25" i="26" s="1"/>
  <c r="J48" i="1"/>
  <c r="F24" i="26" s="1"/>
  <c r="I48" i="1"/>
  <c r="F23" i="26" s="1"/>
  <c r="H48" i="1"/>
  <c r="F22" i="26" s="1"/>
  <c r="G48" i="1"/>
  <c r="F21" i="26" s="1"/>
  <c r="T51" i="1"/>
  <c r="T50" i="1"/>
  <c r="T49" i="1"/>
  <c r="T46" i="1"/>
  <c r="T45" i="1"/>
  <c r="T44" i="1"/>
  <c r="S309" i="1"/>
  <c r="F436" i="26" s="1"/>
  <c r="R309" i="1"/>
  <c r="F435" i="26" s="1"/>
  <c r="Q309" i="1"/>
  <c r="F434" i="26" s="1"/>
  <c r="P309" i="1"/>
  <c r="F433" i="26" s="1"/>
  <c r="O309" i="1"/>
  <c r="F432" i="26" s="1"/>
  <c r="N309" i="1"/>
  <c r="F431" i="26" s="1"/>
  <c r="M309" i="1"/>
  <c r="F430" i="26" s="1"/>
  <c r="L309" i="1"/>
  <c r="F429" i="26" s="1"/>
  <c r="K309" i="1"/>
  <c r="F428" i="26" s="1"/>
  <c r="J309" i="1"/>
  <c r="F427" i="26" s="1"/>
  <c r="I309" i="1"/>
  <c r="F426" i="26" s="1"/>
  <c r="H309" i="1"/>
  <c r="F425" i="26" s="1"/>
  <c r="G309" i="1"/>
  <c r="F424" i="26" s="1"/>
  <c r="T312" i="1"/>
  <c r="T311" i="1"/>
  <c r="T310" i="1"/>
  <c r="S304" i="1"/>
  <c r="F423" i="26" s="1"/>
  <c r="R304" i="1"/>
  <c r="F422" i="26" s="1"/>
  <c r="Q304" i="1"/>
  <c r="F421" i="26" s="1"/>
  <c r="P304" i="1"/>
  <c r="F420" i="26" s="1"/>
  <c r="O304" i="1"/>
  <c r="F419" i="26" s="1"/>
  <c r="N304" i="1"/>
  <c r="F418" i="26" s="1"/>
  <c r="M304" i="1"/>
  <c r="F417" i="26" s="1"/>
  <c r="L304" i="1"/>
  <c r="F416" i="26" s="1"/>
  <c r="K304" i="1"/>
  <c r="F415" i="26" s="1"/>
  <c r="J304" i="1"/>
  <c r="F414" i="26" s="1"/>
  <c r="I304" i="1"/>
  <c r="F413" i="26" s="1"/>
  <c r="H304" i="1"/>
  <c r="F412" i="26" s="1"/>
  <c r="G304" i="1"/>
  <c r="F411" i="26" s="1"/>
  <c r="T307" i="1"/>
  <c r="T306" i="1"/>
  <c r="T305" i="1"/>
  <c r="S299" i="1"/>
  <c r="F410" i="26" s="1"/>
  <c r="R299" i="1"/>
  <c r="F409" i="26" s="1"/>
  <c r="Q299" i="1"/>
  <c r="F408" i="26" s="1"/>
  <c r="P299" i="1"/>
  <c r="F407" i="26" s="1"/>
  <c r="O299" i="1"/>
  <c r="F406" i="26" s="1"/>
  <c r="N299" i="1"/>
  <c r="M299" i="1"/>
  <c r="F404" i="26" s="1"/>
  <c r="L299" i="1"/>
  <c r="K299" i="1"/>
  <c r="F402" i="26" s="1"/>
  <c r="J299" i="1"/>
  <c r="F401" i="26" s="1"/>
  <c r="I299" i="1"/>
  <c r="H299" i="1"/>
  <c r="G299" i="1"/>
  <c r="T302" i="1"/>
  <c r="T301" i="1"/>
  <c r="T300" i="1"/>
  <c r="T293" i="1"/>
  <c r="T292" i="1"/>
  <c r="T291" i="1"/>
  <c r="C287" i="1"/>
  <c r="C113" i="22" s="1"/>
  <c r="D113" i="22" s="1"/>
  <c r="G113" i="22" s="1"/>
  <c r="H113" i="22" s="1"/>
  <c r="T285" i="1"/>
  <c r="T284" i="1"/>
  <c r="T283" i="1"/>
  <c r="C279" i="1"/>
  <c r="C112" i="22" s="1"/>
  <c r="D112" i="22" s="1"/>
  <c r="G112" i="22" s="1"/>
  <c r="H112" i="22" s="1"/>
  <c r="T277" i="1"/>
  <c r="T276" i="1"/>
  <c r="T275" i="1"/>
  <c r="C271" i="1"/>
  <c r="C111" i="22" s="1"/>
  <c r="D111" i="22" s="1"/>
  <c r="T95" i="1"/>
  <c r="T94" i="1"/>
  <c r="T93" i="1"/>
  <c r="C89" i="1"/>
  <c r="C82" i="22" s="1"/>
  <c r="D82" i="22" s="1"/>
  <c r="G82" i="22" s="1"/>
  <c r="H82" i="22" s="1"/>
  <c r="T87" i="1"/>
  <c r="T86" i="1"/>
  <c r="T85" i="1"/>
  <c r="C81" i="1"/>
  <c r="C81" i="22" s="1"/>
  <c r="D81" i="22" s="1"/>
  <c r="G81" i="22" s="1"/>
  <c r="H81" i="22" s="1"/>
  <c r="T79" i="1"/>
  <c r="T78" i="1"/>
  <c r="T77" i="1"/>
  <c r="C73" i="1"/>
  <c r="C80" i="22" s="1"/>
  <c r="D80" i="22" s="1"/>
  <c r="G80" i="22" s="1"/>
  <c r="H80" i="22" s="1"/>
  <c r="T71" i="1"/>
  <c r="T70" i="1"/>
  <c r="T69" i="1"/>
  <c r="C65" i="1"/>
  <c r="C79" i="22" s="1"/>
  <c r="D79" i="22" s="1"/>
  <c r="T63" i="1"/>
  <c r="T62" i="1"/>
  <c r="T61" i="1"/>
  <c r="C57" i="1"/>
  <c r="C78" i="22" s="1"/>
  <c r="D78" i="22" s="1"/>
  <c r="G78" i="22" s="1"/>
  <c r="H78" i="22" s="1"/>
  <c r="T265" i="1"/>
  <c r="T264" i="1"/>
  <c r="T263" i="1"/>
  <c r="C259" i="1"/>
  <c r="C108" i="22" s="1"/>
  <c r="D108" i="22" s="1"/>
  <c r="G108" i="22" s="1"/>
  <c r="H108" i="22" s="1"/>
  <c r="T257" i="1"/>
  <c r="T256" i="1"/>
  <c r="T255" i="1"/>
  <c r="C251" i="1"/>
  <c r="C107" i="22" s="1"/>
  <c r="D107" i="22" s="1"/>
  <c r="G107" i="22" s="1"/>
  <c r="H107" i="22" s="1"/>
  <c r="T249" i="1"/>
  <c r="T248" i="1"/>
  <c r="T247" i="1"/>
  <c r="C243" i="1"/>
  <c r="C106" i="22" s="1"/>
  <c r="D106" i="22" s="1"/>
  <c r="T136" i="1"/>
  <c r="T135" i="1"/>
  <c r="T134" i="1"/>
  <c r="T232" i="1"/>
  <c r="T231" i="1"/>
  <c r="T230" i="1"/>
  <c r="C226" i="1"/>
  <c r="C102" i="22" s="1"/>
  <c r="D102" i="22" s="1"/>
  <c r="G102" i="22" s="1"/>
  <c r="H102" i="22" s="1"/>
  <c r="T224" i="1"/>
  <c r="T223" i="1"/>
  <c r="T222" i="1"/>
  <c r="C218" i="1"/>
  <c r="C101" i="22" s="1"/>
  <c r="D101" i="22" s="1"/>
  <c r="G101" i="22" s="1"/>
  <c r="H101" i="22" s="1"/>
  <c r="T216" i="1"/>
  <c r="T215" i="1"/>
  <c r="T214" i="1"/>
  <c r="C210" i="1"/>
  <c r="C100" i="22" s="1"/>
  <c r="D100" i="22" s="1"/>
  <c r="G100" i="22" s="1"/>
  <c r="H100" i="22" s="1"/>
  <c r="T208" i="1"/>
  <c r="T207" i="1"/>
  <c r="T206" i="1"/>
  <c r="C202" i="1"/>
  <c r="C99" i="22" s="1"/>
  <c r="D99" i="22" s="1"/>
  <c r="G99" i="22" s="1"/>
  <c r="H99" i="22" s="1"/>
  <c r="T200" i="1"/>
  <c r="T199" i="1"/>
  <c r="T198" i="1"/>
  <c r="C194" i="1"/>
  <c r="C98" i="22" s="1"/>
  <c r="D98" i="22" s="1"/>
  <c r="G98" i="22" s="1"/>
  <c r="H98" i="22" s="1"/>
  <c r="T192" i="1"/>
  <c r="T191" i="1"/>
  <c r="T190" i="1"/>
  <c r="C186" i="1"/>
  <c r="C97" i="22" s="1"/>
  <c r="D97" i="22" s="1"/>
  <c r="G97" i="22" s="1"/>
  <c r="H97" i="22" s="1"/>
  <c r="T184" i="1"/>
  <c r="T183" i="1"/>
  <c r="T182" i="1"/>
  <c r="C178" i="1"/>
  <c r="C96" i="22" s="1"/>
  <c r="D96" i="22" s="1"/>
  <c r="G96" i="22" s="1"/>
  <c r="H96" i="22" s="1"/>
  <c r="T176" i="1"/>
  <c r="T175" i="1"/>
  <c r="T174" i="1"/>
  <c r="C170" i="1"/>
  <c r="C95" i="22" s="1"/>
  <c r="D95" i="22" s="1"/>
  <c r="G95" i="22" s="1"/>
  <c r="H95" i="22" s="1"/>
  <c r="T168" i="1"/>
  <c r="T167" i="1"/>
  <c r="T166" i="1"/>
  <c r="C162" i="1"/>
  <c r="C94" i="22" s="1"/>
  <c r="D94" i="22" s="1"/>
  <c r="G94" i="22" s="1"/>
  <c r="H94" i="22" s="1"/>
  <c r="T160" i="1"/>
  <c r="T159" i="1"/>
  <c r="T158" i="1"/>
  <c r="C154" i="1"/>
  <c r="C93" i="22" s="1"/>
  <c r="D93" i="22" s="1"/>
  <c r="G93" i="22" s="1"/>
  <c r="H93" i="22" s="1"/>
  <c r="T152" i="1"/>
  <c r="T151" i="1"/>
  <c r="T150" i="1"/>
  <c r="C146" i="1"/>
  <c r="C92" i="22" s="1"/>
  <c r="D92" i="22" s="1"/>
  <c r="G92" i="22" s="1"/>
  <c r="H92" i="22" s="1"/>
  <c r="T144" i="1"/>
  <c r="T143" i="1"/>
  <c r="T142" i="1"/>
  <c r="C138" i="1"/>
  <c r="C91" i="22" s="1"/>
  <c r="D91" i="22" s="1"/>
  <c r="T123" i="1"/>
  <c r="T122" i="1"/>
  <c r="T121" i="1"/>
  <c r="C117" i="1"/>
  <c r="C87" i="22" s="1"/>
  <c r="D87" i="22" s="1"/>
  <c r="G87" i="22" s="1"/>
  <c r="H87" i="22" s="1"/>
  <c r="T115" i="1"/>
  <c r="T114" i="1"/>
  <c r="T113" i="1"/>
  <c r="C109" i="1"/>
  <c r="C86" i="22" s="1"/>
  <c r="D86" i="22" s="1"/>
  <c r="G86" i="22" s="1"/>
  <c r="H86" i="22" s="1"/>
  <c r="T107" i="1"/>
  <c r="T106" i="1"/>
  <c r="T105" i="1"/>
  <c r="D89" i="22" l="1"/>
  <c r="G89" i="22" s="1"/>
  <c r="H89" i="22" s="1"/>
  <c r="D105" i="22"/>
  <c r="G105" i="22" s="1"/>
  <c r="H105" i="22" s="1"/>
  <c r="G106" i="22"/>
  <c r="H106" i="22" s="1"/>
  <c r="D110" i="22"/>
  <c r="G110" i="22" s="1"/>
  <c r="H110" i="22" s="1"/>
  <c r="G111" i="22"/>
  <c r="H111" i="22" s="1"/>
  <c r="G91" i="22"/>
  <c r="H91" i="22" s="1"/>
  <c r="D77" i="22"/>
  <c r="G79" i="22"/>
  <c r="H79" i="22" s="1"/>
  <c r="D327" i="26"/>
  <c r="D320" i="26"/>
  <c r="D328" i="26"/>
  <c r="D321" i="26"/>
  <c r="D329" i="26"/>
  <c r="D322" i="26"/>
  <c r="D330" i="26"/>
  <c r="D325" i="26"/>
  <c r="D326" i="26"/>
  <c r="D323" i="26"/>
  <c r="D324" i="26"/>
  <c r="D331" i="26"/>
  <c r="D332" i="26"/>
  <c r="M8" i="8"/>
  <c r="D154" i="26"/>
  <c r="D162" i="26"/>
  <c r="D155" i="26"/>
  <c r="D163" i="26"/>
  <c r="D151" i="26"/>
  <c r="D156" i="26"/>
  <c r="D157" i="26"/>
  <c r="D152" i="26"/>
  <c r="D160" i="26"/>
  <c r="D161" i="26"/>
  <c r="D159" i="26"/>
  <c r="K9" i="8"/>
  <c r="D153" i="26"/>
  <c r="D158" i="26"/>
  <c r="D390" i="26"/>
  <c r="D385" i="26"/>
  <c r="D391" i="26"/>
  <c r="D392" i="26"/>
  <c r="D393" i="26"/>
  <c r="D388" i="26"/>
  <c r="D396" i="26"/>
  <c r="D389" i="26"/>
  <c r="D397" i="26"/>
  <c r="D386" i="26"/>
  <c r="O10" i="8"/>
  <c r="D387" i="26"/>
  <c r="D394" i="26"/>
  <c r="D395" i="26"/>
  <c r="D53" i="26"/>
  <c r="D54" i="26"/>
  <c r="D55" i="26"/>
  <c r="G9" i="8"/>
  <c r="D48" i="26"/>
  <c r="D56" i="26"/>
  <c r="D52" i="26"/>
  <c r="D49" i="26"/>
  <c r="D57" i="26"/>
  <c r="D50" i="26"/>
  <c r="D58" i="26"/>
  <c r="D51" i="26"/>
  <c r="D59" i="26"/>
  <c r="D47" i="26"/>
  <c r="D249" i="26"/>
  <c r="D250" i="26"/>
  <c r="D243" i="26"/>
  <c r="D251" i="26"/>
  <c r="D242" i="26"/>
  <c r="D244" i="26"/>
  <c r="D252" i="26"/>
  <c r="D247" i="26"/>
  <c r="D253" i="26"/>
  <c r="D254" i="26"/>
  <c r="K16" i="8"/>
  <c r="D248" i="26"/>
  <c r="D245" i="26"/>
  <c r="D246" i="26"/>
  <c r="D364" i="26"/>
  <c r="D365" i="26"/>
  <c r="D366" i="26"/>
  <c r="D359" i="26"/>
  <c r="D367" i="26"/>
  <c r="D362" i="26"/>
  <c r="D370" i="26"/>
  <c r="D363" i="26"/>
  <c r="D371" i="26"/>
  <c r="D361" i="26"/>
  <c r="D368" i="26"/>
  <c r="D369" i="26"/>
  <c r="O8" i="8"/>
  <c r="D360" i="26"/>
  <c r="D223" i="26"/>
  <c r="D224" i="26"/>
  <c r="D217" i="26"/>
  <c r="D225" i="26"/>
  <c r="D218" i="26"/>
  <c r="D226" i="26"/>
  <c r="D221" i="26"/>
  <c r="D222" i="26"/>
  <c r="D227" i="26"/>
  <c r="D220" i="26"/>
  <c r="D228" i="26"/>
  <c r="K14" i="8"/>
  <c r="D219" i="26"/>
  <c r="D216" i="26"/>
  <c r="D275" i="26"/>
  <c r="D268" i="26"/>
  <c r="D276" i="26"/>
  <c r="D269" i="26"/>
  <c r="D277" i="26"/>
  <c r="D270" i="26"/>
  <c r="D278" i="26"/>
  <c r="D273" i="26"/>
  <c r="D280" i="26"/>
  <c r="K18" i="8"/>
  <c r="D271" i="26"/>
  <c r="D279" i="26"/>
  <c r="D272" i="26"/>
  <c r="D274" i="26"/>
  <c r="D301" i="26"/>
  <c r="D302" i="26"/>
  <c r="D295" i="26"/>
  <c r="D303" i="26"/>
  <c r="D296" i="26"/>
  <c r="D304" i="26"/>
  <c r="D299" i="26"/>
  <c r="D294" i="26"/>
  <c r="D300" i="26"/>
  <c r="D306" i="26"/>
  <c r="D305" i="26"/>
  <c r="K20" i="8"/>
  <c r="D297" i="26"/>
  <c r="D298" i="26"/>
  <c r="D132" i="26"/>
  <c r="D133" i="26"/>
  <c r="D126" i="26"/>
  <c r="D134" i="26"/>
  <c r="D127" i="26"/>
  <c r="D135" i="26"/>
  <c r="D130" i="26"/>
  <c r="D125" i="26"/>
  <c r="D128" i="26"/>
  <c r="D129" i="26"/>
  <c r="D131" i="26"/>
  <c r="D136" i="26"/>
  <c r="I10" i="8"/>
  <c r="D137" i="26"/>
  <c r="D336" i="26"/>
  <c r="D344" i="26"/>
  <c r="D337" i="26"/>
  <c r="D345" i="26"/>
  <c r="D338" i="26"/>
  <c r="D339" i="26"/>
  <c r="D334" i="26"/>
  <c r="D342" i="26"/>
  <c r="D335" i="26"/>
  <c r="D343" i="26"/>
  <c r="D333" i="26"/>
  <c r="D341" i="26"/>
  <c r="M9" i="8"/>
  <c r="D340" i="26"/>
  <c r="D36" i="26"/>
  <c r="D44" i="26"/>
  <c r="D37" i="26"/>
  <c r="D45" i="26"/>
  <c r="D35" i="26"/>
  <c r="D38" i="26"/>
  <c r="D46" i="26"/>
  <c r="D39" i="26"/>
  <c r="D34" i="26"/>
  <c r="G8" i="8"/>
  <c r="D43" i="26"/>
  <c r="D40" i="26"/>
  <c r="D41" i="26"/>
  <c r="D42" i="26"/>
  <c r="D61" i="26"/>
  <c r="D62" i="26"/>
  <c r="D65" i="26"/>
  <c r="D70" i="26"/>
  <c r="D71" i="26"/>
  <c r="G10" i="8"/>
  <c r="D69" i="26"/>
  <c r="D63" i="26"/>
  <c r="D72" i="26"/>
  <c r="D64" i="26"/>
  <c r="D66" i="26"/>
  <c r="D67" i="26"/>
  <c r="D68" i="26"/>
  <c r="D60" i="26"/>
  <c r="D93" i="26"/>
  <c r="D94" i="26"/>
  <c r="D87" i="26"/>
  <c r="D95" i="26"/>
  <c r="D88" i="26"/>
  <c r="D96" i="26"/>
  <c r="D91" i="26"/>
  <c r="D89" i="26"/>
  <c r="D90" i="26"/>
  <c r="D92" i="26"/>
  <c r="G12" i="8"/>
  <c r="D97" i="26"/>
  <c r="D86" i="26"/>
  <c r="D98" i="26"/>
  <c r="D373" i="26"/>
  <c r="D381" i="26"/>
  <c r="D374" i="26"/>
  <c r="D382" i="26"/>
  <c r="D372" i="26"/>
  <c r="D375" i="26"/>
  <c r="D383" i="26"/>
  <c r="D376" i="26"/>
  <c r="D384" i="26"/>
  <c r="D379" i="26"/>
  <c r="D380" i="26"/>
  <c r="O9" i="8"/>
  <c r="D377" i="26"/>
  <c r="D378" i="26"/>
  <c r="D76" i="26"/>
  <c r="D84" i="26"/>
  <c r="D77" i="26"/>
  <c r="D85" i="26"/>
  <c r="D78" i="26"/>
  <c r="D79" i="26"/>
  <c r="D74" i="26"/>
  <c r="D82" i="26"/>
  <c r="D81" i="26"/>
  <c r="G11" i="8"/>
  <c r="D83" i="26"/>
  <c r="D80" i="26"/>
  <c r="D73" i="26"/>
  <c r="D75" i="26"/>
  <c r="D197" i="26"/>
  <c r="D198" i="26"/>
  <c r="D191" i="26"/>
  <c r="D199" i="26"/>
  <c r="D192" i="26"/>
  <c r="D200" i="26"/>
  <c r="D195" i="26"/>
  <c r="D190" i="26"/>
  <c r="D194" i="26"/>
  <c r="D196" i="26"/>
  <c r="K12" i="8"/>
  <c r="D201" i="26"/>
  <c r="D202" i="26"/>
  <c r="D193" i="26"/>
  <c r="D206" i="26"/>
  <c r="D214" i="26"/>
  <c r="D207" i="26"/>
  <c r="D215" i="26"/>
  <c r="D208" i="26"/>
  <c r="D209" i="26"/>
  <c r="D204" i="26"/>
  <c r="D212" i="26"/>
  <c r="D203" i="26"/>
  <c r="D205" i="26"/>
  <c r="D210" i="26"/>
  <c r="D211" i="26"/>
  <c r="D213" i="26"/>
  <c r="K13" i="8"/>
  <c r="D232" i="26"/>
  <c r="D240" i="26"/>
  <c r="D233" i="26"/>
  <c r="D241" i="26"/>
  <c r="D234" i="26"/>
  <c r="D235" i="26"/>
  <c r="D229" i="26"/>
  <c r="D230" i="26"/>
  <c r="D238" i="26"/>
  <c r="D231" i="26"/>
  <c r="D236" i="26"/>
  <c r="D237" i="26"/>
  <c r="K15" i="8"/>
  <c r="D239" i="26"/>
  <c r="D284" i="26"/>
  <c r="D292" i="26"/>
  <c r="D285" i="26"/>
  <c r="D293" i="26"/>
  <c r="D286" i="26"/>
  <c r="D287" i="26"/>
  <c r="D282" i="26"/>
  <c r="D290" i="26"/>
  <c r="D283" i="26"/>
  <c r="K19" i="8"/>
  <c r="D288" i="26"/>
  <c r="D289" i="26"/>
  <c r="D291" i="26"/>
  <c r="D281" i="26"/>
  <c r="D353" i="26"/>
  <c r="D354" i="26"/>
  <c r="D347" i="26"/>
  <c r="D355" i="26"/>
  <c r="D348" i="26"/>
  <c r="D356" i="26"/>
  <c r="D351" i="26"/>
  <c r="D346" i="26"/>
  <c r="D352" i="26"/>
  <c r="D349" i="26"/>
  <c r="D350" i="26"/>
  <c r="D357" i="26"/>
  <c r="M10" i="8"/>
  <c r="D358" i="26"/>
  <c r="D171" i="26"/>
  <c r="D164" i="26"/>
  <c r="D172" i="26"/>
  <c r="D165" i="26"/>
  <c r="D173" i="26"/>
  <c r="D166" i="26"/>
  <c r="D174" i="26"/>
  <c r="D169" i="26"/>
  <c r="D167" i="26"/>
  <c r="D168" i="26"/>
  <c r="K10" i="8"/>
  <c r="D170" i="26"/>
  <c r="D175" i="26"/>
  <c r="D176" i="26"/>
  <c r="D115" i="26"/>
  <c r="D123" i="26"/>
  <c r="D116" i="26"/>
  <c r="D124" i="26"/>
  <c r="D117" i="26"/>
  <c r="D118" i="26"/>
  <c r="D113" i="26"/>
  <c r="D121" i="26"/>
  <c r="D120" i="26"/>
  <c r="D122" i="26"/>
  <c r="D119" i="26"/>
  <c r="D112" i="26"/>
  <c r="I9" i="8"/>
  <c r="D114" i="26"/>
  <c r="D180" i="26"/>
  <c r="D188" i="26"/>
  <c r="D181" i="26"/>
  <c r="D189" i="26"/>
  <c r="D182" i="26"/>
  <c r="D183" i="26"/>
  <c r="D178" i="26"/>
  <c r="D186" i="26"/>
  <c r="D177" i="26"/>
  <c r="K11" i="8"/>
  <c r="D187" i="26"/>
  <c r="D179" i="26"/>
  <c r="D184" i="26"/>
  <c r="D185" i="26"/>
  <c r="D258" i="26"/>
  <c r="D266" i="26"/>
  <c r="D259" i="26"/>
  <c r="D267" i="26"/>
  <c r="D255" i="26"/>
  <c r="D260" i="26"/>
  <c r="D261" i="26"/>
  <c r="D256" i="26"/>
  <c r="D264" i="26"/>
  <c r="D257" i="26"/>
  <c r="D262" i="26"/>
  <c r="K17" i="8"/>
  <c r="D263" i="26"/>
  <c r="D265" i="26"/>
  <c r="H314" i="1"/>
  <c r="F399" i="26"/>
  <c r="I314" i="1"/>
  <c r="F400" i="26"/>
  <c r="G314" i="1"/>
  <c r="F398" i="26"/>
  <c r="L314" i="1"/>
  <c r="F403" i="26"/>
  <c r="N314" i="1"/>
  <c r="F405" i="26"/>
  <c r="J314" i="1"/>
  <c r="R314" i="1"/>
  <c r="T309" i="1"/>
  <c r="T304" i="1"/>
  <c r="T299" i="1"/>
  <c r="T48" i="1"/>
  <c r="K314" i="1"/>
  <c r="Q314" i="1"/>
  <c r="O314" i="1"/>
  <c r="P314" i="1"/>
  <c r="S314" i="1"/>
  <c r="M314" i="1"/>
  <c r="I9" i="14"/>
  <c r="I10" i="14"/>
  <c r="I11" i="14"/>
  <c r="I12" i="14"/>
  <c r="M12" i="14" s="1"/>
  <c r="I13" i="14"/>
  <c r="I14" i="14"/>
  <c r="I15" i="14"/>
  <c r="M15" i="14" s="1"/>
  <c r="I16" i="14"/>
  <c r="M16" i="14" s="1"/>
  <c r="I17" i="14"/>
  <c r="I18" i="14"/>
  <c r="I19" i="14"/>
  <c r="I20" i="14"/>
  <c r="M20" i="14" s="1"/>
  <c r="I21" i="14"/>
  <c r="I22" i="14"/>
  <c r="I23" i="14"/>
  <c r="M23" i="14" s="1"/>
  <c r="I24" i="14"/>
  <c r="M24" i="14" s="1"/>
  <c r="I25" i="14"/>
  <c r="I26" i="14"/>
  <c r="I27" i="14"/>
  <c r="I28" i="14"/>
  <c r="M28" i="14" s="1"/>
  <c r="I29" i="14"/>
  <c r="I30" i="14"/>
  <c r="I31" i="14"/>
  <c r="M31" i="14" s="1"/>
  <c r="I32" i="14"/>
  <c r="M32" i="14" s="1"/>
  <c r="I33" i="14"/>
  <c r="I34" i="14"/>
  <c r="I35" i="14"/>
  <c r="I36" i="14"/>
  <c r="M36" i="14" s="1"/>
  <c r="I37" i="14"/>
  <c r="I38" i="14"/>
  <c r="I39" i="14"/>
  <c r="M39" i="14" s="1"/>
  <c r="I40" i="14"/>
  <c r="M40" i="14" s="1"/>
  <c r="I41" i="14"/>
  <c r="I42" i="14"/>
  <c r="I43" i="14"/>
  <c r="I44" i="14"/>
  <c r="M44" i="14" s="1"/>
  <c r="I45" i="14"/>
  <c r="I46" i="14"/>
  <c r="I47" i="14"/>
  <c r="M47" i="14" s="1"/>
  <c r="I48" i="14"/>
  <c r="I49" i="14"/>
  <c r="I50" i="14"/>
  <c r="I51" i="14"/>
  <c r="I52" i="14"/>
  <c r="M52" i="14" s="1"/>
  <c r="I53" i="14"/>
  <c r="I54" i="14"/>
  <c r="I55" i="14"/>
  <c r="M55" i="14" s="1"/>
  <c r="I56" i="14"/>
  <c r="M56" i="14" s="1"/>
  <c r="I57" i="14"/>
  <c r="I58" i="14"/>
  <c r="I59" i="14"/>
  <c r="I60" i="14"/>
  <c r="M60" i="14" s="1"/>
  <c r="I61" i="14"/>
  <c r="I62" i="14"/>
  <c r="I63" i="14"/>
  <c r="I64" i="14"/>
  <c r="M64" i="14" s="1"/>
  <c r="I65" i="14"/>
  <c r="I66" i="14"/>
  <c r="I67" i="14"/>
  <c r="I68" i="14"/>
  <c r="M68" i="14" s="1"/>
  <c r="I69" i="14"/>
  <c r="I70" i="14"/>
  <c r="I71" i="14"/>
  <c r="M71" i="14" s="1"/>
  <c r="I72" i="14"/>
  <c r="M72" i="14" s="1"/>
  <c r="I73" i="14"/>
  <c r="I74" i="14"/>
  <c r="I75" i="14"/>
  <c r="I76" i="14"/>
  <c r="I77" i="14"/>
  <c r="I78" i="14"/>
  <c r="I79" i="14"/>
  <c r="M79" i="14" s="1"/>
  <c r="I80" i="14"/>
  <c r="M80" i="14" s="1"/>
  <c r="I81" i="14"/>
  <c r="I82" i="14"/>
  <c r="I83" i="14"/>
  <c r="I84" i="14"/>
  <c r="M84" i="14" s="1"/>
  <c r="I85" i="14"/>
  <c r="I86" i="14"/>
  <c r="I87" i="14"/>
  <c r="M87" i="14" s="1"/>
  <c r="I88" i="14"/>
  <c r="M88" i="14" s="1"/>
  <c r="I89" i="14"/>
  <c r="I90" i="14"/>
  <c r="I91" i="14"/>
  <c r="I92" i="14"/>
  <c r="M92" i="14" s="1"/>
  <c r="I93" i="14"/>
  <c r="I94" i="14"/>
  <c r="I95" i="14"/>
  <c r="M95" i="14" s="1"/>
  <c r="I96" i="14"/>
  <c r="M96" i="14" s="1"/>
  <c r="I97" i="14"/>
  <c r="I98" i="14"/>
  <c r="I99" i="14"/>
  <c r="I100" i="14"/>
  <c r="M100" i="14" s="1"/>
  <c r="I101" i="14"/>
  <c r="I102" i="14"/>
  <c r="I103" i="14"/>
  <c r="M103" i="14" s="1"/>
  <c r="I104" i="14"/>
  <c r="M104" i="14" s="1"/>
  <c r="I105" i="14"/>
  <c r="I106" i="14"/>
  <c r="I107" i="14"/>
  <c r="I108" i="14"/>
  <c r="I109" i="14"/>
  <c r="I110" i="14"/>
  <c r="I111" i="14"/>
  <c r="M111" i="14" s="1"/>
  <c r="I112" i="14"/>
  <c r="I113" i="14"/>
  <c r="I114" i="14"/>
  <c r="I115" i="14"/>
  <c r="I116" i="14"/>
  <c r="M116" i="14" s="1"/>
  <c r="I117" i="14"/>
  <c r="I118" i="14"/>
  <c r="I119" i="14"/>
  <c r="M119" i="14" s="1"/>
  <c r="I120" i="14"/>
  <c r="M120" i="14" s="1"/>
  <c r="I121" i="14"/>
  <c r="I122" i="14"/>
  <c r="I123" i="14"/>
  <c r="I124" i="14"/>
  <c r="M124" i="14" s="1"/>
  <c r="I125" i="14"/>
  <c r="I126" i="14"/>
  <c r="I127" i="14"/>
  <c r="I128" i="14"/>
  <c r="M128" i="14" s="1"/>
  <c r="I129" i="14"/>
  <c r="I130" i="14"/>
  <c r="I131" i="14"/>
  <c r="I132" i="14"/>
  <c r="M132" i="14" s="1"/>
  <c r="I133" i="14"/>
  <c r="I134" i="14"/>
  <c r="I135" i="14"/>
  <c r="M135" i="14" s="1"/>
  <c r="I136" i="14"/>
  <c r="M136" i="14" s="1"/>
  <c r="I137" i="14"/>
  <c r="I138" i="14"/>
  <c r="I139" i="14"/>
  <c r="I140" i="14"/>
  <c r="M140" i="14" s="1"/>
  <c r="I141" i="14"/>
  <c r="I142" i="14"/>
  <c r="I143" i="14"/>
  <c r="M143" i="14" s="1"/>
  <c r="I144" i="14"/>
  <c r="M144" i="14" s="1"/>
  <c r="I145" i="14"/>
  <c r="I146" i="14"/>
  <c r="I147" i="14"/>
  <c r="I148" i="14"/>
  <c r="M148" i="14" s="1"/>
  <c r="I149" i="14"/>
  <c r="I150" i="14"/>
  <c r="I151" i="14"/>
  <c r="M151" i="14" s="1"/>
  <c r="I152" i="14"/>
  <c r="M152" i="14" s="1"/>
  <c r="I153" i="14"/>
  <c r="I154" i="14"/>
  <c r="I155" i="14"/>
  <c r="I156" i="14"/>
  <c r="M156" i="14" s="1"/>
  <c r="I157" i="14"/>
  <c r="I158" i="14"/>
  <c r="I159" i="14"/>
  <c r="M159" i="14" s="1"/>
  <c r="I160" i="14"/>
  <c r="M160" i="14" s="1"/>
  <c r="I161" i="14"/>
  <c r="I162" i="14"/>
  <c r="I163" i="14"/>
  <c r="I164" i="14"/>
  <c r="M164" i="14" s="1"/>
  <c r="I165" i="14"/>
  <c r="I166" i="14"/>
  <c r="I167" i="14"/>
  <c r="M167" i="14" s="1"/>
  <c r="I168" i="14"/>
  <c r="M168" i="14" s="1"/>
  <c r="I169" i="14"/>
  <c r="I170" i="14"/>
  <c r="I171" i="14"/>
  <c r="I172" i="14"/>
  <c r="M172" i="14" s="1"/>
  <c r="I173" i="14"/>
  <c r="I174" i="14"/>
  <c r="I175" i="14"/>
  <c r="M175" i="14" s="1"/>
  <c r="I176" i="14"/>
  <c r="I177" i="14"/>
  <c r="I178" i="14"/>
  <c r="I179" i="14"/>
  <c r="I180" i="14"/>
  <c r="M180" i="14" s="1"/>
  <c r="I181" i="14"/>
  <c r="I182" i="14"/>
  <c r="I183" i="14"/>
  <c r="M183" i="14" s="1"/>
  <c r="I184" i="14"/>
  <c r="M184" i="14" s="1"/>
  <c r="I185" i="14"/>
  <c r="I186" i="14"/>
  <c r="I187" i="14"/>
  <c r="I188" i="14"/>
  <c r="M188" i="14" s="1"/>
  <c r="I189" i="14"/>
  <c r="I190" i="14"/>
  <c r="I191" i="14"/>
  <c r="I192" i="14"/>
  <c r="M192" i="14" s="1"/>
  <c r="I193" i="14"/>
  <c r="I194" i="14"/>
  <c r="I195" i="14"/>
  <c r="I196" i="14"/>
  <c r="M196" i="14" s="1"/>
  <c r="I197" i="14"/>
  <c r="I198" i="14"/>
  <c r="I199" i="14"/>
  <c r="M199" i="14" s="1"/>
  <c r="I200" i="14"/>
  <c r="M200" i="14" s="1"/>
  <c r="I201" i="14"/>
  <c r="I202" i="14"/>
  <c r="I203" i="14"/>
  <c r="I204" i="14"/>
  <c r="M204" i="14" s="1"/>
  <c r="I205" i="14"/>
  <c r="I206" i="14"/>
  <c r="I207" i="14"/>
  <c r="M207" i="14" s="1"/>
  <c r="I208" i="14"/>
  <c r="M208" i="14" s="1"/>
  <c r="I209" i="14"/>
  <c r="I210" i="14"/>
  <c r="I211" i="14"/>
  <c r="I212" i="14"/>
  <c r="I213" i="14"/>
  <c r="I214" i="14"/>
  <c r="I215" i="14"/>
  <c r="M215" i="14" s="1"/>
  <c r="I216" i="14"/>
  <c r="M216" i="14" s="1"/>
  <c r="I217" i="14"/>
  <c r="I218" i="14"/>
  <c r="I219" i="14"/>
  <c r="I220" i="14"/>
  <c r="M220" i="14" s="1"/>
  <c r="I221" i="14"/>
  <c r="I222" i="14"/>
  <c r="I223" i="14"/>
  <c r="M223" i="14" s="1"/>
  <c r="I224" i="14"/>
  <c r="M224" i="14" s="1"/>
  <c r="I225" i="14"/>
  <c r="I226" i="14"/>
  <c r="I227" i="14"/>
  <c r="I228" i="14"/>
  <c r="M228" i="14" s="1"/>
  <c r="I229" i="14"/>
  <c r="I230" i="14"/>
  <c r="I231" i="14"/>
  <c r="M231" i="14" s="1"/>
  <c r="I232" i="14"/>
  <c r="M232" i="14" s="1"/>
  <c r="I233" i="14"/>
  <c r="I234" i="14"/>
  <c r="I235" i="14"/>
  <c r="I236" i="14"/>
  <c r="M236" i="14" s="1"/>
  <c r="I237" i="14"/>
  <c r="I238" i="14"/>
  <c r="I239" i="14"/>
  <c r="M239" i="14" s="1"/>
  <c r="I240" i="14"/>
  <c r="I241" i="14"/>
  <c r="I242" i="14"/>
  <c r="I243" i="14"/>
  <c r="I244" i="14"/>
  <c r="I245" i="14"/>
  <c r="I246" i="14"/>
  <c r="I247" i="14"/>
  <c r="M247" i="14" s="1"/>
  <c r="I248" i="14"/>
  <c r="M248" i="14" s="1"/>
  <c r="I249" i="14"/>
  <c r="I250" i="14"/>
  <c r="I251" i="14"/>
  <c r="I252" i="14"/>
  <c r="M252" i="14" s="1"/>
  <c r="I253" i="14"/>
  <c r="I254" i="14"/>
  <c r="I255" i="14"/>
  <c r="I256" i="14"/>
  <c r="M256" i="14" s="1"/>
  <c r="I257" i="14"/>
  <c r="I258" i="14"/>
  <c r="I259" i="14"/>
  <c r="I260" i="14"/>
  <c r="M260" i="14" s="1"/>
  <c r="I261" i="14"/>
  <c r="I262" i="14"/>
  <c r="I263" i="14"/>
  <c r="M263" i="14" s="1"/>
  <c r="I264" i="14"/>
  <c r="M264" i="14" s="1"/>
  <c r="I265" i="14"/>
  <c r="I266" i="14"/>
  <c r="I267" i="14"/>
  <c r="I268" i="14"/>
  <c r="M268" i="14" s="1"/>
  <c r="I269" i="14"/>
  <c r="I270" i="14"/>
  <c r="I271" i="14"/>
  <c r="M271" i="14" s="1"/>
  <c r="I272" i="14"/>
  <c r="M272" i="14" s="1"/>
  <c r="I273" i="14"/>
  <c r="I274" i="14"/>
  <c r="I275" i="14"/>
  <c r="I276" i="14"/>
  <c r="M276" i="14" s="1"/>
  <c r="I277" i="14"/>
  <c r="I278" i="14"/>
  <c r="I279" i="14"/>
  <c r="M279" i="14" s="1"/>
  <c r="I280" i="14"/>
  <c r="M280" i="14" s="1"/>
  <c r="I281" i="14"/>
  <c r="I282" i="14"/>
  <c r="I283" i="14"/>
  <c r="I284" i="14"/>
  <c r="M284" i="14" s="1"/>
  <c r="I285" i="14"/>
  <c r="I286" i="14"/>
  <c r="I287" i="14"/>
  <c r="M287" i="14" s="1"/>
  <c r="I288" i="14"/>
  <c r="M288" i="14" s="1"/>
  <c r="I289" i="14"/>
  <c r="I290" i="14"/>
  <c r="I291" i="14"/>
  <c r="I292" i="14"/>
  <c r="M292" i="14" s="1"/>
  <c r="I293" i="14"/>
  <c r="I294" i="14"/>
  <c r="I295" i="14"/>
  <c r="M295" i="14" s="1"/>
  <c r="I296" i="14"/>
  <c r="M296" i="14" s="1"/>
  <c r="I297" i="14"/>
  <c r="I298" i="14"/>
  <c r="I299" i="14"/>
  <c r="I300" i="14"/>
  <c r="M300" i="14" s="1"/>
  <c r="I301" i="14"/>
  <c r="I302" i="14"/>
  <c r="I303" i="14"/>
  <c r="M303" i="14" s="1"/>
  <c r="I304" i="14"/>
  <c r="I305" i="14"/>
  <c r="I306" i="14"/>
  <c r="I307" i="14"/>
  <c r="I308" i="14"/>
  <c r="M308" i="14" s="1"/>
  <c r="I309" i="14"/>
  <c r="I310" i="14"/>
  <c r="I311" i="14"/>
  <c r="I312" i="14"/>
  <c r="M312" i="14" s="1"/>
  <c r="I313" i="14"/>
  <c r="I314" i="14"/>
  <c r="I315" i="14"/>
  <c r="I316" i="14"/>
  <c r="I317" i="14"/>
  <c r="I318" i="14"/>
  <c r="I319" i="14"/>
  <c r="I320" i="14"/>
  <c r="M320" i="14" s="1"/>
  <c r="I321" i="14"/>
  <c r="I322" i="14"/>
  <c r="I323" i="14"/>
  <c r="I324" i="14"/>
  <c r="M324" i="14" s="1"/>
  <c r="I325" i="14"/>
  <c r="I326" i="14"/>
  <c r="I327" i="14"/>
  <c r="M327" i="14" s="1"/>
  <c r="I328" i="14"/>
  <c r="M328" i="14" s="1"/>
  <c r="I329" i="14"/>
  <c r="I330" i="14"/>
  <c r="I331" i="14"/>
  <c r="I332" i="14"/>
  <c r="M332" i="14" s="1"/>
  <c r="I333" i="14"/>
  <c r="I334" i="14"/>
  <c r="I335" i="14"/>
  <c r="M335" i="14" s="1"/>
  <c r="I336" i="14"/>
  <c r="M336" i="14" s="1"/>
  <c r="I337" i="14"/>
  <c r="I338" i="14"/>
  <c r="I339" i="14"/>
  <c r="I340" i="14"/>
  <c r="M340" i="14" s="1"/>
  <c r="I341" i="14"/>
  <c r="I342" i="14"/>
  <c r="I343" i="14"/>
  <c r="M343" i="14" s="1"/>
  <c r="I344" i="14"/>
  <c r="M344" i="14" s="1"/>
  <c r="I345" i="14"/>
  <c r="I346" i="14"/>
  <c r="I347" i="14"/>
  <c r="I348" i="14"/>
  <c r="M348" i="14" s="1"/>
  <c r="I349" i="14"/>
  <c r="I350" i="14"/>
  <c r="I351" i="14"/>
  <c r="M351" i="14" s="1"/>
  <c r="I352" i="14"/>
  <c r="M352" i="14" s="1"/>
  <c r="I353" i="14"/>
  <c r="I354" i="14"/>
  <c r="I355" i="14"/>
  <c r="I356" i="14"/>
  <c r="M356" i="14" s="1"/>
  <c r="I357" i="14"/>
  <c r="I358" i="14"/>
  <c r="I359" i="14"/>
  <c r="M359" i="14" s="1"/>
  <c r="I360" i="14"/>
  <c r="M360" i="14" s="1"/>
  <c r="I361" i="14"/>
  <c r="I362" i="14"/>
  <c r="I363" i="14"/>
  <c r="I364" i="14"/>
  <c r="M364" i="14" s="1"/>
  <c r="I365" i="14"/>
  <c r="I366" i="14"/>
  <c r="I367" i="14"/>
  <c r="M367" i="14" s="1"/>
  <c r="I368" i="14"/>
  <c r="I369" i="14"/>
  <c r="I370" i="14"/>
  <c r="I371" i="14"/>
  <c r="I372" i="14"/>
  <c r="M372" i="14" s="1"/>
  <c r="I373" i="14"/>
  <c r="I374" i="14"/>
  <c r="I375" i="14"/>
  <c r="M375" i="14" s="1"/>
  <c r="I376" i="14"/>
  <c r="M376" i="14" s="1"/>
  <c r="I377" i="14"/>
  <c r="I378" i="14"/>
  <c r="I379" i="14"/>
  <c r="I380" i="14"/>
  <c r="M380" i="14" s="1"/>
  <c r="I381" i="14"/>
  <c r="I382" i="14"/>
  <c r="I383" i="14"/>
  <c r="M383" i="14" s="1"/>
  <c r="I384" i="14"/>
  <c r="M384" i="14" s="1"/>
  <c r="I385" i="14"/>
  <c r="I386" i="14"/>
  <c r="I387" i="14"/>
  <c r="I388" i="14"/>
  <c r="M388" i="14" s="1"/>
  <c r="I389" i="14"/>
  <c r="I390" i="14"/>
  <c r="I391" i="14"/>
  <c r="M391" i="14" s="1"/>
  <c r="I392" i="14"/>
  <c r="M392" i="14" s="1"/>
  <c r="I393" i="14"/>
  <c r="I394" i="14"/>
  <c r="I395" i="14"/>
  <c r="I396" i="14"/>
  <c r="M396" i="14" s="1"/>
  <c r="I397" i="14"/>
  <c r="I398" i="14"/>
  <c r="I399" i="14"/>
  <c r="M399" i="14" s="1"/>
  <c r="I400" i="14"/>
  <c r="M400" i="14" s="1"/>
  <c r="I401" i="14"/>
  <c r="I402" i="14"/>
  <c r="I403" i="14"/>
  <c r="I404" i="14"/>
  <c r="M404" i="14" s="1"/>
  <c r="I405" i="14"/>
  <c r="I406" i="14"/>
  <c r="I407" i="14"/>
  <c r="M407" i="14" s="1"/>
  <c r="I408" i="14"/>
  <c r="M408" i="14" s="1"/>
  <c r="I409" i="14"/>
  <c r="I410" i="14"/>
  <c r="I411" i="14"/>
  <c r="I412" i="14"/>
  <c r="M412" i="14" s="1"/>
  <c r="I413" i="14"/>
  <c r="I414" i="14"/>
  <c r="I415" i="14"/>
  <c r="M415" i="14" s="1"/>
  <c r="I416" i="14"/>
  <c r="M416" i="14" s="1"/>
  <c r="I417" i="14"/>
  <c r="I418" i="14"/>
  <c r="I419" i="14"/>
  <c r="I420" i="14"/>
  <c r="M420" i="14" s="1"/>
  <c r="I421" i="14"/>
  <c r="I422" i="14"/>
  <c r="I423" i="14"/>
  <c r="M423" i="14" s="1"/>
  <c r="I424" i="14"/>
  <c r="M424" i="14" s="1"/>
  <c r="I425" i="14"/>
  <c r="I426" i="14"/>
  <c r="I427" i="14"/>
  <c r="I428" i="14"/>
  <c r="M428" i="14" s="1"/>
  <c r="I429" i="14"/>
  <c r="I430" i="14"/>
  <c r="I431" i="14"/>
  <c r="M431" i="14" s="1"/>
  <c r="I432" i="14"/>
  <c r="I433" i="14"/>
  <c r="I434" i="14"/>
  <c r="I435" i="14"/>
  <c r="I436" i="14"/>
  <c r="M436" i="14" s="1"/>
  <c r="I437" i="14"/>
  <c r="I438" i="14"/>
  <c r="I439" i="14"/>
  <c r="I440" i="14"/>
  <c r="M440" i="14" s="1"/>
  <c r="I441" i="14"/>
  <c r="I442" i="14"/>
  <c r="I443" i="14"/>
  <c r="I444" i="14"/>
  <c r="M444" i="14" s="1"/>
  <c r="I445" i="14"/>
  <c r="I446" i="14"/>
  <c r="I447" i="14"/>
  <c r="M447" i="14" s="1"/>
  <c r="I448" i="14"/>
  <c r="M448" i="14" s="1"/>
  <c r="I449" i="14"/>
  <c r="I450" i="14"/>
  <c r="I451" i="14"/>
  <c r="I452" i="14"/>
  <c r="I453" i="14"/>
  <c r="I454" i="14"/>
  <c r="I455" i="14"/>
  <c r="M455" i="14" s="1"/>
  <c r="I456" i="14"/>
  <c r="M456" i="14" s="1"/>
  <c r="I457" i="14"/>
  <c r="I458" i="14"/>
  <c r="I459" i="14"/>
  <c r="I460" i="14"/>
  <c r="M460" i="14" s="1"/>
  <c r="I461" i="14"/>
  <c r="I462" i="14"/>
  <c r="I463" i="14"/>
  <c r="M463" i="14" s="1"/>
  <c r="I464" i="14"/>
  <c r="M464" i="14" s="1"/>
  <c r="I465" i="14"/>
  <c r="I466" i="14"/>
  <c r="I467" i="14"/>
  <c r="I468" i="14"/>
  <c r="M468" i="14" s="1"/>
  <c r="I469" i="14"/>
  <c r="I470" i="14"/>
  <c r="I471" i="14"/>
  <c r="M471" i="14" s="1"/>
  <c r="I472" i="14"/>
  <c r="M472" i="14" s="1"/>
  <c r="I473" i="14"/>
  <c r="I474" i="14"/>
  <c r="I475" i="14"/>
  <c r="I476" i="14"/>
  <c r="M476" i="14" s="1"/>
  <c r="I477" i="14"/>
  <c r="I478" i="14"/>
  <c r="I479" i="14"/>
  <c r="M479" i="14" s="1"/>
  <c r="I480" i="14"/>
  <c r="M480" i="14" s="1"/>
  <c r="I481" i="14"/>
  <c r="I482" i="14"/>
  <c r="I483" i="14"/>
  <c r="I484" i="14"/>
  <c r="I485" i="14"/>
  <c r="I486" i="14"/>
  <c r="I487" i="14"/>
  <c r="M487" i="14" s="1"/>
  <c r="I488" i="14"/>
  <c r="M488" i="14" s="1"/>
  <c r="I489" i="14"/>
  <c r="I490" i="14"/>
  <c r="I491" i="14"/>
  <c r="I492" i="14"/>
  <c r="M492" i="14" s="1"/>
  <c r="I493" i="14"/>
  <c r="I494" i="14"/>
  <c r="I495" i="14"/>
  <c r="M495" i="14" s="1"/>
  <c r="I496" i="14"/>
  <c r="I497" i="14"/>
  <c r="I498" i="14"/>
  <c r="I499" i="14"/>
  <c r="I500" i="14"/>
  <c r="M500" i="14" s="1"/>
  <c r="I501" i="14"/>
  <c r="I502" i="14"/>
  <c r="I503" i="14"/>
  <c r="M503" i="14" s="1"/>
  <c r="I504" i="14"/>
  <c r="M504" i="14" s="1"/>
  <c r="I505" i="14"/>
  <c r="I506" i="14"/>
  <c r="I507" i="14"/>
  <c r="I508" i="14"/>
  <c r="M508" i="14" s="1"/>
  <c r="I509" i="14"/>
  <c r="I510" i="14"/>
  <c r="I511" i="14"/>
  <c r="M511" i="14" s="1"/>
  <c r="I512" i="14"/>
  <c r="M512" i="14" s="1"/>
  <c r="I513" i="14"/>
  <c r="I514" i="14"/>
  <c r="I515" i="14"/>
  <c r="I516" i="14"/>
  <c r="I517" i="14"/>
  <c r="I518" i="14"/>
  <c r="I519" i="14"/>
  <c r="M519" i="14" s="1"/>
  <c r="I520" i="14"/>
  <c r="M520" i="14" s="1"/>
  <c r="I521" i="14"/>
  <c r="I522" i="14"/>
  <c r="I523" i="14"/>
  <c r="I524" i="14"/>
  <c r="M524" i="14" s="1"/>
  <c r="I525" i="14"/>
  <c r="I526" i="14"/>
  <c r="I527" i="14"/>
  <c r="M527" i="14" s="1"/>
  <c r="I528" i="14"/>
  <c r="M528" i="14" s="1"/>
  <c r="I529" i="14"/>
  <c r="I530" i="14"/>
  <c r="I531" i="14"/>
  <c r="I532" i="14"/>
  <c r="M532" i="14" s="1"/>
  <c r="I533" i="14"/>
  <c r="I534" i="14"/>
  <c r="I535" i="14"/>
  <c r="M535" i="14" s="1"/>
  <c r="I536" i="14"/>
  <c r="M536" i="14" s="1"/>
  <c r="I537" i="14"/>
  <c r="I538" i="14"/>
  <c r="I539" i="14"/>
  <c r="I540" i="14"/>
  <c r="M540" i="14" s="1"/>
  <c r="I541" i="14"/>
  <c r="I542" i="14"/>
  <c r="I543" i="14"/>
  <c r="M543" i="14" s="1"/>
  <c r="I544" i="14"/>
  <c r="M544" i="14" s="1"/>
  <c r="I545" i="14"/>
  <c r="I546" i="14"/>
  <c r="I547" i="14"/>
  <c r="I548" i="14"/>
  <c r="I549" i="14"/>
  <c r="I550" i="14"/>
  <c r="I551" i="14"/>
  <c r="M551" i="14" s="1"/>
  <c r="I552" i="14"/>
  <c r="M552" i="14" s="1"/>
  <c r="I553" i="14"/>
  <c r="I554" i="14"/>
  <c r="I555" i="14"/>
  <c r="I556" i="14"/>
  <c r="M556" i="14" s="1"/>
  <c r="I557" i="14"/>
  <c r="I558" i="14"/>
  <c r="I559" i="14"/>
  <c r="M559" i="14" s="1"/>
  <c r="I560" i="14"/>
  <c r="I561" i="14"/>
  <c r="I562" i="14"/>
  <c r="I563" i="14"/>
  <c r="I564" i="14"/>
  <c r="M564" i="14" s="1"/>
  <c r="I565" i="14"/>
  <c r="I566" i="14"/>
  <c r="I567" i="14"/>
  <c r="I568" i="14"/>
  <c r="M568" i="14" s="1"/>
  <c r="I569" i="14"/>
  <c r="I570" i="14"/>
  <c r="I571" i="14"/>
  <c r="I572" i="14"/>
  <c r="M572" i="14" s="1"/>
  <c r="I573" i="14"/>
  <c r="I574" i="14"/>
  <c r="I575" i="14"/>
  <c r="I576" i="14"/>
  <c r="M576" i="14" s="1"/>
  <c r="I577" i="14"/>
  <c r="I578" i="14"/>
  <c r="I579" i="14"/>
  <c r="I580" i="14"/>
  <c r="M580" i="14" s="1"/>
  <c r="I581" i="14"/>
  <c r="I582" i="14"/>
  <c r="I583" i="14"/>
  <c r="M583" i="14" s="1"/>
  <c r="I584" i="14"/>
  <c r="M584" i="14" s="1"/>
  <c r="I585" i="14"/>
  <c r="I586" i="14"/>
  <c r="I587" i="14"/>
  <c r="I588" i="14"/>
  <c r="I589" i="14"/>
  <c r="I590" i="14"/>
  <c r="I591" i="14"/>
  <c r="M591" i="14" s="1"/>
  <c r="I592" i="14"/>
  <c r="M592" i="14" s="1"/>
  <c r="I593" i="14"/>
  <c r="I594" i="14"/>
  <c r="I595" i="14"/>
  <c r="I596" i="14"/>
  <c r="M596" i="14" s="1"/>
  <c r="I597" i="14"/>
  <c r="I598" i="14"/>
  <c r="I599" i="14"/>
  <c r="M599" i="14" s="1"/>
  <c r="I600" i="14"/>
  <c r="M600" i="14" s="1"/>
  <c r="I601" i="14"/>
  <c r="I602" i="14"/>
  <c r="I603" i="14"/>
  <c r="I604" i="14"/>
  <c r="M604" i="14" s="1"/>
  <c r="I605" i="14"/>
  <c r="I606" i="14"/>
  <c r="I607" i="14"/>
  <c r="M607" i="14" s="1"/>
  <c r="I608" i="14"/>
  <c r="M608" i="14" s="1"/>
  <c r="I609" i="14"/>
  <c r="I610" i="14"/>
  <c r="I611" i="14"/>
  <c r="I612" i="14"/>
  <c r="M612" i="14" s="1"/>
  <c r="I613" i="14"/>
  <c r="I614" i="14"/>
  <c r="I615" i="14"/>
  <c r="M615" i="14" s="1"/>
  <c r="I616" i="14"/>
  <c r="M616" i="14" s="1"/>
  <c r="I617" i="14"/>
  <c r="I618" i="14"/>
  <c r="I619" i="14"/>
  <c r="I620" i="14"/>
  <c r="I621" i="14"/>
  <c r="I622" i="14"/>
  <c r="I623" i="14"/>
  <c r="M623" i="14" s="1"/>
  <c r="I624" i="14"/>
  <c r="I625" i="14"/>
  <c r="I626" i="14"/>
  <c r="I627" i="14"/>
  <c r="I628" i="14"/>
  <c r="M628" i="14" s="1"/>
  <c r="I629" i="14"/>
  <c r="I630" i="14"/>
  <c r="I631" i="14"/>
  <c r="M631" i="14" s="1"/>
  <c r="I632" i="14"/>
  <c r="M632" i="14" s="1"/>
  <c r="I633" i="14"/>
  <c r="I634" i="14"/>
  <c r="I635" i="14"/>
  <c r="I636" i="14"/>
  <c r="M636" i="14" s="1"/>
  <c r="I637" i="14"/>
  <c r="I638" i="14"/>
  <c r="I639" i="14"/>
  <c r="M639" i="14" s="1"/>
  <c r="I640" i="14"/>
  <c r="M640" i="14" s="1"/>
  <c r="I641" i="14"/>
  <c r="I642" i="14"/>
  <c r="I643" i="14"/>
  <c r="I644" i="14"/>
  <c r="M644" i="14" s="1"/>
  <c r="I645" i="14"/>
  <c r="I646" i="14"/>
  <c r="I647" i="14"/>
  <c r="I648" i="14"/>
  <c r="M648" i="14" s="1"/>
  <c r="I649" i="14"/>
  <c r="I650" i="14"/>
  <c r="I651" i="14"/>
  <c r="I652" i="14"/>
  <c r="M652" i="14" s="1"/>
  <c r="I653" i="14"/>
  <c r="I654" i="14"/>
  <c r="I655" i="14"/>
  <c r="M655" i="14" s="1"/>
  <c r="I656" i="14"/>
  <c r="M656" i="14" s="1"/>
  <c r="I657" i="14"/>
  <c r="I658" i="14"/>
  <c r="I659" i="14"/>
  <c r="I660" i="14"/>
  <c r="M660" i="14" s="1"/>
  <c r="I661" i="14"/>
  <c r="I662" i="14"/>
  <c r="I663" i="14"/>
  <c r="M663" i="14" s="1"/>
  <c r="I664" i="14"/>
  <c r="M664" i="14" s="1"/>
  <c r="I665" i="14"/>
  <c r="I666" i="14"/>
  <c r="I667" i="14"/>
  <c r="I668" i="14"/>
  <c r="M668" i="14" s="1"/>
  <c r="I669" i="14"/>
  <c r="I670" i="14"/>
  <c r="I671" i="14"/>
  <c r="M671" i="14" s="1"/>
  <c r="I672" i="14"/>
  <c r="M672" i="14" s="1"/>
  <c r="I673" i="14"/>
  <c r="I674" i="14"/>
  <c r="I675" i="14"/>
  <c r="I676" i="14"/>
  <c r="M676" i="14" s="1"/>
  <c r="I677" i="14"/>
  <c r="I678" i="14"/>
  <c r="I679" i="14"/>
  <c r="M679" i="14" s="1"/>
  <c r="I680" i="14"/>
  <c r="M680" i="14" s="1"/>
  <c r="I681" i="14"/>
  <c r="I682" i="14"/>
  <c r="I683" i="14"/>
  <c r="I684" i="14"/>
  <c r="M684" i="14" s="1"/>
  <c r="I685" i="14"/>
  <c r="I686" i="14"/>
  <c r="I687" i="14"/>
  <c r="M687" i="14" s="1"/>
  <c r="I688" i="14"/>
  <c r="I689" i="14"/>
  <c r="I690" i="14"/>
  <c r="I691" i="14"/>
  <c r="I692" i="14"/>
  <c r="M692" i="14" s="1"/>
  <c r="I693" i="14"/>
  <c r="I694" i="14"/>
  <c r="I695" i="14"/>
  <c r="M695" i="14" s="1"/>
  <c r="I696" i="14"/>
  <c r="I697" i="14"/>
  <c r="I698" i="14"/>
  <c r="I699" i="14"/>
  <c r="I700" i="14"/>
  <c r="M700" i="14" s="1"/>
  <c r="I701" i="14"/>
  <c r="I702" i="14"/>
  <c r="I703" i="14"/>
  <c r="M703" i="14" s="1"/>
  <c r="I704" i="14"/>
  <c r="I705" i="14"/>
  <c r="I706" i="14"/>
  <c r="I707" i="14"/>
  <c r="I708" i="14"/>
  <c r="M708" i="14" s="1"/>
  <c r="I709" i="14"/>
  <c r="I710" i="14"/>
  <c r="I711" i="14"/>
  <c r="M711" i="14" s="1"/>
  <c r="I712" i="14"/>
  <c r="I713" i="14"/>
  <c r="I714" i="14"/>
  <c r="I715" i="14"/>
  <c r="I716" i="14"/>
  <c r="M716" i="14" s="1"/>
  <c r="I717" i="14"/>
  <c r="I718" i="14"/>
  <c r="I719" i="14"/>
  <c r="M719" i="14" s="1"/>
  <c r="I720" i="14"/>
  <c r="I721" i="14"/>
  <c r="I722" i="14"/>
  <c r="I723" i="14"/>
  <c r="I724" i="14"/>
  <c r="M724" i="14" s="1"/>
  <c r="I725" i="14"/>
  <c r="I726" i="14"/>
  <c r="I727" i="14"/>
  <c r="M727" i="14" s="1"/>
  <c r="I728" i="14"/>
  <c r="I729" i="14"/>
  <c r="I730" i="14"/>
  <c r="I731" i="14"/>
  <c r="I732" i="14"/>
  <c r="M732" i="14" s="1"/>
  <c r="I733" i="14"/>
  <c r="I734" i="14"/>
  <c r="I735" i="14"/>
  <c r="M735" i="14" s="1"/>
  <c r="I736" i="14"/>
  <c r="I737" i="14"/>
  <c r="I738" i="14"/>
  <c r="I739" i="14"/>
  <c r="I740" i="14"/>
  <c r="M740" i="14" s="1"/>
  <c r="I741" i="14"/>
  <c r="I742" i="14"/>
  <c r="I743" i="14"/>
  <c r="M743" i="14" s="1"/>
  <c r="I744" i="14"/>
  <c r="I745" i="14"/>
  <c r="I746" i="14"/>
  <c r="I747" i="14"/>
  <c r="I748" i="14"/>
  <c r="I749" i="14"/>
  <c r="I750" i="14"/>
  <c r="I751" i="14"/>
  <c r="M751" i="14" s="1"/>
  <c r="I752" i="14"/>
  <c r="I753" i="14"/>
  <c r="I754" i="14"/>
  <c r="I755" i="14"/>
  <c r="I756" i="14"/>
  <c r="M756" i="14" s="1"/>
  <c r="I757" i="14"/>
  <c r="I758" i="14"/>
  <c r="I759" i="14"/>
  <c r="M759" i="14" s="1"/>
  <c r="I760" i="14"/>
  <c r="I761" i="14"/>
  <c r="I762" i="14"/>
  <c r="I763" i="14"/>
  <c r="I764" i="14"/>
  <c r="M764" i="14" s="1"/>
  <c r="I765" i="14"/>
  <c r="I766" i="14"/>
  <c r="I767" i="14"/>
  <c r="M767" i="14" s="1"/>
  <c r="I768" i="14"/>
  <c r="I769" i="14"/>
  <c r="I770" i="14"/>
  <c r="I771" i="14"/>
  <c r="I772" i="14"/>
  <c r="M772" i="14" s="1"/>
  <c r="I773" i="14"/>
  <c r="I774" i="14"/>
  <c r="I775" i="14"/>
  <c r="M775" i="14" s="1"/>
  <c r="I776" i="14"/>
  <c r="I777" i="14"/>
  <c r="I778" i="14"/>
  <c r="I779" i="14"/>
  <c r="I780" i="14"/>
  <c r="M780" i="14" s="1"/>
  <c r="I781" i="14"/>
  <c r="I782" i="14"/>
  <c r="I783" i="14"/>
  <c r="M783" i="14" s="1"/>
  <c r="I784" i="14"/>
  <c r="I785" i="14"/>
  <c r="I786" i="14"/>
  <c r="I787" i="14"/>
  <c r="I788" i="14"/>
  <c r="M788" i="14" s="1"/>
  <c r="I789" i="14"/>
  <c r="I790" i="14"/>
  <c r="I791" i="14"/>
  <c r="M791" i="14" s="1"/>
  <c r="I792" i="14"/>
  <c r="I793" i="14"/>
  <c r="I794" i="14"/>
  <c r="I795" i="14"/>
  <c r="I796" i="14"/>
  <c r="M796" i="14" s="1"/>
  <c r="I797" i="14"/>
  <c r="I798" i="14"/>
  <c r="I799" i="14"/>
  <c r="M799" i="14" s="1"/>
  <c r="I800" i="14"/>
  <c r="I801" i="14"/>
  <c r="I802" i="14"/>
  <c r="I803" i="14"/>
  <c r="I804" i="14"/>
  <c r="M804" i="14" s="1"/>
  <c r="I805" i="14"/>
  <c r="I806" i="14"/>
  <c r="I807" i="14"/>
  <c r="M807" i="14" s="1"/>
  <c r="I808" i="14"/>
  <c r="I809" i="14"/>
  <c r="I810" i="14"/>
  <c r="I811" i="14"/>
  <c r="I812" i="14"/>
  <c r="I813" i="14"/>
  <c r="I814" i="14"/>
  <c r="I815" i="14"/>
  <c r="M815" i="14" s="1"/>
  <c r="I816" i="14"/>
  <c r="I817" i="14"/>
  <c r="I818" i="14"/>
  <c r="I819" i="14"/>
  <c r="I820" i="14"/>
  <c r="M820" i="14" s="1"/>
  <c r="I821" i="14"/>
  <c r="I822" i="14"/>
  <c r="I823" i="14"/>
  <c r="M823" i="14" s="1"/>
  <c r="I824" i="14"/>
  <c r="I825" i="14"/>
  <c r="I826" i="14"/>
  <c r="I827" i="14"/>
  <c r="I828" i="14"/>
  <c r="M828" i="14" s="1"/>
  <c r="I829" i="14"/>
  <c r="I830" i="14"/>
  <c r="I831" i="14"/>
  <c r="M831" i="14" s="1"/>
  <c r="I832" i="14"/>
  <c r="I833" i="14"/>
  <c r="I834" i="14"/>
  <c r="I835" i="14"/>
  <c r="I836" i="14"/>
  <c r="M836" i="14" s="1"/>
  <c r="I837" i="14"/>
  <c r="I838" i="14"/>
  <c r="I839" i="14"/>
  <c r="M839" i="14" s="1"/>
  <c r="I840" i="14"/>
  <c r="I841" i="14"/>
  <c r="I842" i="14"/>
  <c r="I843" i="14"/>
  <c r="I844" i="14"/>
  <c r="M844" i="14" s="1"/>
  <c r="I845" i="14"/>
  <c r="I846" i="14"/>
  <c r="I847" i="14"/>
  <c r="M847" i="14" s="1"/>
  <c r="I848" i="14"/>
  <c r="I849" i="14"/>
  <c r="I850" i="14"/>
  <c r="I851" i="14"/>
  <c r="I852" i="14"/>
  <c r="M852" i="14" s="1"/>
  <c r="I853" i="14"/>
  <c r="I854" i="14"/>
  <c r="I855" i="14"/>
  <c r="M855" i="14" s="1"/>
  <c r="I856" i="14"/>
  <c r="I857" i="14"/>
  <c r="I858" i="14"/>
  <c r="I859" i="14"/>
  <c r="I860" i="14"/>
  <c r="M860" i="14" s="1"/>
  <c r="I861" i="14"/>
  <c r="I862" i="14"/>
  <c r="I863" i="14"/>
  <c r="M863" i="14" s="1"/>
  <c r="I864" i="14"/>
  <c r="I865" i="14"/>
  <c r="I866" i="14"/>
  <c r="I867" i="14"/>
  <c r="I868" i="14"/>
  <c r="M868" i="14" s="1"/>
  <c r="I869" i="14"/>
  <c r="I870" i="14"/>
  <c r="I871" i="14"/>
  <c r="M871" i="14" s="1"/>
  <c r="I872" i="14"/>
  <c r="I873" i="14"/>
  <c r="I874" i="14"/>
  <c r="I875" i="14"/>
  <c r="I876" i="14"/>
  <c r="I877" i="14"/>
  <c r="I878" i="14"/>
  <c r="I879" i="14"/>
  <c r="M879" i="14" s="1"/>
  <c r="I880" i="14"/>
  <c r="I881" i="14"/>
  <c r="I882" i="14"/>
  <c r="I883" i="14"/>
  <c r="I884" i="14"/>
  <c r="M884" i="14" s="1"/>
  <c r="I885" i="14"/>
  <c r="I886" i="14"/>
  <c r="I887" i="14"/>
  <c r="M887" i="14" s="1"/>
  <c r="I888" i="14"/>
  <c r="I889" i="14"/>
  <c r="I890" i="14"/>
  <c r="I891" i="14"/>
  <c r="I892" i="14"/>
  <c r="M892" i="14" s="1"/>
  <c r="I893" i="14"/>
  <c r="I894" i="14"/>
  <c r="I895" i="14"/>
  <c r="M895" i="14" s="1"/>
  <c r="I896" i="14"/>
  <c r="I897" i="14"/>
  <c r="I898" i="14"/>
  <c r="I899" i="14"/>
  <c r="I900" i="14"/>
  <c r="M900" i="14" s="1"/>
  <c r="I901" i="14"/>
  <c r="I902" i="14"/>
  <c r="I903" i="14"/>
  <c r="M903" i="14" s="1"/>
  <c r="I904" i="14"/>
  <c r="I905" i="14"/>
  <c r="I906" i="14"/>
  <c r="I907" i="14"/>
  <c r="I908" i="14"/>
  <c r="M908" i="14" s="1"/>
  <c r="I909" i="14"/>
  <c r="I910" i="14"/>
  <c r="I911" i="14"/>
  <c r="M911" i="14" s="1"/>
  <c r="I912" i="14"/>
  <c r="I913" i="14"/>
  <c r="I914" i="14"/>
  <c r="I915" i="14"/>
  <c r="I916" i="14"/>
  <c r="M916" i="14" s="1"/>
  <c r="I917" i="14"/>
  <c r="I918" i="14"/>
  <c r="I919" i="14"/>
  <c r="M919" i="14" s="1"/>
  <c r="I920" i="14"/>
  <c r="I921" i="14"/>
  <c r="I922" i="14"/>
  <c r="I923" i="14"/>
  <c r="I924" i="14"/>
  <c r="M924" i="14" s="1"/>
  <c r="I925" i="14"/>
  <c r="I926" i="14"/>
  <c r="I927" i="14"/>
  <c r="I928" i="14"/>
  <c r="M928" i="14" s="1"/>
  <c r="I929" i="14"/>
  <c r="I930" i="14"/>
  <c r="I931" i="14"/>
  <c r="I932" i="14"/>
  <c r="M932" i="14" s="1"/>
  <c r="I933" i="14"/>
  <c r="I934" i="14"/>
  <c r="I935" i="14"/>
  <c r="M935" i="14" s="1"/>
  <c r="I936" i="14"/>
  <c r="M936" i="14" s="1"/>
  <c r="I937" i="14"/>
  <c r="I938" i="14"/>
  <c r="I939" i="14"/>
  <c r="I940" i="14"/>
  <c r="M940" i="14" s="1"/>
  <c r="I941" i="14"/>
  <c r="I942" i="14"/>
  <c r="I943" i="14"/>
  <c r="I944" i="14"/>
  <c r="M944" i="14" s="1"/>
  <c r="I945" i="14"/>
  <c r="I946" i="14"/>
  <c r="I947" i="14"/>
  <c r="I948" i="14"/>
  <c r="M948" i="14" s="1"/>
  <c r="I949" i="14"/>
  <c r="I950" i="14"/>
  <c r="I951" i="14"/>
  <c r="M951" i="14" s="1"/>
  <c r="I952" i="14"/>
  <c r="I953" i="14"/>
  <c r="I954" i="14"/>
  <c r="I955" i="14"/>
  <c r="I956" i="14"/>
  <c r="M956" i="14" s="1"/>
  <c r="I957" i="14"/>
  <c r="I958" i="14"/>
  <c r="I959" i="14"/>
  <c r="M959" i="14" s="1"/>
  <c r="I960" i="14"/>
  <c r="M960" i="14" s="1"/>
  <c r="I961" i="14"/>
  <c r="I962" i="14"/>
  <c r="I963" i="14"/>
  <c r="I964" i="14"/>
  <c r="M964" i="14" s="1"/>
  <c r="I965" i="14"/>
  <c r="I966" i="14"/>
  <c r="I967" i="14"/>
  <c r="M967" i="14" s="1"/>
  <c r="I968" i="14"/>
  <c r="M968" i="14" s="1"/>
  <c r="I969" i="14"/>
  <c r="I970" i="14"/>
  <c r="I971" i="14"/>
  <c r="I972" i="14"/>
  <c r="M972" i="14" s="1"/>
  <c r="I973" i="14"/>
  <c r="I974" i="14"/>
  <c r="I975" i="14"/>
  <c r="M975" i="14" s="1"/>
  <c r="I976" i="14"/>
  <c r="M976" i="14" s="1"/>
  <c r="I977" i="14"/>
  <c r="I978" i="14"/>
  <c r="I979" i="14"/>
  <c r="I980" i="14"/>
  <c r="M980" i="14" s="1"/>
  <c r="I981" i="14"/>
  <c r="I982" i="14"/>
  <c r="I983" i="14"/>
  <c r="M983" i="14" s="1"/>
  <c r="I984" i="14"/>
  <c r="M984" i="14" s="1"/>
  <c r="I985" i="14"/>
  <c r="I986" i="14"/>
  <c r="I987" i="14"/>
  <c r="I988" i="14"/>
  <c r="M988" i="14" s="1"/>
  <c r="I989" i="14"/>
  <c r="I990" i="14"/>
  <c r="I991" i="14"/>
  <c r="I992" i="14"/>
  <c r="M992" i="14" s="1"/>
  <c r="I993" i="14"/>
  <c r="I994" i="14"/>
  <c r="I995" i="14"/>
  <c r="I996" i="14"/>
  <c r="M996" i="14" s="1"/>
  <c r="I997" i="14"/>
  <c r="I998" i="14"/>
  <c r="I999" i="14"/>
  <c r="M999" i="14" s="1"/>
  <c r="I1000" i="14"/>
  <c r="M1000" i="14" s="1"/>
  <c r="H9" i="14"/>
  <c r="H10" i="14"/>
  <c r="H11" i="14"/>
  <c r="H12" i="14"/>
  <c r="L12" i="14" s="1"/>
  <c r="H13" i="14"/>
  <c r="H14" i="14"/>
  <c r="L14" i="14" s="1"/>
  <c r="H15" i="14"/>
  <c r="L15" i="14" s="1"/>
  <c r="H16" i="14"/>
  <c r="H17" i="14"/>
  <c r="H18" i="14"/>
  <c r="H19" i="14"/>
  <c r="H20" i="14"/>
  <c r="L20" i="14" s="1"/>
  <c r="H21" i="14"/>
  <c r="H22" i="14"/>
  <c r="L22" i="14" s="1"/>
  <c r="H23" i="14"/>
  <c r="L23" i="14" s="1"/>
  <c r="H24" i="14"/>
  <c r="H25" i="14"/>
  <c r="H26" i="14"/>
  <c r="H27" i="14"/>
  <c r="H28" i="14"/>
  <c r="L28" i="14" s="1"/>
  <c r="H29" i="14"/>
  <c r="H30" i="14"/>
  <c r="L30" i="14" s="1"/>
  <c r="H31" i="14"/>
  <c r="L31" i="14" s="1"/>
  <c r="H32" i="14"/>
  <c r="H33" i="14"/>
  <c r="H34" i="14"/>
  <c r="H35" i="14"/>
  <c r="H36" i="14"/>
  <c r="L36" i="14" s="1"/>
  <c r="H37" i="14"/>
  <c r="H38" i="14"/>
  <c r="L38" i="14" s="1"/>
  <c r="H39" i="14"/>
  <c r="L39" i="14" s="1"/>
  <c r="H40" i="14"/>
  <c r="H41" i="14"/>
  <c r="H42" i="14"/>
  <c r="H43" i="14"/>
  <c r="H44" i="14"/>
  <c r="L44" i="14" s="1"/>
  <c r="H45" i="14"/>
  <c r="H46" i="14"/>
  <c r="L46" i="14" s="1"/>
  <c r="H47" i="14"/>
  <c r="L47" i="14" s="1"/>
  <c r="H48" i="14"/>
  <c r="H49" i="14"/>
  <c r="H50" i="14"/>
  <c r="H51" i="14"/>
  <c r="H52" i="14"/>
  <c r="H53" i="14"/>
  <c r="H54" i="14"/>
  <c r="H55" i="14"/>
  <c r="L55" i="14" s="1"/>
  <c r="H56" i="14"/>
  <c r="H57" i="14"/>
  <c r="H58" i="14"/>
  <c r="H59" i="14"/>
  <c r="H60" i="14"/>
  <c r="L60" i="14" s="1"/>
  <c r="H61" i="14"/>
  <c r="H62" i="14"/>
  <c r="L62" i="14" s="1"/>
  <c r="H63" i="14"/>
  <c r="L63" i="14" s="1"/>
  <c r="H64" i="14"/>
  <c r="H65" i="14"/>
  <c r="H66" i="14"/>
  <c r="H67" i="14"/>
  <c r="H68" i="14"/>
  <c r="L68" i="14" s="1"/>
  <c r="H69" i="14"/>
  <c r="H70" i="14"/>
  <c r="L70" i="14" s="1"/>
  <c r="H71" i="14"/>
  <c r="L71" i="14" s="1"/>
  <c r="H72" i="14"/>
  <c r="H73" i="14"/>
  <c r="H74" i="14"/>
  <c r="H75" i="14"/>
  <c r="H76" i="14"/>
  <c r="L76" i="14" s="1"/>
  <c r="H77" i="14"/>
  <c r="H78" i="14"/>
  <c r="L78" i="14" s="1"/>
  <c r="H79" i="14"/>
  <c r="L79" i="14" s="1"/>
  <c r="H80" i="14"/>
  <c r="H81" i="14"/>
  <c r="H82" i="14"/>
  <c r="H83" i="14"/>
  <c r="H84" i="14"/>
  <c r="L84" i="14" s="1"/>
  <c r="H85" i="14"/>
  <c r="H86" i="14"/>
  <c r="L86" i="14" s="1"/>
  <c r="H87" i="14"/>
  <c r="L87" i="14" s="1"/>
  <c r="H88" i="14"/>
  <c r="H89" i="14"/>
  <c r="H90" i="14"/>
  <c r="H91" i="14"/>
  <c r="H92" i="14"/>
  <c r="L92" i="14" s="1"/>
  <c r="H93" i="14"/>
  <c r="H94" i="14"/>
  <c r="L94" i="14" s="1"/>
  <c r="H95" i="14"/>
  <c r="L95" i="14" s="1"/>
  <c r="H96" i="14"/>
  <c r="H97" i="14"/>
  <c r="H98" i="14"/>
  <c r="H99" i="14"/>
  <c r="H100" i="14"/>
  <c r="L100" i="14" s="1"/>
  <c r="H101" i="14"/>
  <c r="H102" i="14"/>
  <c r="L102" i="14" s="1"/>
  <c r="H103" i="14"/>
  <c r="L103" i="14" s="1"/>
  <c r="H104" i="14"/>
  <c r="H105" i="14"/>
  <c r="H106" i="14"/>
  <c r="H107" i="14"/>
  <c r="H108" i="14"/>
  <c r="L108" i="14" s="1"/>
  <c r="H109" i="14"/>
  <c r="H110" i="14"/>
  <c r="L110" i="14" s="1"/>
  <c r="H111" i="14"/>
  <c r="H112" i="14"/>
  <c r="H113" i="14"/>
  <c r="H114" i="14"/>
  <c r="H115" i="14"/>
  <c r="H116" i="14"/>
  <c r="L116" i="14" s="1"/>
  <c r="H117" i="14"/>
  <c r="H118" i="14"/>
  <c r="L118" i="14" s="1"/>
  <c r="H119" i="14"/>
  <c r="L119" i="14" s="1"/>
  <c r="H120" i="14"/>
  <c r="H121" i="14"/>
  <c r="H122" i="14"/>
  <c r="H123" i="14"/>
  <c r="H124" i="14"/>
  <c r="H125" i="14"/>
  <c r="H126" i="14"/>
  <c r="H127" i="14"/>
  <c r="L127" i="14" s="1"/>
  <c r="H128" i="14"/>
  <c r="H129" i="14"/>
  <c r="H130" i="14"/>
  <c r="H131" i="14"/>
  <c r="H132" i="14"/>
  <c r="L132" i="14" s="1"/>
  <c r="H133" i="14"/>
  <c r="H134" i="14"/>
  <c r="L134" i="14" s="1"/>
  <c r="H135" i="14"/>
  <c r="L135" i="14" s="1"/>
  <c r="H136" i="14"/>
  <c r="H137" i="14"/>
  <c r="H138" i="14"/>
  <c r="H139" i="14"/>
  <c r="H140" i="14"/>
  <c r="L140" i="14" s="1"/>
  <c r="H141" i="14"/>
  <c r="H142" i="14"/>
  <c r="L142" i="14" s="1"/>
  <c r="H143" i="14"/>
  <c r="L143" i="14" s="1"/>
  <c r="H144" i="14"/>
  <c r="H145" i="14"/>
  <c r="H146" i="14"/>
  <c r="H147" i="14"/>
  <c r="H148" i="14"/>
  <c r="L148" i="14" s="1"/>
  <c r="H149" i="14"/>
  <c r="H150" i="14"/>
  <c r="L150" i="14" s="1"/>
  <c r="H151" i="14"/>
  <c r="L151" i="14" s="1"/>
  <c r="H152" i="14"/>
  <c r="H153" i="14"/>
  <c r="H154" i="14"/>
  <c r="H155" i="14"/>
  <c r="H156" i="14"/>
  <c r="L156" i="14" s="1"/>
  <c r="H157" i="14"/>
  <c r="H158" i="14"/>
  <c r="H159" i="14"/>
  <c r="H160" i="14"/>
  <c r="H161" i="14"/>
  <c r="H162" i="14"/>
  <c r="H163" i="14"/>
  <c r="H164" i="14"/>
  <c r="H165" i="14"/>
  <c r="H166" i="14"/>
  <c r="L166" i="14" s="1"/>
  <c r="H167" i="14"/>
  <c r="L167" i="14" s="1"/>
  <c r="H168" i="14"/>
  <c r="H169" i="14"/>
  <c r="H170" i="14"/>
  <c r="H171" i="14"/>
  <c r="H172" i="14"/>
  <c r="L172" i="14" s="1"/>
  <c r="H173" i="14"/>
  <c r="H174" i="14"/>
  <c r="L174" i="14" s="1"/>
  <c r="H175" i="14"/>
  <c r="L175" i="14" s="1"/>
  <c r="H176" i="14"/>
  <c r="H177" i="14"/>
  <c r="H178" i="14"/>
  <c r="H179" i="14"/>
  <c r="H180" i="14"/>
  <c r="H181" i="14"/>
  <c r="H182" i="14"/>
  <c r="L182" i="14" s="1"/>
  <c r="H183" i="14"/>
  <c r="L183" i="14" s="1"/>
  <c r="H184" i="14"/>
  <c r="H185" i="14"/>
  <c r="H186" i="14"/>
  <c r="H187" i="14"/>
  <c r="H188" i="14"/>
  <c r="L188" i="14" s="1"/>
  <c r="H189" i="14"/>
  <c r="H190" i="14"/>
  <c r="L190" i="14" s="1"/>
  <c r="H191" i="14"/>
  <c r="H192" i="14"/>
  <c r="H193" i="14"/>
  <c r="H194" i="14"/>
  <c r="H195" i="14"/>
  <c r="H196" i="14"/>
  <c r="L196" i="14" s="1"/>
  <c r="H197" i="14"/>
  <c r="H198" i="14"/>
  <c r="L198" i="14" s="1"/>
  <c r="H199" i="14"/>
  <c r="H200" i="14"/>
  <c r="H201" i="14"/>
  <c r="H202" i="14"/>
  <c r="H203" i="14"/>
  <c r="H204" i="14"/>
  <c r="L204" i="14" s="1"/>
  <c r="H205" i="14"/>
  <c r="H206" i="14"/>
  <c r="L206" i="14" s="1"/>
  <c r="H207" i="14"/>
  <c r="L207" i="14" s="1"/>
  <c r="H208" i="14"/>
  <c r="H209" i="14"/>
  <c r="H210" i="14"/>
  <c r="H211" i="14"/>
  <c r="H212" i="14"/>
  <c r="L212" i="14" s="1"/>
  <c r="H213" i="14"/>
  <c r="H214" i="14"/>
  <c r="L214" i="14" s="1"/>
  <c r="H215" i="14"/>
  <c r="L215" i="14" s="1"/>
  <c r="H216" i="14"/>
  <c r="H217" i="14"/>
  <c r="H218" i="14"/>
  <c r="H219" i="14"/>
  <c r="H220" i="14"/>
  <c r="L220" i="14" s="1"/>
  <c r="H221" i="14"/>
  <c r="H222" i="14"/>
  <c r="L222" i="14" s="1"/>
  <c r="H223" i="14"/>
  <c r="L223" i="14" s="1"/>
  <c r="H224" i="14"/>
  <c r="H225" i="14"/>
  <c r="H226" i="14"/>
  <c r="H227" i="14"/>
  <c r="H228" i="14"/>
  <c r="L228" i="14" s="1"/>
  <c r="H229" i="14"/>
  <c r="H230" i="14"/>
  <c r="H231" i="14"/>
  <c r="L231" i="14" s="1"/>
  <c r="H232" i="14"/>
  <c r="H233" i="14"/>
  <c r="H234" i="14"/>
  <c r="H235" i="14"/>
  <c r="H236" i="14"/>
  <c r="H237" i="14"/>
  <c r="H238" i="14"/>
  <c r="L238" i="14" s="1"/>
  <c r="H239" i="14"/>
  <c r="H240" i="14"/>
  <c r="H241" i="14"/>
  <c r="H242" i="14"/>
  <c r="H243" i="14"/>
  <c r="H244" i="14"/>
  <c r="L244" i="14" s="1"/>
  <c r="H245" i="14"/>
  <c r="H246" i="14"/>
  <c r="L246" i="14" s="1"/>
  <c r="H247" i="14"/>
  <c r="H248" i="14"/>
  <c r="H249" i="14"/>
  <c r="H250" i="14"/>
  <c r="H251" i="14"/>
  <c r="H252" i="14"/>
  <c r="L252" i="14" s="1"/>
  <c r="H253" i="14"/>
  <c r="H254" i="14"/>
  <c r="L254" i="14" s="1"/>
  <c r="H255" i="14"/>
  <c r="L255" i="14" s="1"/>
  <c r="H256" i="14"/>
  <c r="H257" i="14"/>
  <c r="H258" i="14"/>
  <c r="H259" i="14"/>
  <c r="H260" i="14"/>
  <c r="L260" i="14" s="1"/>
  <c r="H261" i="14"/>
  <c r="H262" i="14"/>
  <c r="H263" i="14"/>
  <c r="H264" i="14"/>
  <c r="H265" i="14"/>
  <c r="H266" i="14"/>
  <c r="H267" i="14"/>
  <c r="H268" i="14"/>
  <c r="L268" i="14" s="1"/>
  <c r="H269" i="14"/>
  <c r="H270" i="14"/>
  <c r="L270" i="14" s="1"/>
  <c r="H271" i="14"/>
  <c r="H272" i="14"/>
  <c r="H273" i="14"/>
  <c r="H274" i="14"/>
  <c r="H275" i="14"/>
  <c r="H276" i="14"/>
  <c r="L276" i="14" s="1"/>
  <c r="H277" i="14"/>
  <c r="H278" i="14"/>
  <c r="L278" i="14" s="1"/>
  <c r="H279" i="14"/>
  <c r="L279" i="14" s="1"/>
  <c r="H280" i="14"/>
  <c r="H281" i="14"/>
  <c r="H282" i="14"/>
  <c r="H283" i="14"/>
  <c r="H284" i="14"/>
  <c r="L284" i="14" s="1"/>
  <c r="H285" i="14"/>
  <c r="H286" i="14"/>
  <c r="L286" i="14" s="1"/>
  <c r="H287" i="14"/>
  <c r="L287" i="14" s="1"/>
  <c r="H288" i="14"/>
  <c r="H289" i="14"/>
  <c r="H290" i="14"/>
  <c r="H291" i="14"/>
  <c r="H292" i="14"/>
  <c r="L292" i="14" s="1"/>
  <c r="H293" i="14"/>
  <c r="H294" i="14"/>
  <c r="L294" i="14" s="1"/>
  <c r="H295" i="14"/>
  <c r="H296" i="14"/>
  <c r="H297" i="14"/>
  <c r="H298" i="14"/>
  <c r="H299" i="14"/>
  <c r="H300" i="14"/>
  <c r="L300" i="14" s="1"/>
  <c r="H301" i="14"/>
  <c r="H302" i="14"/>
  <c r="L302" i="14" s="1"/>
  <c r="H303" i="14"/>
  <c r="L303" i="14" s="1"/>
  <c r="H304" i="14"/>
  <c r="H305" i="14"/>
  <c r="H306" i="14"/>
  <c r="H307" i="14"/>
  <c r="H308" i="14"/>
  <c r="L308" i="14" s="1"/>
  <c r="H309" i="14"/>
  <c r="H310" i="14"/>
  <c r="L310" i="14" s="1"/>
  <c r="H311" i="14"/>
  <c r="L311" i="14" s="1"/>
  <c r="H312" i="14"/>
  <c r="H313" i="14"/>
  <c r="H314" i="14"/>
  <c r="H315" i="14"/>
  <c r="H316" i="14"/>
  <c r="L316" i="14" s="1"/>
  <c r="H317" i="14"/>
  <c r="H318" i="14"/>
  <c r="L318" i="14" s="1"/>
  <c r="H319" i="14"/>
  <c r="L319" i="14" s="1"/>
  <c r="H320" i="14"/>
  <c r="H321" i="14"/>
  <c r="H322" i="14"/>
  <c r="H323" i="14"/>
  <c r="H324" i="14"/>
  <c r="L324" i="14" s="1"/>
  <c r="H325" i="14"/>
  <c r="H326" i="14"/>
  <c r="L326" i="14" s="1"/>
  <c r="H327" i="14"/>
  <c r="H328" i="14"/>
  <c r="H329" i="14"/>
  <c r="H330" i="14"/>
  <c r="H331" i="14"/>
  <c r="H332" i="14"/>
  <c r="H333" i="14"/>
  <c r="H334" i="14"/>
  <c r="L334" i="14" s="1"/>
  <c r="H335" i="14"/>
  <c r="L335" i="14" s="1"/>
  <c r="H336" i="14"/>
  <c r="H337" i="14"/>
  <c r="H338" i="14"/>
  <c r="H339" i="14"/>
  <c r="H340" i="14"/>
  <c r="L340" i="14" s="1"/>
  <c r="H341" i="14"/>
  <c r="H342" i="14"/>
  <c r="L342" i="14" s="1"/>
  <c r="H343" i="14"/>
  <c r="L343" i="14" s="1"/>
  <c r="H344" i="14"/>
  <c r="H345" i="14"/>
  <c r="H346" i="14"/>
  <c r="H347" i="14"/>
  <c r="H348" i="14"/>
  <c r="H349" i="14"/>
  <c r="H350" i="14"/>
  <c r="L350" i="14" s="1"/>
  <c r="H351" i="14"/>
  <c r="H352" i="14"/>
  <c r="H353" i="14"/>
  <c r="H354" i="14"/>
  <c r="H355" i="14"/>
  <c r="H356" i="14"/>
  <c r="L356" i="14" s="1"/>
  <c r="H357" i="14"/>
  <c r="H358" i="14"/>
  <c r="L358" i="14" s="1"/>
  <c r="H359" i="14"/>
  <c r="L359" i="14" s="1"/>
  <c r="H360" i="14"/>
  <c r="H361" i="14"/>
  <c r="H362" i="14"/>
  <c r="H363" i="14"/>
  <c r="H364" i="14"/>
  <c r="L364" i="14" s="1"/>
  <c r="H365" i="14"/>
  <c r="H366" i="14"/>
  <c r="H367" i="14"/>
  <c r="L367" i="14" s="1"/>
  <c r="H368" i="14"/>
  <c r="H369" i="14"/>
  <c r="H370" i="14"/>
  <c r="H371" i="14"/>
  <c r="H372" i="14"/>
  <c r="L372" i="14" s="1"/>
  <c r="H373" i="14"/>
  <c r="H374" i="14"/>
  <c r="L374" i="14" s="1"/>
  <c r="H375" i="14"/>
  <c r="H376" i="14"/>
  <c r="H377" i="14"/>
  <c r="H378" i="14"/>
  <c r="H379" i="14"/>
  <c r="H380" i="14"/>
  <c r="L380" i="14" s="1"/>
  <c r="H381" i="14"/>
  <c r="H382" i="14"/>
  <c r="L382" i="14" s="1"/>
  <c r="H383" i="14"/>
  <c r="L383" i="14" s="1"/>
  <c r="H384" i="14"/>
  <c r="H385" i="14"/>
  <c r="H386" i="14"/>
  <c r="H387" i="14"/>
  <c r="H388" i="14"/>
  <c r="H389" i="14"/>
  <c r="H390" i="14"/>
  <c r="L390" i="14" s="1"/>
  <c r="H391" i="14"/>
  <c r="L391" i="14" s="1"/>
  <c r="H392" i="14"/>
  <c r="H393" i="14"/>
  <c r="H394" i="14"/>
  <c r="H395" i="14"/>
  <c r="H396" i="14"/>
  <c r="L396" i="14" s="1"/>
  <c r="H397" i="14"/>
  <c r="H398" i="14"/>
  <c r="H399" i="14"/>
  <c r="H400" i="14"/>
  <c r="H401" i="14"/>
  <c r="H402" i="14"/>
  <c r="H403" i="14"/>
  <c r="H404" i="14"/>
  <c r="L404" i="14" s="1"/>
  <c r="H405" i="14"/>
  <c r="H406" i="14"/>
  <c r="L406" i="14" s="1"/>
  <c r="H407" i="14"/>
  <c r="L407" i="14" s="1"/>
  <c r="H408" i="14"/>
  <c r="H409" i="14"/>
  <c r="H410" i="14"/>
  <c r="H411" i="14"/>
  <c r="H412" i="14"/>
  <c r="L412" i="14" s="1"/>
  <c r="H413" i="14"/>
  <c r="H414" i="14"/>
  <c r="L414" i="14" s="1"/>
  <c r="H415" i="14"/>
  <c r="L415" i="14" s="1"/>
  <c r="H416" i="14"/>
  <c r="H417" i="14"/>
  <c r="H418" i="14"/>
  <c r="H419" i="14"/>
  <c r="H420" i="14"/>
  <c r="L420" i="14" s="1"/>
  <c r="H421" i="14"/>
  <c r="H422" i="14"/>
  <c r="L422" i="14" s="1"/>
  <c r="H423" i="14"/>
  <c r="H424" i="14"/>
  <c r="H425" i="14"/>
  <c r="H426" i="14"/>
  <c r="H427" i="14"/>
  <c r="H428" i="14"/>
  <c r="H429" i="14"/>
  <c r="H430" i="14"/>
  <c r="L430" i="14" s="1"/>
  <c r="H431" i="14"/>
  <c r="L431" i="14" s="1"/>
  <c r="H432" i="14"/>
  <c r="H433" i="14"/>
  <c r="H434" i="14"/>
  <c r="H435" i="14"/>
  <c r="H436" i="14"/>
  <c r="L436" i="14" s="1"/>
  <c r="H437" i="14"/>
  <c r="H438" i="14"/>
  <c r="L438" i="14" s="1"/>
  <c r="H439" i="14"/>
  <c r="L439" i="14" s="1"/>
  <c r="H440" i="14"/>
  <c r="H441" i="14"/>
  <c r="H442" i="14"/>
  <c r="H443" i="14"/>
  <c r="H444" i="14"/>
  <c r="H445" i="14"/>
  <c r="H446" i="14"/>
  <c r="L446" i="14" s="1"/>
  <c r="H447" i="14"/>
  <c r="H448" i="14"/>
  <c r="H449" i="14"/>
  <c r="H450" i="14"/>
  <c r="H451" i="14"/>
  <c r="H452" i="14"/>
  <c r="L452" i="14" s="1"/>
  <c r="H453" i="14"/>
  <c r="H454" i="14"/>
  <c r="L454" i="14" s="1"/>
  <c r="H455" i="14"/>
  <c r="H456" i="14"/>
  <c r="H457" i="14"/>
  <c r="H458" i="14"/>
  <c r="H459" i="14"/>
  <c r="H460" i="14"/>
  <c r="L460" i="14" s="1"/>
  <c r="H461" i="14"/>
  <c r="H462" i="14"/>
  <c r="L462" i="14" s="1"/>
  <c r="H463" i="14"/>
  <c r="L463" i="14" s="1"/>
  <c r="H464" i="14"/>
  <c r="H465" i="14"/>
  <c r="H466" i="14"/>
  <c r="H467" i="14"/>
  <c r="H468" i="14"/>
  <c r="L468" i="14" s="1"/>
  <c r="H469" i="14"/>
  <c r="H470" i="14"/>
  <c r="L470" i="14" s="1"/>
  <c r="H471" i="14"/>
  <c r="L471" i="14" s="1"/>
  <c r="H472" i="14"/>
  <c r="H473" i="14"/>
  <c r="H474" i="14"/>
  <c r="H475" i="14"/>
  <c r="H476" i="14"/>
  <c r="L476" i="14" s="1"/>
  <c r="H477" i="14"/>
  <c r="H478" i="14"/>
  <c r="L478" i="14" s="1"/>
  <c r="H479" i="14"/>
  <c r="L479" i="14" s="1"/>
  <c r="H480" i="14"/>
  <c r="H481" i="14"/>
  <c r="H482" i="14"/>
  <c r="H483" i="14"/>
  <c r="H484" i="14"/>
  <c r="L484" i="14" s="1"/>
  <c r="H485" i="14"/>
  <c r="H486" i="14"/>
  <c r="L486" i="14" s="1"/>
  <c r="H487" i="14"/>
  <c r="L487" i="14" s="1"/>
  <c r="H488" i="14"/>
  <c r="H489" i="14"/>
  <c r="H490" i="14"/>
  <c r="H491" i="14"/>
  <c r="H492" i="14"/>
  <c r="L492" i="14" s="1"/>
  <c r="H493" i="14"/>
  <c r="H494" i="14"/>
  <c r="L494" i="14" s="1"/>
  <c r="H495" i="14"/>
  <c r="L495" i="14" s="1"/>
  <c r="H496" i="14"/>
  <c r="H497" i="14"/>
  <c r="H498" i="14"/>
  <c r="H499" i="14"/>
  <c r="H500" i="14"/>
  <c r="L500" i="14" s="1"/>
  <c r="H501" i="14"/>
  <c r="H502" i="14"/>
  <c r="H503" i="14"/>
  <c r="H504" i="14"/>
  <c r="H505" i="14"/>
  <c r="H506" i="14"/>
  <c r="H507" i="14"/>
  <c r="H508" i="14"/>
  <c r="L508" i="14" s="1"/>
  <c r="H509" i="14"/>
  <c r="H510" i="14"/>
  <c r="L510" i="14" s="1"/>
  <c r="H511" i="14"/>
  <c r="L511" i="14" s="1"/>
  <c r="H512" i="14"/>
  <c r="H513" i="14"/>
  <c r="H514" i="14"/>
  <c r="H515" i="14"/>
  <c r="H516" i="14"/>
  <c r="L516" i="14" s="1"/>
  <c r="H517" i="14"/>
  <c r="H518" i="14"/>
  <c r="L518" i="14" s="1"/>
  <c r="H519" i="14"/>
  <c r="L519" i="14" s="1"/>
  <c r="H520" i="14"/>
  <c r="H521" i="14"/>
  <c r="H522" i="14"/>
  <c r="H523" i="14"/>
  <c r="H524" i="14"/>
  <c r="L524" i="14" s="1"/>
  <c r="H525" i="14"/>
  <c r="H526" i="14"/>
  <c r="L526" i="14" s="1"/>
  <c r="H527" i="14"/>
  <c r="L527" i="14" s="1"/>
  <c r="H528" i="14"/>
  <c r="H529" i="14"/>
  <c r="H530" i="14"/>
  <c r="H531" i="14"/>
  <c r="H532" i="14"/>
  <c r="L532" i="14" s="1"/>
  <c r="H533" i="14"/>
  <c r="H534" i="14"/>
  <c r="H535" i="14"/>
  <c r="L535" i="14" s="1"/>
  <c r="H536" i="14"/>
  <c r="H537" i="14"/>
  <c r="H538" i="14"/>
  <c r="H539" i="14"/>
  <c r="H540" i="14"/>
  <c r="L540" i="14" s="1"/>
  <c r="H541" i="14"/>
  <c r="H542" i="14"/>
  <c r="L542" i="14" s="1"/>
  <c r="H543" i="14"/>
  <c r="L543" i="14" s="1"/>
  <c r="H544" i="14"/>
  <c r="H545" i="14"/>
  <c r="H546" i="14"/>
  <c r="H547" i="14"/>
  <c r="H548" i="14"/>
  <c r="L548" i="14" s="1"/>
  <c r="H549" i="14"/>
  <c r="H550" i="14"/>
  <c r="L550" i="14" s="1"/>
  <c r="H551" i="14"/>
  <c r="H552" i="14"/>
  <c r="H553" i="14"/>
  <c r="H554" i="14"/>
  <c r="H555" i="14"/>
  <c r="H556" i="14"/>
  <c r="H557" i="14"/>
  <c r="H558" i="14"/>
  <c r="L558" i="14" s="1"/>
  <c r="H559" i="14"/>
  <c r="L559" i="14" s="1"/>
  <c r="H560" i="14"/>
  <c r="H561" i="14"/>
  <c r="H562" i="14"/>
  <c r="H563" i="14"/>
  <c r="H564" i="14"/>
  <c r="L564" i="14" s="1"/>
  <c r="H565" i="14"/>
  <c r="H566" i="14"/>
  <c r="L566" i="14" s="1"/>
  <c r="H567" i="14"/>
  <c r="L567" i="14" s="1"/>
  <c r="H568" i="14"/>
  <c r="H569" i="14"/>
  <c r="H570" i="14"/>
  <c r="H571" i="14"/>
  <c r="H572" i="14"/>
  <c r="H573" i="14"/>
  <c r="H574" i="14"/>
  <c r="L574" i="14" s="1"/>
  <c r="H575" i="14"/>
  <c r="L575" i="14" s="1"/>
  <c r="H576" i="14"/>
  <c r="H577" i="14"/>
  <c r="H578" i="14"/>
  <c r="H579" i="14"/>
  <c r="H580" i="14"/>
  <c r="L580" i="14" s="1"/>
  <c r="H581" i="14"/>
  <c r="H582" i="14"/>
  <c r="L582" i="14" s="1"/>
  <c r="H583" i="14"/>
  <c r="H584" i="14"/>
  <c r="H585" i="14"/>
  <c r="H586" i="14"/>
  <c r="H587" i="14"/>
  <c r="H588" i="14"/>
  <c r="L588" i="14" s="1"/>
  <c r="H589" i="14"/>
  <c r="H590" i="14"/>
  <c r="L590" i="14" s="1"/>
  <c r="H591" i="14"/>
  <c r="L591" i="14" s="1"/>
  <c r="H592" i="14"/>
  <c r="H593" i="14"/>
  <c r="H594" i="14"/>
  <c r="H595" i="14"/>
  <c r="H596" i="14"/>
  <c r="L596" i="14" s="1"/>
  <c r="H597" i="14"/>
  <c r="H598" i="14"/>
  <c r="L598" i="14" s="1"/>
  <c r="H599" i="14"/>
  <c r="L599" i="14" s="1"/>
  <c r="H600" i="14"/>
  <c r="H601" i="14"/>
  <c r="H602" i="14"/>
  <c r="H603" i="14"/>
  <c r="H604" i="14"/>
  <c r="L604" i="14" s="1"/>
  <c r="H605" i="14"/>
  <c r="H606" i="14"/>
  <c r="L606" i="14" s="1"/>
  <c r="H607" i="14"/>
  <c r="H608" i="14"/>
  <c r="H609" i="14"/>
  <c r="H610" i="14"/>
  <c r="H611" i="14"/>
  <c r="H612" i="14"/>
  <c r="L612" i="14" s="1"/>
  <c r="H613" i="14"/>
  <c r="H614" i="14"/>
  <c r="L614" i="14" s="1"/>
  <c r="H615" i="14"/>
  <c r="L615" i="14" s="1"/>
  <c r="H616" i="14"/>
  <c r="H617" i="14"/>
  <c r="H618" i="14"/>
  <c r="H619" i="14"/>
  <c r="H620" i="14"/>
  <c r="L620" i="14" s="1"/>
  <c r="H621" i="14"/>
  <c r="H622" i="14"/>
  <c r="L622" i="14" s="1"/>
  <c r="H623" i="14"/>
  <c r="L623" i="14" s="1"/>
  <c r="H624" i="14"/>
  <c r="H625" i="14"/>
  <c r="H626" i="14"/>
  <c r="H627" i="14"/>
  <c r="H628" i="14"/>
  <c r="L628" i="14" s="1"/>
  <c r="H629" i="14"/>
  <c r="H630" i="14"/>
  <c r="L630" i="14" s="1"/>
  <c r="H631" i="14"/>
  <c r="H632" i="14"/>
  <c r="H633" i="14"/>
  <c r="H634" i="14"/>
  <c r="H635" i="14"/>
  <c r="H636" i="14"/>
  <c r="L636" i="14" s="1"/>
  <c r="H637" i="14"/>
  <c r="H638" i="14"/>
  <c r="H639" i="14"/>
  <c r="L639" i="14" s="1"/>
  <c r="H640" i="14"/>
  <c r="H641" i="14"/>
  <c r="H642" i="14"/>
  <c r="H643" i="14"/>
  <c r="H644" i="14"/>
  <c r="L644" i="14" s="1"/>
  <c r="H645" i="14"/>
  <c r="H646" i="14"/>
  <c r="L646" i="14" s="1"/>
  <c r="H647" i="14"/>
  <c r="L647" i="14" s="1"/>
  <c r="H648" i="14"/>
  <c r="H649" i="14"/>
  <c r="H650" i="14"/>
  <c r="H651" i="14"/>
  <c r="H652" i="14"/>
  <c r="L652" i="14" s="1"/>
  <c r="H653" i="14"/>
  <c r="H654" i="14"/>
  <c r="L654" i="14" s="1"/>
  <c r="H655" i="14"/>
  <c r="H656" i="14"/>
  <c r="H657" i="14"/>
  <c r="H658" i="14"/>
  <c r="H659" i="14"/>
  <c r="H660" i="14"/>
  <c r="L660" i="14" s="1"/>
  <c r="H661" i="14"/>
  <c r="H662" i="14"/>
  <c r="L662" i="14" s="1"/>
  <c r="H663" i="14"/>
  <c r="H664" i="14"/>
  <c r="H665" i="14"/>
  <c r="H666" i="14"/>
  <c r="H667" i="14"/>
  <c r="H668" i="14"/>
  <c r="L668" i="14" s="1"/>
  <c r="H669" i="14"/>
  <c r="H670" i="14"/>
  <c r="H671" i="14"/>
  <c r="L671" i="14" s="1"/>
  <c r="H672" i="14"/>
  <c r="H673" i="14"/>
  <c r="H674" i="14"/>
  <c r="H675" i="14"/>
  <c r="H676" i="14"/>
  <c r="L676" i="14" s="1"/>
  <c r="H677" i="14"/>
  <c r="H678" i="14"/>
  <c r="L678" i="14" s="1"/>
  <c r="H679" i="14"/>
  <c r="H680" i="14"/>
  <c r="H681" i="14"/>
  <c r="H682" i="14"/>
  <c r="H683" i="14"/>
  <c r="H684" i="14"/>
  <c r="L684" i="14" s="1"/>
  <c r="H685" i="14"/>
  <c r="H686" i="14"/>
  <c r="L686" i="14" s="1"/>
  <c r="H687" i="14"/>
  <c r="L687" i="14" s="1"/>
  <c r="H688" i="14"/>
  <c r="H689" i="14"/>
  <c r="H690" i="14"/>
  <c r="H691" i="14"/>
  <c r="H692" i="14"/>
  <c r="L692" i="14" s="1"/>
  <c r="H693" i="14"/>
  <c r="H694" i="14"/>
  <c r="L694" i="14" s="1"/>
  <c r="H695" i="14"/>
  <c r="L695" i="14" s="1"/>
  <c r="H696" i="14"/>
  <c r="H697" i="14"/>
  <c r="H698" i="14"/>
  <c r="H699" i="14"/>
  <c r="H700" i="14"/>
  <c r="L700" i="14" s="1"/>
  <c r="H701" i="14"/>
  <c r="H702" i="14"/>
  <c r="L702" i="14" s="1"/>
  <c r="H703" i="14"/>
  <c r="H704" i="14"/>
  <c r="H705" i="14"/>
  <c r="H706" i="14"/>
  <c r="H707" i="14"/>
  <c r="H708" i="14"/>
  <c r="L708" i="14" s="1"/>
  <c r="H709" i="14"/>
  <c r="H710" i="14"/>
  <c r="L710" i="14" s="1"/>
  <c r="H711" i="14"/>
  <c r="H712" i="14"/>
  <c r="H713" i="14"/>
  <c r="H714" i="14"/>
  <c r="H715" i="14"/>
  <c r="H716" i="14"/>
  <c r="L716" i="14" s="1"/>
  <c r="H717" i="14"/>
  <c r="H718" i="14"/>
  <c r="L718" i="14" s="1"/>
  <c r="H719" i="14"/>
  <c r="L719" i="14" s="1"/>
  <c r="H720" i="14"/>
  <c r="H721" i="14"/>
  <c r="H722" i="14"/>
  <c r="H723" i="14"/>
  <c r="H724" i="14"/>
  <c r="H725" i="14"/>
  <c r="H726" i="14"/>
  <c r="L726" i="14" s="1"/>
  <c r="H727" i="14"/>
  <c r="L727" i="14" s="1"/>
  <c r="H728" i="14"/>
  <c r="H729" i="14"/>
  <c r="H730" i="14"/>
  <c r="H731" i="14"/>
  <c r="H732" i="14"/>
  <c r="L732" i="14" s="1"/>
  <c r="H733" i="14"/>
  <c r="H734" i="14"/>
  <c r="L734" i="14" s="1"/>
  <c r="H735" i="14"/>
  <c r="L735" i="14" s="1"/>
  <c r="H736" i="14"/>
  <c r="H737" i="14"/>
  <c r="H738" i="14"/>
  <c r="H739" i="14"/>
  <c r="H740" i="14"/>
  <c r="L740" i="14" s="1"/>
  <c r="H741" i="14"/>
  <c r="H742" i="14"/>
  <c r="H743" i="14"/>
  <c r="L743" i="14" s="1"/>
  <c r="H744" i="14"/>
  <c r="H745" i="14"/>
  <c r="H746" i="14"/>
  <c r="H747" i="14"/>
  <c r="H748" i="14"/>
  <c r="L748" i="14" s="1"/>
  <c r="H749" i="14"/>
  <c r="H750" i="14"/>
  <c r="L750" i="14" s="1"/>
  <c r="H751" i="14"/>
  <c r="H752" i="14"/>
  <c r="H753" i="14"/>
  <c r="H754" i="14"/>
  <c r="H755" i="14"/>
  <c r="H756" i="14"/>
  <c r="L756" i="14" s="1"/>
  <c r="H757" i="14"/>
  <c r="H758" i="14"/>
  <c r="L758" i="14" s="1"/>
  <c r="H759" i="14"/>
  <c r="H760" i="14"/>
  <c r="H761" i="14"/>
  <c r="H762" i="14"/>
  <c r="H763" i="14"/>
  <c r="H764" i="14"/>
  <c r="H765" i="14"/>
  <c r="H766" i="14"/>
  <c r="L766" i="14" s="1"/>
  <c r="H767" i="14"/>
  <c r="L767" i="14" s="1"/>
  <c r="H768" i="14"/>
  <c r="H769" i="14"/>
  <c r="H770" i="14"/>
  <c r="H771" i="14"/>
  <c r="H772" i="14"/>
  <c r="L772" i="14" s="1"/>
  <c r="H773" i="14"/>
  <c r="H774" i="14"/>
  <c r="H775" i="14"/>
  <c r="H776" i="14"/>
  <c r="H777" i="14"/>
  <c r="H778" i="14"/>
  <c r="H779" i="14"/>
  <c r="H780" i="14"/>
  <c r="L780" i="14" s="1"/>
  <c r="H781" i="14"/>
  <c r="H782" i="14"/>
  <c r="L782" i="14" s="1"/>
  <c r="H783" i="14"/>
  <c r="H784" i="14"/>
  <c r="H785" i="14"/>
  <c r="H786" i="14"/>
  <c r="H787" i="14"/>
  <c r="H788" i="14"/>
  <c r="L788" i="14" s="1"/>
  <c r="H789" i="14"/>
  <c r="H790" i="14"/>
  <c r="L790" i="14" s="1"/>
  <c r="H791" i="14"/>
  <c r="L791" i="14" s="1"/>
  <c r="H792" i="14"/>
  <c r="H793" i="14"/>
  <c r="H794" i="14"/>
  <c r="H795" i="14"/>
  <c r="H796" i="14"/>
  <c r="L796" i="14" s="1"/>
  <c r="H797" i="14"/>
  <c r="H798" i="14"/>
  <c r="L798" i="14" s="1"/>
  <c r="H799" i="14"/>
  <c r="L799" i="14" s="1"/>
  <c r="H800" i="14"/>
  <c r="H801" i="14"/>
  <c r="H802" i="14"/>
  <c r="H803" i="14"/>
  <c r="H804" i="14"/>
  <c r="H805" i="14"/>
  <c r="H806" i="14"/>
  <c r="L806" i="14" s="1"/>
  <c r="H807" i="14"/>
  <c r="H808" i="14"/>
  <c r="H809" i="14"/>
  <c r="H810" i="14"/>
  <c r="H811" i="14"/>
  <c r="H812" i="14"/>
  <c r="L812" i="14" s="1"/>
  <c r="H813" i="14"/>
  <c r="H814" i="14"/>
  <c r="L814" i="14" s="1"/>
  <c r="H815" i="14"/>
  <c r="L815" i="14" s="1"/>
  <c r="H816" i="14"/>
  <c r="H817" i="14"/>
  <c r="H818" i="14"/>
  <c r="H819" i="14"/>
  <c r="H820" i="14"/>
  <c r="L820" i="14" s="1"/>
  <c r="H821" i="14"/>
  <c r="H822" i="14"/>
  <c r="L822" i="14" s="1"/>
  <c r="H823" i="14"/>
  <c r="L823" i="14" s="1"/>
  <c r="H824" i="14"/>
  <c r="H825" i="14"/>
  <c r="H826" i="14"/>
  <c r="H827" i="14"/>
  <c r="H828" i="14"/>
  <c r="L828" i="14" s="1"/>
  <c r="H829" i="14"/>
  <c r="H830" i="14"/>
  <c r="L830" i="14" s="1"/>
  <c r="H831" i="14"/>
  <c r="L831" i="14" s="1"/>
  <c r="H832" i="14"/>
  <c r="H833" i="14"/>
  <c r="H834" i="14"/>
  <c r="H835" i="14"/>
  <c r="H836" i="14"/>
  <c r="L836" i="14" s="1"/>
  <c r="H837" i="14"/>
  <c r="H838" i="14"/>
  <c r="L838" i="14" s="1"/>
  <c r="H839" i="14"/>
  <c r="H840" i="14"/>
  <c r="L840" i="14" s="1"/>
  <c r="H841" i="14"/>
  <c r="H842" i="14"/>
  <c r="H843" i="14"/>
  <c r="H844" i="14"/>
  <c r="L844" i="14" s="1"/>
  <c r="H845" i="14"/>
  <c r="H846" i="14"/>
  <c r="L846" i="14" s="1"/>
  <c r="H847" i="14"/>
  <c r="L847" i="14" s="1"/>
  <c r="H848" i="14"/>
  <c r="L848" i="14" s="1"/>
  <c r="H849" i="14"/>
  <c r="H850" i="14"/>
  <c r="H851" i="14"/>
  <c r="H852" i="14"/>
  <c r="L852" i="14" s="1"/>
  <c r="H853" i="14"/>
  <c r="H854" i="14"/>
  <c r="L854" i="14" s="1"/>
  <c r="H855" i="14"/>
  <c r="L855" i="14" s="1"/>
  <c r="H856" i="14"/>
  <c r="H857" i="14"/>
  <c r="H858" i="14"/>
  <c r="H859" i="14"/>
  <c r="H860" i="14"/>
  <c r="L860" i="14" s="1"/>
  <c r="H861" i="14"/>
  <c r="H862" i="14"/>
  <c r="L862" i="14" s="1"/>
  <c r="H863" i="14"/>
  <c r="H864" i="14"/>
  <c r="L864" i="14" s="1"/>
  <c r="H865" i="14"/>
  <c r="H866" i="14"/>
  <c r="H867" i="14"/>
  <c r="H868" i="14"/>
  <c r="L868" i="14" s="1"/>
  <c r="H869" i="14"/>
  <c r="H870" i="14"/>
  <c r="L870" i="14" s="1"/>
  <c r="H871" i="14"/>
  <c r="L871" i="14" s="1"/>
  <c r="H872" i="14"/>
  <c r="L872" i="14" s="1"/>
  <c r="H873" i="14"/>
  <c r="H874" i="14"/>
  <c r="H875" i="14"/>
  <c r="H876" i="14"/>
  <c r="H877" i="14"/>
  <c r="H878" i="14"/>
  <c r="H879" i="14"/>
  <c r="L879" i="14" s="1"/>
  <c r="H880" i="14"/>
  <c r="H881" i="14"/>
  <c r="H882" i="14"/>
  <c r="H883" i="14"/>
  <c r="H884" i="14"/>
  <c r="L884" i="14" s="1"/>
  <c r="H885" i="14"/>
  <c r="H886" i="14"/>
  <c r="L886" i="14" s="1"/>
  <c r="H887" i="14"/>
  <c r="H888" i="14"/>
  <c r="L888" i="14" s="1"/>
  <c r="H889" i="14"/>
  <c r="H890" i="14"/>
  <c r="H891" i="14"/>
  <c r="H892" i="14"/>
  <c r="L892" i="14" s="1"/>
  <c r="H893" i="14"/>
  <c r="H894" i="14"/>
  <c r="L894" i="14" s="1"/>
  <c r="H895" i="14"/>
  <c r="L895" i="14" s="1"/>
  <c r="H896" i="14"/>
  <c r="L896" i="14" s="1"/>
  <c r="H897" i="14"/>
  <c r="H898" i="14"/>
  <c r="H899" i="14"/>
  <c r="H900" i="14"/>
  <c r="L900" i="14" s="1"/>
  <c r="H901" i="14"/>
  <c r="H902" i="14"/>
  <c r="L902" i="14" s="1"/>
  <c r="H903" i="14"/>
  <c r="L903" i="14" s="1"/>
  <c r="H904" i="14"/>
  <c r="H905" i="14"/>
  <c r="H906" i="14"/>
  <c r="H907" i="14"/>
  <c r="H908" i="14"/>
  <c r="L908" i="14" s="1"/>
  <c r="H909" i="14"/>
  <c r="H910" i="14"/>
  <c r="H911" i="14"/>
  <c r="H912" i="14"/>
  <c r="L912" i="14" s="1"/>
  <c r="H913" i="14"/>
  <c r="H914" i="14"/>
  <c r="H915" i="14"/>
  <c r="H916" i="14"/>
  <c r="H917" i="14"/>
  <c r="H918" i="14"/>
  <c r="L918" i="14" s="1"/>
  <c r="H919" i="14"/>
  <c r="L919" i="14" s="1"/>
  <c r="H920" i="14"/>
  <c r="L920" i="14" s="1"/>
  <c r="H921" i="14"/>
  <c r="H922" i="14"/>
  <c r="H923" i="14"/>
  <c r="H924" i="14"/>
  <c r="L924" i="14" s="1"/>
  <c r="H925" i="14"/>
  <c r="H926" i="14"/>
  <c r="L926" i="14" s="1"/>
  <c r="H927" i="14"/>
  <c r="L927" i="14" s="1"/>
  <c r="H928" i="14"/>
  <c r="L928" i="14" s="1"/>
  <c r="H929" i="14"/>
  <c r="H930" i="14"/>
  <c r="H931" i="14"/>
  <c r="H932" i="14"/>
  <c r="L932" i="14" s="1"/>
  <c r="H933" i="14"/>
  <c r="H934" i="14"/>
  <c r="L934" i="14" s="1"/>
  <c r="H935" i="14"/>
  <c r="H936" i="14"/>
  <c r="L936" i="14" s="1"/>
  <c r="H937" i="14"/>
  <c r="H938" i="14"/>
  <c r="H939" i="14"/>
  <c r="H940" i="14"/>
  <c r="L940" i="14" s="1"/>
  <c r="H941" i="14"/>
  <c r="H942" i="14"/>
  <c r="L942" i="14" s="1"/>
  <c r="H943" i="14"/>
  <c r="L943" i="14" s="1"/>
  <c r="H944" i="14"/>
  <c r="H945" i="14"/>
  <c r="H946" i="14"/>
  <c r="H947" i="14"/>
  <c r="H948" i="14"/>
  <c r="L948" i="14" s="1"/>
  <c r="H949" i="14"/>
  <c r="H950" i="14"/>
  <c r="L950" i="14" s="1"/>
  <c r="H951" i="14"/>
  <c r="L951" i="14" s="1"/>
  <c r="H952" i="14"/>
  <c r="L952" i="14" s="1"/>
  <c r="H953" i="14"/>
  <c r="H954" i="14"/>
  <c r="H955" i="14"/>
  <c r="H956" i="14"/>
  <c r="L956" i="14" s="1"/>
  <c r="H957" i="14"/>
  <c r="H958" i="14"/>
  <c r="L958" i="14" s="1"/>
  <c r="H959" i="14"/>
  <c r="H960" i="14"/>
  <c r="L960" i="14" s="1"/>
  <c r="H961" i="14"/>
  <c r="H962" i="14"/>
  <c r="H963" i="14"/>
  <c r="H964" i="14"/>
  <c r="L964" i="14" s="1"/>
  <c r="H965" i="14"/>
  <c r="H966" i="14"/>
  <c r="L966" i="14" s="1"/>
  <c r="H967" i="14"/>
  <c r="H968" i="14"/>
  <c r="H969" i="14"/>
  <c r="H970" i="14"/>
  <c r="H971" i="14"/>
  <c r="H972" i="14"/>
  <c r="H973" i="14"/>
  <c r="H974" i="14"/>
  <c r="L974" i="14" s="1"/>
  <c r="H975" i="14"/>
  <c r="L975" i="14" s="1"/>
  <c r="H976" i="14"/>
  <c r="H977" i="14"/>
  <c r="H978" i="14"/>
  <c r="H979" i="14"/>
  <c r="H980" i="14"/>
  <c r="L980" i="14" s="1"/>
  <c r="H981" i="14"/>
  <c r="H982" i="14"/>
  <c r="L982" i="14" s="1"/>
  <c r="H983" i="14"/>
  <c r="L983" i="14" s="1"/>
  <c r="H984" i="14"/>
  <c r="L984" i="14" s="1"/>
  <c r="H985" i="14"/>
  <c r="H986" i="14"/>
  <c r="H987" i="14"/>
  <c r="H988" i="14"/>
  <c r="H989" i="14"/>
  <c r="H990" i="14"/>
  <c r="L990" i="14" s="1"/>
  <c r="H991" i="14"/>
  <c r="L991" i="14" s="1"/>
  <c r="H992" i="14"/>
  <c r="L992" i="14" s="1"/>
  <c r="H993" i="14"/>
  <c r="H994" i="14"/>
  <c r="H995" i="14"/>
  <c r="H996" i="14"/>
  <c r="L996" i="14" s="1"/>
  <c r="H997" i="14"/>
  <c r="H998" i="14"/>
  <c r="L998" i="14" s="1"/>
  <c r="H999" i="14"/>
  <c r="L999" i="14" s="1"/>
  <c r="H1000" i="14"/>
  <c r="L1000" i="14" s="1"/>
  <c r="L985" i="14"/>
  <c r="L977" i="14"/>
  <c r="L969" i="14"/>
  <c r="L961" i="14"/>
  <c r="L953" i="14"/>
  <c r="L945" i="14"/>
  <c r="L937" i="14"/>
  <c r="L921" i="14"/>
  <c r="L913" i="14"/>
  <c r="L905" i="14"/>
  <c r="L897" i="14"/>
  <c r="L889" i="14"/>
  <c r="L881" i="14"/>
  <c r="L873" i="14"/>
  <c r="L857" i="14"/>
  <c r="L849" i="14"/>
  <c r="L841" i="14"/>
  <c r="L833" i="14"/>
  <c r="L825" i="14"/>
  <c r="L817" i="14"/>
  <c r="L809" i="14"/>
  <c r="L793" i="14"/>
  <c r="L785" i="14"/>
  <c r="L777" i="14"/>
  <c r="L769" i="14"/>
  <c r="L761" i="14"/>
  <c r="L753" i="14"/>
  <c r="L745" i="14"/>
  <c r="L729" i="14"/>
  <c r="L721" i="14"/>
  <c r="L713" i="14"/>
  <c r="L705" i="14"/>
  <c r="L697" i="14"/>
  <c r="L689" i="14"/>
  <c r="L681" i="14"/>
  <c r="L665" i="14"/>
  <c r="L657" i="14"/>
  <c r="L649" i="14"/>
  <c r="L641" i="14"/>
  <c r="L633" i="14"/>
  <c r="L625" i="14"/>
  <c r="L617" i="14"/>
  <c r="L601" i="14"/>
  <c r="L593" i="14"/>
  <c r="L585" i="14"/>
  <c r="L577" i="14"/>
  <c r="L569" i="14"/>
  <c r="L561" i="14"/>
  <c r="L553" i="14"/>
  <c r="L537" i="14"/>
  <c r="L529" i="14"/>
  <c r="L521" i="14"/>
  <c r="L513" i="14"/>
  <c r="L505" i="14"/>
  <c r="L497" i="14"/>
  <c r="L489" i="14"/>
  <c r="L473" i="14"/>
  <c r="L465" i="14"/>
  <c r="L457" i="14"/>
  <c r="L449" i="14"/>
  <c r="L441" i="14"/>
  <c r="L433" i="14"/>
  <c r="L425" i="14"/>
  <c r="L409" i="14"/>
  <c r="L401" i="14"/>
  <c r="L393" i="14"/>
  <c r="L385" i="14"/>
  <c r="L377" i="14"/>
  <c r="L369" i="14"/>
  <c r="L361" i="14"/>
  <c r="L345" i="14"/>
  <c r="L337" i="14"/>
  <c r="L329" i="14"/>
  <c r="L321" i="14"/>
  <c r="L313" i="14"/>
  <c r="L305" i="14"/>
  <c r="L297" i="14"/>
  <c r="L281" i="14"/>
  <c r="L273" i="14"/>
  <c r="L265" i="14"/>
  <c r="L257" i="14"/>
  <c r="L249" i="14"/>
  <c r="L241" i="14"/>
  <c r="L233" i="14"/>
  <c r="L217" i="14"/>
  <c r="L209" i="14"/>
  <c r="L201" i="14"/>
  <c r="L193" i="14"/>
  <c r="L185" i="14"/>
  <c r="L177" i="14"/>
  <c r="L169" i="14"/>
  <c r="L153" i="14"/>
  <c r="L145" i="14"/>
  <c r="L137" i="14"/>
  <c r="L129" i="14"/>
  <c r="L121" i="14"/>
  <c r="L113" i="14"/>
  <c r="L105" i="14"/>
  <c r="L89" i="14"/>
  <c r="L81" i="14"/>
  <c r="L73" i="14"/>
  <c r="L65" i="14"/>
  <c r="L16" i="14"/>
  <c r="L24" i="14"/>
  <c r="L32" i="14"/>
  <c r="L40" i="14"/>
  <c r="L56" i="14"/>
  <c r="L64" i="14"/>
  <c r="L72" i="14"/>
  <c r="L80" i="14"/>
  <c r="L88" i="14"/>
  <c r="L96" i="14"/>
  <c r="L104" i="14"/>
  <c r="L120" i="14"/>
  <c r="L128" i="14"/>
  <c r="L136" i="14"/>
  <c r="L144" i="14"/>
  <c r="L152" i="14"/>
  <c r="L160" i="14"/>
  <c r="L168" i="14"/>
  <c r="L184" i="14"/>
  <c r="L192" i="14"/>
  <c r="L200" i="14"/>
  <c r="L208" i="14"/>
  <c r="L216" i="14"/>
  <c r="L224" i="14"/>
  <c r="L232" i="14"/>
  <c r="L248" i="14"/>
  <c r="L256" i="14"/>
  <c r="L264" i="14"/>
  <c r="L272" i="14"/>
  <c r="L280" i="14"/>
  <c r="L288" i="14"/>
  <c r="L296" i="14"/>
  <c r="L312" i="14"/>
  <c r="L320" i="14"/>
  <c r="L328" i="14"/>
  <c r="L336" i="14"/>
  <c r="L344" i="14"/>
  <c r="L352" i="14"/>
  <c r="L360" i="14"/>
  <c r="L376" i="14"/>
  <c r="L384" i="14"/>
  <c r="L392" i="14"/>
  <c r="L400" i="14"/>
  <c r="L408" i="14"/>
  <c r="L416" i="14"/>
  <c r="L424" i="14"/>
  <c r="L440" i="14"/>
  <c r="L448" i="14"/>
  <c r="L456" i="14"/>
  <c r="L464" i="14"/>
  <c r="L472" i="14"/>
  <c r="L480" i="14"/>
  <c r="L488" i="14"/>
  <c r="L504" i="14"/>
  <c r="L512" i="14"/>
  <c r="L520" i="14"/>
  <c r="L528" i="14"/>
  <c r="L536" i="14"/>
  <c r="L544" i="14"/>
  <c r="L552" i="14"/>
  <c r="L568" i="14"/>
  <c r="L576" i="14"/>
  <c r="L584" i="14"/>
  <c r="L592" i="14"/>
  <c r="L600" i="14"/>
  <c r="L608" i="14"/>
  <c r="L616" i="14"/>
  <c r="L632" i="14"/>
  <c r="L640" i="14"/>
  <c r="L648" i="14"/>
  <c r="L656" i="14"/>
  <c r="L664" i="14"/>
  <c r="L672" i="14"/>
  <c r="L680" i="14"/>
  <c r="L696" i="14"/>
  <c r="L704" i="14"/>
  <c r="L712" i="14"/>
  <c r="L720" i="14"/>
  <c r="L728" i="14"/>
  <c r="L736" i="14"/>
  <c r="L744" i="14"/>
  <c r="L760" i="14"/>
  <c r="L768" i="14"/>
  <c r="L776" i="14"/>
  <c r="L784" i="14"/>
  <c r="L792" i="14"/>
  <c r="L800" i="14"/>
  <c r="L808" i="14"/>
  <c r="L824" i="14"/>
  <c r="L832" i="14"/>
  <c r="L856" i="14"/>
  <c r="L904" i="14"/>
  <c r="L968" i="14"/>
  <c r="L976" i="14"/>
  <c r="M48" i="14"/>
  <c r="M112" i="14"/>
  <c r="M176" i="14"/>
  <c r="M240" i="14"/>
  <c r="M304" i="14"/>
  <c r="M368" i="14"/>
  <c r="M432" i="14"/>
  <c r="M496" i="14"/>
  <c r="M560" i="14"/>
  <c r="M624" i="14"/>
  <c r="M688" i="14"/>
  <c r="M921" i="14"/>
  <c r="M929" i="14"/>
  <c r="M937" i="14"/>
  <c r="M945" i="14"/>
  <c r="M952" i="14"/>
  <c r="M953" i="14"/>
  <c r="M961" i="14"/>
  <c r="M969" i="14"/>
  <c r="M977" i="14"/>
  <c r="M985" i="14"/>
  <c r="M993" i="14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L71" i="11" s="1"/>
  <c r="N71" i="11" s="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L103" i="11" s="1"/>
  <c r="N103" i="11" s="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L167" i="11" s="1"/>
  <c r="N167" i="11" s="1"/>
  <c r="J168" i="11"/>
  <c r="J169" i="11"/>
  <c r="J170" i="11"/>
  <c r="J171" i="11"/>
  <c r="J172" i="11"/>
  <c r="J173" i="11"/>
  <c r="J174" i="11"/>
  <c r="J175" i="11"/>
  <c r="J176" i="11"/>
  <c r="J177" i="11"/>
  <c r="J178" i="11"/>
  <c r="J179" i="11"/>
  <c r="J180" i="11"/>
  <c r="J181" i="11"/>
  <c r="J182" i="11"/>
  <c r="J183" i="11"/>
  <c r="J184" i="11"/>
  <c r="J185" i="11"/>
  <c r="J186" i="11"/>
  <c r="J187" i="11"/>
  <c r="J188" i="11"/>
  <c r="J189" i="11"/>
  <c r="J190" i="11"/>
  <c r="J191" i="11"/>
  <c r="J192" i="11"/>
  <c r="J193" i="11"/>
  <c r="J194" i="11"/>
  <c r="J195" i="11"/>
  <c r="J196" i="11"/>
  <c r="J197" i="11"/>
  <c r="J198" i="11"/>
  <c r="J199" i="11"/>
  <c r="L199" i="11" s="1"/>
  <c r="N199" i="11" s="1"/>
  <c r="J200" i="11"/>
  <c r="J201" i="11"/>
  <c r="J202" i="11"/>
  <c r="J203" i="11"/>
  <c r="J204" i="11"/>
  <c r="J205" i="11"/>
  <c r="J206" i="11"/>
  <c r="J207" i="11"/>
  <c r="J208" i="11"/>
  <c r="J209" i="11"/>
  <c r="J210" i="11"/>
  <c r="J211" i="11"/>
  <c r="J212" i="11"/>
  <c r="J213" i="11"/>
  <c r="J214" i="11"/>
  <c r="J215" i="11"/>
  <c r="J216" i="11"/>
  <c r="J217" i="11"/>
  <c r="J218" i="11"/>
  <c r="J219" i="11"/>
  <c r="J220" i="11"/>
  <c r="J221" i="11"/>
  <c r="J222" i="11"/>
  <c r="J223" i="11"/>
  <c r="J224" i="11"/>
  <c r="J225" i="11"/>
  <c r="J226" i="11"/>
  <c r="J227" i="11"/>
  <c r="J228" i="11"/>
  <c r="J229" i="11"/>
  <c r="J230" i="11"/>
  <c r="J231" i="11"/>
  <c r="L231" i="11" s="1"/>
  <c r="N231" i="11" s="1"/>
  <c r="J232" i="11"/>
  <c r="J233" i="11"/>
  <c r="J234" i="11"/>
  <c r="J235" i="11"/>
  <c r="J236" i="11"/>
  <c r="J237" i="11"/>
  <c r="J238" i="11"/>
  <c r="J239" i="11"/>
  <c r="J240" i="11"/>
  <c r="J241" i="11"/>
  <c r="J242" i="11"/>
  <c r="J243" i="11"/>
  <c r="J244" i="11"/>
  <c r="J245" i="11"/>
  <c r="J246" i="11"/>
  <c r="J247" i="11"/>
  <c r="J248" i="11"/>
  <c r="J249" i="11"/>
  <c r="J250" i="11"/>
  <c r="J251" i="11"/>
  <c r="J252" i="11"/>
  <c r="J253" i="11"/>
  <c r="J254" i="11"/>
  <c r="J255" i="11"/>
  <c r="J256" i="11"/>
  <c r="J257" i="11"/>
  <c r="J258" i="11"/>
  <c r="J259" i="11"/>
  <c r="J260" i="11"/>
  <c r="J261" i="11"/>
  <c r="J262" i="11"/>
  <c r="J263" i="11"/>
  <c r="L263" i="11" s="1"/>
  <c r="N263" i="11" s="1"/>
  <c r="J264" i="11"/>
  <c r="J265" i="11"/>
  <c r="J266" i="11"/>
  <c r="J267" i="11"/>
  <c r="J268" i="11"/>
  <c r="J269" i="11"/>
  <c r="J270" i="11"/>
  <c r="J271" i="11"/>
  <c r="J272" i="11"/>
  <c r="J273" i="11"/>
  <c r="J274" i="11"/>
  <c r="J275" i="11"/>
  <c r="J276" i="11"/>
  <c r="J277" i="11"/>
  <c r="J278" i="11"/>
  <c r="J279" i="11"/>
  <c r="J280" i="11"/>
  <c r="J281" i="11"/>
  <c r="J282" i="11"/>
  <c r="J283" i="11"/>
  <c r="J284" i="11"/>
  <c r="J285" i="11"/>
  <c r="J286" i="11"/>
  <c r="J287" i="11"/>
  <c r="J288" i="11"/>
  <c r="J289" i="11"/>
  <c r="J290" i="11"/>
  <c r="J291" i="11"/>
  <c r="J292" i="11"/>
  <c r="J293" i="11"/>
  <c r="J294" i="11"/>
  <c r="J295" i="11"/>
  <c r="L295" i="11" s="1"/>
  <c r="N295" i="11" s="1"/>
  <c r="J296" i="11"/>
  <c r="J297" i="11"/>
  <c r="J298" i="11"/>
  <c r="J299" i="11"/>
  <c r="J300" i="11"/>
  <c r="J301" i="11"/>
  <c r="J302" i="11"/>
  <c r="J303" i="11"/>
  <c r="J304" i="11"/>
  <c r="J305" i="11"/>
  <c r="J306" i="11"/>
  <c r="J307" i="11"/>
  <c r="J308" i="11"/>
  <c r="J309" i="11"/>
  <c r="J310" i="11"/>
  <c r="J311" i="11"/>
  <c r="J312" i="11"/>
  <c r="J313" i="11"/>
  <c r="J314" i="11"/>
  <c r="J315" i="11"/>
  <c r="J316" i="11"/>
  <c r="J317" i="11"/>
  <c r="J318" i="11"/>
  <c r="J319" i="11"/>
  <c r="J320" i="11"/>
  <c r="J321" i="11"/>
  <c r="J322" i="11"/>
  <c r="J323" i="11"/>
  <c r="J324" i="11"/>
  <c r="J325" i="11"/>
  <c r="J326" i="11"/>
  <c r="J327" i="11"/>
  <c r="L327" i="11" s="1"/>
  <c r="N327" i="11" s="1"/>
  <c r="J328" i="11"/>
  <c r="J329" i="11"/>
  <c r="J330" i="11"/>
  <c r="J331" i="11"/>
  <c r="J332" i="11"/>
  <c r="J333" i="11"/>
  <c r="J334" i="11"/>
  <c r="J335" i="11"/>
  <c r="J336" i="11"/>
  <c r="J337" i="11"/>
  <c r="J338" i="11"/>
  <c r="J339" i="11"/>
  <c r="J340" i="11"/>
  <c r="J341" i="11"/>
  <c r="J342" i="11"/>
  <c r="J343" i="11"/>
  <c r="J344" i="11"/>
  <c r="J345" i="11"/>
  <c r="J346" i="11"/>
  <c r="J347" i="11"/>
  <c r="J348" i="11"/>
  <c r="J349" i="11"/>
  <c r="J350" i="11"/>
  <c r="J351" i="11"/>
  <c r="J352" i="11"/>
  <c r="J353" i="11"/>
  <c r="J354" i="11"/>
  <c r="J355" i="11"/>
  <c r="J356" i="11"/>
  <c r="J357" i="11"/>
  <c r="J358" i="11"/>
  <c r="J359" i="11"/>
  <c r="L359" i="11" s="1"/>
  <c r="N359" i="11" s="1"/>
  <c r="J360" i="11"/>
  <c r="J361" i="11"/>
  <c r="J362" i="11"/>
  <c r="J363" i="11"/>
  <c r="J364" i="11"/>
  <c r="J365" i="11"/>
  <c r="J366" i="11"/>
  <c r="J367" i="11"/>
  <c r="J368" i="11"/>
  <c r="J369" i="11"/>
  <c r="J370" i="11"/>
  <c r="J371" i="11"/>
  <c r="J372" i="11"/>
  <c r="J373" i="11"/>
  <c r="J374" i="11"/>
  <c r="J375" i="11"/>
  <c r="J376" i="11"/>
  <c r="J377" i="11"/>
  <c r="J378" i="11"/>
  <c r="J379" i="11"/>
  <c r="J380" i="11"/>
  <c r="J381" i="11"/>
  <c r="J382" i="11"/>
  <c r="J383" i="11"/>
  <c r="J384" i="11"/>
  <c r="J385" i="11"/>
  <c r="J386" i="11"/>
  <c r="J387" i="11"/>
  <c r="J388" i="11"/>
  <c r="J389" i="11"/>
  <c r="J390" i="11"/>
  <c r="J391" i="11"/>
  <c r="J392" i="11"/>
  <c r="J393" i="11"/>
  <c r="J394" i="11"/>
  <c r="J395" i="11"/>
  <c r="J396" i="11"/>
  <c r="J397" i="11"/>
  <c r="J398" i="11"/>
  <c r="J399" i="11"/>
  <c r="J400" i="11"/>
  <c r="J401" i="11"/>
  <c r="J402" i="11"/>
  <c r="J403" i="11"/>
  <c r="J404" i="11"/>
  <c r="J405" i="11"/>
  <c r="J406" i="11"/>
  <c r="J407" i="11"/>
  <c r="J408" i="11"/>
  <c r="J409" i="11"/>
  <c r="J410" i="11"/>
  <c r="J411" i="11"/>
  <c r="J412" i="11"/>
  <c r="J413" i="11"/>
  <c r="J414" i="11"/>
  <c r="J415" i="11"/>
  <c r="J416" i="11"/>
  <c r="J417" i="11"/>
  <c r="J418" i="11"/>
  <c r="J419" i="11"/>
  <c r="J420" i="11"/>
  <c r="J421" i="11"/>
  <c r="J422" i="11"/>
  <c r="J423" i="11"/>
  <c r="L423" i="11" s="1"/>
  <c r="N423" i="11" s="1"/>
  <c r="J424" i="11"/>
  <c r="J425" i="11"/>
  <c r="J426" i="11"/>
  <c r="J427" i="11"/>
  <c r="J428" i="11"/>
  <c r="J429" i="11"/>
  <c r="J430" i="11"/>
  <c r="J431" i="11"/>
  <c r="J432" i="11"/>
  <c r="J433" i="11"/>
  <c r="J434" i="11"/>
  <c r="J435" i="11"/>
  <c r="J436" i="11"/>
  <c r="J437" i="11"/>
  <c r="J438" i="11"/>
  <c r="J439" i="11"/>
  <c r="J440" i="11"/>
  <c r="J441" i="11"/>
  <c r="J442" i="11"/>
  <c r="J443" i="11"/>
  <c r="J444" i="11"/>
  <c r="J445" i="11"/>
  <c r="J446" i="11"/>
  <c r="J447" i="11"/>
  <c r="J448" i="11"/>
  <c r="J449" i="11"/>
  <c r="J450" i="11"/>
  <c r="J451" i="11"/>
  <c r="J452" i="11"/>
  <c r="J453" i="11"/>
  <c r="J454" i="11"/>
  <c r="J455" i="11"/>
  <c r="L455" i="11" s="1"/>
  <c r="N455" i="11" s="1"/>
  <c r="J456" i="11"/>
  <c r="J457" i="11"/>
  <c r="J458" i="11"/>
  <c r="J459" i="11"/>
  <c r="J460" i="11"/>
  <c r="J461" i="11"/>
  <c r="J462" i="11"/>
  <c r="J463" i="11"/>
  <c r="J464" i="11"/>
  <c r="J465" i="11"/>
  <c r="J466" i="11"/>
  <c r="J467" i="11"/>
  <c r="J468" i="11"/>
  <c r="J469" i="11"/>
  <c r="J470" i="11"/>
  <c r="J471" i="11"/>
  <c r="J472" i="11"/>
  <c r="J473" i="11"/>
  <c r="J474" i="11"/>
  <c r="J475" i="11"/>
  <c r="J476" i="11"/>
  <c r="J477" i="11"/>
  <c r="J478" i="11"/>
  <c r="J479" i="11"/>
  <c r="J480" i="11"/>
  <c r="J481" i="11"/>
  <c r="J482" i="11"/>
  <c r="J483" i="11"/>
  <c r="J484" i="11"/>
  <c r="J485" i="11"/>
  <c r="J486" i="11"/>
  <c r="J487" i="11"/>
  <c r="L487" i="11" s="1"/>
  <c r="N487" i="11" s="1"/>
  <c r="J488" i="11"/>
  <c r="J489" i="11"/>
  <c r="J490" i="11"/>
  <c r="J491" i="11"/>
  <c r="J492" i="11"/>
  <c r="J493" i="11"/>
  <c r="J494" i="11"/>
  <c r="J495" i="11"/>
  <c r="J496" i="11"/>
  <c r="J497" i="11"/>
  <c r="J498" i="11"/>
  <c r="J499" i="11"/>
  <c r="J500" i="11"/>
  <c r="J501" i="11"/>
  <c r="J502" i="11"/>
  <c r="J503" i="11"/>
  <c r="J504" i="11"/>
  <c r="J505" i="11"/>
  <c r="J506" i="11"/>
  <c r="J507" i="11"/>
  <c r="J508" i="11"/>
  <c r="J509" i="11"/>
  <c r="J510" i="11"/>
  <c r="J511" i="11"/>
  <c r="J512" i="11"/>
  <c r="J513" i="11"/>
  <c r="J514" i="11"/>
  <c r="J515" i="11"/>
  <c r="J516" i="11"/>
  <c r="J517" i="11"/>
  <c r="J518" i="11"/>
  <c r="J519" i="11"/>
  <c r="L519" i="11" s="1"/>
  <c r="N519" i="11" s="1"/>
  <c r="J520" i="11"/>
  <c r="J521" i="11"/>
  <c r="J522" i="11"/>
  <c r="J523" i="11"/>
  <c r="J524" i="11"/>
  <c r="J525" i="11"/>
  <c r="J526" i="11"/>
  <c r="J527" i="11"/>
  <c r="J528" i="11"/>
  <c r="J529" i="11"/>
  <c r="J530" i="11"/>
  <c r="J531" i="11"/>
  <c r="J532" i="11"/>
  <c r="J533" i="11"/>
  <c r="J534" i="11"/>
  <c r="J535" i="11"/>
  <c r="J536" i="11"/>
  <c r="J537" i="11"/>
  <c r="J538" i="11"/>
  <c r="J539" i="11"/>
  <c r="J540" i="11"/>
  <c r="J541" i="11"/>
  <c r="J542" i="11"/>
  <c r="J543" i="11"/>
  <c r="J544" i="11"/>
  <c r="J545" i="11"/>
  <c r="J546" i="11"/>
  <c r="J547" i="11"/>
  <c r="J548" i="11"/>
  <c r="J549" i="11"/>
  <c r="J550" i="11"/>
  <c r="J551" i="11"/>
  <c r="L551" i="11" s="1"/>
  <c r="N551" i="11" s="1"/>
  <c r="J552" i="11"/>
  <c r="J553" i="11"/>
  <c r="J554" i="11"/>
  <c r="J555" i="11"/>
  <c r="J556" i="11"/>
  <c r="J557" i="11"/>
  <c r="J558" i="11"/>
  <c r="J559" i="11"/>
  <c r="J560" i="11"/>
  <c r="J561" i="11"/>
  <c r="J562" i="11"/>
  <c r="J563" i="11"/>
  <c r="J564" i="11"/>
  <c r="J565" i="11"/>
  <c r="J566" i="11"/>
  <c r="J567" i="11"/>
  <c r="J568" i="11"/>
  <c r="J569" i="11"/>
  <c r="J570" i="11"/>
  <c r="J571" i="11"/>
  <c r="J572" i="11"/>
  <c r="J573" i="11"/>
  <c r="J574" i="11"/>
  <c r="J575" i="11"/>
  <c r="J576" i="11"/>
  <c r="J577" i="11"/>
  <c r="J578" i="11"/>
  <c r="J579" i="11"/>
  <c r="J580" i="11"/>
  <c r="J581" i="11"/>
  <c r="J582" i="11"/>
  <c r="J583" i="11"/>
  <c r="L583" i="11" s="1"/>
  <c r="N583" i="11" s="1"/>
  <c r="J584" i="11"/>
  <c r="J585" i="11"/>
  <c r="J586" i="11"/>
  <c r="J587" i="11"/>
  <c r="J588" i="11"/>
  <c r="J589" i="11"/>
  <c r="J590" i="11"/>
  <c r="J591" i="11"/>
  <c r="J592" i="11"/>
  <c r="J593" i="11"/>
  <c r="J594" i="11"/>
  <c r="J595" i="11"/>
  <c r="J596" i="11"/>
  <c r="J597" i="11"/>
  <c r="J598" i="11"/>
  <c r="J599" i="11"/>
  <c r="J600" i="11"/>
  <c r="J601" i="11"/>
  <c r="J602" i="11"/>
  <c r="J603" i="11"/>
  <c r="J604" i="11"/>
  <c r="J605" i="11"/>
  <c r="J606" i="11"/>
  <c r="J607" i="11"/>
  <c r="J608" i="11"/>
  <c r="J609" i="11"/>
  <c r="J610" i="11"/>
  <c r="J611" i="11"/>
  <c r="J612" i="11"/>
  <c r="J613" i="11"/>
  <c r="J614" i="11"/>
  <c r="J615" i="11"/>
  <c r="L615" i="11" s="1"/>
  <c r="N615" i="11" s="1"/>
  <c r="J616" i="11"/>
  <c r="J617" i="11"/>
  <c r="J618" i="11"/>
  <c r="J619" i="11"/>
  <c r="J620" i="11"/>
  <c r="J621" i="11"/>
  <c r="J622" i="11"/>
  <c r="J623" i="11"/>
  <c r="J624" i="11"/>
  <c r="J625" i="11"/>
  <c r="J626" i="11"/>
  <c r="J627" i="11"/>
  <c r="J628" i="11"/>
  <c r="J629" i="11"/>
  <c r="J630" i="11"/>
  <c r="J631" i="11"/>
  <c r="J632" i="11"/>
  <c r="J633" i="11"/>
  <c r="J634" i="11"/>
  <c r="J635" i="11"/>
  <c r="J636" i="11"/>
  <c r="J637" i="11"/>
  <c r="J638" i="11"/>
  <c r="J639" i="11"/>
  <c r="J640" i="11"/>
  <c r="J641" i="11"/>
  <c r="J642" i="11"/>
  <c r="J643" i="11"/>
  <c r="J644" i="11"/>
  <c r="J645" i="11"/>
  <c r="J646" i="11"/>
  <c r="J647" i="11"/>
  <c r="J648" i="11"/>
  <c r="J649" i="11"/>
  <c r="J650" i="11"/>
  <c r="J651" i="11"/>
  <c r="J652" i="11"/>
  <c r="J653" i="11"/>
  <c r="J654" i="11"/>
  <c r="J655" i="11"/>
  <c r="J656" i="11"/>
  <c r="J657" i="11"/>
  <c r="J658" i="11"/>
  <c r="J659" i="11"/>
  <c r="J660" i="11"/>
  <c r="J661" i="11"/>
  <c r="J662" i="11"/>
  <c r="J663" i="11"/>
  <c r="J664" i="11"/>
  <c r="J665" i="11"/>
  <c r="J666" i="11"/>
  <c r="J667" i="11"/>
  <c r="J668" i="11"/>
  <c r="J669" i="11"/>
  <c r="J670" i="11"/>
  <c r="J671" i="11"/>
  <c r="J672" i="11"/>
  <c r="J673" i="11"/>
  <c r="J674" i="11"/>
  <c r="J675" i="11"/>
  <c r="J676" i="11"/>
  <c r="J677" i="11"/>
  <c r="J678" i="11"/>
  <c r="J679" i="11"/>
  <c r="L679" i="11" s="1"/>
  <c r="N679" i="11" s="1"/>
  <c r="J680" i="11"/>
  <c r="J681" i="11"/>
  <c r="J682" i="11"/>
  <c r="J683" i="11"/>
  <c r="J684" i="11"/>
  <c r="J685" i="11"/>
  <c r="J686" i="11"/>
  <c r="J687" i="11"/>
  <c r="J688" i="11"/>
  <c r="J689" i="11"/>
  <c r="J690" i="11"/>
  <c r="J691" i="11"/>
  <c r="J692" i="11"/>
  <c r="J693" i="11"/>
  <c r="J694" i="11"/>
  <c r="J695" i="11"/>
  <c r="J696" i="11"/>
  <c r="J697" i="11"/>
  <c r="J698" i="11"/>
  <c r="J699" i="11"/>
  <c r="J700" i="11"/>
  <c r="J701" i="11"/>
  <c r="J702" i="11"/>
  <c r="J703" i="11"/>
  <c r="J704" i="11"/>
  <c r="J705" i="11"/>
  <c r="J706" i="11"/>
  <c r="J707" i="11"/>
  <c r="J708" i="11"/>
  <c r="J709" i="11"/>
  <c r="J710" i="11"/>
  <c r="J711" i="11"/>
  <c r="L711" i="11" s="1"/>
  <c r="N711" i="11" s="1"/>
  <c r="J712" i="11"/>
  <c r="J713" i="11"/>
  <c r="J714" i="11"/>
  <c r="J715" i="11"/>
  <c r="J716" i="11"/>
  <c r="J717" i="11"/>
  <c r="J718" i="11"/>
  <c r="J719" i="11"/>
  <c r="J720" i="11"/>
  <c r="J721" i="11"/>
  <c r="J722" i="11"/>
  <c r="J723" i="11"/>
  <c r="J724" i="11"/>
  <c r="J725" i="11"/>
  <c r="J726" i="11"/>
  <c r="J727" i="11"/>
  <c r="J728" i="11"/>
  <c r="J729" i="11"/>
  <c r="J730" i="11"/>
  <c r="J731" i="11"/>
  <c r="J732" i="11"/>
  <c r="J733" i="11"/>
  <c r="J734" i="11"/>
  <c r="J735" i="11"/>
  <c r="J736" i="11"/>
  <c r="J737" i="11"/>
  <c r="J738" i="11"/>
  <c r="J739" i="11"/>
  <c r="J740" i="11"/>
  <c r="J741" i="11"/>
  <c r="J742" i="11"/>
  <c r="J743" i="11"/>
  <c r="L743" i="11" s="1"/>
  <c r="N743" i="11" s="1"/>
  <c r="J744" i="11"/>
  <c r="J745" i="11"/>
  <c r="J746" i="11"/>
  <c r="J747" i="11"/>
  <c r="J748" i="11"/>
  <c r="J749" i="11"/>
  <c r="J750" i="11"/>
  <c r="J751" i="11"/>
  <c r="J752" i="11"/>
  <c r="J753" i="11"/>
  <c r="J754" i="11"/>
  <c r="J755" i="11"/>
  <c r="J756" i="11"/>
  <c r="J757" i="11"/>
  <c r="J758" i="11"/>
  <c r="J759" i="11"/>
  <c r="J760" i="11"/>
  <c r="J761" i="11"/>
  <c r="J762" i="11"/>
  <c r="J763" i="11"/>
  <c r="J764" i="11"/>
  <c r="J765" i="11"/>
  <c r="J766" i="11"/>
  <c r="J767" i="11"/>
  <c r="J768" i="11"/>
  <c r="J769" i="11"/>
  <c r="J770" i="11"/>
  <c r="J771" i="11"/>
  <c r="J772" i="11"/>
  <c r="J773" i="11"/>
  <c r="J774" i="11"/>
  <c r="J775" i="11"/>
  <c r="L775" i="11" s="1"/>
  <c r="N775" i="11" s="1"/>
  <c r="J776" i="11"/>
  <c r="J777" i="11"/>
  <c r="J778" i="11"/>
  <c r="J779" i="11"/>
  <c r="J780" i="11"/>
  <c r="J781" i="11"/>
  <c r="J782" i="11"/>
  <c r="J783" i="11"/>
  <c r="J784" i="11"/>
  <c r="J785" i="11"/>
  <c r="J786" i="11"/>
  <c r="J787" i="11"/>
  <c r="J788" i="11"/>
  <c r="J789" i="11"/>
  <c r="J790" i="11"/>
  <c r="J791" i="11"/>
  <c r="J792" i="11"/>
  <c r="J793" i="11"/>
  <c r="J794" i="11"/>
  <c r="J795" i="11"/>
  <c r="J796" i="11"/>
  <c r="J797" i="11"/>
  <c r="J798" i="11"/>
  <c r="J799" i="11"/>
  <c r="J800" i="11"/>
  <c r="J801" i="11"/>
  <c r="J802" i="11"/>
  <c r="J803" i="11"/>
  <c r="J804" i="11"/>
  <c r="J805" i="11"/>
  <c r="J806" i="11"/>
  <c r="J807" i="11"/>
  <c r="L807" i="11" s="1"/>
  <c r="N807" i="11" s="1"/>
  <c r="J808" i="11"/>
  <c r="J809" i="11"/>
  <c r="J810" i="11"/>
  <c r="J811" i="11"/>
  <c r="J812" i="11"/>
  <c r="J813" i="11"/>
  <c r="J814" i="11"/>
  <c r="J815" i="11"/>
  <c r="J816" i="11"/>
  <c r="J817" i="11"/>
  <c r="J818" i="11"/>
  <c r="J819" i="11"/>
  <c r="J820" i="11"/>
  <c r="J821" i="11"/>
  <c r="J822" i="11"/>
  <c r="J823" i="11"/>
  <c r="J824" i="11"/>
  <c r="J825" i="11"/>
  <c r="J826" i="11"/>
  <c r="J827" i="11"/>
  <c r="J828" i="11"/>
  <c r="J829" i="11"/>
  <c r="J830" i="11"/>
  <c r="J831" i="11"/>
  <c r="J832" i="11"/>
  <c r="J833" i="11"/>
  <c r="J834" i="11"/>
  <c r="J835" i="11"/>
  <c r="J836" i="11"/>
  <c r="J837" i="11"/>
  <c r="J838" i="11"/>
  <c r="J839" i="11"/>
  <c r="L839" i="11" s="1"/>
  <c r="N839" i="11" s="1"/>
  <c r="J840" i="11"/>
  <c r="J841" i="11"/>
  <c r="J842" i="11"/>
  <c r="J843" i="11"/>
  <c r="J844" i="11"/>
  <c r="J845" i="11"/>
  <c r="J846" i="11"/>
  <c r="J847" i="11"/>
  <c r="J848" i="11"/>
  <c r="J849" i="11"/>
  <c r="J850" i="11"/>
  <c r="J851" i="11"/>
  <c r="J852" i="11"/>
  <c r="J853" i="11"/>
  <c r="J854" i="11"/>
  <c r="J855" i="11"/>
  <c r="J856" i="11"/>
  <c r="J857" i="11"/>
  <c r="J858" i="11"/>
  <c r="J859" i="11"/>
  <c r="J860" i="11"/>
  <c r="J861" i="11"/>
  <c r="J862" i="11"/>
  <c r="J863" i="11"/>
  <c r="J864" i="11"/>
  <c r="J865" i="11"/>
  <c r="J866" i="11"/>
  <c r="J867" i="11"/>
  <c r="J868" i="11"/>
  <c r="J869" i="11"/>
  <c r="J870" i="11"/>
  <c r="J871" i="11"/>
  <c r="L871" i="11" s="1"/>
  <c r="N871" i="11" s="1"/>
  <c r="J872" i="11"/>
  <c r="J873" i="11"/>
  <c r="J874" i="11"/>
  <c r="J875" i="11"/>
  <c r="J876" i="11"/>
  <c r="J877" i="11"/>
  <c r="J878" i="11"/>
  <c r="J879" i="11"/>
  <c r="J880" i="11"/>
  <c r="J881" i="11"/>
  <c r="J882" i="11"/>
  <c r="J883" i="11"/>
  <c r="J884" i="11"/>
  <c r="J885" i="11"/>
  <c r="J886" i="11"/>
  <c r="J887" i="11"/>
  <c r="J888" i="11"/>
  <c r="J889" i="11"/>
  <c r="J890" i="11"/>
  <c r="J891" i="11"/>
  <c r="J892" i="11"/>
  <c r="J893" i="11"/>
  <c r="J894" i="11"/>
  <c r="J895" i="11"/>
  <c r="J896" i="11"/>
  <c r="J897" i="11"/>
  <c r="J898" i="11"/>
  <c r="J899" i="11"/>
  <c r="J900" i="11"/>
  <c r="J901" i="11"/>
  <c r="J902" i="11"/>
  <c r="J903" i="11"/>
  <c r="J904" i="11"/>
  <c r="J905" i="11"/>
  <c r="J906" i="11"/>
  <c r="J907" i="11"/>
  <c r="J908" i="11"/>
  <c r="J909" i="11"/>
  <c r="J910" i="11"/>
  <c r="J911" i="11"/>
  <c r="J912" i="11"/>
  <c r="J913" i="11"/>
  <c r="J914" i="11"/>
  <c r="J915" i="11"/>
  <c r="J916" i="11"/>
  <c r="J917" i="11"/>
  <c r="J918" i="11"/>
  <c r="J919" i="11"/>
  <c r="J920" i="11"/>
  <c r="J921" i="11"/>
  <c r="J922" i="11"/>
  <c r="J923" i="11"/>
  <c r="J924" i="11"/>
  <c r="J925" i="11"/>
  <c r="J926" i="11"/>
  <c r="J927" i="11"/>
  <c r="J928" i="11"/>
  <c r="J929" i="11"/>
  <c r="J930" i="11"/>
  <c r="J931" i="11"/>
  <c r="J932" i="11"/>
  <c r="J933" i="11"/>
  <c r="J934" i="11"/>
  <c r="J935" i="11"/>
  <c r="L935" i="11" s="1"/>
  <c r="N935" i="11" s="1"/>
  <c r="J936" i="11"/>
  <c r="J937" i="11"/>
  <c r="J938" i="11"/>
  <c r="J939" i="11"/>
  <c r="J940" i="11"/>
  <c r="J941" i="11"/>
  <c r="J942" i="11"/>
  <c r="J943" i="11"/>
  <c r="J944" i="11"/>
  <c r="J945" i="11"/>
  <c r="J946" i="11"/>
  <c r="J947" i="11"/>
  <c r="J948" i="11"/>
  <c r="J949" i="11"/>
  <c r="J950" i="11"/>
  <c r="J951" i="11"/>
  <c r="J952" i="11"/>
  <c r="J953" i="11"/>
  <c r="J954" i="11"/>
  <c r="J955" i="11"/>
  <c r="J956" i="11"/>
  <c r="J957" i="11"/>
  <c r="J958" i="11"/>
  <c r="J959" i="11"/>
  <c r="J960" i="11"/>
  <c r="J961" i="11"/>
  <c r="J962" i="11"/>
  <c r="J963" i="11"/>
  <c r="J964" i="11"/>
  <c r="J965" i="11"/>
  <c r="J966" i="11"/>
  <c r="J967" i="11"/>
  <c r="L967" i="11" s="1"/>
  <c r="N967" i="11" s="1"/>
  <c r="J968" i="11"/>
  <c r="J969" i="11"/>
  <c r="J970" i="11"/>
  <c r="J971" i="11"/>
  <c r="J972" i="11"/>
  <c r="J973" i="11"/>
  <c r="J974" i="11"/>
  <c r="J975" i="11"/>
  <c r="J976" i="11"/>
  <c r="J977" i="11"/>
  <c r="J978" i="11"/>
  <c r="J979" i="11"/>
  <c r="J980" i="11"/>
  <c r="J981" i="11"/>
  <c r="J982" i="11"/>
  <c r="J983" i="11"/>
  <c r="J984" i="11"/>
  <c r="J985" i="11"/>
  <c r="J986" i="11"/>
  <c r="J987" i="11"/>
  <c r="J988" i="11"/>
  <c r="J989" i="11"/>
  <c r="J990" i="11"/>
  <c r="J991" i="11"/>
  <c r="J992" i="11"/>
  <c r="J993" i="11"/>
  <c r="J994" i="11"/>
  <c r="J995" i="11"/>
  <c r="J996" i="11"/>
  <c r="J997" i="11"/>
  <c r="J998" i="11"/>
  <c r="J999" i="11"/>
  <c r="L999" i="11" s="1"/>
  <c r="N999" i="11" s="1"/>
  <c r="J1000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45" i="11"/>
  <c r="K246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K267" i="11"/>
  <c r="K268" i="11"/>
  <c r="K269" i="11"/>
  <c r="K270" i="11"/>
  <c r="K271" i="11"/>
  <c r="K272" i="11"/>
  <c r="K273" i="11"/>
  <c r="K274" i="11"/>
  <c r="K275" i="11"/>
  <c r="K276" i="11"/>
  <c r="K277" i="11"/>
  <c r="K278" i="11"/>
  <c r="K279" i="11"/>
  <c r="K280" i="11"/>
  <c r="K281" i="11"/>
  <c r="K282" i="11"/>
  <c r="K283" i="11"/>
  <c r="K284" i="11"/>
  <c r="K285" i="11"/>
  <c r="K286" i="11"/>
  <c r="K287" i="11"/>
  <c r="K288" i="11"/>
  <c r="K289" i="11"/>
  <c r="K290" i="11"/>
  <c r="K291" i="11"/>
  <c r="K292" i="11"/>
  <c r="K293" i="11"/>
  <c r="K294" i="11"/>
  <c r="K295" i="11"/>
  <c r="K296" i="11"/>
  <c r="K297" i="11"/>
  <c r="K298" i="11"/>
  <c r="K299" i="11"/>
  <c r="K300" i="11"/>
  <c r="K301" i="11"/>
  <c r="K302" i="11"/>
  <c r="K303" i="11"/>
  <c r="K304" i="11"/>
  <c r="K305" i="11"/>
  <c r="K306" i="11"/>
  <c r="K307" i="11"/>
  <c r="K308" i="11"/>
  <c r="K309" i="11"/>
  <c r="K310" i="11"/>
  <c r="K311" i="11"/>
  <c r="K312" i="11"/>
  <c r="K313" i="11"/>
  <c r="K314" i="11"/>
  <c r="K315" i="11"/>
  <c r="K316" i="11"/>
  <c r="K317" i="11"/>
  <c r="K318" i="11"/>
  <c r="K319" i="11"/>
  <c r="K320" i="11"/>
  <c r="K321" i="11"/>
  <c r="K322" i="11"/>
  <c r="K323" i="11"/>
  <c r="K324" i="11"/>
  <c r="K325" i="11"/>
  <c r="K326" i="11"/>
  <c r="K327" i="11"/>
  <c r="K328" i="11"/>
  <c r="K329" i="11"/>
  <c r="K330" i="11"/>
  <c r="K331" i="11"/>
  <c r="K332" i="11"/>
  <c r="K333" i="11"/>
  <c r="K334" i="11"/>
  <c r="K335" i="11"/>
  <c r="K336" i="11"/>
  <c r="K337" i="11"/>
  <c r="K338" i="11"/>
  <c r="K339" i="11"/>
  <c r="K340" i="11"/>
  <c r="K341" i="11"/>
  <c r="K342" i="11"/>
  <c r="K343" i="11"/>
  <c r="K344" i="11"/>
  <c r="K345" i="11"/>
  <c r="K346" i="11"/>
  <c r="K347" i="11"/>
  <c r="K348" i="11"/>
  <c r="K349" i="11"/>
  <c r="K350" i="11"/>
  <c r="K351" i="11"/>
  <c r="K352" i="11"/>
  <c r="K353" i="11"/>
  <c r="K354" i="11"/>
  <c r="K355" i="11"/>
  <c r="K356" i="11"/>
  <c r="K357" i="11"/>
  <c r="K358" i="11"/>
  <c r="K359" i="11"/>
  <c r="K360" i="11"/>
  <c r="K361" i="11"/>
  <c r="K362" i="11"/>
  <c r="K363" i="11"/>
  <c r="K364" i="11"/>
  <c r="K365" i="11"/>
  <c r="K366" i="11"/>
  <c r="K367" i="11"/>
  <c r="K368" i="11"/>
  <c r="K369" i="11"/>
  <c r="K370" i="11"/>
  <c r="K371" i="11"/>
  <c r="K372" i="11"/>
  <c r="K373" i="11"/>
  <c r="K374" i="11"/>
  <c r="K375" i="11"/>
  <c r="K376" i="11"/>
  <c r="K377" i="11"/>
  <c r="K378" i="11"/>
  <c r="K379" i="11"/>
  <c r="K380" i="11"/>
  <c r="K381" i="11"/>
  <c r="K382" i="11"/>
  <c r="K383" i="11"/>
  <c r="K384" i="11"/>
  <c r="K385" i="11"/>
  <c r="K386" i="11"/>
  <c r="K387" i="11"/>
  <c r="K388" i="11"/>
  <c r="K389" i="11"/>
  <c r="K390" i="11"/>
  <c r="K391" i="11"/>
  <c r="K392" i="11"/>
  <c r="K393" i="11"/>
  <c r="K394" i="11"/>
  <c r="K395" i="11"/>
  <c r="K396" i="11"/>
  <c r="K397" i="11"/>
  <c r="K398" i="11"/>
  <c r="K399" i="11"/>
  <c r="K400" i="11"/>
  <c r="K401" i="11"/>
  <c r="K402" i="11"/>
  <c r="K403" i="11"/>
  <c r="K404" i="11"/>
  <c r="K405" i="11"/>
  <c r="K406" i="11"/>
  <c r="K407" i="11"/>
  <c r="K408" i="11"/>
  <c r="K409" i="11"/>
  <c r="K410" i="11"/>
  <c r="K411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84" i="11"/>
  <c r="K485" i="11"/>
  <c r="K486" i="11"/>
  <c r="K487" i="11"/>
  <c r="K488" i="11"/>
  <c r="L488" i="11" s="1"/>
  <c r="N488" i="11" s="1"/>
  <c r="K489" i="11"/>
  <c r="K490" i="11"/>
  <c r="K491" i="11"/>
  <c r="K492" i="11"/>
  <c r="K493" i="11"/>
  <c r="K494" i="11"/>
  <c r="K495" i="11"/>
  <c r="K496" i="11"/>
  <c r="K497" i="11"/>
  <c r="K498" i="11"/>
  <c r="K499" i="11"/>
  <c r="K500" i="11"/>
  <c r="K501" i="11"/>
  <c r="K502" i="11"/>
  <c r="K503" i="11"/>
  <c r="K504" i="11"/>
  <c r="K505" i="11"/>
  <c r="K506" i="11"/>
  <c r="K507" i="11"/>
  <c r="K508" i="11"/>
  <c r="K509" i="11"/>
  <c r="K510" i="11"/>
  <c r="K511" i="11"/>
  <c r="K512" i="11"/>
  <c r="K513" i="11"/>
  <c r="K514" i="11"/>
  <c r="K515" i="11"/>
  <c r="K516" i="11"/>
  <c r="K517" i="11"/>
  <c r="K518" i="11"/>
  <c r="K519" i="11"/>
  <c r="K520" i="11"/>
  <c r="K521" i="11"/>
  <c r="K522" i="11"/>
  <c r="K523" i="11"/>
  <c r="K524" i="11"/>
  <c r="K525" i="11"/>
  <c r="K526" i="11"/>
  <c r="K527" i="11"/>
  <c r="K528" i="11"/>
  <c r="K529" i="11"/>
  <c r="K530" i="11"/>
  <c r="K531" i="11"/>
  <c r="K532" i="11"/>
  <c r="K533" i="11"/>
  <c r="K534" i="11"/>
  <c r="K535" i="11"/>
  <c r="K536" i="11"/>
  <c r="K537" i="11"/>
  <c r="K538" i="11"/>
  <c r="K539" i="11"/>
  <c r="K540" i="11"/>
  <c r="K541" i="11"/>
  <c r="K542" i="11"/>
  <c r="K543" i="11"/>
  <c r="K544" i="11"/>
  <c r="K545" i="11"/>
  <c r="K546" i="11"/>
  <c r="K547" i="11"/>
  <c r="K548" i="11"/>
  <c r="K549" i="11"/>
  <c r="K550" i="11"/>
  <c r="K551" i="11"/>
  <c r="K552" i="11"/>
  <c r="K553" i="11"/>
  <c r="K554" i="11"/>
  <c r="K555" i="11"/>
  <c r="K556" i="11"/>
  <c r="K557" i="11"/>
  <c r="K558" i="11"/>
  <c r="K559" i="11"/>
  <c r="K560" i="11"/>
  <c r="K561" i="11"/>
  <c r="K562" i="11"/>
  <c r="K563" i="11"/>
  <c r="K564" i="11"/>
  <c r="K565" i="11"/>
  <c r="K566" i="11"/>
  <c r="K567" i="11"/>
  <c r="K568" i="11"/>
  <c r="K569" i="11"/>
  <c r="K570" i="11"/>
  <c r="K571" i="11"/>
  <c r="K572" i="11"/>
  <c r="K573" i="11"/>
  <c r="K574" i="11"/>
  <c r="K575" i="11"/>
  <c r="K576" i="11"/>
  <c r="K577" i="11"/>
  <c r="K578" i="11"/>
  <c r="K579" i="11"/>
  <c r="K580" i="11"/>
  <c r="K581" i="11"/>
  <c r="K582" i="11"/>
  <c r="K583" i="11"/>
  <c r="K584" i="11"/>
  <c r="K585" i="11"/>
  <c r="K586" i="11"/>
  <c r="K587" i="11"/>
  <c r="K588" i="11"/>
  <c r="K589" i="11"/>
  <c r="K590" i="11"/>
  <c r="K591" i="11"/>
  <c r="K592" i="11"/>
  <c r="K593" i="11"/>
  <c r="K594" i="11"/>
  <c r="K595" i="11"/>
  <c r="K596" i="11"/>
  <c r="K597" i="11"/>
  <c r="K598" i="11"/>
  <c r="K599" i="11"/>
  <c r="K600" i="11"/>
  <c r="K601" i="11"/>
  <c r="K602" i="11"/>
  <c r="K603" i="11"/>
  <c r="K604" i="11"/>
  <c r="K605" i="11"/>
  <c r="K606" i="11"/>
  <c r="K607" i="11"/>
  <c r="K608" i="11"/>
  <c r="K609" i="11"/>
  <c r="K610" i="11"/>
  <c r="K611" i="11"/>
  <c r="K612" i="11"/>
  <c r="K613" i="11"/>
  <c r="K614" i="11"/>
  <c r="K615" i="11"/>
  <c r="K616" i="11"/>
  <c r="L616" i="11" s="1"/>
  <c r="N616" i="11" s="1"/>
  <c r="K617" i="11"/>
  <c r="K618" i="11"/>
  <c r="K619" i="11"/>
  <c r="K620" i="11"/>
  <c r="K621" i="11"/>
  <c r="K622" i="11"/>
  <c r="K623" i="11"/>
  <c r="K624" i="11"/>
  <c r="K625" i="11"/>
  <c r="K626" i="11"/>
  <c r="K627" i="11"/>
  <c r="K628" i="11"/>
  <c r="K629" i="11"/>
  <c r="K630" i="11"/>
  <c r="K631" i="11"/>
  <c r="K632" i="11"/>
  <c r="K633" i="11"/>
  <c r="K634" i="11"/>
  <c r="K635" i="11"/>
  <c r="K636" i="11"/>
  <c r="K637" i="11"/>
  <c r="K638" i="11"/>
  <c r="K639" i="11"/>
  <c r="K640" i="11"/>
  <c r="K641" i="11"/>
  <c r="K642" i="11"/>
  <c r="K643" i="11"/>
  <c r="K644" i="11"/>
  <c r="K645" i="11"/>
  <c r="K646" i="11"/>
  <c r="K647" i="11"/>
  <c r="K648" i="11"/>
  <c r="K649" i="11"/>
  <c r="K650" i="11"/>
  <c r="K651" i="11"/>
  <c r="K652" i="11"/>
  <c r="K653" i="11"/>
  <c r="K654" i="11"/>
  <c r="K655" i="11"/>
  <c r="K656" i="11"/>
  <c r="L656" i="11" s="1"/>
  <c r="N656" i="11" s="1"/>
  <c r="K657" i="11"/>
  <c r="K658" i="11"/>
  <c r="K659" i="11"/>
  <c r="K660" i="11"/>
  <c r="K661" i="11"/>
  <c r="K662" i="11"/>
  <c r="K663" i="11"/>
  <c r="K664" i="11"/>
  <c r="K665" i="11"/>
  <c r="K666" i="11"/>
  <c r="K667" i="11"/>
  <c r="K668" i="11"/>
  <c r="K669" i="11"/>
  <c r="K670" i="11"/>
  <c r="K671" i="11"/>
  <c r="K672" i="11"/>
  <c r="K673" i="11"/>
  <c r="K674" i="11"/>
  <c r="K675" i="11"/>
  <c r="K676" i="11"/>
  <c r="K677" i="11"/>
  <c r="K678" i="11"/>
  <c r="K679" i="11"/>
  <c r="K680" i="11"/>
  <c r="K681" i="11"/>
  <c r="K682" i="11"/>
  <c r="K683" i="11"/>
  <c r="K684" i="11"/>
  <c r="K685" i="11"/>
  <c r="K686" i="11"/>
  <c r="K687" i="11"/>
  <c r="K688" i="11"/>
  <c r="K689" i="11"/>
  <c r="K690" i="11"/>
  <c r="K691" i="11"/>
  <c r="K692" i="11"/>
  <c r="K693" i="11"/>
  <c r="K694" i="11"/>
  <c r="K695" i="11"/>
  <c r="K696" i="11"/>
  <c r="K697" i="11"/>
  <c r="K698" i="11"/>
  <c r="K699" i="11"/>
  <c r="K700" i="11"/>
  <c r="K701" i="11"/>
  <c r="K702" i="11"/>
  <c r="K703" i="11"/>
  <c r="K704" i="11"/>
  <c r="K705" i="11"/>
  <c r="K706" i="11"/>
  <c r="K707" i="11"/>
  <c r="K708" i="11"/>
  <c r="K709" i="11"/>
  <c r="K710" i="11"/>
  <c r="K711" i="11"/>
  <c r="K712" i="11"/>
  <c r="K713" i="11"/>
  <c r="K714" i="11"/>
  <c r="K715" i="11"/>
  <c r="K716" i="11"/>
  <c r="K717" i="11"/>
  <c r="K718" i="11"/>
  <c r="K719" i="11"/>
  <c r="K720" i="11"/>
  <c r="K721" i="11"/>
  <c r="K722" i="11"/>
  <c r="K723" i="11"/>
  <c r="K724" i="11"/>
  <c r="K725" i="11"/>
  <c r="K726" i="11"/>
  <c r="K727" i="11"/>
  <c r="K728" i="11"/>
  <c r="K729" i="11"/>
  <c r="K730" i="11"/>
  <c r="K731" i="11"/>
  <c r="K732" i="11"/>
  <c r="K733" i="11"/>
  <c r="K734" i="11"/>
  <c r="K735" i="11"/>
  <c r="K736" i="11"/>
  <c r="K737" i="11"/>
  <c r="K738" i="11"/>
  <c r="K739" i="11"/>
  <c r="K740" i="11"/>
  <c r="K741" i="11"/>
  <c r="K742" i="11"/>
  <c r="K743" i="11"/>
  <c r="K744" i="11"/>
  <c r="K745" i="11"/>
  <c r="K746" i="11"/>
  <c r="K747" i="11"/>
  <c r="K748" i="11"/>
  <c r="K749" i="11"/>
  <c r="K750" i="11"/>
  <c r="K751" i="11"/>
  <c r="K752" i="11"/>
  <c r="K753" i="11"/>
  <c r="K754" i="11"/>
  <c r="K755" i="11"/>
  <c r="K756" i="11"/>
  <c r="K757" i="11"/>
  <c r="K758" i="11"/>
  <c r="K759" i="11"/>
  <c r="K760" i="11"/>
  <c r="K761" i="11"/>
  <c r="K762" i="11"/>
  <c r="K763" i="11"/>
  <c r="K764" i="11"/>
  <c r="K765" i="11"/>
  <c r="K766" i="11"/>
  <c r="K767" i="11"/>
  <c r="K768" i="11"/>
  <c r="K769" i="11"/>
  <c r="K770" i="11"/>
  <c r="K771" i="11"/>
  <c r="K772" i="11"/>
  <c r="K773" i="11"/>
  <c r="K774" i="11"/>
  <c r="K775" i="11"/>
  <c r="K776" i="11"/>
  <c r="K777" i="11"/>
  <c r="K778" i="11"/>
  <c r="K779" i="11"/>
  <c r="K780" i="11"/>
  <c r="K781" i="11"/>
  <c r="K782" i="11"/>
  <c r="K783" i="11"/>
  <c r="K784" i="11"/>
  <c r="K785" i="11"/>
  <c r="K786" i="11"/>
  <c r="K787" i="11"/>
  <c r="K788" i="11"/>
  <c r="K789" i="11"/>
  <c r="K790" i="11"/>
  <c r="K791" i="11"/>
  <c r="K792" i="11"/>
  <c r="K793" i="11"/>
  <c r="K794" i="11"/>
  <c r="K795" i="11"/>
  <c r="K796" i="11"/>
  <c r="K797" i="11"/>
  <c r="K798" i="11"/>
  <c r="K799" i="11"/>
  <c r="K800" i="11"/>
  <c r="K801" i="11"/>
  <c r="K802" i="11"/>
  <c r="K803" i="11"/>
  <c r="K804" i="11"/>
  <c r="K805" i="11"/>
  <c r="K806" i="11"/>
  <c r="K807" i="11"/>
  <c r="K808" i="11"/>
  <c r="K809" i="11"/>
  <c r="K810" i="11"/>
  <c r="K811" i="11"/>
  <c r="K812" i="11"/>
  <c r="K813" i="11"/>
  <c r="K814" i="11"/>
  <c r="K815" i="11"/>
  <c r="K816" i="11"/>
  <c r="K817" i="11"/>
  <c r="K818" i="11"/>
  <c r="K819" i="11"/>
  <c r="K820" i="11"/>
  <c r="K821" i="11"/>
  <c r="K822" i="11"/>
  <c r="K823" i="11"/>
  <c r="K824" i="11"/>
  <c r="K825" i="11"/>
  <c r="K826" i="11"/>
  <c r="K827" i="11"/>
  <c r="K828" i="11"/>
  <c r="K829" i="11"/>
  <c r="K830" i="11"/>
  <c r="K831" i="11"/>
  <c r="K832" i="11"/>
  <c r="K833" i="11"/>
  <c r="K834" i="11"/>
  <c r="K835" i="11"/>
  <c r="K836" i="11"/>
  <c r="K837" i="11"/>
  <c r="K838" i="11"/>
  <c r="K839" i="11"/>
  <c r="K840" i="11"/>
  <c r="K841" i="11"/>
  <c r="K842" i="11"/>
  <c r="K843" i="11"/>
  <c r="K844" i="11"/>
  <c r="K845" i="11"/>
  <c r="K846" i="11"/>
  <c r="K847" i="11"/>
  <c r="K848" i="11"/>
  <c r="K849" i="11"/>
  <c r="K850" i="11"/>
  <c r="K851" i="11"/>
  <c r="K852" i="11"/>
  <c r="K853" i="11"/>
  <c r="K854" i="11"/>
  <c r="K855" i="11"/>
  <c r="K856" i="11"/>
  <c r="K857" i="11"/>
  <c r="K858" i="11"/>
  <c r="K859" i="11"/>
  <c r="K860" i="11"/>
  <c r="K861" i="11"/>
  <c r="K862" i="11"/>
  <c r="K863" i="11"/>
  <c r="K864" i="11"/>
  <c r="K865" i="11"/>
  <c r="K866" i="11"/>
  <c r="K867" i="11"/>
  <c r="K868" i="11"/>
  <c r="K869" i="11"/>
  <c r="K870" i="11"/>
  <c r="K871" i="11"/>
  <c r="K872" i="11"/>
  <c r="L872" i="11" s="1"/>
  <c r="N872" i="11" s="1"/>
  <c r="K873" i="11"/>
  <c r="K874" i="11"/>
  <c r="K875" i="11"/>
  <c r="K876" i="11"/>
  <c r="K877" i="11"/>
  <c r="K878" i="11"/>
  <c r="K879" i="11"/>
  <c r="K880" i="11"/>
  <c r="K881" i="11"/>
  <c r="K882" i="11"/>
  <c r="K883" i="11"/>
  <c r="K884" i="11"/>
  <c r="K885" i="11"/>
  <c r="K886" i="11"/>
  <c r="K887" i="11"/>
  <c r="K888" i="11"/>
  <c r="K889" i="11"/>
  <c r="K890" i="11"/>
  <c r="K891" i="11"/>
  <c r="K892" i="11"/>
  <c r="K893" i="11"/>
  <c r="K894" i="11"/>
  <c r="K895" i="11"/>
  <c r="K896" i="11"/>
  <c r="K897" i="11"/>
  <c r="K898" i="11"/>
  <c r="K899" i="11"/>
  <c r="K900" i="11"/>
  <c r="K901" i="11"/>
  <c r="K902" i="11"/>
  <c r="K903" i="11"/>
  <c r="K904" i="11"/>
  <c r="K905" i="11"/>
  <c r="K906" i="11"/>
  <c r="K907" i="11"/>
  <c r="K908" i="11"/>
  <c r="K909" i="11"/>
  <c r="K910" i="11"/>
  <c r="L910" i="11" s="1"/>
  <c r="N910" i="11" s="1"/>
  <c r="K911" i="11"/>
  <c r="K912" i="11"/>
  <c r="K913" i="11"/>
  <c r="K914" i="11"/>
  <c r="K915" i="11"/>
  <c r="K916" i="11"/>
  <c r="K917" i="11"/>
  <c r="K918" i="11"/>
  <c r="K919" i="11"/>
  <c r="K920" i="11"/>
  <c r="K921" i="11"/>
  <c r="K922" i="11"/>
  <c r="K923" i="11"/>
  <c r="K924" i="11"/>
  <c r="K925" i="11"/>
  <c r="K926" i="11"/>
  <c r="K927" i="11"/>
  <c r="K928" i="11"/>
  <c r="K929" i="11"/>
  <c r="K930" i="11"/>
  <c r="K931" i="11"/>
  <c r="K932" i="11"/>
  <c r="K933" i="11"/>
  <c r="K934" i="11"/>
  <c r="K935" i="11"/>
  <c r="K936" i="11"/>
  <c r="L936" i="11" s="1"/>
  <c r="N936" i="11" s="1"/>
  <c r="K937" i="11"/>
  <c r="K938" i="11"/>
  <c r="K939" i="11"/>
  <c r="K940" i="11"/>
  <c r="K941" i="11"/>
  <c r="K942" i="11"/>
  <c r="K943" i="11"/>
  <c r="K944" i="11"/>
  <c r="K945" i="11"/>
  <c r="K946" i="11"/>
  <c r="K947" i="11"/>
  <c r="K948" i="11"/>
  <c r="K949" i="11"/>
  <c r="K950" i="11"/>
  <c r="K951" i="11"/>
  <c r="K952" i="11"/>
  <c r="K953" i="11"/>
  <c r="K954" i="11"/>
  <c r="K955" i="11"/>
  <c r="K956" i="11"/>
  <c r="K957" i="11"/>
  <c r="K958" i="11"/>
  <c r="K959" i="11"/>
  <c r="K960" i="11"/>
  <c r="K961" i="11"/>
  <c r="K962" i="11"/>
  <c r="K963" i="11"/>
  <c r="K964" i="11"/>
  <c r="K965" i="11"/>
  <c r="K966" i="11"/>
  <c r="K967" i="11"/>
  <c r="K968" i="11"/>
  <c r="K969" i="11"/>
  <c r="K970" i="11"/>
  <c r="K971" i="11"/>
  <c r="K972" i="11"/>
  <c r="K973" i="11"/>
  <c r="K974" i="11"/>
  <c r="K975" i="11"/>
  <c r="K976" i="11"/>
  <c r="K977" i="11"/>
  <c r="K978" i="11"/>
  <c r="K979" i="11"/>
  <c r="K980" i="11"/>
  <c r="K981" i="11"/>
  <c r="K982" i="11"/>
  <c r="K983" i="11"/>
  <c r="K984" i="11"/>
  <c r="K985" i="11"/>
  <c r="K986" i="11"/>
  <c r="K987" i="11"/>
  <c r="K988" i="11"/>
  <c r="K989" i="11"/>
  <c r="K990" i="11"/>
  <c r="K991" i="11"/>
  <c r="K992" i="11"/>
  <c r="K993" i="11"/>
  <c r="K994" i="11"/>
  <c r="K995" i="11"/>
  <c r="K996" i="11"/>
  <c r="K997" i="11"/>
  <c r="K998" i="11"/>
  <c r="K999" i="11"/>
  <c r="K1000" i="11"/>
  <c r="L1000" i="11" s="1"/>
  <c r="N1000" i="11" s="1"/>
  <c r="L62" i="11"/>
  <c r="N62" i="11" s="1"/>
  <c r="L70" i="11"/>
  <c r="N70" i="11" s="1"/>
  <c r="L78" i="11"/>
  <c r="N78" i="11" s="1"/>
  <c r="L86" i="11"/>
  <c r="N86" i="11" s="1"/>
  <c r="L94" i="11"/>
  <c r="N94" i="11" s="1"/>
  <c r="L110" i="11"/>
  <c r="N110" i="11" s="1"/>
  <c r="L118" i="11"/>
  <c r="N118" i="11" s="1"/>
  <c r="L126" i="11"/>
  <c r="N126" i="11" s="1"/>
  <c r="L134" i="11"/>
  <c r="N134" i="11" s="1"/>
  <c r="L142" i="11"/>
  <c r="N142" i="11" s="1"/>
  <c r="L150" i="11"/>
  <c r="N150" i="11" s="1"/>
  <c r="L158" i="11"/>
  <c r="N158" i="11" s="1"/>
  <c r="L174" i="11"/>
  <c r="N174" i="11" s="1"/>
  <c r="L182" i="11"/>
  <c r="N182" i="11" s="1"/>
  <c r="L190" i="11"/>
  <c r="N190" i="11" s="1"/>
  <c r="L198" i="11"/>
  <c r="N198" i="11" s="1"/>
  <c r="L206" i="11"/>
  <c r="N206" i="11" s="1"/>
  <c r="L214" i="11"/>
  <c r="N214" i="11" s="1"/>
  <c r="L222" i="11"/>
  <c r="N222" i="11" s="1"/>
  <c r="L238" i="11"/>
  <c r="N238" i="11" s="1"/>
  <c r="L246" i="11"/>
  <c r="N246" i="11" s="1"/>
  <c r="L254" i="11"/>
  <c r="N254" i="11" s="1"/>
  <c r="L262" i="11"/>
  <c r="N262" i="11" s="1"/>
  <c r="L270" i="11"/>
  <c r="N270" i="11" s="1"/>
  <c r="L278" i="11"/>
  <c r="N278" i="11" s="1"/>
  <c r="L286" i="11"/>
  <c r="N286" i="11" s="1"/>
  <c r="L326" i="11"/>
  <c r="N326" i="11" s="1"/>
  <c r="L366" i="11"/>
  <c r="N366" i="11" s="1"/>
  <c r="L398" i="11"/>
  <c r="N398" i="11" s="1"/>
  <c r="L438" i="11"/>
  <c r="N438" i="11" s="1"/>
  <c r="L470" i="11"/>
  <c r="N470" i="11" s="1"/>
  <c r="L542" i="11"/>
  <c r="N542" i="11" s="1"/>
  <c r="L622" i="11"/>
  <c r="N622" i="11" s="1"/>
  <c r="L694" i="11"/>
  <c r="N694" i="11" s="1"/>
  <c r="L766" i="11"/>
  <c r="N766" i="11" s="1"/>
  <c r="L838" i="11"/>
  <c r="N838" i="11" s="1"/>
  <c r="L982" i="11"/>
  <c r="N982" i="11" s="1"/>
  <c r="L40" i="11"/>
  <c r="N40" i="11" s="1"/>
  <c r="L48" i="11"/>
  <c r="N48" i="11" s="1"/>
  <c r="L56" i="11"/>
  <c r="N56" i="11" s="1"/>
  <c r="L120" i="11"/>
  <c r="N120" i="11" s="1"/>
  <c r="L376" i="11"/>
  <c r="N376" i="11" s="1"/>
  <c r="L528" i="11"/>
  <c r="N528" i="11" s="1"/>
  <c r="L744" i="11"/>
  <c r="N744" i="11" s="1"/>
  <c r="L808" i="11"/>
  <c r="N808" i="11" s="1"/>
  <c r="L48" i="14"/>
  <c r="L112" i="14"/>
  <c r="L176" i="14"/>
  <c r="L240" i="14"/>
  <c r="L304" i="14"/>
  <c r="L368" i="14"/>
  <c r="L432" i="14"/>
  <c r="L496" i="14"/>
  <c r="L560" i="14"/>
  <c r="L624" i="14"/>
  <c r="L688" i="14"/>
  <c r="L752" i="14"/>
  <c r="L816" i="14"/>
  <c r="L880" i="14"/>
  <c r="L944" i="14"/>
  <c r="I1000" i="16"/>
  <c r="M1000" i="16" s="1"/>
  <c r="I999" i="16"/>
  <c r="M999" i="16" s="1"/>
  <c r="I998" i="16"/>
  <c r="M998" i="16" s="1"/>
  <c r="I997" i="16"/>
  <c r="M997" i="16" s="1"/>
  <c r="I996" i="16"/>
  <c r="M996" i="16" s="1"/>
  <c r="I995" i="16"/>
  <c r="M995" i="16" s="1"/>
  <c r="I994" i="16"/>
  <c r="M994" i="16" s="1"/>
  <c r="I993" i="16"/>
  <c r="M993" i="16" s="1"/>
  <c r="I992" i="16"/>
  <c r="M992" i="16" s="1"/>
  <c r="I991" i="16"/>
  <c r="M991" i="16" s="1"/>
  <c r="I990" i="16"/>
  <c r="M990" i="16" s="1"/>
  <c r="I989" i="16"/>
  <c r="M989" i="16" s="1"/>
  <c r="I988" i="16"/>
  <c r="M988" i="16" s="1"/>
  <c r="I987" i="16"/>
  <c r="M987" i="16" s="1"/>
  <c r="I986" i="16"/>
  <c r="M986" i="16" s="1"/>
  <c r="I985" i="16"/>
  <c r="M985" i="16" s="1"/>
  <c r="I984" i="16"/>
  <c r="M984" i="16" s="1"/>
  <c r="I983" i="16"/>
  <c r="M983" i="16" s="1"/>
  <c r="I982" i="16"/>
  <c r="M982" i="16" s="1"/>
  <c r="I981" i="16"/>
  <c r="M981" i="16" s="1"/>
  <c r="I980" i="16"/>
  <c r="M980" i="16" s="1"/>
  <c r="I979" i="16"/>
  <c r="M979" i="16" s="1"/>
  <c r="I978" i="16"/>
  <c r="M978" i="16" s="1"/>
  <c r="I977" i="16"/>
  <c r="M977" i="16" s="1"/>
  <c r="I976" i="16"/>
  <c r="M976" i="16" s="1"/>
  <c r="I975" i="16"/>
  <c r="M975" i="16" s="1"/>
  <c r="I974" i="16"/>
  <c r="M974" i="16" s="1"/>
  <c r="I973" i="16"/>
  <c r="M973" i="16" s="1"/>
  <c r="I972" i="16"/>
  <c r="M972" i="16" s="1"/>
  <c r="I971" i="16"/>
  <c r="M971" i="16" s="1"/>
  <c r="I970" i="16"/>
  <c r="M970" i="16" s="1"/>
  <c r="I969" i="16"/>
  <c r="M969" i="16" s="1"/>
  <c r="I968" i="16"/>
  <c r="M968" i="16" s="1"/>
  <c r="I967" i="16"/>
  <c r="M967" i="16" s="1"/>
  <c r="I966" i="16"/>
  <c r="M966" i="16" s="1"/>
  <c r="I965" i="16"/>
  <c r="M965" i="16" s="1"/>
  <c r="I964" i="16"/>
  <c r="M964" i="16" s="1"/>
  <c r="I963" i="16"/>
  <c r="M963" i="16" s="1"/>
  <c r="I962" i="16"/>
  <c r="M962" i="16" s="1"/>
  <c r="I961" i="16"/>
  <c r="M961" i="16" s="1"/>
  <c r="I960" i="16"/>
  <c r="M960" i="16" s="1"/>
  <c r="I959" i="16"/>
  <c r="M959" i="16" s="1"/>
  <c r="I958" i="16"/>
  <c r="M958" i="16" s="1"/>
  <c r="I957" i="16"/>
  <c r="M957" i="16" s="1"/>
  <c r="I956" i="16"/>
  <c r="M956" i="16" s="1"/>
  <c r="I955" i="16"/>
  <c r="M955" i="16" s="1"/>
  <c r="I954" i="16"/>
  <c r="M954" i="16" s="1"/>
  <c r="I953" i="16"/>
  <c r="M953" i="16" s="1"/>
  <c r="I952" i="16"/>
  <c r="M952" i="16" s="1"/>
  <c r="I951" i="16"/>
  <c r="M951" i="16" s="1"/>
  <c r="I950" i="16"/>
  <c r="M950" i="16" s="1"/>
  <c r="I949" i="16"/>
  <c r="M949" i="16" s="1"/>
  <c r="I948" i="16"/>
  <c r="M948" i="16" s="1"/>
  <c r="I947" i="16"/>
  <c r="M947" i="16" s="1"/>
  <c r="I946" i="16"/>
  <c r="M946" i="16" s="1"/>
  <c r="I945" i="16"/>
  <c r="M945" i="16" s="1"/>
  <c r="I944" i="16"/>
  <c r="M944" i="16" s="1"/>
  <c r="I943" i="16"/>
  <c r="M943" i="16" s="1"/>
  <c r="I942" i="16"/>
  <c r="M942" i="16" s="1"/>
  <c r="I941" i="16"/>
  <c r="M941" i="16" s="1"/>
  <c r="I940" i="16"/>
  <c r="M940" i="16" s="1"/>
  <c r="I939" i="16"/>
  <c r="M939" i="16" s="1"/>
  <c r="I938" i="16"/>
  <c r="M938" i="16" s="1"/>
  <c r="I937" i="16"/>
  <c r="M937" i="16" s="1"/>
  <c r="I936" i="16"/>
  <c r="M936" i="16" s="1"/>
  <c r="I935" i="16"/>
  <c r="M935" i="16" s="1"/>
  <c r="I934" i="16"/>
  <c r="M934" i="16" s="1"/>
  <c r="I933" i="16"/>
  <c r="M933" i="16" s="1"/>
  <c r="I932" i="16"/>
  <c r="M932" i="16" s="1"/>
  <c r="I931" i="16"/>
  <c r="M931" i="16" s="1"/>
  <c r="I930" i="16"/>
  <c r="M930" i="16" s="1"/>
  <c r="I929" i="16"/>
  <c r="M929" i="16" s="1"/>
  <c r="I928" i="16"/>
  <c r="M928" i="16" s="1"/>
  <c r="I927" i="16"/>
  <c r="M927" i="16" s="1"/>
  <c r="I926" i="16"/>
  <c r="M926" i="16" s="1"/>
  <c r="I925" i="16"/>
  <c r="M925" i="16" s="1"/>
  <c r="I924" i="16"/>
  <c r="M924" i="16" s="1"/>
  <c r="I923" i="16"/>
  <c r="M923" i="16" s="1"/>
  <c r="I922" i="16"/>
  <c r="M922" i="16" s="1"/>
  <c r="I921" i="16"/>
  <c r="M921" i="16" s="1"/>
  <c r="I920" i="16"/>
  <c r="M920" i="16" s="1"/>
  <c r="I919" i="16"/>
  <c r="M919" i="16" s="1"/>
  <c r="I918" i="16"/>
  <c r="M918" i="16" s="1"/>
  <c r="I917" i="16"/>
  <c r="M917" i="16" s="1"/>
  <c r="I916" i="16"/>
  <c r="M916" i="16" s="1"/>
  <c r="I915" i="16"/>
  <c r="M915" i="16" s="1"/>
  <c r="I914" i="16"/>
  <c r="M914" i="16" s="1"/>
  <c r="I913" i="16"/>
  <c r="M913" i="16" s="1"/>
  <c r="I912" i="16"/>
  <c r="M912" i="16" s="1"/>
  <c r="I911" i="16"/>
  <c r="M911" i="16" s="1"/>
  <c r="I910" i="16"/>
  <c r="M910" i="16" s="1"/>
  <c r="I909" i="16"/>
  <c r="M909" i="16" s="1"/>
  <c r="I908" i="16"/>
  <c r="M908" i="16" s="1"/>
  <c r="I907" i="16"/>
  <c r="M907" i="16" s="1"/>
  <c r="I906" i="16"/>
  <c r="M906" i="16" s="1"/>
  <c r="I905" i="16"/>
  <c r="M905" i="16" s="1"/>
  <c r="I904" i="16"/>
  <c r="M904" i="16" s="1"/>
  <c r="I903" i="16"/>
  <c r="M903" i="16" s="1"/>
  <c r="I902" i="16"/>
  <c r="M902" i="16" s="1"/>
  <c r="I901" i="16"/>
  <c r="M901" i="16" s="1"/>
  <c r="I900" i="16"/>
  <c r="M900" i="16" s="1"/>
  <c r="I899" i="16"/>
  <c r="M899" i="16" s="1"/>
  <c r="I898" i="16"/>
  <c r="M898" i="16" s="1"/>
  <c r="I897" i="16"/>
  <c r="M897" i="16" s="1"/>
  <c r="I896" i="16"/>
  <c r="M896" i="16" s="1"/>
  <c r="I895" i="16"/>
  <c r="M895" i="16" s="1"/>
  <c r="I894" i="16"/>
  <c r="M894" i="16" s="1"/>
  <c r="I893" i="16"/>
  <c r="M893" i="16" s="1"/>
  <c r="I892" i="16"/>
  <c r="M892" i="16" s="1"/>
  <c r="I891" i="16"/>
  <c r="M891" i="16" s="1"/>
  <c r="I890" i="16"/>
  <c r="M890" i="16" s="1"/>
  <c r="I889" i="16"/>
  <c r="M889" i="16" s="1"/>
  <c r="I888" i="16"/>
  <c r="M888" i="16" s="1"/>
  <c r="I887" i="16"/>
  <c r="M887" i="16" s="1"/>
  <c r="I886" i="16"/>
  <c r="M886" i="16" s="1"/>
  <c r="I885" i="16"/>
  <c r="M885" i="16" s="1"/>
  <c r="I884" i="16"/>
  <c r="M884" i="16" s="1"/>
  <c r="I883" i="16"/>
  <c r="M883" i="16" s="1"/>
  <c r="I882" i="16"/>
  <c r="M882" i="16" s="1"/>
  <c r="I881" i="16"/>
  <c r="M881" i="16" s="1"/>
  <c r="I880" i="16"/>
  <c r="M880" i="16" s="1"/>
  <c r="I879" i="16"/>
  <c r="M879" i="16" s="1"/>
  <c r="I878" i="16"/>
  <c r="M878" i="16" s="1"/>
  <c r="I877" i="16"/>
  <c r="M877" i="16" s="1"/>
  <c r="I876" i="16"/>
  <c r="M876" i="16" s="1"/>
  <c r="I875" i="16"/>
  <c r="M875" i="16" s="1"/>
  <c r="I874" i="16"/>
  <c r="M874" i="16" s="1"/>
  <c r="I873" i="16"/>
  <c r="M873" i="16" s="1"/>
  <c r="I872" i="16"/>
  <c r="M872" i="16" s="1"/>
  <c r="I871" i="16"/>
  <c r="M871" i="16" s="1"/>
  <c r="I870" i="16"/>
  <c r="M870" i="16" s="1"/>
  <c r="I869" i="16"/>
  <c r="M869" i="16" s="1"/>
  <c r="I868" i="16"/>
  <c r="M868" i="16" s="1"/>
  <c r="I867" i="16"/>
  <c r="M867" i="16" s="1"/>
  <c r="I866" i="16"/>
  <c r="M866" i="16" s="1"/>
  <c r="I865" i="16"/>
  <c r="M865" i="16" s="1"/>
  <c r="I864" i="16"/>
  <c r="M864" i="16" s="1"/>
  <c r="I863" i="16"/>
  <c r="M863" i="16" s="1"/>
  <c r="I862" i="16"/>
  <c r="M862" i="16" s="1"/>
  <c r="I861" i="16"/>
  <c r="M861" i="16" s="1"/>
  <c r="I860" i="16"/>
  <c r="M860" i="16" s="1"/>
  <c r="I859" i="16"/>
  <c r="M859" i="16" s="1"/>
  <c r="I858" i="16"/>
  <c r="M858" i="16" s="1"/>
  <c r="I857" i="16"/>
  <c r="M857" i="16" s="1"/>
  <c r="I856" i="16"/>
  <c r="M856" i="16" s="1"/>
  <c r="I855" i="16"/>
  <c r="M855" i="16" s="1"/>
  <c r="I854" i="16"/>
  <c r="M854" i="16" s="1"/>
  <c r="I853" i="16"/>
  <c r="M853" i="16" s="1"/>
  <c r="I852" i="16"/>
  <c r="M852" i="16" s="1"/>
  <c r="I851" i="16"/>
  <c r="M851" i="16" s="1"/>
  <c r="I850" i="16"/>
  <c r="M850" i="16" s="1"/>
  <c r="I849" i="16"/>
  <c r="M849" i="16" s="1"/>
  <c r="I848" i="16"/>
  <c r="M848" i="16" s="1"/>
  <c r="I847" i="16"/>
  <c r="M847" i="16" s="1"/>
  <c r="I846" i="16"/>
  <c r="M846" i="16" s="1"/>
  <c r="I845" i="16"/>
  <c r="M845" i="16" s="1"/>
  <c r="I844" i="16"/>
  <c r="M844" i="16" s="1"/>
  <c r="I843" i="16"/>
  <c r="M843" i="16" s="1"/>
  <c r="I842" i="16"/>
  <c r="M842" i="16" s="1"/>
  <c r="I841" i="16"/>
  <c r="M841" i="16" s="1"/>
  <c r="I840" i="16"/>
  <c r="M840" i="16" s="1"/>
  <c r="I839" i="16"/>
  <c r="M839" i="16" s="1"/>
  <c r="I838" i="16"/>
  <c r="M838" i="16" s="1"/>
  <c r="I837" i="16"/>
  <c r="M837" i="16" s="1"/>
  <c r="I836" i="16"/>
  <c r="M836" i="16" s="1"/>
  <c r="I835" i="16"/>
  <c r="M835" i="16" s="1"/>
  <c r="I834" i="16"/>
  <c r="M834" i="16" s="1"/>
  <c r="I833" i="16"/>
  <c r="M833" i="16" s="1"/>
  <c r="I832" i="16"/>
  <c r="M832" i="16" s="1"/>
  <c r="I831" i="16"/>
  <c r="M831" i="16" s="1"/>
  <c r="I830" i="16"/>
  <c r="M830" i="16" s="1"/>
  <c r="I829" i="16"/>
  <c r="M829" i="16" s="1"/>
  <c r="I828" i="16"/>
  <c r="M828" i="16" s="1"/>
  <c r="I827" i="16"/>
  <c r="M827" i="16" s="1"/>
  <c r="I826" i="16"/>
  <c r="M826" i="16" s="1"/>
  <c r="I825" i="16"/>
  <c r="M825" i="16" s="1"/>
  <c r="I824" i="16"/>
  <c r="M824" i="16" s="1"/>
  <c r="I823" i="16"/>
  <c r="M823" i="16" s="1"/>
  <c r="I822" i="16"/>
  <c r="M822" i="16" s="1"/>
  <c r="I821" i="16"/>
  <c r="M821" i="16" s="1"/>
  <c r="I820" i="16"/>
  <c r="M820" i="16" s="1"/>
  <c r="I819" i="16"/>
  <c r="M819" i="16" s="1"/>
  <c r="I818" i="16"/>
  <c r="M818" i="16" s="1"/>
  <c r="I817" i="16"/>
  <c r="M817" i="16" s="1"/>
  <c r="I816" i="16"/>
  <c r="M816" i="16" s="1"/>
  <c r="I815" i="16"/>
  <c r="M815" i="16" s="1"/>
  <c r="I814" i="16"/>
  <c r="M814" i="16" s="1"/>
  <c r="I813" i="16"/>
  <c r="M813" i="16" s="1"/>
  <c r="I812" i="16"/>
  <c r="M812" i="16" s="1"/>
  <c r="I811" i="16"/>
  <c r="M811" i="16" s="1"/>
  <c r="I810" i="16"/>
  <c r="M810" i="16" s="1"/>
  <c r="I809" i="16"/>
  <c r="M809" i="16" s="1"/>
  <c r="I808" i="16"/>
  <c r="M808" i="16" s="1"/>
  <c r="I807" i="16"/>
  <c r="M807" i="16" s="1"/>
  <c r="I806" i="16"/>
  <c r="M806" i="16" s="1"/>
  <c r="I805" i="16"/>
  <c r="M805" i="16" s="1"/>
  <c r="I804" i="16"/>
  <c r="M804" i="16" s="1"/>
  <c r="I803" i="16"/>
  <c r="M803" i="16" s="1"/>
  <c r="I802" i="16"/>
  <c r="M802" i="16" s="1"/>
  <c r="I801" i="16"/>
  <c r="M801" i="16" s="1"/>
  <c r="I800" i="16"/>
  <c r="M800" i="16" s="1"/>
  <c r="I799" i="16"/>
  <c r="M799" i="16" s="1"/>
  <c r="I798" i="16"/>
  <c r="M798" i="16" s="1"/>
  <c r="I797" i="16"/>
  <c r="M797" i="16" s="1"/>
  <c r="I796" i="16"/>
  <c r="M796" i="16" s="1"/>
  <c r="I795" i="16"/>
  <c r="M795" i="16" s="1"/>
  <c r="I794" i="16"/>
  <c r="M794" i="16" s="1"/>
  <c r="I793" i="16"/>
  <c r="M793" i="16" s="1"/>
  <c r="I792" i="16"/>
  <c r="M792" i="16" s="1"/>
  <c r="I791" i="16"/>
  <c r="M791" i="16" s="1"/>
  <c r="I790" i="16"/>
  <c r="M790" i="16" s="1"/>
  <c r="I789" i="16"/>
  <c r="M789" i="16" s="1"/>
  <c r="I788" i="16"/>
  <c r="M788" i="16" s="1"/>
  <c r="I787" i="16"/>
  <c r="M787" i="16" s="1"/>
  <c r="I786" i="16"/>
  <c r="M786" i="16" s="1"/>
  <c r="I785" i="16"/>
  <c r="M785" i="16" s="1"/>
  <c r="I784" i="16"/>
  <c r="M784" i="16" s="1"/>
  <c r="I783" i="16"/>
  <c r="M783" i="16" s="1"/>
  <c r="I782" i="16"/>
  <c r="M782" i="16" s="1"/>
  <c r="I781" i="16"/>
  <c r="M781" i="16" s="1"/>
  <c r="I780" i="16"/>
  <c r="M780" i="16" s="1"/>
  <c r="I779" i="16"/>
  <c r="M779" i="16" s="1"/>
  <c r="I778" i="16"/>
  <c r="M778" i="16" s="1"/>
  <c r="I777" i="16"/>
  <c r="M777" i="16" s="1"/>
  <c r="I776" i="16"/>
  <c r="M776" i="16" s="1"/>
  <c r="I775" i="16"/>
  <c r="M775" i="16" s="1"/>
  <c r="I774" i="16"/>
  <c r="M774" i="16" s="1"/>
  <c r="I773" i="16"/>
  <c r="M773" i="16" s="1"/>
  <c r="I772" i="16"/>
  <c r="M772" i="16" s="1"/>
  <c r="I771" i="16"/>
  <c r="M771" i="16" s="1"/>
  <c r="I770" i="16"/>
  <c r="M770" i="16" s="1"/>
  <c r="I769" i="16"/>
  <c r="M769" i="16" s="1"/>
  <c r="I768" i="16"/>
  <c r="M768" i="16" s="1"/>
  <c r="I767" i="16"/>
  <c r="M767" i="16" s="1"/>
  <c r="I766" i="16"/>
  <c r="M766" i="16" s="1"/>
  <c r="I765" i="16"/>
  <c r="M765" i="16" s="1"/>
  <c r="I764" i="16"/>
  <c r="M764" i="16" s="1"/>
  <c r="I763" i="16"/>
  <c r="M763" i="16" s="1"/>
  <c r="I762" i="16"/>
  <c r="M762" i="16" s="1"/>
  <c r="I761" i="16"/>
  <c r="M761" i="16" s="1"/>
  <c r="I760" i="16"/>
  <c r="M760" i="16" s="1"/>
  <c r="I759" i="16"/>
  <c r="M759" i="16" s="1"/>
  <c r="I758" i="16"/>
  <c r="M758" i="16" s="1"/>
  <c r="I757" i="16"/>
  <c r="M757" i="16" s="1"/>
  <c r="I756" i="16"/>
  <c r="M756" i="16" s="1"/>
  <c r="I755" i="16"/>
  <c r="M755" i="16" s="1"/>
  <c r="I754" i="16"/>
  <c r="M754" i="16" s="1"/>
  <c r="I753" i="16"/>
  <c r="M753" i="16" s="1"/>
  <c r="I752" i="16"/>
  <c r="M752" i="16" s="1"/>
  <c r="I751" i="16"/>
  <c r="M751" i="16" s="1"/>
  <c r="I750" i="16"/>
  <c r="M750" i="16" s="1"/>
  <c r="I749" i="16"/>
  <c r="M749" i="16" s="1"/>
  <c r="I748" i="16"/>
  <c r="M748" i="16" s="1"/>
  <c r="I747" i="16"/>
  <c r="M747" i="16" s="1"/>
  <c r="I746" i="16"/>
  <c r="M746" i="16" s="1"/>
  <c r="I745" i="16"/>
  <c r="M745" i="16" s="1"/>
  <c r="I744" i="16"/>
  <c r="M744" i="16" s="1"/>
  <c r="I743" i="16"/>
  <c r="M743" i="16" s="1"/>
  <c r="I742" i="16"/>
  <c r="M742" i="16" s="1"/>
  <c r="I741" i="16"/>
  <c r="M741" i="16" s="1"/>
  <c r="I740" i="16"/>
  <c r="M740" i="16" s="1"/>
  <c r="I739" i="16"/>
  <c r="M739" i="16" s="1"/>
  <c r="I738" i="16"/>
  <c r="M738" i="16" s="1"/>
  <c r="I737" i="16"/>
  <c r="M737" i="16" s="1"/>
  <c r="I736" i="16"/>
  <c r="M736" i="16" s="1"/>
  <c r="I735" i="16"/>
  <c r="M735" i="16" s="1"/>
  <c r="I734" i="16"/>
  <c r="M734" i="16" s="1"/>
  <c r="I733" i="16"/>
  <c r="M733" i="16" s="1"/>
  <c r="I732" i="16"/>
  <c r="M732" i="16" s="1"/>
  <c r="I731" i="16"/>
  <c r="M731" i="16" s="1"/>
  <c r="I730" i="16"/>
  <c r="M730" i="16" s="1"/>
  <c r="I729" i="16"/>
  <c r="M729" i="16" s="1"/>
  <c r="I728" i="16"/>
  <c r="M728" i="16" s="1"/>
  <c r="I727" i="16"/>
  <c r="M727" i="16" s="1"/>
  <c r="I726" i="16"/>
  <c r="M726" i="16" s="1"/>
  <c r="I725" i="16"/>
  <c r="M725" i="16" s="1"/>
  <c r="I724" i="16"/>
  <c r="M724" i="16" s="1"/>
  <c r="I723" i="16"/>
  <c r="M723" i="16" s="1"/>
  <c r="I722" i="16"/>
  <c r="M722" i="16" s="1"/>
  <c r="I721" i="16"/>
  <c r="M721" i="16" s="1"/>
  <c r="I720" i="16"/>
  <c r="M720" i="16" s="1"/>
  <c r="I719" i="16"/>
  <c r="M719" i="16" s="1"/>
  <c r="I718" i="16"/>
  <c r="M718" i="16" s="1"/>
  <c r="I717" i="16"/>
  <c r="M717" i="16" s="1"/>
  <c r="I716" i="16"/>
  <c r="M716" i="16" s="1"/>
  <c r="I715" i="16"/>
  <c r="M715" i="16" s="1"/>
  <c r="I714" i="16"/>
  <c r="M714" i="16" s="1"/>
  <c r="I713" i="16"/>
  <c r="M713" i="16" s="1"/>
  <c r="I712" i="16"/>
  <c r="M712" i="16" s="1"/>
  <c r="I711" i="16"/>
  <c r="M711" i="16" s="1"/>
  <c r="I710" i="16"/>
  <c r="M710" i="16" s="1"/>
  <c r="I709" i="16"/>
  <c r="M709" i="16" s="1"/>
  <c r="I708" i="16"/>
  <c r="M708" i="16" s="1"/>
  <c r="I707" i="16"/>
  <c r="M707" i="16" s="1"/>
  <c r="I706" i="16"/>
  <c r="M706" i="16" s="1"/>
  <c r="I705" i="16"/>
  <c r="M705" i="16" s="1"/>
  <c r="I704" i="16"/>
  <c r="M704" i="16" s="1"/>
  <c r="I703" i="16"/>
  <c r="M703" i="16" s="1"/>
  <c r="I702" i="16"/>
  <c r="M702" i="16" s="1"/>
  <c r="I701" i="16"/>
  <c r="M701" i="16" s="1"/>
  <c r="I700" i="16"/>
  <c r="M700" i="16" s="1"/>
  <c r="I699" i="16"/>
  <c r="M699" i="16" s="1"/>
  <c r="I698" i="16"/>
  <c r="M698" i="16" s="1"/>
  <c r="I697" i="16"/>
  <c r="M697" i="16" s="1"/>
  <c r="I696" i="16"/>
  <c r="M696" i="16" s="1"/>
  <c r="I695" i="16"/>
  <c r="M695" i="16" s="1"/>
  <c r="I694" i="16"/>
  <c r="M694" i="16" s="1"/>
  <c r="I693" i="16"/>
  <c r="M693" i="16" s="1"/>
  <c r="I692" i="16"/>
  <c r="M692" i="16" s="1"/>
  <c r="I691" i="16"/>
  <c r="M691" i="16" s="1"/>
  <c r="I690" i="16"/>
  <c r="M690" i="16" s="1"/>
  <c r="I689" i="16"/>
  <c r="M689" i="16" s="1"/>
  <c r="I688" i="16"/>
  <c r="M688" i="16" s="1"/>
  <c r="I687" i="16"/>
  <c r="M687" i="16" s="1"/>
  <c r="I686" i="16"/>
  <c r="M686" i="16" s="1"/>
  <c r="I685" i="16"/>
  <c r="M685" i="16" s="1"/>
  <c r="I684" i="16"/>
  <c r="M684" i="16" s="1"/>
  <c r="I683" i="16"/>
  <c r="M683" i="16" s="1"/>
  <c r="I682" i="16"/>
  <c r="M682" i="16" s="1"/>
  <c r="I681" i="16"/>
  <c r="M681" i="16" s="1"/>
  <c r="I680" i="16"/>
  <c r="M680" i="16" s="1"/>
  <c r="I679" i="16"/>
  <c r="M679" i="16" s="1"/>
  <c r="I678" i="16"/>
  <c r="M678" i="16" s="1"/>
  <c r="I677" i="16"/>
  <c r="M677" i="16" s="1"/>
  <c r="I676" i="16"/>
  <c r="M676" i="16" s="1"/>
  <c r="I675" i="16"/>
  <c r="M675" i="16" s="1"/>
  <c r="I674" i="16"/>
  <c r="M674" i="16" s="1"/>
  <c r="I673" i="16"/>
  <c r="M673" i="16" s="1"/>
  <c r="I672" i="16"/>
  <c r="M672" i="16" s="1"/>
  <c r="I671" i="16"/>
  <c r="M671" i="16" s="1"/>
  <c r="I670" i="16"/>
  <c r="M670" i="16" s="1"/>
  <c r="I669" i="16"/>
  <c r="M669" i="16" s="1"/>
  <c r="I668" i="16"/>
  <c r="M668" i="16" s="1"/>
  <c r="I667" i="16"/>
  <c r="M667" i="16" s="1"/>
  <c r="I666" i="16"/>
  <c r="M666" i="16" s="1"/>
  <c r="I665" i="16"/>
  <c r="M665" i="16" s="1"/>
  <c r="I664" i="16"/>
  <c r="M664" i="16" s="1"/>
  <c r="I663" i="16"/>
  <c r="M663" i="16" s="1"/>
  <c r="I662" i="16"/>
  <c r="M662" i="16" s="1"/>
  <c r="I661" i="16"/>
  <c r="M661" i="16" s="1"/>
  <c r="I660" i="16"/>
  <c r="M660" i="16" s="1"/>
  <c r="I659" i="16"/>
  <c r="M659" i="16" s="1"/>
  <c r="I658" i="16"/>
  <c r="M658" i="16" s="1"/>
  <c r="I657" i="16"/>
  <c r="M657" i="16" s="1"/>
  <c r="I656" i="16"/>
  <c r="M656" i="16" s="1"/>
  <c r="I655" i="16"/>
  <c r="M655" i="16" s="1"/>
  <c r="I654" i="16"/>
  <c r="M654" i="16" s="1"/>
  <c r="I653" i="16"/>
  <c r="M653" i="16" s="1"/>
  <c r="I652" i="16"/>
  <c r="M652" i="16" s="1"/>
  <c r="I651" i="16"/>
  <c r="M651" i="16" s="1"/>
  <c r="I650" i="16"/>
  <c r="M650" i="16" s="1"/>
  <c r="I649" i="16"/>
  <c r="M649" i="16" s="1"/>
  <c r="I648" i="16"/>
  <c r="M648" i="16" s="1"/>
  <c r="I647" i="16"/>
  <c r="M647" i="16" s="1"/>
  <c r="I646" i="16"/>
  <c r="M646" i="16" s="1"/>
  <c r="I645" i="16"/>
  <c r="M645" i="16" s="1"/>
  <c r="I644" i="16"/>
  <c r="M644" i="16" s="1"/>
  <c r="I643" i="16"/>
  <c r="M643" i="16" s="1"/>
  <c r="I642" i="16"/>
  <c r="M642" i="16" s="1"/>
  <c r="I641" i="16"/>
  <c r="M641" i="16" s="1"/>
  <c r="I640" i="16"/>
  <c r="M640" i="16" s="1"/>
  <c r="I639" i="16"/>
  <c r="M639" i="16" s="1"/>
  <c r="I638" i="16"/>
  <c r="M638" i="16" s="1"/>
  <c r="I637" i="16"/>
  <c r="M637" i="16" s="1"/>
  <c r="I636" i="16"/>
  <c r="M636" i="16" s="1"/>
  <c r="I635" i="16"/>
  <c r="M635" i="16" s="1"/>
  <c r="I634" i="16"/>
  <c r="M634" i="16" s="1"/>
  <c r="I633" i="16"/>
  <c r="M633" i="16" s="1"/>
  <c r="I632" i="16"/>
  <c r="M632" i="16" s="1"/>
  <c r="I631" i="16"/>
  <c r="M631" i="16" s="1"/>
  <c r="I630" i="16"/>
  <c r="M630" i="16" s="1"/>
  <c r="I629" i="16"/>
  <c r="M629" i="16" s="1"/>
  <c r="I628" i="16"/>
  <c r="M628" i="16" s="1"/>
  <c r="I627" i="16"/>
  <c r="M627" i="16" s="1"/>
  <c r="I626" i="16"/>
  <c r="M626" i="16" s="1"/>
  <c r="I625" i="16"/>
  <c r="M625" i="16" s="1"/>
  <c r="I624" i="16"/>
  <c r="M624" i="16" s="1"/>
  <c r="I623" i="16"/>
  <c r="M623" i="16" s="1"/>
  <c r="I622" i="16"/>
  <c r="M622" i="16" s="1"/>
  <c r="I621" i="16"/>
  <c r="M621" i="16" s="1"/>
  <c r="I620" i="16"/>
  <c r="M620" i="16" s="1"/>
  <c r="I619" i="16"/>
  <c r="M619" i="16" s="1"/>
  <c r="I618" i="16"/>
  <c r="M618" i="16" s="1"/>
  <c r="I617" i="16"/>
  <c r="M617" i="16" s="1"/>
  <c r="I616" i="16"/>
  <c r="M616" i="16" s="1"/>
  <c r="I615" i="16"/>
  <c r="M615" i="16" s="1"/>
  <c r="I614" i="16"/>
  <c r="M614" i="16" s="1"/>
  <c r="I613" i="16"/>
  <c r="M613" i="16" s="1"/>
  <c r="I612" i="16"/>
  <c r="M612" i="16" s="1"/>
  <c r="I611" i="16"/>
  <c r="M611" i="16" s="1"/>
  <c r="I610" i="16"/>
  <c r="M610" i="16" s="1"/>
  <c r="I609" i="16"/>
  <c r="M609" i="16" s="1"/>
  <c r="I608" i="16"/>
  <c r="M608" i="16" s="1"/>
  <c r="I607" i="16"/>
  <c r="M607" i="16" s="1"/>
  <c r="I606" i="16"/>
  <c r="M606" i="16" s="1"/>
  <c r="I605" i="16"/>
  <c r="M605" i="16" s="1"/>
  <c r="I604" i="16"/>
  <c r="M604" i="16" s="1"/>
  <c r="I603" i="16"/>
  <c r="M603" i="16" s="1"/>
  <c r="I602" i="16"/>
  <c r="M602" i="16" s="1"/>
  <c r="I601" i="16"/>
  <c r="M601" i="16" s="1"/>
  <c r="I600" i="16"/>
  <c r="M600" i="16" s="1"/>
  <c r="I599" i="16"/>
  <c r="M599" i="16" s="1"/>
  <c r="I598" i="16"/>
  <c r="M598" i="16" s="1"/>
  <c r="I597" i="16"/>
  <c r="M597" i="16" s="1"/>
  <c r="I596" i="16"/>
  <c r="M596" i="16" s="1"/>
  <c r="I595" i="16"/>
  <c r="M595" i="16" s="1"/>
  <c r="I594" i="16"/>
  <c r="M594" i="16" s="1"/>
  <c r="I593" i="16"/>
  <c r="M593" i="16" s="1"/>
  <c r="I592" i="16"/>
  <c r="M592" i="16" s="1"/>
  <c r="I591" i="16"/>
  <c r="M591" i="16" s="1"/>
  <c r="I590" i="16"/>
  <c r="M590" i="16" s="1"/>
  <c r="I589" i="16"/>
  <c r="M589" i="16" s="1"/>
  <c r="I588" i="16"/>
  <c r="M588" i="16" s="1"/>
  <c r="I587" i="16"/>
  <c r="M587" i="16" s="1"/>
  <c r="I586" i="16"/>
  <c r="M586" i="16" s="1"/>
  <c r="I585" i="16"/>
  <c r="M585" i="16" s="1"/>
  <c r="I584" i="16"/>
  <c r="M584" i="16" s="1"/>
  <c r="I583" i="16"/>
  <c r="M583" i="16" s="1"/>
  <c r="I582" i="16"/>
  <c r="M582" i="16" s="1"/>
  <c r="I581" i="16"/>
  <c r="M581" i="16" s="1"/>
  <c r="I580" i="16"/>
  <c r="M580" i="16" s="1"/>
  <c r="I579" i="16"/>
  <c r="M579" i="16" s="1"/>
  <c r="I578" i="16"/>
  <c r="M578" i="16" s="1"/>
  <c r="I577" i="16"/>
  <c r="M577" i="16" s="1"/>
  <c r="I576" i="16"/>
  <c r="M576" i="16" s="1"/>
  <c r="I575" i="16"/>
  <c r="M575" i="16" s="1"/>
  <c r="I574" i="16"/>
  <c r="M574" i="16" s="1"/>
  <c r="I573" i="16"/>
  <c r="M573" i="16" s="1"/>
  <c r="I572" i="16"/>
  <c r="M572" i="16" s="1"/>
  <c r="I571" i="16"/>
  <c r="M571" i="16" s="1"/>
  <c r="I570" i="16"/>
  <c r="M570" i="16" s="1"/>
  <c r="I569" i="16"/>
  <c r="M569" i="16" s="1"/>
  <c r="I568" i="16"/>
  <c r="M568" i="16" s="1"/>
  <c r="I567" i="16"/>
  <c r="M567" i="16" s="1"/>
  <c r="I566" i="16"/>
  <c r="M566" i="16" s="1"/>
  <c r="I565" i="16"/>
  <c r="M565" i="16" s="1"/>
  <c r="I564" i="16"/>
  <c r="M564" i="16" s="1"/>
  <c r="I563" i="16"/>
  <c r="M563" i="16" s="1"/>
  <c r="I562" i="16"/>
  <c r="M562" i="16" s="1"/>
  <c r="I561" i="16"/>
  <c r="M561" i="16" s="1"/>
  <c r="I560" i="16"/>
  <c r="M560" i="16" s="1"/>
  <c r="I559" i="16"/>
  <c r="M559" i="16" s="1"/>
  <c r="I558" i="16"/>
  <c r="M558" i="16" s="1"/>
  <c r="I557" i="16"/>
  <c r="M557" i="16" s="1"/>
  <c r="I556" i="16"/>
  <c r="M556" i="16" s="1"/>
  <c r="I555" i="16"/>
  <c r="M555" i="16" s="1"/>
  <c r="I554" i="16"/>
  <c r="M554" i="16" s="1"/>
  <c r="I553" i="16"/>
  <c r="M553" i="16" s="1"/>
  <c r="I552" i="16"/>
  <c r="M552" i="16" s="1"/>
  <c r="I551" i="16"/>
  <c r="M551" i="16" s="1"/>
  <c r="I550" i="16"/>
  <c r="M550" i="16" s="1"/>
  <c r="I549" i="16"/>
  <c r="M549" i="16" s="1"/>
  <c r="I548" i="16"/>
  <c r="M548" i="16" s="1"/>
  <c r="I547" i="16"/>
  <c r="M547" i="16" s="1"/>
  <c r="I546" i="16"/>
  <c r="M546" i="16" s="1"/>
  <c r="I545" i="16"/>
  <c r="M545" i="16" s="1"/>
  <c r="I544" i="16"/>
  <c r="M544" i="16" s="1"/>
  <c r="I543" i="16"/>
  <c r="M543" i="16" s="1"/>
  <c r="I542" i="16"/>
  <c r="M542" i="16" s="1"/>
  <c r="I541" i="16"/>
  <c r="M541" i="16" s="1"/>
  <c r="I540" i="16"/>
  <c r="M540" i="16" s="1"/>
  <c r="I539" i="16"/>
  <c r="M539" i="16" s="1"/>
  <c r="I538" i="16"/>
  <c r="M538" i="16" s="1"/>
  <c r="I537" i="16"/>
  <c r="M537" i="16" s="1"/>
  <c r="I536" i="16"/>
  <c r="M536" i="16" s="1"/>
  <c r="I535" i="16"/>
  <c r="M535" i="16" s="1"/>
  <c r="I534" i="16"/>
  <c r="M534" i="16" s="1"/>
  <c r="I533" i="16"/>
  <c r="M533" i="16" s="1"/>
  <c r="I532" i="16"/>
  <c r="M532" i="16" s="1"/>
  <c r="I531" i="16"/>
  <c r="M531" i="16" s="1"/>
  <c r="I530" i="16"/>
  <c r="M530" i="16" s="1"/>
  <c r="I529" i="16"/>
  <c r="M529" i="16" s="1"/>
  <c r="I528" i="16"/>
  <c r="M528" i="16" s="1"/>
  <c r="I527" i="16"/>
  <c r="M527" i="16" s="1"/>
  <c r="I526" i="16"/>
  <c r="M526" i="16" s="1"/>
  <c r="I525" i="16"/>
  <c r="M525" i="16" s="1"/>
  <c r="I524" i="16"/>
  <c r="M524" i="16" s="1"/>
  <c r="I523" i="16"/>
  <c r="M523" i="16" s="1"/>
  <c r="I522" i="16"/>
  <c r="M522" i="16" s="1"/>
  <c r="I521" i="16"/>
  <c r="M521" i="16" s="1"/>
  <c r="I520" i="16"/>
  <c r="M520" i="16" s="1"/>
  <c r="I519" i="16"/>
  <c r="M519" i="16" s="1"/>
  <c r="I518" i="16"/>
  <c r="M518" i="16" s="1"/>
  <c r="I517" i="16"/>
  <c r="M517" i="16" s="1"/>
  <c r="I516" i="16"/>
  <c r="M516" i="16" s="1"/>
  <c r="I515" i="16"/>
  <c r="M515" i="16" s="1"/>
  <c r="I514" i="16"/>
  <c r="M514" i="16" s="1"/>
  <c r="I513" i="16"/>
  <c r="M513" i="16" s="1"/>
  <c r="I512" i="16"/>
  <c r="M512" i="16" s="1"/>
  <c r="I511" i="16"/>
  <c r="M511" i="16" s="1"/>
  <c r="I510" i="16"/>
  <c r="M510" i="16" s="1"/>
  <c r="I509" i="16"/>
  <c r="M509" i="16" s="1"/>
  <c r="I508" i="16"/>
  <c r="M508" i="16" s="1"/>
  <c r="I507" i="16"/>
  <c r="M507" i="16" s="1"/>
  <c r="I506" i="16"/>
  <c r="M506" i="16" s="1"/>
  <c r="I505" i="16"/>
  <c r="M505" i="16" s="1"/>
  <c r="I504" i="16"/>
  <c r="M504" i="16" s="1"/>
  <c r="I503" i="16"/>
  <c r="M503" i="16" s="1"/>
  <c r="I502" i="16"/>
  <c r="M502" i="16" s="1"/>
  <c r="I501" i="16"/>
  <c r="M501" i="16" s="1"/>
  <c r="I500" i="16"/>
  <c r="M500" i="16" s="1"/>
  <c r="I499" i="16"/>
  <c r="M499" i="16" s="1"/>
  <c r="I498" i="16"/>
  <c r="M498" i="16" s="1"/>
  <c r="I497" i="16"/>
  <c r="M497" i="16" s="1"/>
  <c r="I496" i="16"/>
  <c r="M496" i="16" s="1"/>
  <c r="I495" i="16"/>
  <c r="M495" i="16" s="1"/>
  <c r="I494" i="16"/>
  <c r="M494" i="16" s="1"/>
  <c r="I493" i="16"/>
  <c r="M493" i="16" s="1"/>
  <c r="I492" i="16"/>
  <c r="M492" i="16" s="1"/>
  <c r="I491" i="16"/>
  <c r="M491" i="16" s="1"/>
  <c r="I490" i="16"/>
  <c r="M490" i="16" s="1"/>
  <c r="I489" i="16"/>
  <c r="M489" i="16" s="1"/>
  <c r="I488" i="16"/>
  <c r="M488" i="16" s="1"/>
  <c r="I487" i="16"/>
  <c r="M487" i="16" s="1"/>
  <c r="I486" i="16"/>
  <c r="M486" i="16" s="1"/>
  <c r="I485" i="16"/>
  <c r="M485" i="16" s="1"/>
  <c r="I484" i="16"/>
  <c r="M484" i="16" s="1"/>
  <c r="I483" i="16"/>
  <c r="M483" i="16" s="1"/>
  <c r="I482" i="16"/>
  <c r="M482" i="16" s="1"/>
  <c r="I481" i="16"/>
  <c r="M481" i="16" s="1"/>
  <c r="I480" i="16"/>
  <c r="M480" i="16" s="1"/>
  <c r="I479" i="16"/>
  <c r="M479" i="16" s="1"/>
  <c r="I478" i="16"/>
  <c r="M478" i="16" s="1"/>
  <c r="I477" i="16"/>
  <c r="M477" i="16" s="1"/>
  <c r="I476" i="16"/>
  <c r="M476" i="16" s="1"/>
  <c r="I475" i="16"/>
  <c r="M475" i="16" s="1"/>
  <c r="I474" i="16"/>
  <c r="M474" i="16" s="1"/>
  <c r="I473" i="16"/>
  <c r="M473" i="16" s="1"/>
  <c r="I472" i="16"/>
  <c r="M472" i="16" s="1"/>
  <c r="I471" i="16"/>
  <c r="M471" i="16" s="1"/>
  <c r="I470" i="16"/>
  <c r="M470" i="16" s="1"/>
  <c r="I469" i="16"/>
  <c r="M469" i="16" s="1"/>
  <c r="I468" i="16"/>
  <c r="M468" i="16" s="1"/>
  <c r="I467" i="16"/>
  <c r="M467" i="16" s="1"/>
  <c r="I466" i="16"/>
  <c r="M466" i="16" s="1"/>
  <c r="I465" i="16"/>
  <c r="M465" i="16" s="1"/>
  <c r="I464" i="16"/>
  <c r="M464" i="16" s="1"/>
  <c r="I463" i="16"/>
  <c r="M463" i="16" s="1"/>
  <c r="I462" i="16"/>
  <c r="M462" i="16" s="1"/>
  <c r="I461" i="16"/>
  <c r="M461" i="16" s="1"/>
  <c r="I460" i="16"/>
  <c r="M460" i="16" s="1"/>
  <c r="I459" i="16"/>
  <c r="M459" i="16" s="1"/>
  <c r="I458" i="16"/>
  <c r="M458" i="16" s="1"/>
  <c r="I457" i="16"/>
  <c r="M457" i="16" s="1"/>
  <c r="I456" i="16"/>
  <c r="M456" i="16" s="1"/>
  <c r="I455" i="16"/>
  <c r="M455" i="16" s="1"/>
  <c r="I454" i="16"/>
  <c r="M454" i="16" s="1"/>
  <c r="I453" i="16"/>
  <c r="M453" i="16" s="1"/>
  <c r="I452" i="16"/>
  <c r="M452" i="16" s="1"/>
  <c r="I451" i="16"/>
  <c r="M451" i="16" s="1"/>
  <c r="I450" i="16"/>
  <c r="M450" i="16" s="1"/>
  <c r="I449" i="16"/>
  <c r="M449" i="16" s="1"/>
  <c r="I448" i="16"/>
  <c r="M448" i="16" s="1"/>
  <c r="I447" i="16"/>
  <c r="M447" i="16" s="1"/>
  <c r="I446" i="16"/>
  <c r="M446" i="16" s="1"/>
  <c r="I445" i="16"/>
  <c r="M445" i="16" s="1"/>
  <c r="I444" i="16"/>
  <c r="M444" i="16" s="1"/>
  <c r="I443" i="16"/>
  <c r="M443" i="16" s="1"/>
  <c r="I442" i="16"/>
  <c r="M442" i="16" s="1"/>
  <c r="I441" i="16"/>
  <c r="M441" i="16" s="1"/>
  <c r="I440" i="16"/>
  <c r="M440" i="16" s="1"/>
  <c r="I439" i="16"/>
  <c r="M439" i="16" s="1"/>
  <c r="I438" i="16"/>
  <c r="M438" i="16" s="1"/>
  <c r="I437" i="16"/>
  <c r="M437" i="16" s="1"/>
  <c r="I436" i="16"/>
  <c r="M436" i="16" s="1"/>
  <c r="I435" i="16"/>
  <c r="M435" i="16" s="1"/>
  <c r="I434" i="16"/>
  <c r="M434" i="16" s="1"/>
  <c r="I433" i="16"/>
  <c r="M433" i="16" s="1"/>
  <c r="I432" i="16"/>
  <c r="M432" i="16" s="1"/>
  <c r="I431" i="16"/>
  <c r="M431" i="16" s="1"/>
  <c r="I430" i="16"/>
  <c r="M430" i="16" s="1"/>
  <c r="I429" i="16"/>
  <c r="M429" i="16" s="1"/>
  <c r="I428" i="16"/>
  <c r="M428" i="16" s="1"/>
  <c r="I427" i="16"/>
  <c r="M427" i="16" s="1"/>
  <c r="I426" i="16"/>
  <c r="M426" i="16" s="1"/>
  <c r="I425" i="16"/>
  <c r="M425" i="16" s="1"/>
  <c r="I424" i="16"/>
  <c r="M424" i="16" s="1"/>
  <c r="I423" i="16"/>
  <c r="M423" i="16" s="1"/>
  <c r="I422" i="16"/>
  <c r="M422" i="16" s="1"/>
  <c r="I421" i="16"/>
  <c r="M421" i="16" s="1"/>
  <c r="I420" i="16"/>
  <c r="M420" i="16" s="1"/>
  <c r="I419" i="16"/>
  <c r="M419" i="16" s="1"/>
  <c r="I418" i="16"/>
  <c r="M418" i="16" s="1"/>
  <c r="I417" i="16"/>
  <c r="M417" i="16" s="1"/>
  <c r="I416" i="16"/>
  <c r="M416" i="16" s="1"/>
  <c r="I415" i="16"/>
  <c r="M415" i="16" s="1"/>
  <c r="I414" i="16"/>
  <c r="M414" i="16" s="1"/>
  <c r="I413" i="16"/>
  <c r="M413" i="16" s="1"/>
  <c r="I412" i="16"/>
  <c r="M412" i="16" s="1"/>
  <c r="I411" i="16"/>
  <c r="M411" i="16" s="1"/>
  <c r="I410" i="16"/>
  <c r="M410" i="16" s="1"/>
  <c r="I409" i="16"/>
  <c r="M409" i="16" s="1"/>
  <c r="I408" i="16"/>
  <c r="M408" i="16" s="1"/>
  <c r="I407" i="16"/>
  <c r="M407" i="16" s="1"/>
  <c r="I406" i="16"/>
  <c r="M406" i="16" s="1"/>
  <c r="I405" i="16"/>
  <c r="M405" i="16" s="1"/>
  <c r="I404" i="16"/>
  <c r="M404" i="16" s="1"/>
  <c r="I403" i="16"/>
  <c r="M403" i="16" s="1"/>
  <c r="I402" i="16"/>
  <c r="M402" i="16" s="1"/>
  <c r="I401" i="16"/>
  <c r="M401" i="16" s="1"/>
  <c r="I400" i="16"/>
  <c r="M400" i="16" s="1"/>
  <c r="I399" i="16"/>
  <c r="M399" i="16" s="1"/>
  <c r="I398" i="16"/>
  <c r="M398" i="16" s="1"/>
  <c r="I397" i="16"/>
  <c r="M397" i="16" s="1"/>
  <c r="I396" i="16"/>
  <c r="M396" i="16" s="1"/>
  <c r="I395" i="16"/>
  <c r="M395" i="16" s="1"/>
  <c r="I394" i="16"/>
  <c r="M394" i="16" s="1"/>
  <c r="I393" i="16"/>
  <c r="M393" i="16" s="1"/>
  <c r="I392" i="16"/>
  <c r="M392" i="16" s="1"/>
  <c r="I391" i="16"/>
  <c r="M391" i="16" s="1"/>
  <c r="I390" i="16"/>
  <c r="M390" i="16" s="1"/>
  <c r="I389" i="16"/>
  <c r="M389" i="16" s="1"/>
  <c r="I388" i="16"/>
  <c r="M388" i="16" s="1"/>
  <c r="I387" i="16"/>
  <c r="M387" i="16" s="1"/>
  <c r="I386" i="16"/>
  <c r="M386" i="16" s="1"/>
  <c r="I385" i="16"/>
  <c r="M385" i="16" s="1"/>
  <c r="I384" i="16"/>
  <c r="M384" i="16" s="1"/>
  <c r="I383" i="16"/>
  <c r="M383" i="16" s="1"/>
  <c r="I382" i="16"/>
  <c r="M382" i="16" s="1"/>
  <c r="I381" i="16"/>
  <c r="M381" i="16" s="1"/>
  <c r="I380" i="16"/>
  <c r="M380" i="16" s="1"/>
  <c r="I379" i="16"/>
  <c r="M379" i="16" s="1"/>
  <c r="I378" i="16"/>
  <c r="M378" i="16" s="1"/>
  <c r="I377" i="16"/>
  <c r="M377" i="16" s="1"/>
  <c r="I376" i="16"/>
  <c r="M376" i="16" s="1"/>
  <c r="I375" i="16"/>
  <c r="M375" i="16" s="1"/>
  <c r="I374" i="16"/>
  <c r="M374" i="16" s="1"/>
  <c r="I373" i="16"/>
  <c r="M373" i="16" s="1"/>
  <c r="I372" i="16"/>
  <c r="M372" i="16" s="1"/>
  <c r="I371" i="16"/>
  <c r="M371" i="16" s="1"/>
  <c r="I370" i="16"/>
  <c r="M370" i="16" s="1"/>
  <c r="I369" i="16"/>
  <c r="M369" i="16" s="1"/>
  <c r="I368" i="16"/>
  <c r="M368" i="16" s="1"/>
  <c r="I367" i="16"/>
  <c r="M367" i="16" s="1"/>
  <c r="I366" i="16"/>
  <c r="M366" i="16" s="1"/>
  <c r="I365" i="16"/>
  <c r="M365" i="16" s="1"/>
  <c r="I364" i="16"/>
  <c r="M364" i="16" s="1"/>
  <c r="I363" i="16"/>
  <c r="M363" i="16" s="1"/>
  <c r="I362" i="16"/>
  <c r="M362" i="16" s="1"/>
  <c r="I361" i="16"/>
  <c r="M361" i="16" s="1"/>
  <c r="I360" i="16"/>
  <c r="M360" i="16" s="1"/>
  <c r="I359" i="16"/>
  <c r="M359" i="16" s="1"/>
  <c r="I358" i="16"/>
  <c r="M358" i="16" s="1"/>
  <c r="I357" i="16"/>
  <c r="M357" i="16" s="1"/>
  <c r="I356" i="16"/>
  <c r="M356" i="16" s="1"/>
  <c r="I355" i="16"/>
  <c r="M355" i="16" s="1"/>
  <c r="I354" i="16"/>
  <c r="M354" i="16" s="1"/>
  <c r="I353" i="16"/>
  <c r="M353" i="16" s="1"/>
  <c r="I352" i="16"/>
  <c r="M352" i="16" s="1"/>
  <c r="I351" i="16"/>
  <c r="M351" i="16" s="1"/>
  <c r="I350" i="16"/>
  <c r="M350" i="16" s="1"/>
  <c r="I349" i="16"/>
  <c r="M349" i="16" s="1"/>
  <c r="I348" i="16"/>
  <c r="M348" i="16" s="1"/>
  <c r="I347" i="16"/>
  <c r="M347" i="16" s="1"/>
  <c r="I346" i="16"/>
  <c r="M346" i="16" s="1"/>
  <c r="I345" i="16"/>
  <c r="M345" i="16" s="1"/>
  <c r="I344" i="16"/>
  <c r="M344" i="16" s="1"/>
  <c r="I343" i="16"/>
  <c r="M343" i="16" s="1"/>
  <c r="I342" i="16"/>
  <c r="M342" i="16" s="1"/>
  <c r="I341" i="16"/>
  <c r="M341" i="16" s="1"/>
  <c r="I340" i="16"/>
  <c r="M340" i="16" s="1"/>
  <c r="I339" i="16"/>
  <c r="M339" i="16" s="1"/>
  <c r="I338" i="16"/>
  <c r="M338" i="16" s="1"/>
  <c r="I337" i="16"/>
  <c r="M337" i="16" s="1"/>
  <c r="I336" i="16"/>
  <c r="M336" i="16" s="1"/>
  <c r="I335" i="16"/>
  <c r="M335" i="16" s="1"/>
  <c r="I334" i="16"/>
  <c r="M334" i="16" s="1"/>
  <c r="I333" i="16"/>
  <c r="M333" i="16" s="1"/>
  <c r="I332" i="16"/>
  <c r="M332" i="16" s="1"/>
  <c r="I331" i="16"/>
  <c r="M331" i="16" s="1"/>
  <c r="I330" i="16"/>
  <c r="M330" i="16" s="1"/>
  <c r="I329" i="16"/>
  <c r="M329" i="16" s="1"/>
  <c r="I328" i="16"/>
  <c r="M328" i="16" s="1"/>
  <c r="I327" i="16"/>
  <c r="M327" i="16" s="1"/>
  <c r="I326" i="16"/>
  <c r="M326" i="16" s="1"/>
  <c r="I325" i="16"/>
  <c r="M325" i="16" s="1"/>
  <c r="I324" i="16"/>
  <c r="M324" i="16" s="1"/>
  <c r="I323" i="16"/>
  <c r="M323" i="16" s="1"/>
  <c r="I322" i="16"/>
  <c r="M322" i="16" s="1"/>
  <c r="I321" i="16"/>
  <c r="M321" i="16" s="1"/>
  <c r="I320" i="16"/>
  <c r="M320" i="16" s="1"/>
  <c r="I319" i="16"/>
  <c r="M319" i="16" s="1"/>
  <c r="I318" i="16"/>
  <c r="M318" i="16" s="1"/>
  <c r="I317" i="16"/>
  <c r="M317" i="16" s="1"/>
  <c r="I316" i="16"/>
  <c r="M316" i="16" s="1"/>
  <c r="I315" i="16"/>
  <c r="M315" i="16" s="1"/>
  <c r="I314" i="16"/>
  <c r="M314" i="16" s="1"/>
  <c r="I313" i="16"/>
  <c r="M313" i="16" s="1"/>
  <c r="I312" i="16"/>
  <c r="M312" i="16" s="1"/>
  <c r="I311" i="16"/>
  <c r="M311" i="16" s="1"/>
  <c r="I310" i="16"/>
  <c r="M310" i="16" s="1"/>
  <c r="I309" i="16"/>
  <c r="M309" i="16" s="1"/>
  <c r="I308" i="16"/>
  <c r="M308" i="16" s="1"/>
  <c r="I307" i="16"/>
  <c r="M307" i="16" s="1"/>
  <c r="I306" i="16"/>
  <c r="M306" i="16" s="1"/>
  <c r="I305" i="16"/>
  <c r="M305" i="16" s="1"/>
  <c r="I304" i="16"/>
  <c r="M304" i="16" s="1"/>
  <c r="I303" i="16"/>
  <c r="M303" i="16" s="1"/>
  <c r="I302" i="16"/>
  <c r="M302" i="16" s="1"/>
  <c r="I301" i="16"/>
  <c r="M301" i="16" s="1"/>
  <c r="I300" i="16"/>
  <c r="M300" i="16" s="1"/>
  <c r="I299" i="16"/>
  <c r="M299" i="16" s="1"/>
  <c r="I298" i="16"/>
  <c r="M298" i="16" s="1"/>
  <c r="I297" i="16"/>
  <c r="M297" i="16" s="1"/>
  <c r="I296" i="16"/>
  <c r="M296" i="16" s="1"/>
  <c r="I295" i="16"/>
  <c r="M295" i="16" s="1"/>
  <c r="I294" i="16"/>
  <c r="M294" i="16" s="1"/>
  <c r="I293" i="16"/>
  <c r="M293" i="16" s="1"/>
  <c r="I292" i="16"/>
  <c r="M292" i="16" s="1"/>
  <c r="I291" i="16"/>
  <c r="M291" i="16" s="1"/>
  <c r="I290" i="16"/>
  <c r="M290" i="16" s="1"/>
  <c r="I289" i="16"/>
  <c r="M289" i="16" s="1"/>
  <c r="I288" i="16"/>
  <c r="M288" i="16" s="1"/>
  <c r="I287" i="16"/>
  <c r="M287" i="16" s="1"/>
  <c r="I286" i="16"/>
  <c r="M286" i="16" s="1"/>
  <c r="I285" i="16"/>
  <c r="M285" i="16" s="1"/>
  <c r="I284" i="16"/>
  <c r="M284" i="16" s="1"/>
  <c r="I283" i="16"/>
  <c r="M283" i="16" s="1"/>
  <c r="I282" i="16"/>
  <c r="M282" i="16" s="1"/>
  <c r="I281" i="16"/>
  <c r="M281" i="16" s="1"/>
  <c r="I280" i="16"/>
  <c r="M280" i="16" s="1"/>
  <c r="I279" i="16"/>
  <c r="M279" i="16" s="1"/>
  <c r="I278" i="16"/>
  <c r="M278" i="16" s="1"/>
  <c r="I277" i="16"/>
  <c r="M277" i="16" s="1"/>
  <c r="I276" i="16"/>
  <c r="M276" i="16" s="1"/>
  <c r="I275" i="16"/>
  <c r="M275" i="16" s="1"/>
  <c r="I274" i="16"/>
  <c r="M274" i="16" s="1"/>
  <c r="I273" i="16"/>
  <c r="M273" i="16" s="1"/>
  <c r="I272" i="16"/>
  <c r="M272" i="16" s="1"/>
  <c r="I271" i="16"/>
  <c r="M271" i="16" s="1"/>
  <c r="I270" i="16"/>
  <c r="M270" i="16" s="1"/>
  <c r="I269" i="16"/>
  <c r="M269" i="16" s="1"/>
  <c r="I268" i="16"/>
  <c r="M268" i="16" s="1"/>
  <c r="I267" i="16"/>
  <c r="M267" i="16" s="1"/>
  <c r="I266" i="16"/>
  <c r="M266" i="16" s="1"/>
  <c r="I265" i="16"/>
  <c r="M265" i="16" s="1"/>
  <c r="I264" i="16"/>
  <c r="M264" i="16" s="1"/>
  <c r="I263" i="16"/>
  <c r="M263" i="16" s="1"/>
  <c r="I262" i="16"/>
  <c r="M262" i="16" s="1"/>
  <c r="I261" i="16"/>
  <c r="M261" i="16" s="1"/>
  <c r="I260" i="16"/>
  <c r="M260" i="16" s="1"/>
  <c r="I259" i="16"/>
  <c r="M259" i="16" s="1"/>
  <c r="I258" i="16"/>
  <c r="M258" i="16" s="1"/>
  <c r="I257" i="16"/>
  <c r="M257" i="16" s="1"/>
  <c r="I256" i="16"/>
  <c r="M256" i="16" s="1"/>
  <c r="I255" i="16"/>
  <c r="M255" i="16" s="1"/>
  <c r="I254" i="16"/>
  <c r="M254" i="16" s="1"/>
  <c r="I253" i="16"/>
  <c r="M253" i="16" s="1"/>
  <c r="I252" i="16"/>
  <c r="M252" i="16" s="1"/>
  <c r="I251" i="16"/>
  <c r="M251" i="16" s="1"/>
  <c r="I250" i="16"/>
  <c r="M250" i="16" s="1"/>
  <c r="I249" i="16"/>
  <c r="M249" i="16" s="1"/>
  <c r="I248" i="16"/>
  <c r="M248" i="16" s="1"/>
  <c r="I247" i="16"/>
  <c r="M247" i="16" s="1"/>
  <c r="I246" i="16"/>
  <c r="M246" i="16" s="1"/>
  <c r="I245" i="16"/>
  <c r="M245" i="16" s="1"/>
  <c r="I244" i="16"/>
  <c r="M244" i="16" s="1"/>
  <c r="I243" i="16"/>
  <c r="M243" i="16" s="1"/>
  <c r="I242" i="16"/>
  <c r="M242" i="16" s="1"/>
  <c r="I241" i="16"/>
  <c r="M241" i="16" s="1"/>
  <c r="I240" i="16"/>
  <c r="M240" i="16" s="1"/>
  <c r="I239" i="16"/>
  <c r="M239" i="16" s="1"/>
  <c r="I238" i="16"/>
  <c r="M238" i="16" s="1"/>
  <c r="I237" i="16"/>
  <c r="M237" i="16" s="1"/>
  <c r="I236" i="16"/>
  <c r="M236" i="16" s="1"/>
  <c r="I235" i="16"/>
  <c r="M235" i="16" s="1"/>
  <c r="I234" i="16"/>
  <c r="M234" i="16" s="1"/>
  <c r="I233" i="16"/>
  <c r="M233" i="16" s="1"/>
  <c r="I232" i="16"/>
  <c r="M232" i="16" s="1"/>
  <c r="I231" i="16"/>
  <c r="M231" i="16" s="1"/>
  <c r="I230" i="16"/>
  <c r="M230" i="16" s="1"/>
  <c r="I229" i="16"/>
  <c r="M229" i="16" s="1"/>
  <c r="I228" i="16"/>
  <c r="M228" i="16" s="1"/>
  <c r="I227" i="16"/>
  <c r="M227" i="16" s="1"/>
  <c r="I226" i="16"/>
  <c r="M226" i="16" s="1"/>
  <c r="I225" i="16"/>
  <c r="M225" i="16" s="1"/>
  <c r="I224" i="16"/>
  <c r="M224" i="16" s="1"/>
  <c r="I223" i="16"/>
  <c r="M223" i="16" s="1"/>
  <c r="I222" i="16"/>
  <c r="M222" i="16" s="1"/>
  <c r="I221" i="16"/>
  <c r="M221" i="16" s="1"/>
  <c r="I220" i="16"/>
  <c r="M220" i="16" s="1"/>
  <c r="I219" i="16"/>
  <c r="M219" i="16" s="1"/>
  <c r="I218" i="16"/>
  <c r="M218" i="16" s="1"/>
  <c r="I217" i="16"/>
  <c r="M217" i="16" s="1"/>
  <c r="I216" i="16"/>
  <c r="M216" i="16" s="1"/>
  <c r="I215" i="16"/>
  <c r="M215" i="16" s="1"/>
  <c r="I214" i="16"/>
  <c r="M214" i="16" s="1"/>
  <c r="I213" i="16"/>
  <c r="M213" i="16" s="1"/>
  <c r="I212" i="16"/>
  <c r="M212" i="16" s="1"/>
  <c r="I211" i="16"/>
  <c r="M211" i="16" s="1"/>
  <c r="I210" i="16"/>
  <c r="M210" i="16" s="1"/>
  <c r="I209" i="16"/>
  <c r="M209" i="16" s="1"/>
  <c r="I208" i="16"/>
  <c r="M208" i="16" s="1"/>
  <c r="I207" i="16"/>
  <c r="M207" i="16" s="1"/>
  <c r="I206" i="16"/>
  <c r="M206" i="16" s="1"/>
  <c r="I205" i="16"/>
  <c r="M205" i="16" s="1"/>
  <c r="I204" i="16"/>
  <c r="M204" i="16" s="1"/>
  <c r="I203" i="16"/>
  <c r="M203" i="16" s="1"/>
  <c r="I202" i="16"/>
  <c r="M202" i="16" s="1"/>
  <c r="I201" i="16"/>
  <c r="M201" i="16" s="1"/>
  <c r="I200" i="16"/>
  <c r="M200" i="16" s="1"/>
  <c r="I199" i="16"/>
  <c r="M199" i="16" s="1"/>
  <c r="I198" i="16"/>
  <c r="M198" i="16" s="1"/>
  <c r="I197" i="16"/>
  <c r="M197" i="16" s="1"/>
  <c r="I196" i="16"/>
  <c r="M196" i="16" s="1"/>
  <c r="I195" i="16"/>
  <c r="M195" i="16" s="1"/>
  <c r="I194" i="16"/>
  <c r="M194" i="16" s="1"/>
  <c r="I193" i="16"/>
  <c r="M193" i="16" s="1"/>
  <c r="I192" i="16"/>
  <c r="M192" i="16" s="1"/>
  <c r="I191" i="16"/>
  <c r="M191" i="16" s="1"/>
  <c r="I190" i="16"/>
  <c r="M190" i="16" s="1"/>
  <c r="I189" i="16"/>
  <c r="M189" i="16" s="1"/>
  <c r="I188" i="16"/>
  <c r="M188" i="16" s="1"/>
  <c r="I187" i="16"/>
  <c r="M187" i="16" s="1"/>
  <c r="I186" i="16"/>
  <c r="M186" i="16" s="1"/>
  <c r="I185" i="16"/>
  <c r="M185" i="16" s="1"/>
  <c r="I184" i="16"/>
  <c r="M184" i="16" s="1"/>
  <c r="I183" i="16"/>
  <c r="M183" i="16" s="1"/>
  <c r="I182" i="16"/>
  <c r="M182" i="16" s="1"/>
  <c r="I181" i="16"/>
  <c r="M181" i="16" s="1"/>
  <c r="I180" i="16"/>
  <c r="M180" i="16" s="1"/>
  <c r="I179" i="16"/>
  <c r="M179" i="16" s="1"/>
  <c r="I178" i="16"/>
  <c r="M178" i="16" s="1"/>
  <c r="I177" i="16"/>
  <c r="M177" i="16" s="1"/>
  <c r="I176" i="16"/>
  <c r="M176" i="16" s="1"/>
  <c r="I175" i="16"/>
  <c r="M175" i="16" s="1"/>
  <c r="I174" i="16"/>
  <c r="M174" i="16" s="1"/>
  <c r="I173" i="16"/>
  <c r="M173" i="16" s="1"/>
  <c r="I172" i="16"/>
  <c r="M172" i="16" s="1"/>
  <c r="I171" i="16"/>
  <c r="M171" i="16" s="1"/>
  <c r="I170" i="16"/>
  <c r="M170" i="16" s="1"/>
  <c r="I169" i="16"/>
  <c r="M169" i="16" s="1"/>
  <c r="I168" i="16"/>
  <c r="M168" i="16" s="1"/>
  <c r="I167" i="16"/>
  <c r="M167" i="16" s="1"/>
  <c r="I166" i="16"/>
  <c r="M166" i="16" s="1"/>
  <c r="I165" i="16"/>
  <c r="M165" i="16" s="1"/>
  <c r="I164" i="16"/>
  <c r="M164" i="16" s="1"/>
  <c r="I163" i="16"/>
  <c r="M163" i="16" s="1"/>
  <c r="I162" i="16"/>
  <c r="M162" i="16" s="1"/>
  <c r="I161" i="16"/>
  <c r="M161" i="16" s="1"/>
  <c r="I160" i="16"/>
  <c r="M160" i="16" s="1"/>
  <c r="I159" i="16"/>
  <c r="M159" i="16" s="1"/>
  <c r="I158" i="16"/>
  <c r="M158" i="16" s="1"/>
  <c r="I157" i="16"/>
  <c r="M157" i="16" s="1"/>
  <c r="I156" i="16"/>
  <c r="M156" i="16" s="1"/>
  <c r="I155" i="16"/>
  <c r="M155" i="16" s="1"/>
  <c r="I154" i="16"/>
  <c r="M154" i="16" s="1"/>
  <c r="I153" i="16"/>
  <c r="M153" i="16" s="1"/>
  <c r="I152" i="16"/>
  <c r="M152" i="16" s="1"/>
  <c r="I151" i="16"/>
  <c r="M151" i="16" s="1"/>
  <c r="I150" i="16"/>
  <c r="M150" i="16" s="1"/>
  <c r="I149" i="16"/>
  <c r="M149" i="16" s="1"/>
  <c r="I148" i="16"/>
  <c r="M148" i="16" s="1"/>
  <c r="I147" i="16"/>
  <c r="M147" i="16" s="1"/>
  <c r="I146" i="16"/>
  <c r="M146" i="16" s="1"/>
  <c r="I145" i="16"/>
  <c r="M145" i="16" s="1"/>
  <c r="I144" i="16"/>
  <c r="M144" i="16" s="1"/>
  <c r="I143" i="16"/>
  <c r="M143" i="16" s="1"/>
  <c r="I142" i="16"/>
  <c r="M142" i="16" s="1"/>
  <c r="I141" i="16"/>
  <c r="M141" i="16" s="1"/>
  <c r="I140" i="16"/>
  <c r="M140" i="16" s="1"/>
  <c r="I139" i="16"/>
  <c r="M139" i="16" s="1"/>
  <c r="I138" i="16"/>
  <c r="M138" i="16" s="1"/>
  <c r="I137" i="16"/>
  <c r="M137" i="16" s="1"/>
  <c r="I136" i="16"/>
  <c r="M136" i="16" s="1"/>
  <c r="I135" i="16"/>
  <c r="M135" i="16" s="1"/>
  <c r="I134" i="16"/>
  <c r="M134" i="16" s="1"/>
  <c r="I133" i="16"/>
  <c r="M133" i="16" s="1"/>
  <c r="I132" i="16"/>
  <c r="M132" i="16" s="1"/>
  <c r="I131" i="16"/>
  <c r="M131" i="16" s="1"/>
  <c r="I130" i="16"/>
  <c r="M130" i="16" s="1"/>
  <c r="I129" i="16"/>
  <c r="M129" i="16" s="1"/>
  <c r="I128" i="16"/>
  <c r="M128" i="16" s="1"/>
  <c r="I127" i="16"/>
  <c r="M127" i="16" s="1"/>
  <c r="I126" i="16"/>
  <c r="M126" i="16" s="1"/>
  <c r="I125" i="16"/>
  <c r="M125" i="16" s="1"/>
  <c r="I124" i="16"/>
  <c r="M124" i="16" s="1"/>
  <c r="I123" i="16"/>
  <c r="M123" i="16" s="1"/>
  <c r="I122" i="16"/>
  <c r="M122" i="16" s="1"/>
  <c r="I121" i="16"/>
  <c r="M121" i="16" s="1"/>
  <c r="I120" i="16"/>
  <c r="M120" i="16" s="1"/>
  <c r="I119" i="16"/>
  <c r="M119" i="16" s="1"/>
  <c r="I118" i="16"/>
  <c r="M118" i="16" s="1"/>
  <c r="I117" i="16"/>
  <c r="M117" i="16" s="1"/>
  <c r="I116" i="16"/>
  <c r="M116" i="16" s="1"/>
  <c r="I115" i="16"/>
  <c r="M115" i="16" s="1"/>
  <c r="I114" i="16"/>
  <c r="M114" i="16" s="1"/>
  <c r="I113" i="16"/>
  <c r="M113" i="16" s="1"/>
  <c r="I112" i="16"/>
  <c r="M112" i="16" s="1"/>
  <c r="I111" i="16"/>
  <c r="M111" i="16" s="1"/>
  <c r="I110" i="16"/>
  <c r="M110" i="16" s="1"/>
  <c r="I109" i="16"/>
  <c r="M109" i="16" s="1"/>
  <c r="I108" i="16"/>
  <c r="M108" i="16" s="1"/>
  <c r="I107" i="16"/>
  <c r="M107" i="16" s="1"/>
  <c r="I106" i="16"/>
  <c r="M106" i="16" s="1"/>
  <c r="I105" i="16"/>
  <c r="M105" i="16" s="1"/>
  <c r="I104" i="16"/>
  <c r="M104" i="16" s="1"/>
  <c r="I103" i="16"/>
  <c r="M103" i="16" s="1"/>
  <c r="I102" i="16"/>
  <c r="M102" i="16" s="1"/>
  <c r="I101" i="16"/>
  <c r="M101" i="16" s="1"/>
  <c r="I100" i="16"/>
  <c r="M100" i="16" s="1"/>
  <c r="I99" i="16"/>
  <c r="M99" i="16" s="1"/>
  <c r="I98" i="16"/>
  <c r="M98" i="16" s="1"/>
  <c r="I97" i="16"/>
  <c r="M97" i="16" s="1"/>
  <c r="I96" i="16"/>
  <c r="M96" i="16" s="1"/>
  <c r="I95" i="16"/>
  <c r="M95" i="16" s="1"/>
  <c r="I94" i="16"/>
  <c r="M94" i="16" s="1"/>
  <c r="I93" i="16"/>
  <c r="M93" i="16" s="1"/>
  <c r="I92" i="16"/>
  <c r="M92" i="16" s="1"/>
  <c r="I91" i="16"/>
  <c r="M91" i="16" s="1"/>
  <c r="I90" i="16"/>
  <c r="M90" i="16" s="1"/>
  <c r="I89" i="16"/>
  <c r="M89" i="16" s="1"/>
  <c r="I88" i="16"/>
  <c r="M88" i="16" s="1"/>
  <c r="I87" i="16"/>
  <c r="M87" i="16" s="1"/>
  <c r="I86" i="16"/>
  <c r="M86" i="16" s="1"/>
  <c r="I85" i="16"/>
  <c r="M85" i="16" s="1"/>
  <c r="I84" i="16"/>
  <c r="M84" i="16" s="1"/>
  <c r="I83" i="16"/>
  <c r="M83" i="16" s="1"/>
  <c r="I82" i="16"/>
  <c r="M82" i="16" s="1"/>
  <c r="I81" i="16"/>
  <c r="M81" i="16" s="1"/>
  <c r="I80" i="16"/>
  <c r="M80" i="16" s="1"/>
  <c r="I79" i="16"/>
  <c r="M79" i="16" s="1"/>
  <c r="I78" i="16"/>
  <c r="M78" i="16" s="1"/>
  <c r="I77" i="16"/>
  <c r="M77" i="16" s="1"/>
  <c r="I76" i="16"/>
  <c r="M76" i="16" s="1"/>
  <c r="I75" i="16"/>
  <c r="M75" i="16" s="1"/>
  <c r="I74" i="16"/>
  <c r="M74" i="16" s="1"/>
  <c r="I73" i="16"/>
  <c r="M73" i="16" s="1"/>
  <c r="I72" i="16"/>
  <c r="M72" i="16" s="1"/>
  <c r="I71" i="16"/>
  <c r="M71" i="16" s="1"/>
  <c r="I70" i="16"/>
  <c r="M70" i="16" s="1"/>
  <c r="I69" i="16"/>
  <c r="M69" i="16" s="1"/>
  <c r="I68" i="16"/>
  <c r="M68" i="16" s="1"/>
  <c r="I67" i="16"/>
  <c r="M67" i="16" s="1"/>
  <c r="I66" i="16"/>
  <c r="M66" i="16" s="1"/>
  <c r="I65" i="16"/>
  <c r="M65" i="16" s="1"/>
  <c r="I64" i="16"/>
  <c r="M64" i="16" s="1"/>
  <c r="I63" i="16"/>
  <c r="M63" i="16" s="1"/>
  <c r="I62" i="16"/>
  <c r="M62" i="16" s="1"/>
  <c r="I61" i="16"/>
  <c r="M61" i="16" s="1"/>
  <c r="I60" i="16"/>
  <c r="M60" i="16" s="1"/>
  <c r="I59" i="16"/>
  <c r="M59" i="16" s="1"/>
  <c r="I58" i="16"/>
  <c r="M58" i="16" s="1"/>
  <c r="I57" i="16"/>
  <c r="M57" i="16" s="1"/>
  <c r="I56" i="16"/>
  <c r="M56" i="16" s="1"/>
  <c r="I55" i="16"/>
  <c r="M55" i="16" s="1"/>
  <c r="I54" i="16"/>
  <c r="M54" i="16" s="1"/>
  <c r="I53" i="16"/>
  <c r="M53" i="16" s="1"/>
  <c r="I52" i="16"/>
  <c r="M52" i="16" s="1"/>
  <c r="I51" i="16"/>
  <c r="M51" i="16" s="1"/>
  <c r="I50" i="16"/>
  <c r="M50" i="16" s="1"/>
  <c r="I49" i="16"/>
  <c r="M49" i="16" s="1"/>
  <c r="I48" i="16"/>
  <c r="M48" i="16" s="1"/>
  <c r="I47" i="16"/>
  <c r="M47" i="16" s="1"/>
  <c r="I46" i="16"/>
  <c r="M46" i="16" s="1"/>
  <c r="I45" i="16"/>
  <c r="M45" i="16" s="1"/>
  <c r="I44" i="16"/>
  <c r="M44" i="16" s="1"/>
  <c r="I43" i="16"/>
  <c r="M43" i="16" s="1"/>
  <c r="I42" i="16"/>
  <c r="M42" i="16" s="1"/>
  <c r="I41" i="16"/>
  <c r="M41" i="16" s="1"/>
  <c r="I40" i="16"/>
  <c r="M40" i="16" s="1"/>
  <c r="I39" i="16"/>
  <c r="M39" i="16" s="1"/>
  <c r="I38" i="16"/>
  <c r="M38" i="16" s="1"/>
  <c r="I37" i="16"/>
  <c r="M37" i="16" s="1"/>
  <c r="I36" i="16"/>
  <c r="M36" i="16" s="1"/>
  <c r="I35" i="16"/>
  <c r="M35" i="16" s="1"/>
  <c r="I34" i="16"/>
  <c r="M34" i="16" s="1"/>
  <c r="I33" i="16"/>
  <c r="M33" i="16" s="1"/>
  <c r="I32" i="16"/>
  <c r="M32" i="16" s="1"/>
  <c r="I31" i="16"/>
  <c r="M31" i="16" s="1"/>
  <c r="I30" i="16"/>
  <c r="M30" i="16" s="1"/>
  <c r="I29" i="16"/>
  <c r="M29" i="16" s="1"/>
  <c r="I28" i="16"/>
  <c r="M28" i="16" s="1"/>
  <c r="I27" i="16"/>
  <c r="M27" i="16" s="1"/>
  <c r="I26" i="16"/>
  <c r="M26" i="16" s="1"/>
  <c r="I25" i="16"/>
  <c r="M25" i="16" s="1"/>
  <c r="I24" i="16"/>
  <c r="M24" i="16" s="1"/>
  <c r="I23" i="16"/>
  <c r="M23" i="16" s="1"/>
  <c r="I22" i="16"/>
  <c r="M22" i="16" s="1"/>
  <c r="I21" i="16"/>
  <c r="M21" i="16" s="1"/>
  <c r="I20" i="16"/>
  <c r="M20" i="16" s="1"/>
  <c r="I19" i="16"/>
  <c r="M19" i="16" s="1"/>
  <c r="I18" i="16"/>
  <c r="M18" i="16" s="1"/>
  <c r="I17" i="16"/>
  <c r="M17" i="16" s="1"/>
  <c r="I16" i="16"/>
  <c r="M16" i="16" s="1"/>
  <c r="I15" i="16"/>
  <c r="M15" i="16" s="1"/>
  <c r="I14" i="16"/>
  <c r="M14" i="16" s="1"/>
  <c r="I13" i="16"/>
  <c r="M13" i="16" s="1"/>
  <c r="I12" i="16"/>
  <c r="M12" i="16" s="1"/>
  <c r="I11" i="16"/>
  <c r="M11" i="16" s="1"/>
  <c r="I10" i="16"/>
  <c r="M10" i="16" s="1"/>
  <c r="I9" i="16"/>
  <c r="M9" i="16" s="1"/>
  <c r="H1000" i="16"/>
  <c r="L1000" i="16" s="1"/>
  <c r="H999" i="16"/>
  <c r="L999" i="16" s="1"/>
  <c r="H998" i="16"/>
  <c r="L998" i="16" s="1"/>
  <c r="H997" i="16"/>
  <c r="L997" i="16" s="1"/>
  <c r="H996" i="16"/>
  <c r="L996" i="16" s="1"/>
  <c r="H995" i="16"/>
  <c r="L995" i="16" s="1"/>
  <c r="H994" i="16"/>
  <c r="L994" i="16" s="1"/>
  <c r="H993" i="16"/>
  <c r="L993" i="16" s="1"/>
  <c r="H992" i="16"/>
  <c r="L992" i="16" s="1"/>
  <c r="H991" i="16"/>
  <c r="L991" i="16" s="1"/>
  <c r="H990" i="16"/>
  <c r="L990" i="16" s="1"/>
  <c r="H989" i="16"/>
  <c r="L989" i="16" s="1"/>
  <c r="H988" i="16"/>
  <c r="L988" i="16" s="1"/>
  <c r="H987" i="16"/>
  <c r="L987" i="16" s="1"/>
  <c r="H986" i="16"/>
  <c r="L986" i="16" s="1"/>
  <c r="H985" i="16"/>
  <c r="L985" i="16" s="1"/>
  <c r="H984" i="16"/>
  <c r="L984" i="16" s="1"/>
  <c r="H983" i="16"/>
  <c r="L983" i="16" s="1"/>
  <c r="H982" i="16"/>
  <c r="L982" i="16" s="1"/>
  <c r="H981" i="16"/>
  <c r="L981" i="16" s="1"/>
  <c r="H980" i="16"/>
  <c r="L980" i="16" s="1"/>
  <c r="H979" i="16"/>
  <c r="L979" i="16" s="1"/>
  <c r="H978" i="16"/>
  <c r="L978" i="16" s="1"/>
  <c r="H977" i="16"/>
  <c r="L977" i="16" s="1"/>
  <c r="H976" i="16"/>
  <c r="L976" i="16" s="1"/>
  <c r="H975" i="16"/>
  <c r="L975" i="16" s="1"/>
  <c r="H974" i="16"/>
  <c r="L974" i="16" s="1"/>
  <c r="H973" i="16"/>
  <c r="L973" i="16" s="1"/>
  <c r="H972" i="16"/>
  <c r="L972" i="16" s="1"/>
  <c r="H971" i="16"/>
  <c r="L971" i="16" s="1"/>
  <c r="H970" i="16"/>
  <c r="L970" i="16" s="1"/>
  <c r="H969" i="16"/>
  <c r="L969" i="16" s="1"/>
  <c r="H968" i="16"/>
  <c r="L968" i="16" s="1"/>
  <c r="H967" i="16"/>
  <c r="L967" i="16" s="1"/>
  <c r="H966" i="16"/>
  <c r="L966" i="16" s="1"/>
  <c r="H965" i="16"/>
  <c r="L965" i="16" s="1"/>
  <c r="H964" i="16"/>
  <c r="L964" i="16" s="1"/>
  <c r="H963" i="16"/>
  <c r="L963" i="16" s="1"/>
  <c r="H962" i="16"/>
  <c r="L962" i="16" s="1"/>
  <c r="H961" i="16"/>
  <c r="L961" i="16" s="1"/>
  <c r="H960" i="16"/>
  <c r="L960" i="16" s="1"/>
  <c r="H959" i="16"/>
  <c r="L959" i="16" s="1"/>
  <c r="H958" i="16"/>
  <c r="L958" i="16" s="1"/>
  <c r="H957" i="16"/>
  <c r="L957" i="16" s="1"/>
  <c r="H956" i="16"/>
  <c r="L956" i="16" s="1"/>
  <c r="H955" i="16"/>
  <c r="L955" i="16" s="1"/>
  <c r="H954" i="16"/>
  <c r="L954" i="16" s="1"/>
  <c r="H953" i="16"/>
  <c r="L953" i="16" s="1"/>
  <c r="H952" i="16"/>
  <c r="L952" i="16" s="1"/>
  <c r="H951" i="16"/>
  <c r="L951" i="16" s="1"/>
  <c r="H950" i="16"/>
  <c r="L950" i="16" s="1"/>
  <c r="H949" i="16"/>
  <c r="L949" i="16" s="1"/>
  <c r="H948" i="16"/>
  <c r="L948" i="16" s="1"/>
  <c r="H947" i="16"/>
  <c r="L947" i="16" s="1"/>
  <c r="H946" i="16"/>
  <c r="L946" i="16" s="1"/>
  <c r="H945" i="16"/>
  <c r="L945" i="16" s="1"/>
  <c r="H944" i="16"/>
  <c r="L944" i="16" s="1"/>
  <c r="H943" i="16"/>
  <c r="L943" i="16" s="1"/>
  <c r="H942" i="16"/>
  <c r="L942" i="16" s="1"/>
  <c r="H941" i="16"/>
  <c r="L941" i="16" s="1"/>
  <c r="H940" i="16"/>
  <c r="L940" i="16" s="1"/>
  <c r="H939" i="16"/>
  <c r="L939" i="16" s="1"/>
  <c r="H938" i="16"/>
  <c r="L938" i="16" s="1"/>
  <c r="H937" i="16"/>
  <c r="L937" i="16" s="1"/>
  <c r="H936" i="16"/>
  <c r="L936" i="16" s="1"/>
  <c r="H935" i="16"/>
  <c r="L935" i="16" s="1"/>
  <c r="H934" i="16"/>
  <c r="L934" i="16" s="1"/>
  <c r="H933" i="16"/>
  <c r="L933" i="16" s="1"/>
  <c r="H932" i="16"/>
  <c r="L932" i="16" s="1"/>
  <c r="H931" i="16"/>
  <c r="L931" i="16" s="1"/>
  <c r="H930" i="16"/>
  <c r="L930" i="16" s="1"/>
  <c r="H929" i="16"/>
  <c r="L929" i="16" s="1"/>
  <c r="H928" i="16"/>
  <c r="L928" i="16" s="1"/>
  <c r="H927" i="16"/>
  <c r="L927" i="16" s="1"/>
  <c r="H926" i="16"/>
  <c r="L926" i="16" s="1"/>
  <c r="H925" i="16"/>
  <c r="L925" i="16" s="1"/>
  <c r="H924" i="16"/>
  <c r="L924" i="16" s="1"/>
  <c r="H923" i="16"/>
  <c r="L923" i="16" s="1"/>
  <c r="H922" i="16"/>
  <c r="L922" i="16" s="1"/>
  <c r="H921" i="16"/>
  <c r="L921" i="16" s="1"/>
  <c r="H920" i="16"/>
  <c r="L920" i="16" s="1"/>
  <c r="H919" i="16"/>
  <c r="L919" i="16" s="1"/>
  <c r="H918" i="16"/>
  <c r="L918" i="16" s="1"/>
  <c r="H917" i="16"/>
  <c r="L917" i="16" s="1"/>
  <c r="H916" i="16"/>
  <c r="L916" i="16" s="1"/>
  <c r="H915" i="16"/>
  <c r="L915" i="16" s="1"/>
  <c r="H914" i="16"/>
  <c r="L914" i="16" s="1"/>
  <c r="H913" i="16"/>
  <c r="L913" i="16" s="1"/>
  <c r="H912" i="16"/>
  <c r="L912" i="16" s="1"/>
  <c r="H911" i="16"/>
  <c r="L911" i="16" s="1"/>
  <c r="H910" i="16"/>
  <c r="L910" i="16" s="1"/>
  <c r="H909" i="16"/>
  <c r="L909" i="16" s="1"/>
  <c r="H908" i="16"/>
  <c r="L908" i="16" s="1"/>
  <c r="H907" i="16"/>
  <c r="L907" i="16" s="1"/>
  <c r="H906" i="16"/>
  <c r="L906" i="16" s="1"/>
  <c r="H905" i="16"/>
  <c r="L905" i="16" s="1"/>
  <c r="H904" i="16"/>
  <c r="L904" i="16" s="1"/>
  <c r="H903" i="16"/>
  <c r="L903" i="16" s="1"/>
  <c r="H902" i="16"/>
  <c r="L902" i="16" s="1"/>
  <c r="H901" i="16"/>
  <c r="L901" i="16" s="1"/>
  <c r="H900" i="16"/>
  <c r="L900" i="16" s="1"/>
  <c r="H899" i="16"/>
  <c r="L899" i="16" s="1"/>
  <c r="H898" i="16"/>
  <c r="L898" i="16" s="1"/>
  <c r="H897" i="16"/>
  <c r="L897" i="16" s="1"/>
  <c r="H896" i="16"/>
  <c r="L896" i="16" s="1"/>
  <c r="H895" i="16"/>
  <c r="L895" i="16" s="1"/>
  <c r="H894" i="16"/>
  <c r="L894" i="16" s="1"/>
  <c r="H893" i="16"/>
  <c r="L893" i="16" s="1"/>
  <c r="H892" i="16"/>
  <c r="L892" i="16" s="1"/>
  <c r="H891" i="16"/>
  <c r="L891" i="16" s="1"/>
  <c r="H890" i="16"/>
  <c r="L890" i="16" s="1"/>
  <c r="H889" i="16"/>
  <c r="L889" i="16" s="1"/>
  <c r="H888" i="16"/>
  <c r="L888" i="16" s="1"/>
  <c r="H887" i="16"/>
  <c r="L887" i="16" s="1"/>
  <c r="H886" i="16"/>
  <c r="L886" i="16" s="1"/>
  <c r="H885" i="16"/>
  <c r="L885" i="16" s="1"/>
  <c r="H884" i="16"/>
  <c r="L884" i="16" s="1"/>
  <c r="H883" i="16"/>
  <c r="L883" i="16" s="1"/>
  <c r="H882" i="16"/>
  <c r="L882" i="16" s="1"/>
  <c r="H881" i="16"/>
  <c r="L881" i="16" s="1"/>
  <c r="H880" i="16"/>
  <c r="L880" i="16" s="1"/>
  <c r="H879" i="16"/>
  <c r="L879" i="16" s="1"/>
  <c r="H878" i="16"/>
  <c r="L878" i="16" s="1"/>
  <c r="H877" i="16"/>
  <c r="L877" i="16" s="1"/>
  <c r="H876" i="16"/>
  <c r="L876" i="16" s="1"/>
  <c r="H875" i="16"/>
  <c r="L875" i="16" s="1"/>
  <c r="H874" i="16"/>
  <c r="L874" i="16" s="1"/>
  <c r="H873" i="16"/>
  <c r="L873" i="16" s="1"/>
  <c r="H872" i="16"/>
  <c r="L872" i="16" s="1"/>
  <c r="H871" i="16"/>
  <c r="L871" i="16" s="1"/>
  <c r="H870" i="16"/>
  <c r="L870" i="16" s="1"/>
  <c r="H869" i="16"/>
  <c r="L869" i="16" s="1"/>
  <c r="H868" i="16"/>
  <c r="L868" i="16" s="1"/>
  <c r="H867" i="16"/>
  <c r="L867" i="16" s="1"/>
  <c r="H866" i="16"/>
  <c r="L866" i="16" s="1"/>
  <c r="H865" i="16"/>
  <c r="L865" i="16" s="1"/>
  <c r="H864" i="16"/>
  <c r="L864" i="16" s="1"/>
  <c r="H863" i="16"/>
  <c r="L863" i="16" s="1"/>
  <c r="H862" i="16"/>
  <c r="L862" i="16" s="1"/>
  <c r="H861" i="16"/>
  <c r="L861" i="16" s="1"/>
  <c r="H860" i="16"/>
  <c r="L860" i="16" s="1"/>
  <c r="H859" i="16"/>
  <c r="L859" i="16" s="1"/>
  <c r="H858" i="16"/>
  <c r="L858" i="16" s="1"/>
  <c r="H857" i="16"/>
  <c r="L857" i="16" s="1"/>
  <c r="H856" i="16"/>
  <c r="L856" i="16" s="1"/>
  <c r="H855" i="16"/>
  <c r="L855" i="16" s="1"/>
  <c r="H854" i="16"/>
  <c r="L854" i="16" s="1"/>
  <c r="H853" i="16"/>
  <c r="L853" i="16" s="1"/>
  <c r="H852" i="16"/>
  <c r="L852" i="16" s="1"/>
  <c r="H851" i="16"/>
  <c r="L851" i="16" s="1"/>
  <c r="H850" i="16"/>
  <c r="L850" i="16" s="1"/>
  <c r="H849" i="16"/>
  <c r="L849" i="16" s="1"/>
  <c r="H848" i="16"/>
  <c r="L848" i="16" s="1"/>
  <c r="H847" i="16"/>
  <c r="L847" i="16" s="1"/>
  <c r="H846" i="16"/>
  <c r="L846" i="16" s="1"/>
  <c r="H845" i="16"/>
  <c r="L845" i="16" s="1"/>
  <c r="H844" i="16"/>
  <c r="L844" i="16" s="1"/>
  <c r="H843" i="16"/>
  <c r="L843" i="16" s="1"/>
  <c r="H842" i="16"/>
  <c r="L842" i="16" s="1"/>
  <c r="H841" i="16"/>
  <c r="L841" i="16" s="1"/>
  <c r="H840" i="16"/>
  <c r="L840" i="16" s="1"/>
  <c r="H839" i="16"/>
  <c r="L839" i="16" s="1"/>
  <c r="H838" i="16"/>
  <c r="L838" i="16" s="1"/>
  <c r="H837" i="16"/>
  <c r="L837" i="16" s="1"/>
  <c r="H836" i="16"/>
  <c r="L836" i="16" s="1"/>
  <c r="H835" i="16"/>
  <c r="L835" i="16" s="1"/>
  <c r="H834" i="16"/>
  <c r="L834" i="16" s="1"/>
  <c r="H833" i="16"/>
  <c r="L833" i="16" s="1"/>
  <c r="H832" i="16"/>
  <c r="L832" i="16" s="1"/>
  <c r="H831" i="16"/>
  <c r="L831" i="16" s="1"/>
  <c r="H830" i="16"/>
  <c r="L830" i="16" s="1"/>
  <c r="H829" i="16"/>
  <c r="L829" i="16" s="1"/>
  <c r="H828" i="16"/>
  <c r="L828" i="16" s="1"/>
  <c r="H827" i="16"/>
  <c r="L827" i="16" s="1"/>
  <c r="H826" i="16"/>
  <c r="L826" i="16" s="1"/>
  <c r="H825" i="16"/>
  <c r="L825" i="16" s="1"/>
  <c r="H824" i="16"/>
  <c r="L824" i="16" s="1"/>
  <c r="H823" i="16"/>
  <c r="L823" i="16" s="1"/>
  <c r="H822" i="16"/>
  <c r="L822" i="16" s="1"/>
  <c r="H821" i="16"/>
  <c r="L821" i="16" s="1"/>
  <c r="H820" i="16"/>
  <c r="L820" i="16" s="1"/>
  <c r="H819" i="16"/>
  <c r="L819" i="16" s="1"/>
  <c r="H818" i="16"/>
  <c r="L818" i="16" s="1"/>
  <c r="H817" i="16"/>
  <c r="L817" i="16" s="1"/>
  <c r="H816" i="16"/>
  <c r="L816" i="16" s="1"/>
  <c r="H815" i="16"/>
  <c r="L815" i="16" s="1"/>
  <c r="H814" i="16"/>
  <c r="L814" i="16" s="1"/>
  <c r="H813" i="16"/>
  <c r="L813" i="16" s="1"/>
  <c r="H812" i="16"/>
  <c r="L812" i="16" s="1"/>
  <c r="H811" i="16"/>
  <c r="L811" i="16" s="1"/>
  <c r="H810" i="16"/>
  <c r="L810" i="16" s="1"/>
  <c r="H809" i="16"/>
  <c r="L809" i="16" s="1"/>
  <c r="H808" i="16"/>
  <c r="L808" i="16" s="1"/>
  <c r="H807" i="16"/>
  <c r="L807" i="16" s="1"/>
  <c r="H806" i="16"/>
  <c r="L806" i="16" s="1"/>
  <c r="H805" i="16"/>
  <c r="L805" i="16" s="1"/>
  <c r="H804" i="16"/>
  <c r="L804" i="16" s="1"/>
  <c r="H803" i="16"/>
  <c r="L803" i="16" s="1"/>
  <c r="H802" i="16"/>
  <c r="L802" i="16" s="1"/>
  <c r="H801" i="16"/>
  <c r="L801" i="16" s="1"/>
  <c r="H800" i="16"/>
  <c r="L800" i="16" s="1"/>
  <c r="H799" i="16"/>
  <c r="L799" i="16" s="1"/>
  <c r="H798" i="16"/>
  <c r="L798" i="16" s="1"/>
  <c r="H797" i="16"/>
  <c r="L797" i="16" s="1"/>
  <c r="H796" i="16"/>
  <c r="L796" i="16" s="1"/>
  <c r="H795" i="16"/>
  <c r="L795" i="16" s="1"/>
  <c r="H794" i="16"/>
  <c r="L794" i="16" s="1"/>
  <c r="H793" i="16"/>
  <c r="L793" i="16" s="1"/>
  <c r="H792" i="16"/>
  <c r="L792" i="16" s="1"/>
  <c r="H791" i="16"/>
  <c r="L791" i="16" s="1"/>
  <c r="H790" i="16"/>
  <c r="L790" i="16" s="1"/>
  <c r="H789" i="16"/>
  <c r="L789" i="16" s="1"/>
  <c r="H788" i="16"/>
  <c r="L788" i="16" s="1"/>
  <c r="H787" i="16"/>
  <c r="L787" i="16" s="1"/>
  <c r="H786" i="16"/>
  <c r="L786" i="16" s="1"/>
  <c r="H785" i="16"/>
  <c r="L785" i="16" s="1"/>
  <c r="H784" i="16"/>
  <c r="L784" i="16" s="1"/>
  <c r="H783" i="16"/>
  <c r="L783" i="16" s="1"/>
  <c r="H782" i="16"/>
  <c r="L782" i="16" s="1"/>
  <c r="H781" i="16"/>
  <c r="L781" i="16" s="1"/>
  <c r="H780" i="16"/>
  <c r="L780" i="16" s="1"/>
  <c r="H779" i="16"/>
  <c r="L779" i="16" s="1"/>
  <c r="H778" i="16"/>
  <c r="L778" i="16" s="1"/>
  <c r="H777" i="16"/>
  <c r="L777" i="16" s="1"/>
  <c r="H776" i="16"/>
  <c r="L776" i="16" s="1"/>
  <c r="H775" i="16"/>
  <c r="L775" i="16" s="1"/>
  <c r="H774" i="16"/>
  <c r="L774" i="16" s="1"/>
  <c r="H773" i="16"/>
  <c r="L773" i="16" s="1"/>
  <c r="H772" i="16"/>
  <c r="L772" i="16" s="1"/>
  <c r="H771" i="16"/>
  <c r="L771" i="16" s="1"/>
  <c r="H770" i="16"/>
  <c r="L770" i="16" s="1"/>
  <c r="H769" i="16"/>
  <c r="L769" i="16" s="1"/>
  <c r="H768" i="16"/>
  <c r="L768" i="16" s="1"/>
  <c r="H767" i="16"/>
  <c r="L767" i="16" s="1"/>
  <c r="H766" i="16"/>
  <c r="L766" i="16" s="1"/>
  <c r="H765" i="16"/>
  <c r="L765" i="16" s="1"/>
  <c r="H764" i="16"/>
  <c r="L764" i="16" s="1"/>
  <c r="H763" i="16"/>
  <c r="L763" i="16" s="1"/>
  <c r="H762" i="16"/>
  <c r="L762" i="16" s="1"/>
  <c r="H761" i="16"/>
  <c r="L761" i="16" s="1"/>
  <c r="H760" i="16"/>
  <c r="L760" i="16" s="1"/>
  <c r="H759" i="16"/>
  <c r="L759" i="16" s="1"/>
  <c r="H758" i="16"/>
  <c r="L758" i="16" s="1"/>
  <c r="H757" i="16"/>
  <c r="L757" i="16" s="1"/>
  <c r="H756" i="16"/>
  <c r="L756" i="16" s="1"/>
  <c r="H755" i="16"/>
  <c r="L755" i="16" s="1"/>
  <c r="H754" i="16"/>
  <c r="L754" i="16" s="1"/>
  <c r="H753" i="16"/>
  <c r="L753" i="16" s="1"/>
  <c r="H752" i="16"/>
  <c r="L752" i="16" s="1"/>
  <c r="H751" i="16"/>
  <c r="L751" i="16" s="1"/>
  <c r="H750" i="16"/>
  <c r="L750" i="16" s="1"/>
  <c r="H749" i="16"/>
  <c r="L749" i="16" s="1"/>
  <c r="H748" i="16"/>
  <c r="L748" i="16" s="1"/>
  <c r="H747" i="16"/>
  <c r="L747" i="16" s="1"/>
  <c r="H746" i="16"/>
  <c r="L746" i="16" s="1"/>
  <c r="H745" i="16"/>
  <c r="L745" i="16" s="1"/>
  <c r="H744" i="16"/>
  <c r="L744" i="16" s="1"/>
  <c r="H743" i="16"/>
  <c r="L743" i="16" s="1"/>
  <c r="H742" i="16"/>
  <c r="L742" i="16" s="1"/>
  <c r="H741" i="16"/>
  <c r="L741" i="16" s="1"/>
  <c r="H740" i="16"/>
  <c r="L740" i="16" s="1"/>
  <c r="H739" i="16"/>
  <c r="L739" i="16" s="1"/>
  <c r="H738" i="16"/>
  <c r="L738" i="16" s="1"/>
  <c r="H737" i="16"/>
  <c r="L737" i="16" s="1"/>
  <c r="H736" i="16"/>
  <c r="L736" i="16" s="1"/>
  <c r="H735" i="16"/>
  <c r="L735" i="16" s="1"/>
  <c r="H734" i="16"/>
  <c r="L734" i="16" s="1"/>
  <c r="H733" i="16"/>
  <c r="L733" i="16" s="1"/>
  <c r="H732" i="16"/>
  <c r="L732" i="16" s="1"/>
  <c r="H731" i="16"/>
  <c r="L731" i="16" s="1"/>
  <c r="H730" i="16"/>
  <c r="L730" i="16" s="1"/>
  <c r="H729" i="16"/>
  <c r="L729" i="16" s="1"/>
  <c r="H728" i="16"/>
  <c r="L728" i="16" s="1"/>
  <c r="H727" i="16"/>
  <c r="L727" i="16" s="1"/>
  <c r="H726" i="16"/>
  <c r="L726" i="16" s="1"/>
  <c r="H725" i="16"/>
  <c r="L725" i="16" s="1"/>
  <c r="H724" i="16"/>
  <c r="L724" i="16" s="1"/>
  <c r="H723" i="16"/>
  <c r="L723" i="16" s="1"/>
  <c r="H722" i="16"/>
  <c r="L722" i="16" s="1"/>
  <c r="H721" i="16"/>
  <c r="L721" i="16" s="1"/>
  <c r="H720" i="16"/>
  <c r="L720" i="16" s="1"/>
  <c r="H719" i="16"/>
  <c r="L719" i="16" s="1"/>
  <c r="H718" i="16"/>
  <c r="L718" i="16" s="1"/>
  <c r="H717" i="16"/>
  <c r="L717" i="16" s="1"/>
  <c r="H716" i="16"/>
  <c r="L716" i="16" s="1"/>
  <c r="H715" i="16"/>
  <c r="L715" i="16" s="1"/>
  <c r="H714" i="16"/>
  <c r="L714" i="16" s="1"/>
  <c r="H713" i="16"/>
  <c r="L713" i="16" s="1"/>
  <c r="H712" i="16"/>
  <c r="L712" i="16" s="1"/>
  <c r="H711" i="16"/>
  <c r="L711" i="16" s="1"/>
  <c r="H710" i="16"/>
  <c r="L710" i="16" s="1"/>
  <c r="H709" i="16"/>
  <c r="L709" i="16" s="1"/>
  <c r="H708" i="16"/>
  <c r="L708" i="16" s="1"/>
  <c r="H707" i="16"/>
  <c r="L707" i="16" s="1"/>
  <c r="H706" i="16"/>
  <c r="L706" i="16" s="1"/>
  <c r="H705" i="16"/>
  <c r="L705" i="16" s="1"/>
  <c r="H704" i="16"/>
  <c r="L704" i="16" s="1"/>
  <c r="H703" i="16"/>
  <c r="L703" i="16" s="1"/>
  <c r="H702" i="16"/>
  <c r="L702" i="16" s="1"/>
  <c r="H701" i="16"/>
  <c r="L701" i="16" s="1"/>
  <c r="H700" i="16"/>
  <c r="L700" i="16" s="1"/>
  <c r="H699" i="16"/>
  <c r="L699" i="16" s="1"/>
  <c r="H698" i="16"/>
  <c r="L698" i="16" s="1"/>
  <c r="H697" i="16"/>
  <c r="L697" i="16" s="1"/>
  <c r="H696" i="16"/>
  <c r="L696" i="16" s="1"/>
  <c r="H695" i="16"/>
  <c r="L695" i="16" s="1"/>
  <c r="H694" i="16"/>
  <c r="L694" i="16" s="1"/>
  <c r="H693" i="16"/>
  <c r="L693" i="16" s="1"/>
  <c r="H692" i="16"/>
  <c r="L692" i="16" s="1"/>
  <c r="H691" i="16"/>
  <c r="L691" i="16" s="1"/>
  <c r="H690" i="16"/>
  <c r="L690" i="16" s="1"/>
  <c r="H689" i="16"/>
  <c r="L689" i="16" s="1"/>
  <c r="H688" i="16"/>
  <c r="L688" i="16" s="1"/>
  <c r="H687" i="16"/>
  <c r="L687" i="16" s="1"/>
  <c r="H686" i="16"/>
  <c r="L686" i="16" s="1"/>
  <c r="H685" i="16"/>
  <c r="L685" i="16" s="1"/>
  <c r="H684" i="16"/>
  <c r="L684" i="16" s="1"/>
  <c r="H683" i="16"/>
  <c r="L683" i="16" s="1"/>
  <c r="H682" i="16"/>
  <c r="L682" i="16" s="1"/>
  <c r="H681" i="16"/>
  <c r="L681" i="16" s="1"/>
  <c r="H680" i="16"/>
  <c r="L680" i="16" s="1"/>
  <c r="H679" i="16"/>
  <c r="L679" i="16" s="1"/>
  <c r="H678" i="16"/>
  <c r="L678" i="16" s="1"/>
  <c r="H677" i="16"/>
  <c r="L677" i="16" s="1"/>
  <c r="H676" i="16"/>
  <c r="L676" i="16" s="1"/>
  <c r="H675" i="16"/>
  <c r="L675" i="16" s="1"/>
  <c r="H674" i="16"/>
  <c r="L674" i="16" s="1"/>
  <c r="H673" i="16"/>
  <c r="L673" i="16" s="1"/>
  <c r="H672" i="16"/>
  <c r="L672" i="16" s="1"/>
  <c r="H671" i="16"/>
  <c r="L671" i="16" s="1"/>
  <c r="H670" i="16"/>
  <c r="L670" i="16" s="1"/>
  <c r="H669" i="16"/>
  <c r="L669" i="16" s="1"/>
  <c r="H668" i="16"/>
  <c r="L668" i="16" s="1"/>
  <c r="H667" i="16"/>
  <c r="L667" i="16" s="1"/>
  <c r="H666" i="16"/>
  <c r="L666" i="16" s="1"/>
  <c r="H665" i="16"/>
  <c r="L665" i="16" s="1"/>
  <c r="H664" i="16"/>
  <c r="L664" i="16" s="1"/>
  <c r="H663" i="16"/>
  <c r="L663" i="16" s="1"/>
  <c r="H662" i="16"/>
  <c r="L662" i="16" s="1"/>
  <c r="H661" i="16"/>
  <c r="L661" i="16" s="1"/>
  <c r="H660" i="16"/>
  <c r="L660" i="16" s="1"/>
  <c r="H659" i="16"/>
  <c r="L659" i="16" s="1"/>
  <c r="H658" i="16"/>
  <c r="L658" i="16" s="1"/>
  <c r="H657" i="16"/>
  <c r="L657" i="16" s="1"/>
  <c r="H656" i="16"/>
  <c r="L656" i="16" s="1"/>
  <c r="H655" i="16"/>
  <c r="L655" i="16" s="1"/>
  <c r="H654" i="16"/>
  <c r="L654" i="16" s="1"/>
  <c r="H653" i="16"/>
  <c r="L653" i="16" s="1"/>
  <c r="H652" i="16"/>
  <c r="L652" i="16" s="1"/>
  <c r="H651" i="16"/>
  <c r="L651" i="16" s="1"/>
  <c r="H650" i="16"/>
  <c r="L650" i="16" s="1"/>
  <c r="H649" i="16"/>
  <c r="L649" i="16" s="1"/>
  <c r="H648" i="16"/>
  <c r="L648" i="16" s="1"/>
  <c r="H647" i="16"/>
  <c r="L647" i="16" s="1"/>
  <c r="H646" i="16"/>
  <c r="L646" i="16" s="1"/>
  <c r="H645" i="16"/>
  <c r="L645" i="16" s="1"/>
  <c r="H644" i="16"/>
  <c r="L644" i="16" s="1"/>
  <c r="H643" i="16"/>
  <c r="L643" i="16" s="1"/>
  <c r="H642" i="16"/>
  <c r="L642" i="16" s="1"/>
  <c r="H641" i="16"/>
  <c r="L641" i="16" s="1"/>
  <c r="H640" i="16"/>
  <c r="L640" i="16" s="1"/>
  <c r="H639" i="16"/>
  <c r="L639" i="16" s="1"/>
  <c r="H638" i="16"/>
  <c r="L638" i="16" s="1"/>
  <c r="H637" i="16"/>
  <c r="L637" i="16" s="1"/>
  <c r="H636" i="16"/>
  <c r="L636" i="16" s="1"/>
  <c r="H635" i="16"/>
  <c r="L635" i="16" s="1"/>
  <c r="H634" i="16"/>
  <c r="L634" i="16" s="1"/>
  <c r="H633" i="16"/>
  <c r="L633" i="16" s="1"/>
  <c r="H632" i="16"/>
  <c r="L632" i="16" s="1"/>
  <c r="H631" i="16"/>
  <c r="L631" i="16" s="1"/>
  <c r="H630" i="16"/>
  <c r="L630" i="16" s="1"/>
  <c r="H629" i="16"/>
  <c r="L629" i="16" s="1"/>
  <c r="H628" i="16"/>
  <c r="L628" i="16" s="1"/>
  <c r="H627" i="16"/>
  <c r="L627" i="16" s="1"/>
  <c r="H626" i="16"/>
  <c r="L626" i="16" s="1"/>
  <c r="H625" i="16"/>
  <c r="L625" i="16" s="1"/>
  <c r="H624" i="16"/>
  <c r="L624" i="16" s="1"/>
  <c r="H623" i="16"/>
  <c r="L623" i="16" s="1"/>
  <c r="H622" i="16"/>
  <c r="L622" i="16" s="1"/>
  <c r="H621" i="16"/>
  <c r="L621" i="16" s="1"/>
  <c r="H620" i="16"/>
  <c r="L620" i="16" s="1"/>
  <c r="H619" i="16"/>
  <c r="L619" i="16" s="1"/>
  <c r="H618" i="16"/>
  <c r="L618" i="16" s="1"/>
  <c r="H617" i="16"/>
  <c r="L617" i="16" s="1"/>
  <c r="H616" i="16"/>
  <c r="L616" i="16" s="1"/>
  <c r="H615" i="16"/>
  <c r="L615" i="16" s="1"/>
  <c r="H614" i="16"/>
  <c r="L614" i="16" s="1"/>
  <c r="H613" i="16"/>
  <c r="L613" i="16" s="1"/>
  <c r="H612" i="16"/>
  <c r="L612" i="16" s="1"/>
  <c r="H611" i="16"/>
  <c r="L611" i="16" s="1"/>
  <c r="H610" i="16"/>
  <c r="L610" i="16" s="1"/>
  <c r="H609" i="16"/>
  <c r="L609" i="16" s="1"/>
  <c r="H608" i="16"/>
  <c r="L608" i="16" s="1"/>
  <c r="H607" i="16"/>
  <c r="L607" i="16" s="1"/>
  <c r="H606" i="16"/>
  <c r="L606" i="16" s="1"/>
  <c r="H605" i="16"/>
  <c r="L605" i="16" s="1"/>
  <c r="H604" i="16"/>
  <c r="L604" i="16" s="1"/>
  <c r="H603" i="16"/>
  <c r="L603" i="16" s="1"/>
  <c r="H602" i="16"/>
  <c r="L602" i="16" s="1"/>
  <c r="H601" i="16"/>
  <c r="L601" i="16" s="1"/>
  <c r="H600" i="16"/>
  <c r="L600" i="16" s="1"/>
  <c r="H599" i="16"/>
  <c r="L599" i="16" s="1"/>
  <c r="H598" i="16"/>
  <c r="L598" i="16" s="1"/>
  <c r="H597" i="16"/>
  <c r="L597" i="16" s="1"/>
  <c r="H596" i="16"/>
  <c r="L596" i="16" s="1"/>
  <c r="H595" i="16"/>
  <c r="L595" i="16" s="1"/>
  <c r="H594" i="16"/>
  <c r="L594" i="16" s="1"/>
  <c r="H593" i="16"/>
  <c r="L593" i="16" s="1"/>
  <c r="H592" i="16"/>
  <c r="L592" i="16" s="1"/>
  <c r="H591" i="16"/>
  <c r="L591" i="16" s="1"/>
  <c r="H590" i="16"/>
  <c r="L590" i="16" s="1"/>
  <c r="H589" i="16"/>
  <c r="L589" i="16" s="1"/>
  <c r="H588" i="16"/>
  <c r="L588" i="16" s="1"/>
  <c r="H587" i="16"/>
  <c r="L587" i="16" s="1"/>
  <c r="H586" i="16"/>
  <c r="L586" i="16" s="1"/>
  <c r="H585" i="16"/>
  <c r="L585" i="16" s="1"/>
  <c r="H584" i="16"/>
  <c r="L584" i="16" s="1"/>
  <c r="H583" i="16"/>
  <c r="L583" i="16" s="1"/>
  <c r="H582" i="16"/>
  <c r="L582" i="16" s="1"/>
  <c r="H581" i="16"/>
  <c r="L581" i="16" s="1"/>
  <c r="H580" i="16"/>
  <c r="L580" i="16" s="1"/>
  <c r="H579" i="16"/>
  <c r="L579" i="16" s="1"/>
  <c r="H578" i="16"/>
  <c r="L578" i="16" s="1"/>
  <c r="H577" i="16"/>
  <c r="L577" i="16" s="1"/>
  <c r="H576" i="16"/>
  <c r="L576" i="16" s="1"/>
  <c r="H575" i="16"/>
  <c r="L575" i="16" s="1"/>
  <c r="H574" i="16"/>
  <c r="L574" i="16" s="1"/>
  <c r="H573" i="16"/>
  <c r="L573" i="16" s="1"/>
  <c r="H572" i="16"/>
  <c r="L572" i="16" s="1"/>
  <c r="H571" i="16"/>
  <c r="L571" i="16" s="1"/>
  <c r="H570" i="16"/>
  <c r="L570" i="16" s="1"/>
  <c r="H569" i="16"/>
  <c r="L569" i="16" s="1"/>
  <c r="H568" i="16"/>
  <c r="L568" i="16" s="1"/>
  <c r="H567" i="16"/>
  <c r="L567" i="16" s="1"/>
  <c r="H566" i="16"/>
  <c r="L566" i="16" s="1"/>
  <c r="H565" i="16"/>
  <c r="L565" i="16" s="1"/>
  <c r="H564" i="16"/>
  <c r="L564" i="16" s="1"/>
  <c r="H563" i="16"/>
  <c r="L563" i="16" s="1"/>
  <c r="H562" i="16"/>
  <c r="L562" i="16" s="1"/>
  <c r="H561" i="16"/>
  <c r="L561" i="16" s="1"/>
  <c r="H560" i="16"/>
  <c r="L560" i="16" s="1"/>
  <c r="H559" i="16"/>
  <c r="L559" i="16" s="1"/>
  <c r="H558" i="16"/>
  <c r="L558" i="16" s="1"/>
  <c r="H557" i="16"/>
  <c r="L557" i="16" s="1"/>
  <c r="H556" i="16"/>
  <c r="L556" i="16" s="1"/>
  <c r="H555" i="16"/>
  <c r="L555" i="16" s="1"/>
  <c r="H554" i="16"/>
  <c r="L554" i="16" s="1"/>
  <c r="H553" i="16"/>
  <c r="L553" i="16" s="1"/>
  <c r="H552" i="16"/>
  <c r="L552" i="16" s="1"/>
  <c r="H551" i="16"/>
  <c r="L551" i="16" s="1"/>
  <c r="H550" i="16"/>
  <c r="L550" i="16" s="1"/>
  <c r="H549" i="16"/>
  <c r="L549" i="16" s="1"/>
  <c r="H548" i="16"/>
  <c r="L548" i="16" s="1"/>
  <c r="H547" i="16"/>
  <c r="L547" i="16" s="1"/>
  <c r="H546" i="16"/>
  <c r="L546" i="16" s="1"/>
  <c r="H545" i="16"/>
  <c r="L545" i="16" s="1"/>
  <c r="H544" i="16"/>
  <c r="L544" i="16" s="1"/>
  <c r="H543" i="16"/>
  <c r="L543" i="16" s="1"/>
  <c r="H542" i="16"/>
  <c r="L542" i="16" s="1"/>
  <c r="H541" i="16"/>
  <c r="L541" i="16" s="1"/>
  <c r="H540" i="16"/>
  <c r="L540" i="16" s="1"/>
  <c r="H539" i="16"/>
  <c r="L539" i="16" s="1"/>
  <c r="H538" i="16"/>
  <c r="L538" i="16" s="1"/>
  <c r="H537" i="16"/>
  <c r="L537" i="16" s="1"/>
  <c r="H536" i="16"/>
  <c r="L536" i="16" s="1"/>
  <c r="H535" i="16"/>
  <c r="L535" i="16" s="1"/>
  <c r="H534" i="16"/>
  <c r="L534" i="16" s="1"/>
  <c r="H533" i="16"/>
  <c r="L533" i="16" s="1"/>
  <c r="H532" i="16"/>
  <c r="L532" i="16" s="1"/>
  <c r="H531" i="16"/>
  <c r="L531" i="16" s="1"/>
  <c r="H530" i="16"/>
  <c r="L530" i="16" s="1"/>
  <c r="H529" i="16"/>
  <c r="L529" i="16" s="1"/>
  <c r="H528" i="16"/>
  <c r="L528" i="16" s="1"/>
  <c r="H527" i="16"/>
  <c r="L527" i="16" s="1"/>
  <c r="H526" i="16"/>
  <c r="L526" i="16" s="1"/>
  <c r="H525" i="16"/>
  <c r="L525" i="16" s="1"/>
  <c r="H524" i="16"/>
  <c r="L524" i="16" s="1"/>
  <c r="H523" i="16"/>
  <c r="L523" i="16" s="1"/>
  <c r="H522" i="16"/>
  <c r="L522" i="16" s="1"/>
  <c r="H521" i="16"/>
  <c r="L521" i="16" s="1"/>
  <c r="H520" i="16"/>
  <c r="L520" i="16" s="1"/>
  <c r="H519" i="16"/>
  <c r="L519" i="16" s="1"/>
  <c r="H518" i="16"/>
  <c r="L518" i="16" s="1"/>
  <c r="H517" i="16"/>
  <c r="L517" i="16" s="1"/>
  <c r="H516" i="16"/>
  <c r="L516" i="16" s="1"/>
  <c r="H515" i="16"/>
  <c r="L515" i="16" s="1"/>
  <c r="H514" i="16"/>
  <c r="L514" i="16" s="1"/>
  <c r="H513" i="16"/>
  <c r="L513" i="16" s="1"/>
  <c r="H512" i="16"/>
  <c r="L512" i="16" s="1"/>
  <c r="H511" i="16"/>
  <c r="L511" i="16" s="1"/>
  <c r="H510" i="16"/>
  <c r="L510" i="16" s="1"/>
  <c r="H509" i="16"/>
  <c r="L509" i="16" s="1"/>
  <c r="H508" i="16"/>
  <c r="L508" i="16" s="1"/>
  <c r="H507" i="16"/>
  <c r="L507" i="16" s="1"/>
  <c r="H506" i="16"/>
  <c r="L506" i="16" s="1"/>
  <c r="H505" i="16"/>
  <c r="L505" i="16" s="1"/>
  <c r="H504" i="16"/>
  <c r="L504" i="16" s="1"/>
  <c r="H503" i="16"/>
  <c r="L503" i="16" s="1"/>
  <c r="H502" i="16"/>
  <c r="L502" i="16" s="1"/>
  <c r="H501" i="16"/>
  <c r="L501" i="16" s="1"/>
  <c r="H500" i="16"/>
  <c r="L500" i="16" s="1"/>
  <c r="H499" i="16"/>
  <c r="L499" i="16" s="1"/>
  <c r="H498" i="16"/>
  <c r="L498" i="16" s="1"/>
  <c r="H497" i="16"/>
  <c r="L497" i="16" s="1"/>
  <c r="H496" i="16"/>
  <c r="L496" i="16" s="1"/>
  <c r="H495" i="16"/>
  <c r="L495" i="16" s="1"/>
  <c r="H494" i="16"/>
  <c r="L494" i="16" s="1"/>
  <c r="H493" i="16"/>
  <c r="L493" i="16" s="1"/>
  <c r="H492" i="16"/>
  <c r="L492" i="16" s="1"/>
  <c r="H491" i="16"/>
  <c r="L491" i="16" s="1"/>
  <c r="H490" i="16"/>
  <c r="L490" i="16" s="1"/>
  <c r="H489" i="16"/>
  <c r="L489" i="16" s="1"/>
  <c r="H488" i="16"/>
  <c r="L488" i="16" s="1"/>
  <c r="H487" i="16"/>
  <c r="L487" i="16" s="1"/>
  <c r="H486" i="16"/>
  <c r="L486" i="16" s="1"/>
  <c r="H485" i="16"/>
  <c r="L485" i="16" s="1"/>
  <c r="H484" i="16"/>
  <c r="L484" i="16" s="1"/>
  <c r="H483" i="16"/>
  <c r="L483" i="16" s="1"/>
  <c r="H482" i="16"/>
  <c r="L482" i="16" s="1"/>
  <c r="H481" i="16"/>
  <c r="L481" i="16" s="1"/>
  <c r="H480" i="16"/>
  <c r="L480" i="16" s="1"/>
  <c r="H479" i="16"/>
  <c r="L479" i="16" s="1"/>
  <c r="H478" i="16"/>
  <c r="L478" i="16" s="1"/>
  <c r="H477" i="16"/>
  <c r="L477" i="16" s="1"/>
  <c r="H476" i="16"/>
  <c r="L476" i="16" s="1"/>
  <c r="H475" i="16"/>
  <c r="L475" i="16" s="1"/>
  <c r="H474" i="16"/>
  <c r="L474" i="16" s="1"/>
  <c r="H473" i="16"/>
  <c r="L473" i="16" s="1"/>
  <c r="H472" i="16"/>
  <c r="L472" i="16" s="1"/>
  <c r="H471" i="16"/>
  <c r="L471" i="16" s="1"/>
  <c r="H470" i="16"/>
  <c r="L470" i="16" s="1"/>
  <c r="H469" i="16"/>
  <c r="L469" i="16" s="1"/>
  <c r="H468" i="16"/>
  <c r="L468" i="16" s="1"/>
  <c r="H467" i="16"/>
  <c r="L467" i="16" s="1"/>
  <c r="H466" i="16"/>
  <c r="L466" i="16" s="1"/>
  <c r="H465" i="16"/>
  <c r="L465" i="16" s="1"/>
  <c r="H464" i="16"/>
  <c r="L464" i="16" s="1"/>
  <c r="H463" i="16"/>
  <c r="L463" i="16" s="1"/>
  <c r="H462" i="16"/>
  <c r="L462" i="16" s="1"/>
  <c r="H461" i="16"/>
  <c r="L461" i="16" s="1"/>
  <c r="H460" i="16"/>
  <c r="L460" i="16" s="1"/>
  <c r="H459" i="16"/>
  <c r="L459" i="16" s="1"/>
  <c r="H458" i="16"/>
  <c r="L458" i="16" s="1"/>
  <c r="H457" i="16"/>
  <c r="L457" i="16" s="1"/>
  <c r="H456" i="16"/>
  <c r="L456" i="16" s="1"/>
  <c r="H455" i="16"/>
  <c r="L455" i="16" s="1"/>
  <c r="H454" i="16"/>
  <c r="L454" i="16" s="1"/>
  <c r="H453" i="16"/>
  <c r="L453" i="16" s="1"/>
  <c r="H452" i="16"/>
  <c r="L452" i="16" s="1"/>
  <c r="H451" i="16"/>
  <c r="L451" i="16" s="1"/>
  <c r="H450" i="16"/>
  <c r="L450" i="16" s="1"/>
  <c r="H449" i="16"/>
  <c r="L449" i="16" s="1"/>
  <c r="H448" i="16"/>
  <c r="L448" i="16" s="1"/>
  <c r="H447" i="16"/>
  <c r="L447" i="16" s="1"/>
  <c r="H446" i="16"/>
  <c r="L446" i="16" s="1"/>
  <c r="H445" i="16"/>
  <c r="L445" i="16" s="1"/>
  <c r="H444" i="16"/>
  <c r="L444" i="16" s="1"/>
  <c r="H443" i="16"/>
  <c r="L443" i="16" s="1"/>
  <c r="H442" i="16"/>
  <c r="L442" i="16" s="1"/>
  <c r="H441" i="16"/>
  <c r="L441" i="16" s="1"/>
  <c r="H440" i="16"/>
  <c r="L440" i="16" s="1"/>
  <c r="H439" i="16"/>
  <c r="L439" i="16" s="1"/>
  <c r="H438" i="16"/>
  <c r="L438" i="16" s="1"/>
  <c r="H437" i="16"/>
  <c r="L437" i="16" s="1"/>
  <c r="H436" i="16"/>
  <c r="L436" i="16" s="1"/>
  <c r="H435" i="16"/>
  <c r="L435" i="16" s="1"/>
  <c r="H434" i="16"/>
  <c r="L434" i="16" s="1"/>
  <c r="H433" i="16"/>
  <c r="L433" i="16" s="1"/>
  <c r="H432" i="16"/>
  <c r="L432" i="16" s="1"/>
  <c r="H431" i="16"/>
  <c r="L431" i="16" s="1"/>
  <c r="H430" i="16"/>
  <c r="L430" i="16" s="1"/>
  <c r="H429" i="16"/>
  <c r="L429" i="16" s="1"/>
  <c r="H428" i="16"/>
  <c r="L428" i="16" s="1"/>
  <c r="H427" i="16"/>
  <c r="L427" i="16" s="1"/>
  <c r="H426" i="16"/>
  <c r="L426" i="16" s="1"/>
  <c r="H425" i="16"/>
  <c r="L425" i="16" s="1"/>
  <c r="H424" i="16"/>
  <c r="L424" i="16" s="1"/>
  <c r="H423" i="16"/>
  <c r="L423" i="16" s="1"/>
  <c r="H422" i="16"/>
  <c r="L422" i="16" s="1"/>
  <c r="H421" i="16"/>
  <c r="L421" i="16" s="1"/>
  <c r="H420" i="16"/>
  <c r="L420" i="16" s="1"/>
  <c r="H419" i="16"/>
  <c r="L419" i="16" s="1"/>
  <c r="H418" i="16"/>
  <c r="L418" i="16" s="1"/>
  <c r="H417" i="16"/>
  <c r="L417" i="16" s="1"/>
  <c r="H416" i="16"/>
  <c r="L416" i="16" s="1"/>
  <c r="H415" i="16"/>
  <c r="L415" i="16" s="1"/>
  <c r="H414" i="16"/>
  <c r="L414" i="16" s="1"/>
  <c r="H413" i="16"/>
  <c r="L413" i="16" s="1"/>
  <c r="H412" i="16"/>
  <c r="L412" i="16" s="1"/>
  <c r="H411" i="16"/>
  <c r="L411" i="16" s="1"/>
  <c r="H410" i="16"/>
  <c r="L410" i="16" s="1"/>
  <c r="H409" i="16"/>
  <c r="L409" i="16" s="1"/>
  <c r="H408" i="16"/>
  <c r="L408" i="16" s="1"/>
  <c r="H407" i="16"/>
  <c r="L407" i="16" s="1"/>
  <c r="H406" i="16"/>
  <c r="L406" i="16" s="1"/>
  <c r="H405" i="16"/>
  <c r="L405" i="16" s="1"/>
  <c r="H404" i="16"/>
  <c r="L404" i="16" s="1"/>
  <c r="H403" i="16"/>
  <c r="L403" i="16" s="1"/>
  <c r="H402" i="16"/>
  <c r="L402" i="16" s="1"/>
  <c r="H401" i="16"/>
  <c r="L401" i="16" s="1"/>
  <c r="H400" i="16"/>
  <c r="L400" i="16" s="1"/>
  <c r="H399" i="16"/>
  <c r="L399" i="16" s="1"/>
  <c r="H398" i="16"/>
  <c r="L398" i="16" s="1"/>
  <c r="H397" i="16"/>
  <c r="L397" i="16" s="1"/>
  <c r="H396" i="16"/>
  <c r="L396" i="16" s="1"/>
  <c r="H395" i="16"/>
  <c r="L395" i="16" s="1"/>
  <c r="H394" i="16"/>
  <c r="L394" i="16" s="1"/>
  <c r="H393" i="16"/>
  <c r="L393" i="16" s="1"/>
  <c r="H392" i="16"/>
  <c r="L392" i="16" s="1"/>
  <c r="H391" i="16"/>
  <c r="L391" i="16" s="1"/>
  <c r="H390" i="16"/>
  <c r="L390" i="16" s="1"/>
  <c r="H389" i="16"/>
  <c r="L389" i="16" s="1"/>
  <c r="H388" i="16"/>
  <c r="L388" i="16" s="1"/>
  <c r="H387" i="16"/>
  <c r="L387" i="16" s="1"/>
  <c r="H386" i="16"/>
  <c r="L386" i="16" s="1"/>
  <c r="H385" i="16"/>
  <c r="L385" i="16" s="1"/>
  <c r="H384" i="16"/>
  <c r="L384" i="16" s="1"/>
  <c r="H383" i="16"/>
  <c r="L383" i="16" s="1"/>
  <c r="H382" i="16"/>
  <c r="L382" i="16" s="1"/>
  <c r="H381" i="16"/>
  <c r="L381" i="16" s="1"/>
  <c r="H380" i="16"/>
  <c r="L380" i="16" s="1"/>
  <c r="H379" i="16"/>
  <c r="L379" i="16" s="1"/>
  <c r="H378" i="16"/>
  <c r="L378" i="16" s="1"/>
  <c r="H377" i="16"/>
  <c r="L377" i="16" s="1"/>
  <c r="H376" i="16"/>
  <c r="L376" i="16" s="1"/>
  <c r="H375" i="16"/>
  <c r="L375" i="16" s="1"/>
  <c r="H374" i="16"/>
  <c r="L374" i="16" s="1"/>
  <c r="H373" i="16"/>
  <c r="L373" i="16" s="1"/>
  <c r="H372" i="16"/>
  <c r="L372" i="16" s="1"/>
  <c r="H371" i="16"/>
  <c r="L371" i="16" s="1"/>
  <c r="H370" i="16"/>
  <c r="L370" i="16" s="1"/>
  <c r="H369" i="16"/>
  <c r="L369" i="16" s="1"/>
  <c r="H368" i="16"/>
  <c r="L368" i="16" s="1"/>
  <c r="H367" i="16"/>
  <c r="L367" i="16" s="1"/>
  <c r="H366" i="16"/>
  <c r="L366" i="16" s="1"/>
  <c r="H365" i="16"/>
  <c r="L365" i="16" s="1"/>
  <c r="H364" i="16"/>
  <c r="L364" i="16" s="1"/>
  <c r="H363" i="16"/>
  <c r="L363" i="16" s="1"/>
  <c r="H362" i="16"/>
  <c r="L362" i="16" s="1"/>
  <c r="H361" i="16"/>
  <c r="L361" i="16" s="1"/>
  <c r="H360" i="16"/>
  <c r="L360" i="16" s="1"/>
  <c r="H359" i="16"/>
  <c r="L359" i="16" s="1"/>
  <c r="H358" i="16"/>
  <c r="L358" i="16" s="1"/>
  <c r="H357" i="16"/>
  <c r="L357" i="16" s="1"/>
  <c r="H356" i="16"/>
  <c r="L356" i="16" s="1"/>
  <c r="H355" i="16"/>
  <c r="L355" i="16" s="1"/>
  <c r="H354" i="16"/>
  <c r="L354" i="16" s="1"/>
  <c r="H353" i="16"/>
  <c r="L353" i="16" s="1"/>
  <c r="H352" i="16"/>
  <c r="L352" i="16" s="1"/>
  <c r="H351" i="16"/>
  <c r="L351" i="16" s="1"/>
  <c r="H350" i="16"/>
  <c r="L350" i="16" s="1"/>
  <c r="H349" i="16"/>
  <c r="L349" i="16" s="1"/>
  <c r="H348" i="16"/>
  <c r="L348" i="16" s="1"/>
  <c r="H347" i="16"/>
  <c r="L347" i="16" s="1"/>
  <c r="H346" i="16"/>
  <c r="L346" i="16" s="1"/>
  <c r="H345" i="16"/>
  <c r="L345" i="16" s="1"/>
  <c r="H344" i="16"/>
  <c r="L344" i="16" s="1"/>
  <c r="H343" i="16"/>
  <c r="L343" i="16" s="1"/>
  <c r="H342" i="16"/>
  <c r="L342" i="16" s="1"/>
  <c r="H341" i="16"/>
  <c r="L341" i="16" s="1"/>
  <c r="H340" i="16"/>
  <c r="L340" i="16" s="1"/>
  <c r="H339" i="16"/>
  <c r="L339" i="16" s="1"/>
  <c r="H338" i="16"/>
  <c r="L338" i="16" s="1"/>
  <c r="H337" i="16"/>
  <c r="L337" i="16" s="1"/>
  <c r="H336" i="16"/>
  <c r="L336" i="16" s="1"/>
  <c r="H335" i="16"/>
  <c r="L335" i="16" s="1"/>
  <c r="H334" i="16"/>
  <c r="L334" i="16" s="1"/>
  <c r="H333" i="16"/>
  <c r="L333" i="16" s="1"/>
  <c r="H332" i="16"/>
  <c r="L332" i="16" s="1"/>
  <c r="H331" i="16"/>
  <c r="L331" i="16" s="1"/>
  <c r="H330" i="16"/>
  <c r="L330" i="16" s="1"/>
  <c r="H329" i="16"/>
  <c r="L329" i="16" s="1"/>
  <c r="H328" i="16"/>
  <c r="L328" i="16" s="1"/>
  <c r="H327" i="16"/>
  <c r="L327" i="16" s="1"/>
  <c r="H326" i="16"/>
  <c r="L326" i="16" s="1"/>
  <c r="H325" i="16"/>
  <c r="L325" i="16" s="1"/>
  <c r="H324" i="16"/>
  <c r="L324" i="16" s="1"/>
  <c r="H323" i="16"/>
  <c r="L323" i="16" s="1"/>
  <c r="H322" i="16"/>
  <c r="L322" i="16" s="1"/>
  <c r="H321" i="16"/>
  <c r="L321" i="16" s="1"/>
  <c r="H320" i="16"/>
  <c r="L320" i="16" s="1"/>
  <c r="H319" i="16"/>
  <c r="L319" i="16" s="1"/>
  <c r="H318" i="16"/>
  <c r="L318" i="16" s="1"/>
  <c r="H317" i="16"/>
  <c r="L317" i="16" s="1"/>
  <c r="H316" i="16"/>
  <c r="L316" i="16" s="1"/>
  <c r="H315" i="16"/>
  <c r="L315" i="16" s="1"/>
  <c r="H314" i="16"/>
  <c r="L314" i="16" s="1"/>
  <c r="H313" i="16"/>
  <c r="L313" i="16" s="1"/>
  <c r="H312" i="16"/>
  <c r="L312" i="16" s="1"/>
  <c r="H311" i="16"/>
  <c r="L311" i="16" s="1"/>
  <c r="H310" i="16"/>
  <c r="L310" i="16" s="1"/>
  <c r="H309" i="16"/>
  <c r="L309" i="16" s="1"/>
  <c r="H308" i="16"/>
  <c r="L308" i="16" s="1"/>
  <c r="H307" i="16"/>
  <c r="L307" i="16" s="1"/>
  <c r="H306" i="16"/>
  <c r="L306" i="16" s="1"/>
  <c r="H305" i="16"/>
  <c r="L305" i="16" s="1"/>
  <c r="H304" i="16"/>
  <c r="L304" i="16" s="1"/>
  <c r="H303" i="16"/>
  <c r="L303" i="16" s="1"/>
  <c r="H302" i="16"/>
  <c r="L302" i="16" s="1"/>
  <c r="H301" i="16"/>
  <c r="L301" i="16" s="1"/>
  <c r="H300" i="16"/>
  <c r="L300" i="16" s="1"/>
  <c r="H299" i="16"/>
  <c r="L299" i="16" s="1"/>
  <c r="H298" i="16"/>
  <c r="L298" i="16" s="1"/>
  <c r="H297" i="16"/>
  <c r="L297" i="16" s="1"/>
  <c r="H296" i="16"/>
  <c r="L296" i="16" s="1"/>
  <c r="H295" i="16"/>
  <c r="L295" i="16" s="1"/>
  <c r="H294" i="16"/>
  <c r="L294" i="16" s="1"/>
  <c r="H293" i="16"/>
  <c r="L293" i="16" s="1"/>
  <c r="H292" i="16"/>
  <c r="L292" i="16" s="1"/>
  <c r="H291" i="16"/>
  <c r="L291" i="16" s="1"/>
  <c r="H290" i="16"/>
  <c r="L290" i="16" s="1"/>
  <c r="H289" i="16"/>
  <c r="L289" i="16" s="1"/>
  <c r="H288" i="16"/>
  <c r="L288" i="16" s="1"/>
  <c r="H287" i="16"/>
  <c r="L287" i="16" s="1"/>
  <c r="H286" i="16"/>
  <c r="L286" i="16" s="1"/>
  <c r="H285" i="16"/>
  <c r="L285" i="16" s="1"/>
  <c r="H284" i="16"/>
  <c r="L284" i="16" s="1"/>
  <c r="H283" i="16"/>
  <c r="L283" i="16" s="1"/>
  <c r="H282" i="16"/>
  <c r="L282" i="16" s="1"/>
  <c r="H281" i="16"/>
  <c r="L281" i="16" s="1"/>
  <c r="H280" i="16"/>
  <c r="L280" i="16" s="1"/>
  <c r="H279" i="16"/>
  <c r="L279" i="16" s="1"/>
  <c r="H278" i="16"/>
  <c r="L278" i="16" s="1"/>
  <c r="H277" i="16"/>
  <c r="L277" i="16" s="1"/>
  <c r="H276" i="16"/>
  <c r="L276" i="16" s="1"/>
  <c r="H275" i="16"/>
  <c r="L275" i="16" s="1"/>
  <c r="H274" i="16"/>
  <c r="L274" i="16" s="1"/>
  <c r="H273" i="16"/>
  <c r="L273" i="16" s="1"/>
  <c r="H272" i="16"/>
  <c r="L272" i="16" s="1"/>
  <c r="H271" i="16"/>
  <c r="L271" i="16" s="1"/>
  <c r="H270" i="16"/>
  <c r="L270" i="16" s="1"/>
  <c r="H269" i="16"/>
  <c r="L269" i="16" s="1"/>
  <c r="H268" i="16"/>
  <c r="L268" i="16" s="1"/>
  <c r="H267" i="16"/>
  <c r="L267" i="16" s="1"/>
  <c r="H266" i="16"/>
  <c r="L266" i="16" s="1"/>
  <c r="H265" i="16"/>
  <c r="L265" i="16" s="1"/>
  <c r="H264" i="16"/>
  <c r="L264" i="16" s="1"/>
  <c r="H263" i="16"/>
  <c r="L263" i="16" s="1"/>
  <c r="H262" i="16"/>
  <c r="L262" i="16" s="1"/>
  <c r="H261" i="16"/>
  <c r="L261" i="16" s="1"/>
  <c r="H260" i="16"/>
  <c r="L260" i="16" s="1"/>
  <c r="H259" i="16"/>
  <c r="L259" i="16" s="1"/>
  <c r="H258" i="16"/>
  <c r="L258" i="16" s="1"/>
  <c r="H257" i="16"/>
  <c r="L257" i="16" s="1"/>
  <c r="H256" i="16"/>
  <c r="L256" i="16" s="1"/>
  <c r="H255" i="16"/>
  <c r="L255" i="16" s="1"/>
  <c r="H254" i="16"/>
  <c r="L254" i="16" s="1"/>
  <c r="H253" i="16"/>
  <c r="L253" i="16" s="1"/>
  <c r="H252" i="16"/>
  <c r="L252" i="16" s="1"/>
  <c r="H251" i="16"/>
  <c r="L251" i="16" s="1"/>
  <c r="H250" i="16"/>
  <c r="L250" i="16" s="1"/>
  <c r="H249" i="16"/>
  <c r="L249" i="16" s="1"/>
  <c r="H248" i="16"/>
  <c r="L248" i="16" s="1"/>
  <c r="H247" i="16"/>
  <c r="L247" i="16" s="1"/>
  <c r="H246" i="16"/>
  <c r="L246" i="16" s="1"/>
  <c r="H245" i="16"/>
  <c r="L245" i="16" s="1"/>
  <c r="H244" i="16"/>
  <c r="L244" i="16" s="1"/>
  <c r="H243" i="16"/>
  <c r="L243" i="16" s="1"/>
  <c r="H242" i="16"/>
  <c r="L242" i="16" s="1"/>
  <c r="H241" i="16"/>
  <c r="L241" i="16" s="1"/>
  <c r="H240" i="16"/>
  <c r="L240" i="16" s="1"/>
  <c r="H239" i="16"/>
  <c r="L239" i="16" s="1"/>
  <c r="H238" i="16"/>
  <c r="L238" i="16" s="1"/>
  <c r="H237" i="16"/>
  <c r="L237" i="16" s="1"/>
  <c r="H236" i="16"/>
  <c r="L236" i="16" s="1"/>
  <c r="H235" i="16"/>
  <c r="L235" i="16" s="1"/>
  <c r="H234" i="16"/>
  <c r="L234" i="16" s="1"/>
  <c r="H233" i="16"/>
  <c r="L233" i="16" s="1"/>
  <c r="H232" i="16"/>
  <c r="L232" i="16" s="1"/>
  <c r="H231" i="16"/>
  <c r="L231" i="16" s="1"/>
  <c r="H230" i="16"/>
  <c r="L230" i="16" s="1"/>
  <c r="H229" i="16"/>
  <c r="L229" i="16" s="1"/>
  <c r="H228" i="16"/>
  <c r="L228" i="16" s="1"/>
  <c r="H227" i="16"/>
  <c r="L227" i="16" s="1"/>
  <c r="H226" i="16"/>
  <c r="L226" i="16" s="1"/>
  <c r="H225" i="16"/>
  <c r="L225" i="16" s="1"/>
  <c r="H224" i="16"/>
  <c r="L224" i="16" s="1"/>
  <c r="H223" i="16"/>
  <c r="L223" i="16" s="1"/>
  <c r="H222" i="16"/>
  <c r="L222" i="16" s="1"/>
  <c r="H221" i="16"/>
  <c r="L221" i="16" s="1"/>
  <c r="H220" i="16"/>
  <c r="L220" i="16" s="1"/>
  <c r="H219" i="16"/>
  <c r="L219" i="16" s="1"/>
  <c r="H218" i="16"/>
  <c r="L218" i="16" s="1"/>
  <c r="H217" i="16"/>
  <c r="L217" i="16" s="1"/>
  <c r="H216" i="16"/>
  <c r="L216" i="16" s="1"/>
  <c r="H215" i="16"/>
  <c r="L215" i="16" s="1"/>
  <c r="H214" i="16"/>
  <c r="L214" i="16" s="1"/>
  <c r="H213" i="16"/>
  <c r="L213" i="16" s="1"/>
  <c r="H212" i="16"/>
  <c r="L212" i="16" s="1"/>
  <c r="H211" i="16"/>
  <c r="L211" i="16" s="1"/>
  <c r="H210" i="16"/>
  <c r="L210" i="16" s="1"/>
  <c r="H209" i="16"/>
  <c r="L209" i="16" s="1"/>
  <c r="H208" i="16"/>
  <c r="L208" i="16" s="1"/>
  <c r="H207" i="16"/>
  <c r="L207" i="16" s="1"/>
  <c r="H206" i="16"/>
  <c r="L206" i="16" s="1"/>
  <c r="H205" i="16"/>
  <c r="L205" i="16" s="1"/>
  <c r="H204" i="16"/>
  <c r="L204" i="16" s="1"/>
  <c r="H203" i="16"/>
  <c r="L203" i="16" s="1"/>
  <c r="H202" i="16"/>
  <c r="L202" i="16" s="1"/>
  <c r="H201" i="16"/>
  <c r="L201" i="16" s="1"/>
  <c r="H200" i="16"/>
  <c r="L200" i="16" s="1"/>
  <c r="H199" i="16"/>
  <c r="L199" i="16" s="1"/>
  <c r="H198" i="16"/>
  <c r="L198" i="16" s="1"/>
  <c r="H197" i="16"/>
  <c r="L197" i="16" s="1"/>
  <c r="H196" i="16"/>
  <c r="L196" i="16" s="1"/>
  <c r="H195" i="16"/>
  <c r="L195" i="16" s="1"/>
  <c r="H194" i="16"/>
  <c r="L194" i="16" s="1"/>
  <c r="H193" i="16"/>
  <c r="L193" i="16" s="1"/>
  <c r="H192" i="16"/>
  <c r="L192" i="16" s="1"/>
  <c r="H191" i="16"/>
  <c r="L191" i="16" s="1"/>
  <c r="H190" i="16"/>
  <c r="L190" i="16" s="1"/>
  <c r="H189" i="16"/>
  <c r="L189" i="16" s="1"/>
  <c r="H188" i="16"/>
  <c r="L188" i="16" s="1"/>
  <c r="H187" i="16"/>
  <c r="L187" i="16" s="1"/>
  <c r="H186" i="16"/>
  <c r="L186" i="16" s="1"/>
  <c r="H185" i="16"/>
  <c r="L185" i="16" s="1"/>
  <c r="H184" i="16"/>
  <c r="L184" i="16" s="1"/>
  <c r="H183" i="16"/>
  <c r="L183" i="16" s="1"/>
  <c r="H182" i="16"/>
  <c r="L182" i="16" s="1"/>
  <c r="H181" i="16"/>
  <c r="L181" i="16" s="1"/>
  <c r="H180" i="16"/>
  <c r="L180" i="16" s="1"/>
  <c r="H179" i="16"/>
  <c r="L179" i="16" s="1"/>
  <c r="H178" i="16"/>
  <c r="L178" i="16" s="1"/>
  <c r="H177" i="16"/>
  <c r="L177" i="16" s="1"/>
  <c r="H176" i="16"/>
  <c r="L176" i="16" s="1"/>
  <c r="H175" i="16"/>
  <c r="L175" i="16" s="1"/>
  <c r="H174" i="16"/>
  <c r="L174" i="16" s="1"/>
  <c r="H173" i="16"/>
  <c r="L173" i="16" s="1"/>
  <c r="H172" i="16"/>
  <c r="L172" i="16" s="1"/>
  <c r="H171" i="16"/>
  <c r="L171" i="16" s="1"/>
  <c r="H170" i="16"/>
  <c r="L170" i="16" s="1"/>
  <c r="H169" i="16"/>
  <c r="L169" i="16" s="1"/>
  <c r="H168" i="16"/>
  <c r="L168" i="16" s="1"/>
  <c r="H167" i="16"/>
  <c r="L167" i="16" s="1"/>
  <c r="H166" i="16"/>
  <c r="L166" i="16" s="1"/>
  <c r="H165" i="16"/>
  <c r="L165" i="16" s="1"/>
  <c r="H164" i="16"/>
  <c r="L164" i="16" s="1"/>
  <c r="H163" i="16"/>
  <c r="L163" i="16" s="1"/>
  <c r="H162" i="16"/>
  <c r="L162" i="16" s="1"/>
  <c r="H161" i="16"/>
  <c r="L161" i="16" s="1"/>
  <c r="H160" i="16"/>
  <c r="L160" i="16" s="1"/>
  <c r="H159" i="16"/>
  <c r="L159" i="16" s="1"/>
  <c r="H158" i="16"/>
  <c r="L158" i="16" s="1"/>
  <c r="H157" i="16"/>
  <c r="L157" i="16" s="1"/>
  <c r="H156" i="16"/>
  <c r="L156" i="16" s="1"/>
  <c r="H155" i="16"/>
  <c r="L155" i="16" s="1"/>
  <c r="H154" i="16"/>
  <c r="L154" i="16" s="1"/>
  <c r="H153" i="16"/>
  <c r="L153" i="16" s="1"/>
  <c r="H152" i="16"/>
  <c r="L152" i="16" s="1"/>
  <c r="H151" i="16"/>
  <c r="L151" i="16" s="1"/>
  <c r="H150" i="16"/>
  <c r="L150" i="16" s="1"/>
  <c r="H149" i="16"/>
  <c r="L149" i="16" s="1"/>
  <c r="H148" i="16"/>
  <c r="L148" i="16" s="1"/>
  <c r="H147" i="16"/>
  <c r="L147" i="16" s="1"/>
  <c r="H146" i="16"/>
  <c r="L146" i="16" s="1"/>
  <c r="H145" i="16"/>
  <c r="L145" i="16" s="1"/>
  <c r="H144" i="16"/>
  <c r="L144" i="16" s="1"/>
  <c r="H143" i="16"/>
  <c r="L143" i="16" s="1"/>
  <c r="H142" i="16"/>
  <c r="L142" i="16" s="1"/>
  <c r="H141" i="16"/>
  <c r="L141" i="16" s="1"/>
  <c r="H140" i="16"/>
  <c r="L140" i="16" s="1"/>
  <c r="H139" i="16"/>
  <c r="L139" i="16" s="1"/>
  <c r="H138" i="16"/>
  <c r="L138" i="16" s="1"/>
  <c r="H137" i="16"/>
  <c r="L137" i="16" s="1"/>
  <c r="H136" i="16"/>
  <c r="L136" i="16" s="1"/>
  <c r="H135" i="16"/>
  <c r="L135" i="16" s="1"/>
  <c r="H134" i="16"/>
  <c r="L134" i="16" s="1"/>
  <c r="H133" i="16"/>
  <c r="L133" i="16" s="1"/>
  <c r="H132" i="16"/>
  <c r="L132" i="16" s="1"/>
  <c r="H131" i="16"/>
  <c r="L131" i="16" s="1"/>
  <c r="H130" i="16"/>
  <c r="L130" i="16" s="1"/>
  <c r="H129" i="16"/>
  <c r="L129" i="16" s="1"/>
  <c r="H128" i="16"/>
  <c r="L128" i="16" s="1"/>
  <c r="H127" i="16"/>
  <c r="L127" i="16" s="1"/>
  <c r="H126" i="16"/>
  <c r="L126" i="16" s="1"/>
  <c r="H125" i="16"/>
  <c r="L125" i="16" s="1"/>
  <c r="H124" i="16"/>
  <c r="L124" i="16" s="1"/>
  <c r="H123" i="16"/>
  <c r="L123" i="16" s="1"/>
  <c r="H122" i="16"/>
  <c r="L122" i="16" s="1"/>
  <c r="H121" i="16"/>
  <c r="L121" i="16" s="1"/>
  <c r="H120" i="16"/>
  <c r="L120" i="16" s="1"/>
  <c r="H119" i="16"/>
  <c r="L119" i="16" s="1"/>
  <c r="H118" i="16"/>
  <c r="L118" i="16" s="1"/>
  <c r="H117" i="16"/>
  <c r="L117" i="16" s="1"/>
  <c r="H116" i="16"/>
  <c r="L116" i="16" s="1"/>
  <c r="H115" i="16"/>
  <c r="L115" i="16" s="1"/>
  <c r="H114" i="16"/>
  <c r="L114" i="16" s="1"/>
  <c r="H113" i="16"/>
  <c r="L113" i="16" s="1"/>
  <c r="H112" i="16"/>
  <c r="L112" i="16" s="1"/>
  <c r="H111" i="16"/>
  <c r="L111" i="16" s="1"/>
  <c r="H110" i="16"/>
  <c r="L110" i="16" s="1"/>
  <c r="H109" i="16"/>
  <c r="L109" i="16" s="1"/>
  <c r="H108" i="16"/>
  <c r="L108" i="16" s="1"/>
  <c r="H107" i="16"/>
  <c r="L107" i="16" s="1"/>
  <c r="H106" i="16"/>
  <c r="L106" i="16" s="1"/>
  <c r="H105" i="16"/>
  <c r="L105" i="16" s="1"/>
  <c r="H104" i="16"/>
  <c r="L104" i="16" s="1"/>
  <c r="H103" i="16"/>
  <c r="L103" i="16" s="1"/>
  <c r="H102" i="16"/>
  <c r="L102" i="16" s="1"/>
  <c r="H101" i="16"/>
  <c r="L101" i="16" s="1"/>
  <c r="H100" i="16"/>
  <c r="L100" i="16" s="1"/>
  <c r="H99" i="16"/>
  <c r="L99" i="16" s="1"/>
  <c r="H98" i="16"/>
  <c r="L98" i="16" s="1"/>
  <c r="H97" i="16"/>
  <c r="L97" i="16" s="1"/>
  <c r="H96" i="16"/>
  <c r="L96" i="16" s="1"/>
  <c r="H95" i="16"/>
  <c r="L95" i="16" s="1"/>
  <c r="H94" i="16"/>
  <c r="L94" i="16" s="1"/>
  <c r="H93" i="16"/>
  <c r="L93" i="16" s="1"/>
  <c r="H92" i="16"/>
  <c r="L92" i="16" s="1"/>
  <c r="H91" i="16"/>
  <c r="L91" i="16" s="1"/>
  <c r="H90" i="16"/>
  <c r="L90" i="16" s="1"/>
  <c r="H89" i="16"/>
  <c r="L89" i="16" s="1"/>
  <c r="H88" i="16"/>
  <c r="L88" i="16" s="1"/>
  <c r="H87" i="16"/>
  <c r="L87" i="16" s="1"/>
  <c r="H86" i="16"/>
  <c r="L86" i="16" s="1"/>
  <c r="H85" i="16"/>
  <c r="L85" i="16" s="1"/>
  <c r="H84" i="16"/>
  <c r="L84" i="16" s="1"/>
  <c r="H83" i="16"/>
  <c r="L83" i="16" s="1"/>
  <c r="H82" i="16"/>
  <c r="L82" i="16" s="1"/>
  <c r="H81" i="16"/>
  <c r="L81" i="16" s="1"/>
  <c r="H80" i="16"/>
  <c r="L80" i="16" s="1"/>
  <c r="H79" i="16"/>
  <c r="L79" i="16" s="1"/>
  <c r="H78" i="16"/>
  <c r="L78" i="16" s="1"/>
  <c r="H77" i="16"/>
  <c r="L77" i="16" s="1"/>
  <c r="H76" i="16"/>
  <c r="L76" i="16" s="1"/>
  <c r="H75" i="16"/>
  <c r="L75" i="16" s="1"/>
  <c r="H74" i="16"/>
  <c r="L74" i="16" s="1"/>
  <c r="H73" i="16"/>
  <c r="L73" i="16" s="1"/>
  <c r="H72" i="16"/>
  <c r="L72" i="16" s="1"/>
  <c r="H71" i="16"/>
  <c r="L71" i="16" s="1"/>
  <c r="H70" i="16"/>
  <c r="L70" i="16" s="1"/>
  <c r="H69" i="16"/>
  <c r="L69" i="16" s="1"/>
  <c r="H68" i="16"/>
  <c r="L68" i="16" s="1"/>
  <c r="H67" i="16"/>
  <c r="L67" i="16" s="1"/>
  <c r="H66" i="16"/>
  <c r="L66" i="16" s="1"/>
  <c r="H65" i="16"/>
  <c r="L65" i="16" s="1"/>
  <c r="H64" i="16"/>
  <c r="L64" i="16" s="1"/>
  <c r="H63" i="16"/>
  <c r="L63" i="16" s="1"/>
  <c r="H62" i="16"/>
  <c r="L62" i="16" s="1"/>
  <c r="H61" i="16"/>
  <c r="L61" i="16" s="1"/>
  <c r="H60" i="16"/>
  <c r="L60" i="16" s="1"/>
  <c r="H59" i="16"/>
  <c r="L59" i="16" s="1"/>
  <c r="H58" i="16"/>
  <c r="L58" i="16" s="1"/>
  <c r="H57" i="16"/>
  <c r="L57" i="16" s="1"/>
  <c r="H56" i="16"/>
  <c r="L56" i="16" s="1"/>
  <c r="H55" i="16"/>
  <c r="L55" i="16" s="1"/>
  <c r="H54" i="16"/>
  <c r="L54" i="16" s="1"/>
  <c r="H53" i="16"/>
  <c r="L53" i="16" s="1"/>
  <c r="H52" i="16"/>
  <c r="L52" i="16" s="1"/>
  <c r="H51" i="16"/>
  <c r="L51" i="16" s="1"/>
  <c r="H50" i="16"/>
  <c r="L50" i="16" s="1"/>
  <c r="H49" i="16"/>
  <c r="L49" i="16" s="1"/>
  <c r="H48" i="16"/>
  <c r="L48" i="16" s="1"/>
  <c r="H47" i="16"/>
  <c r="L47" i="16" s="1"/>
  <c r="H46" i="16"/>
  <c r="L46" i="16" s="1"/>
  <c r="H45" i="16"/>
  <c r="L45" i="16" s="1"/>
  <c r="H44" i="16"/>
  <c r="L44" i="16" s="1"/>
  <c r="H43" i="16"/>
  <c r="L43" i="16" s="1"/>
  <c r="H42" i="16"/>
  <c r="L42" i="16" s="1"/>
  <c r="H41" i="16"/>
  <c r="L41" i="16" s="1"/>
  <c r="H40" i="16"/>
  <c r="L40" i="16" s="1"/>
  <c r="H39" i="16"/>
  <c r="L39" i="16" s="1"/>
  <c r="H38" i="16"/>
  <c r="L38" i="16" s="1"/>
  <c r="H37" i="16"/>
  <c r="L37" i="16" s="1"/>
  <c r="H36" i="16"/>
  <c r="L36" i="16" s="1"/>
  <c r="H35" i="16"/>
  <c r="L35" i="16" s="1"/>
  <c r="H34" i="16"/>
  <c r="L34" i="16" s="1"/>
  <c r="H33" i="16"/>
  <c r="L33" i="16" s="1"/>
  <c r="H32" i="16"/>
  <c r="L32" i="16" s="1"/>
  <c r="H31" i="16"/>
  <c r="L31" i="16" s="1"/>
  <c r="H30" i="16"/>
  <c r="L30" i="16" s="1"/>
  <c r="H29" i="16"/>
  <c r="L29" i="16" s="1"/>
  <c r="H28" i="16"/>
  <c r="L28" i="16" s="1"/>
  <c r="H27" i="16"/>
  <c r="L27" i="16" s="1"/>
  <c r="H26" i="16"/>
  <c r="L26" i="16" s="1"/>
  <c r="H25" i="16"/>
  <c r="L25" i="16" s="1"/>
  <c r="H24" i="16"/>
  <c r="L24" i="16" s="1"/>
  <c r="H23" i="16"/>
  <c r="L23" i="16" s="1"/>
  <c r="H22" i="16"/>
  <c r="L22" i="16" s="1"/>
  <c r="H21" i="16"/>
  <c r="L21" i="16" s="1"/>
  <c r="H20" i="16"/>
  <c r="L20" i="16" s="1"/>
  <c r="H19" i="16"/>
  <c r="L19" i="16" s="1"/>
  <c r="H18" i="16"/>
  <c r="L18" i="16" s="1"/>
  <c r="H17" i="16"/>
  <c r="L17" i="16" s="1"/>
  <c r="H16" i="16"/>
  <c r="L16" i="16" s="1"/>
  <c r="H15" i="16"/>
  <c r="L15" i="16" s="1"/>
  <c r="H14" i="16"/>
  <c r="L14" i="16" s="1"/>
  <c r="H13" i="16"/>
  <c r="L13" i="16" s="1"/>
  <c r="H12" i="16"/>
  <c r="L12" i="16" s="1"/>
  <c r="H11" i="16"/>
  <c r="L11" i="16" s="1"/>
  <c r="H10" i="16"/>
  <c r="L10" i="16" s="1"/>
  <c r="H9" i="16"/>
  <c r="L9" i="16" s="1"/>
  <c r="C101" i="1"/>
  <c r="C85" i="22" s="1"/>
  <c r="D85" i="22" s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R1000" i="16"/>
  <c r="T1000" i="16" s="1"/>
  <c r="O1000" i="16"/>
  <c r="N1000" i="16"/>
  <c r="R999" i="16"/>
  <c r="T999" i="16" s="1"/>
  <c r="O999" i="16"/>
  <c r="N999" i="16"/>
  <c r="O998" i="16"/>
  <c r="N998" i="16"/>
  <c r="O997" i="16"/>
  <c r="N997" i="16"/>
  <c r="O996" i="16"/>
  <c r="N996" i="16"/>
  <c r="O995" i="16"/>
  <c r="N995" i="16"/>
  <c r="O994" i="16"/>
  <c r="N994" i="16"/>
  <c r="O993" i="16"/>
  <c r="N993" i="16"/>
  <c r="R992" i="16"/>
  <c r="T992" i="16" s="1"/>
  <c r="O992" i="16"/>
  <c r="N992" i="16"/>
  <c r="R991" i="16"/>
  <c r="T991" i="16" s="1"/>
  <c r="O991" i="16"/>
  <c r="N991" i="16"/>
  <c r="O990" i="16"/>
  <c r="N990" i="16"/>
  <c r="O989" i="16"/>
  <c r="N989" i="16"/>
  <c r="O988" i="16"/>
  <c r="N988" i="16"/>
  <c r="O987" i="16"/>
  <c r="N987" i="16"/>
  <c r="O986" i="16"/>
  <c r="N986" i="16"/>
  <c r="R985" i="16"/>
  <c r="T985" i="16" s="1"/>
  <c r="O985" i="16"/>
  <c r="N985" i="16"/>
  <c r="O984" i="16"/>
  <c r="N984" i="16"/>
  <c r="R983" i="16"/>
  <c r="T983" i="16" s="1"/>
  <c r="O983" i="16"/>
  <c r="N983" i="16"/>
  <c r="O982" i="16"/>
  <c r="N982" i="16"/>
  <c r="O981" i="16"/>
  <c r="N981" i="16"/>
  <c r="O980" i="16"/>
  <c r="N980" i="16"/>
  <c r="O979" i="16"/>
  <c r="N979" i="16"/>
  <c r="O978" i="16"/>
  <c r="N978" i="16"/>
  <c r="O977" i="16"/>
  <c r="N977" i="16"/>
  <c r="O976" i="16"/>
  <c r="N976" i="16"/>
  <c r="O975" i="16"/>
  <c r="N975" i="16"/>
  <c r="O974" i="16"/>
  <c r="N974" i="16"/>
  <c r="O973" i="16"/>
  <c r="N973" i="16"/>
  <c r="O972" i="16"/>
  <c r="N972" i="16"/>
  <c r="O971" i="16"/>
  <c r="N971" i="16"/>
  <c r="R970" i="16"/>
  <c r="T970" i="16" s="1"/>
  <c r="O970" i="16"/>
  <c r="N970" i="16"/>
  <c r="R969" i="16"/>
  <c r="T969" i="16" s="1"/>
  <c r="O969" i="16"/>
  <c r="N969" i="16"/>
  <c r="O968" i="16"/>
  <c r="N968" i="16"/>
  <c r="O967" i="16"/>
  <c r="N967" i="16"/>
  <c r="O966" i="16"/>
  <c r="N966" i="16"/>
  <c r="O965" i="16"/>
  <c r="N965" i="16"/>
  <c r="O964" i="16"/>
  <c r="N964" i="16"/>
  <c r="O963" i="16"/>
  <c r="N963" i="16"/>
  <c r="O962" i="16"/>
  <c r="N962" i="16"/>
  <c r="O961" i="16"/>
  <c r="N961" i="16"/>
  <c r="O960" i="16"/>
  <c r="N960" i="16"/>
  <c r="O959" i="16"/>
  <c r="N959" i="16"/>
  <c r="O958" i="16"/>
  <c r="N958" i="16"/>
  <c r="O957" i="16"/>
  <c r="N957" i="16"/>
  <c r="O956" i="16"/>
  <c r="N956" i="16"/>
  <c r="O955" i="16"/>
  <c r="N955" i="16"/>
  <c r="R954" i="16"/>
  <c r="T954" i="16" s="1"/>
  <c r="O954" i="16"/>
  <c r="N954" i="16"/>
  <c r="R953" i="16"/>
  <c r="T953" i="16" s="1"/>
  <c r="O953" i="16"/>
  <c r="N953" i="16"/>
  <c r="O952" i="16"/>
  <c r="N952" i="16"/>
  <c r="R951" i="16"/>
  <c r="T951" i="16" s="1"/>
  <c r="O951" i="16"/>
  <c r="N951" i="16"/>
  <c r="O950" i="16"/>
  <c r="N950" i="16"/>
  <c r="O949" i="16"/>
  <c r="N949" i="16"/>
  <c r="O948" i="16"/>
  <c r="N948" i="16"/>
  <c r="O947" i="16"/>
  <c r="N947" i="16"/>
  <c r="R946" i="16"/>
  <c r="T946" i="16" s="1"/>
  <c r="O946" i="16"/>
  <c r="N946" i="16"/>
  <c r="R945" i="16"/>
  <c r="T945" i="16" s="1"/>
  <c r="O945" i="16"/>
  <c r="N945" i="16"/>
  <c r="O944" i="16"/>
  <c r="N944" i="16"/>
  <c r="R943" i="16"/>
  <c r="T943" i="16" s="1"/>
  <c r="O943" i="16"/>
  <c r="N943" i="16"/>
  <c r="O942" i="16"/>
  <c r="N942" i="16"/>
  <c r="O941" i="16"/>
  <c r="N941" i="16"/>
  <c r="O940" i="16"/>
  <c r="N940" i="16"/>
  <c r="O939" i="16"/>
  <c r="N939" i="16"/>
  <c r="O938" i="16"/>
  <c r="N938" i="16"/>
  <c r="O937" i="16"/>
  <c r="N937" i="16"/>
  <c r="O936" i="16"/>
  <c r="N936" i="16"/>
  <c r="O935" i="16"/>
  <c r="N935" i="16"/>
  <c r="O934" i="16"/>
  <c r="N934" i="16"/>
  <c r="O933" i="16"/>
  <c r="N933" i="16"/>
  <c r="O932" i="16"/>
  <c r="N932" i="16"/>
  <c r="O931" i="16"/>
  <c r="N931" i="16"/>
  <c r="O930" i="16"/>
  <c r="N930" i="16"/>
  <c r="R929" i="16"/>
  <c r="T929" i="16" s="1"/>
  <c r="O929" i="16"/>
  <c r="N929" i="16"/>
  <c r="O928" i="16"/>
  <c r="N928" i="16"/>
  <c r="O927" i="16"/>
  <c r="N927" i="16"/>
  <c r="O926" i="16"/>
  <c r="N926" i="16"/>
  <c r="O925" i="16"/>
  <c r="N925" i="16"/>
  <c r="O924" i="16"/>
  <c r="N924" i="16"/>
  <c r="O923" i="16"/>
  <c r="N923" i="16"/>
  <c r="R922" i="16"/>
  <c r="T922" i="16" s="1"/>
  <c r="O922" i="16"/>
  <c r="N922" i="16"/>
  <c r="R921" i="16"/>
  <c r="T921" i="16" s="1"/>
  <c r="O921" i="16"/>
  <c r="N921" i="16"/>
  <c r="O920" i="16"/>
  <c r="N920" i="16"/>
  <c r="R919" i="16"/>
  <c r="T919" i="16" s="1"/>
  <c r="O919" i="16"/>
  <c r="N919" i="16"/>
  <c r="O918" i="16"/>
  <c r="N918" i="16"/>
  <c r="O917" i="16"/>
  <c r="N917" i="16"/>
  <c r="O916" i="16"/>
  <c r="N916" i="16"/>
  <c r="O915" i="16"/>
  <c r="N915" i="16"/>
  <c r="O914" i="16"/>
  <c r="N914" i="16"/>
  <c r="R913" i="16"/>
  <c r="T913" i="16" s="1"/>
  <c r="O913" i="16"/>
  <c r="N913" i="16"/>
  <c r="O912" i="16"/>
  <c r="N912" i="16"/>
  <c r="O911" i="16"/>
  <c r="N911" i="16"/>
  <c r="O910" i="16"/>
  <c r="N910" i="16"/>
  <c r="O909" i="16"/>
  <c r="N909" i="16"/>
  <c r="O908" i="16"/>
  <c r="N908" i="16"/>
  <c r="O907" i="16"/>
  <c r="N907" i="16"/>
  <c r="O906" i="16"/>
  <c r="N906" i="16"/>
  <c r="R905" i="16"/>
  <c r="T905" i="16" s="1"/>
  <c r="O905" i="16"/>
  <c r="N905" i="16"/>
  <c r="O904" i="16"/>
  <c r="N904" i="16"/>
  <c r="O903" i="16"/>
  <c r="N903" i="16"/>
  <c r="O902" i="16"/>
  <c r="N902" i="16"/>
  <c r="O901" i="16"/>
  <c r="N901" i="16"/>
  <c r="O900" i="16"/>
  <c r="N900" i="16"/>
  <c r="O899" i="16"/>
  <c r="N899" i="16"/>
  <c r="R898" i="16"/>
  <c r="T898" i="16" s="1"/>
  <c r="O898" i="16"/>
  <c r="N898" i="16"/>
  <c r="R897" i="16"/>
  <c r="T897" i="16" s="1"/>
  <c r="O897" i="16"/>
  <c r="N897" i="16"/>
  <c r="O896" i="16"/>
  <c r="N896" i="16"/>
  <c r="R895" i="16"/>
  <c r="T895" i="16" s="1"/>
  <c r="O895" i="16"/>
  <c r="N895" i="16"/>
  <c r="O894" i="16"/>
  <c r="N894" i="16"/>
  <c r="O893" i="16"/>
  <c r="N893" i="16"/>
  <c r="O892" i="16"/>
  <c r="N892" i="16"/>
  <c r="O891" i="16"/>
  <c r="N891" i="16"/>
  <c r="R890" i="16"/>
  <c r="T890" i="16" s="1"/>
  <c r="O890" i="16"/>
  <c r="N890" i="16"/>
  <c r="O889" i="16"/>
  <c r="N889" i="16"/>
  <c r="O888" i="16"/>
  <c r="N888" i="16"/>
  <c r="R887" i="16"/>
  <c r="T887" i="16" s="1"/>
  <c r="O887" i="16"/>
  <c r="N887" i="16"/>
  <c r="O886" i="16"/>
  <c r="N886" i="16"/>
  <c r="O885" i="16"/>
  <c r="N885" i="16"/>
  <c r="O884" i="16"/>
  <c r="N884" i="16"/>
  <c r="O883" i="16"/>
  <c r="N883" i="16"/>
  <c r="R882" i="16"/>
  <c r="T882" i="16" s="1"/>
  <c r="O882" i="16"/>
  <c r="N882" i="16"/>
  <c r="O881" i="16"/>
  <c r="N881" i="16"/>
  <c r="O880" i="16"/>
  <c r="N880" i="16"/>
  <c r="R879" i="16"/>
  <c r="T879" i="16" s="1"/>
  <c r="O879" i="16"/>
  <c r="N879" i="16"/>
  <c r="O878" i="16"/>
  <c r="N878" i="16"/>
  <c r="O877" i="16"/>
  <c r="N877" i="16"/>
  <c r="O876" i="16"/>
  <c r="N876" i="16"/>
  <c r="O875" i="16"/>
  <c r="N875" i="16"/>
  <c r="O874" i="16"/>
  <c r="N874" i="16"/>
  <c r="O873" i="16"/>
  <c r="N873" i="16"/>
  <c r="O872" i="16"/>
  <c r="N872" i="16"/>
  <c r="O871" i="16"/>
  <c r="N871" i="16"/>
  <c r="O870" i="16"/>
  <c r="N870" i="16"/>
  <c r="O869" i="16"/>
  <c r="N869" i="16"/>
  <c r="O868" i="16"/>
  <c r="N868" i="16"/>
  <c r="O867" i="16"/>
  <c r="N867" i="16"/>
  <c r="R866" i="16"/>
  <c r="T866" i="16" s="1"/>
  <c r="O866" i="16"/>
  <c r="N866" i="16"/>
  <c r="O865" i="16"/>
  <c r="N865" i="16"/>
  <c r="O864" i="16"/>
  <c r="N864" i="16"/>
  <c r="O863" i="16"/>
  <c r="N863" i="16"/>
  <c r="O862" i="16"/>
  <c r="N862" i="16"/>
  <c r="O861" i="16"/>
  <c r="N861" i="16"/>
  <c r="O860" i="16"/>
  <c r="N860" i="16"/>
  <c r="O859" i="16"/>
  <c r="N859" i="16"/>
  <c r="O858" i="16"/>
  <c r="N858" i="16"/>
  <c r="O857" i="16"/>
  <c r="N857" i="16"/>
  <c r="O856" i="16"/>
  <c r="N856" i="16"/>
  <c r="O855" i="16"/>
  <c r="N855" i="16"/>
  <c r="O854" i="16"/>
  <c r="N854" i="16"/>
  <c r="O853" i="16"/>
  <c r="N853" i="16"/>
  <c r="O852" i="16"/>
  <c r="N852" i="16"/>
  <c r="O851" i="16"/>
  <c r="N851" i="16"/>
  <c r="O850" i="16"/>
  <c r="N850" i="16"/>
  <c r="R849" i="16"/>
  <c r="T849" i="16" s="1"/>
  <c r="O849" i="16"/>
  <c r="N849" i="16"/>
  <c r="O848" i="16"/>
  <c r="N848" i="16"/>
  <c r="O847" i="16"/>
  <c r="N847" i="16"/>
  <c r="O846" i="16"/>
  <c r="N846" i="16"/>
  <c r="O845" i="16"/>
  <c r="N845" i="16"/>
  <c r="O844" i="16"/>
  <c r="N844" i="16"/>
  <c r="O843" i="16"/>
  <c r="N843" i="16"/>
  <c r="O842" i="16"/>
  <c r="N842" i="16"/>
  <c r="R841" i="16"/>
  <c r="T841" i="16" s="1"/>
  <c r="O841" i="16"/>
  <c r="N841" i="16"/>
  <c r="O840" i="16"/>
  <c r="N840" i="16"/>
  <c r="O839" i="16"/>
  <c r="N839" i="16"/>
  <c r="O838" i="16"/>
  <c r="N838" i="16"/>
  <c r="O837" i="16"/>
  <c r="N837" i="16"/>
  <c r="O836" i="16"/>
  <c r="N836" i="16"/>
  <c r="O835" i="16"/>
  <c r="N835" i="16"/>
  <c r="R834" i="16"/>
  <c r="T834" i="16" s="1"/>
  <c r="O834" i="16"/>
  <c r="N834" i="16"/>
  <c r="R833" i="16"/>
  <c r="T833" i="16" s="1"/>
  <c r="O833" i="16"/>
  <c r="N833" i="16"/>
  <c r="R832" i="16"/>
  <c r="T832" i="16" s="1"/>
  <c r="O832" i="16"/>
  <c r="N832" i="16"/>
  <c r="O831" i="16"/>
  <c r="N831" i="16"/>
  <c r="O830" i="16"/>
  <c r="N830" i="16"/>
  <c r="O829" i="16"/>
  <c r="N829" i="16"/>
  <c r="O828" i="16"/>
  <c r="N828" i="16"/>
  <c r="O827" i="16"/>
  <c r="N827" i="16"/>
  <c r="R826" i="16"/>
  <c r="T826" i="16" s="1"/>
  <c r="O826" i="16"/>
  <c r="N826" i="16"/>
  <c r="O825" i="16"/>
  <c r="N825" i="16"/>
  <c r="R824" i="16"/>
  <c r="T824" i="16" s="1"/>
  <c r="O824" i="16"/>
  <c r="N824" i="16"/>
  <c r="O823" i="16"/>
  <c r="N823" i="16"/>
  <c r="O822" i="16"/>
  <c r="N822" i="16"/>
  <c r="O821" i="16"/>
  <c r="N821" i="16"/>
  <c r="O820" i="16"/>
  <c r="N820" i="16"/>
  <c r="O819" i="16"/>
  <c r="N819" i="16"/>
  <c r="R818" i="16"/>
  <c r="T818" i="16" s="1"/>
  <c r="O818" i="16"/>
  <c r="N818" i="16"/>
  <c r="O817" i="16"/>
  <c r="N817" i="16"/>
  <c r="O816" i="16"/>
  <c r="N816" i="16"/>
  <c r="O815" i="16"/>
  <c r="N815" i="16"/>
  <c r="O814" i="16"/>
  <c r="N814" i="16"/>
  <c r="O813" i="16"/>
  <c r="N813" i="16"/>
  <c r="O812" i="16"/>
  <c r="N812" i="16"/>
  <c r="O811" i="16"/>
  <c r="N811" i="16"/>
  <c r="R810" i="16"/>
  <c r="T810" i="16" s="1"/>
  <c r="O810" i="16"/>
  <c r="N810" i="16"/>
  <c r="O809" i="16"/>
  <c r="N809" i="16"/>
  <c r="O808" i="16"/>
  <c r="N808" i="16"/>
  <c r="O807" i="16"/>
  <c r="N807" i="16"/>
  <c r="O806" i="16"/>
  <c r="N806" i="16"/>
  <c r="O805" i="16"/>
  <c r="N805" i="16"/>
  <c r="O804" i="16"/>
  <c r="N804" i="16"/>
  <c r="O803" i="16"/>
  <c r="N803" i="16"/>
  <c r="O802" i="16"/>
  <c r="N802" i="16"/>
  <c r="O801" i="16"/>
  <c r="N801" i="16"/>
  <c r="O800" i="16"/>
  <c r="N800" i="16"/>
  <c r="O799" i="16"/>
  <c r="N799" i="16"/>
  <c r="O798" i="16"/>
  <c r="N798" i="16"/>
  <c r="O797" i="16"/>
  <c r="N797" i="16"/>
  <c r="O796" i="16"/>
  <c r="N796" i="16"/>
  <c r="O795" i="16"/>
  <c r="N795" i="16"/>
  <c r="O794" i="16"/>
  <c r="N794" i="16"/>
  <c r="O793" i="16"/>
  <c r="N793" i="16"/>
  <c r="O792" i="16"/>
  <c r="N792" i="16"/>
  <c r="O791" i="16"/>
  <c r="N791" i="16"/>
  <c r="O790" i="16"/>
  <c r="N790" i="16"/>
  <c r="O789" i="16"/>
  <c r="N789" i="16"/>
  <c r="O788" i="16"/>
  <c r="N788" i="16"/>
  <c r="O787" i="16"/>
  <c r="N787" i="16"/>
  <c r="O786" i="16"/>
  <c r="N786" i="16"/>
  <c r="R785" i="16"/>
  <c r="T785" i="16" s="1"/>
  <c r="O785" i="16"/>
  <c r="N785" i="16"/>
  <c r="O784" i="16"/>
  <c r="N784" i="16"/>
  <c r="O783" i="16"/>
  <c r="N783" i="16"/>
  <c r="O782" i="16"/>
  <c r="N782" i="16"/>
  <c r="O781" i="16"/>
  <c r="N781" i="16"/>
  <c r="O780" i="16"/>
  <c r="N780" i="16"/>
  <c r="O779" i="16"/>
  <c r="N779" i="16"/>
  <c r="O778" i="16"/>
  <c r="N778" i="16"/>
  <c r="R777" i="16"/>
  <c r="T777" i="16" s="1"/>
  <c r="O777" i="16"/>
  <c r="N777" i="16"/>
  <c r="O776" i="16"/>
  <c r="N776" i="16"/>
  <c r="O775" i="16"/>
  <c r="N775" i="16"/>
  <c r="O774" i="16"/>
  <c r="N774" i="16"/>
  <c r="O773" i="16"/>
  <c r="N773" i="16"/>
  <c r="O772" i="16"/>
  <c r="N772" i="16"/>
  <c r="O771" i="16"/>
  <c r="N771" i="16"/>
  <c r="O770" i="16"/>
  <c r="N770" i="16"/>
  <c r="R769" i="16"/>
  <c r="T769" i="16" s="1"/>
  <c r="O769" i="16"/>
  <c r="N769" i="16"/>
  <c r="O768" i="16"/>
  <c r="N768" i="16"/>
  <c r="O767" i="16"/>
  <c r="N767" i="16"/>
  <c r="O766" i="16"/>
  <c r="N766" i="16"/>
  <c r="O765" i="16"/>
  <c r="N765" i="16"/>
  <c r="O764" i="16"/>
  <c r="N764" i="16"/>
  <c r="O763" i="16"/>
  <c r="N763" i="16"/>
  <c r="O762" i="16"/>
  <c r="N762" i="16"/>
  <c r="O761" i="16"/>
  <c r="N761" i="16"/>
  <c r="O760" i="16"/>
  <c r="N760" i="16"/>
  <c r="O759" i="16"/>
  <c r="N759" i="16"/>
  <c r="O758" i="16"/>
  <c r="N758" i="16"/>
  <c r="O757" i="16"/>
  <c r="N757" i="16"/>
  <c r="O756" i="16"/>
  <c r="N756" i="16"/>
  <c r="O755" i="16"/>
  <c r="N755" i="16"/>
  <c r="O754" i="16"/>
  <c r="N754" i="16"/>
  <c r="O753" i="16"/>
  <c r="N753" i="16"/>
  <c r="O752" i="16"/>
  <c r="N752" i="16"/>
  <c r="O751" i="16"/>
  <c r="N751" i="16"/>
  <c r="O750" i="16"/>
  <c r="N750" i="16"/>
  <c r="O749" i="16"/>
  <c r="N749" i="16"/>
  <c r="O748" i="16"/>
  <c r="N748" i="16"/>
  <c r="O747" i="16"/>
  <c r="N747" i="16"/>
  <c r="R746" i="16"/>
  <c r="T746" i="16" s="1"/>
  <c r="O746" i="16"/>
  <c r="N746" i="16"/>
  <c r="O745" i="16"/>
  <c r="N745" i="16"/>
  <c r="O744" i="16"/>
  <c r="N744" i="16"/>
  <c r="O743" i="16"/>
  <c r="N743" i="16"/>
  <c r="O742" i="16"/>
  <c r="N742" i="16"/>
  <c r="O741" i="16"/>
  <c r="N741" i="16"/>
  <c r="O740" i="16"/>
  <c r="N740" i="16"/>
  <c r="O739" i="16"/>
  <c r="N739" i="16"/>
  <c r="R738" i="16"/>
  <c r="T738" i="16" s="1"/>
  <c r="O738" i="16"/>
  <c r="N738" i="16"/>
  <c r="O737" i="16"/>
  <c r="N737" i="16"/>
  <c r="O736" i="16"/>
  <c r="N736" i="16"/>
  <c r="O735" i="16"/>
  <c r="N735" i="16"/>
  <c r="O734" i="16"/>
  <c r="N734" i="16"/>
  <c r="O733" i="16"/>
  <c r="N733" i="16"/>
  <c r="O732" i="16"/>
  <c r="N732" i="16"/>
  <c r="O731" i="16"/>
  <c r="N731" i="16"/>
  <c r="O730" i="16"/>
  <c r="N730" i="16"/>
  <c r="O729" i="16"/>
  <c r="N729" i="16"/>
  <c r="O728" i="16"/>
  <c r="N728" i="16"/>
  <c r="O727" i="16"/>
  <c r="N727" i="16"/>
  <c r="O726" i="16"/>
  <c r="N726" i="16"/>
  <c r="O725" i="16"/>
  <c r="N725" i="16"/>
  <c r="O724" i="16"/>
  <c r="N724" i="16"/>
  <c r="O723" i="16"/>
  <c r="N723" i="16"/>
  <c r="O722" i="16"/>
  <c r="N722" i="16"/>
  <c r="O721" i="16"/>
  <c r="N721" i="16"/>
  <c r="O720" i="16"/>
  <c r="N720" i="16"/>
  <c r="O719" i="16"/>
  <c r="N719" i="16"/>
  <c r="O718" i="16"/>
  <c r="N718" i="16"/>
  <c r="O717" i="16"/>
  <c r="N717" i="16"/>
  <c r="O716" i="16"/>
  <c r="N716" i="16"/>
  <c r="O715" i="16"/>
  <c r="N715" i="16"/>
  <c r="O714" i="16"/>
  <c r="N714" i="16"/>
  <c r="O713" i="16"/>
  <c r="N713" i="16"/>
  <c r="O712" i="16"/>
  <c r="N712" i="16"/>
  <c r="O711" i="16"/>
  <c r="N711" i="16"/>
  <c r="O710" i="16"/>
  <c r="N710" i="16"/>
  <c r="O709" i="16"/>
  <c r="N709" i="16"/>
  <c r="O708" i="16"/>
  <c r="N708" i="16"/>
  <c r="O707" i="16"/>
  <c r="N707" i="16"/>
  <c r="O706" i="16"/>
  <c r="N706" i="16"/>
  <c r="R705" i="16"/>
  <c r="T705" i="16" s="1"/>
  <c r="O705" i="16"/>
  <c r="N705" i="16"/>
  <c r="O704" i="16"/>
  <c r="N704" i="16"/>
  <c r="O703" i="16"/>
  <c r="N703" i="16"/>
  <c r="O702" i="16"/>
  <c r="N702" i="16"/>
  <c r="O701" i="16"/>
  <c r="N701" i="16"/>
  <c r="O700" i="16"/>
  <c r="N700" i="16"/>
  <c r="O699" i="16"/>
  <c r="N699" i="16"/>
  <c r="O698" i="16"/>
  <c r="N698" i="16"/>
  <c r="O697" i="16"/>
  <c r="N697" i="16"/>
  <c r="O696" i="16"/>
  <c r="N696" i="16"/>
  <c r="O695" i="16"/>
  <c r="N695" i="16"/>
  <c r="O694" i="16"/>
  <c r="N694" i="16"/>
  <c r="O693" i="16"/>
  <c r="N693" i="16"/>
  <c r="O692" i="16"/>
  <c r="N692" i="16"/>
  <c r="O691" i="16"/>
  <c r="N691" i="16"/>
  <c r="O690" i="16"/>
  <c r="N690" i="16"/>
  <c r="O689" i="16"/>
  <c r="N689" i="16"/>
  <c r="O688" i="16"/>
  <c r="N688" i="16"/>
  <c r="O687" i="16"/>
  <c r="N687" i="16"/>
  <c r="O686" i="16"/>
  <c r="N686" i="16"/>
  <c r="O685" i="16"/>
  <c r="N685" i="16"/>
  <c r="O684" i="16"/>
  <c r="N684" i="16"/>
  <c r="O683" i="16"/>
  <c r="N683" i="16"/>
  <c r="O682" i="16"/>
  <c r="N682" i="16"/>
  <c r="O681" i="16"/>
  <c r="N681" i="16"/>
  <c r="O680" i="16"/>
  <c r="N680" i="16"/>
  <c r="O679" i="16"/>
  <c r="N679" i="16"/>
  <c r="O678" i="16"/>
  <c r="N678" i="16"/>
  <c r="O677" i="16"/>
  <c r="N677" i="16"/>
  <c r="O676" i="16"/>
  <c r="N676" i="16"/>
  <c r="O675" i="16"/>
  <c r="N675" i="16"/>
  <c r="O674" i="16"/>
  <c r="N674" i="16"/>
  <c r="O673" i="16"/>
  <c r="N673" i="16"/>
  <c r="O672" i="16"/>
  <c r="N672" i="16"/>
  <c r="O671" i="16"/>
  <c r="N671" i="16"/>
  <c r="O670" i="16"/>
  <c r="N670" i="16"/>
  <c r="O669" i="16"/>
  <c r="N669" i="16"/>
  <c r="O668" i="16"/>
  <c r="N668" i="16"/>
  <c r="O667" i="16"/>
  <c r="N667" i="16"/>
  <c r="O666" i="16"/>
  <c r="N666" i="16"/>
  <c r="O665" i="16"/>
  <c r="N665" i="16"/>
  <c r="O664" i="16"/>
  <c r="N664" i="16"/>
  <c r="O663" i="16"/>
  <c r="N663" i="16"/>
  <c r="O662" i="16"/>
  <c r="N662" i="16"/>
  <c r="O661" i="16"/>
  <c r="N661" i="16"/>
  <c r="O660" i="16"/>
  <c r="N660" i="16"/>
  <c r="O659" i="16"/>
  <c r="N659" i="16"/>
  <c r="O658" i="16"/>
  <c r="N658" i="16"/>
  <c r="O657" i="16"/>
  <c r="N657" i="16"/>
  <c r="O656" i="16"/>
  <c r="N656" i="16"/>
  <c r="O655" i="16"/>
  <c r="N655" i="16"/>
  <c r="O654" i="16"/>
  <c r="N654" i="16"/>
  <c r="O653" i="16"/>
  <c r="N653" i="16"/>
  <c r="O652" i="16"/>
  <c r="N652" i="16"/>
  <c r="O651" i="16"/>
  <c r="N651" i="16"/>
  <c r="O650" i="16"/>
  <c r="N650" i="16"/>
  <c r="O649" i="16"/>
  <c r="N649" i="16"/>
  <c r="O648" i="16"/>
  <c r="N648" i="16"/>
  <c r="O647" i="16"/>
  <c r="N647" i="16"/>
  <c r="O646" i="16"/>
  <c r="N646" i="16"/>
  <c r="O645" i="16"/>
  <c r="N645" i="16"/>
  <c r="O644" i="16"/>
  <c r="N644" i="16"/>
  <c r="O643" i="16"/>
  <c r="N643" i="16"/>
  <c r="O642" i="16"/>
  <c r="N642" i="16"/>
  <c r="R641" i="16"/>
  <c r="T641" i="16" s="1"/>
  <c r="O641" i="16"/>
  <c r="N641" i="16"/>
  <c r="O640" i="16"/>
  <c r="N640" i="16"/>
  <c r="O639" i="16"/>
  <c r="N639" i="16"/>
  <c r="O638" i="16"/>
  <c r="N638" i="16"/>
  <c r="O637" i="16"/>
  <c r="N637" i="16"/>
  <c r="O636" i="16"/>
  <c r="N636" i="16"/>
  <c r="O635" i="16"/>
  <c r="N635" i="16"/>
  <c r="O634" i="16"/>
  <c r="N634" i="16"/>
  <c r="R633" i="16"/>
  <c r="T633" i="16" s="1"/>
  <c r="O633" i="16"/>
  <c r="N633" i="16"/>
  <c r="O632" i="16"/>
  <c r="N632" i="16"/>
  <c r="O631" i="16"/>
  <c r="N631" i="16"/>
  <c r="O630" i="16"/>
  <c r="N630" i="16"/>
  <c r="O629" i="16"/>
  <c r="N629" i="16"/>
  <c r="O628" i="16"/>
  <c r="N628" i="16"/>
  <c r="O627" i="16"/>
  <c r="N627" i="16"/>
  <c r="O626" i="16"/>
  <c r="N626" i="16"/>
  <c r="O625" i="16"/>
  <c r="N625" i="16"/>
  <c r="O624" i="16"/>
  <c r="N624" i="16"/>
  <c r="O623" i="16"/>
  <c r="N623" i="16"/>
  <c r="O622" i="16"/>
  <c r="N622" i="16"/>
  <c r="O621" i="16"/>
  <c r="N621" i="16"/>
  <c r="O620" i="16"/>
  <c r="N620" i="16"/>
  <c r="O619" i="16"/>
  <c r="N619" i="16"/>
  <c r="O618" i="16"/>
  <c r="N618" i="16"/>
  <c r="O617" i="16"/>
  <c r="N617" i="16"/>
  <c r="O616" i="16"/>
  <c r="N616" i="16"/>
  <c r="O615" i="16"/>
  <c r="N615" i="16"/>
  <c r="O614" i="16"/>
  <c r="N614" i="16"/>
  <c r="O613" i="16"/>
  <c r="N613" i="16"/>
  <c r="O612" i="16"/>
  <c r="N612" i="16"/>
  <c r="O611" i="16"/>
  <c r="N611" i="16"/>
  <c r="O610" i="16"/>
  <c r="N610" i="16"/>
  <c r="R609" i="16"/>
  <c r="T609" i="16" s="1"/>
  <c r="O609" i="16"/>
  <c r="N609" i="16"/>
  <c r="O608" i="16"/>
  <c r="N608" i="16"/>
  <c r="O607" i="16"/>
  <c r="N607" i="16"/>
  <c r="O606" i="16"/>
  <c r="N606" i="16"/>
  <c r="O605" i="16"/>
  <c r="N605" i="16"/>
  <c r="O604" i="16"/>
  <c r="N604" i="16"/>
  <c r="O603" i="16"/>
  <c r="N603" i="16"/>
  <c r="O602" i="16"/>
  <c r="N602" i="16"/>
  <c r="O601" i="16"/>
  <c r="N601" i="16"/>
  <c r="O600" i="16"/>
  <c r="N600" i="16"/>
  <c r="O599" i="16"/>
  <c r="N599" i="16"/>
  <c r="O598" i="16"/>
  <c r="N598" i="16"/>
  <c r="O597" i="16"/>
  <c r="N597" i="16"/>
  <c r="O596" i="16"/>
  <c r="N596" i="16"/>
  <c r="O595" i="16"/>
  <c r="N595" i="16"/>
  <c r="O594" i="16"/>
  <c r="N594" i="16"/>
  <c r="R593" i="16"/>
  <c r="T593" i="16" s="1"/>
  <c r="O593" i="16"/>
  <c r="N593" i="16"/>
  <c r="O592" i="16"/>
  <c r="N592" i="16"/>
  <c r="O591" i="16"/>
  <c r="N591" i="16"/>
  <c r="O590" i="16"/>
  <c r="N590" i="16"/>
  <c r="O589" i="16"/>
  <c r="N589" i="16"/>
  <c r="O588" i="16"/>
  <c r="N588" i="16"/>
  <c r="O587" i="16"/>
  <c r="N587" i="16"/>
  <c r="O586" i="16"/>
  <c r="N586" i="16"/>
  <c r="R585" i="16"/>
  <c r="T585" i="16" s="1"/>
  <c r="O585" i="16"/>
  <c r="N585" i="16"/>
  <c r="O584" i="16"/>
  <c r="N584" i="16"/>
  <c r="O583" i="16"/>
  <c r="N583" i="16"/>
  <c r="O582" i="16"/>
  <c r="N582" i="16"/>
  <c r="O581" i="16"/>
  <c r="N581" i="16"/>
  <c r="O580" i="16"/>
  <c r="N580" i="16"/>
  <c r="O579" i="16"/>
  <c r="N579" i="16"/>
  <c r="O578" i="16"/>
  <c r="N578" i="16"/>
  <c r="R577" i="16"/>
  <c r="T577" i="16" s="1"/>
  <c r="O577" i="16"/>
  <c r="N577" i="16"/>
  <c r="O576" i="16"/>
  <c r="N576" i="16"/>
  <c r="O575" i="16"/>
  <c r="N575" i="16"/>
  <c r="O574" i="16"/>
  <c r="N574" i="16"/>
  <c r="O573" i="16"/>
  <c r="N573" i="16"/>
  <c r="O572" i="16"/>
  <c r="N572" i="16"/>
  <c r="O571" i="16"/>
  <c r="N571" i="16"/>
  <c r="O570" i="16"/>
  <c r="N570" i="16"/>
  <c r="R569" i="16"/>
  <c r="T569" i="16" s="1"/>
  <c r="O569" i="16"/>
  <c r="N569" i="16"/>
  <c r="O568" i="16"/>
  <c r="N568" i="16"/>
  <c r="O567" i="16"/>
  <c r="N567" i="16"/>
  <c r="O566" i="16"/>
  <c r="N566" i="16"/>
  <c r="O565" i="16"/>
  <c r="N565" i="16"/>
  <c r="O564" i="16"/>
  <c r="N564" i="16"/>
  <c r="O563" i="16"/>
  <c r="N563" i="16"/>
  <c r="O562" i="16"/>
  <c r="N562" i="16"/>
  <c r="R561" i="16"/>
  <c r="T561" i="16" s="1"/>
  <c r="O561" i="16"/>
  <c r="N561" i="16"/>
  <c r="O560" i="16"/>
  <c r="N560" i="16"/>
  <c r="O559" i="16"/>
  <c r="N559" i="16"/>
  <c r="O558" i="16"/>
  <c r="N558" i="16"/>
  <c r="O557" i="16"/>
  <c r="N557" i="16"/>
  <c r="O556" i="16"/>
  <c r="N556" i="16"/>
  <c r="O555" i="16"/>
  <c r="N555" i="16"/>
  <c r="O554" i="16"/>
  <c r="N554" i="16"/>
  <c r="R553" i="16"/>
  <c r="T553" i="16" s="1"/>
  <c r="O553" i="16"/>
  <c r="N553" i="16"/>
  <c r="O552" i="16"/>
  <c r="N552" i="16"/>
  <c r="O551" i="16"/>
  <c r="N551" i="16"/>
  <c r="O550" i="16"/>
  <c r="N550" i="16"/>
  <c r="O549" i="16"/>
  <c r="N549" i="16"/>
  <c r="O548" i="16"/>
  <c r="N548" i="16"/>
  <c r="O547" i="16"/>
  <c r="N547" i="16"/>
  <c r="O546" i="16"/>
  <c r="N546" i="16"/>
  <c r="R545" i="16"/>
  <c r="T545" i="16" s="1"/>
  <c r="O545" i="16"/>
  <c r="N545" i="16"/>
  <c r="O544" i="16"/>
  <c r="N544" i="16"/>
  <c r="O543" i="16"/>
  <c r="N543" i="16"/>
  <c r="O542" i="16"/>
  <c r="N542" i="16"/>
  <c r="O541" i="16"/>
  <c r="N541" i="16"/>
  <c r="O540" i="16"/>
  <c r="N540" i="16"/>
  <c r="O539" i="16"/>
  <c r="N539" i="16"/>
  <c r="O538" i="16"/>
  <c r="N538" i="16"/>
  <c r="O537" i="16"/>
  <c r="N537" i="16"/>
  <c r="O536" i="16"/>
  <c r="N536" i="16"/>
  <c r="O535" i="16"/>
  <c r="N535" i="16"/>
  <c r="O534" i="16"/>
  <c r="N534" i="16"/>
  <c r="O533" i="16"/>
  <c r="N533" i="16"/>
  <c r="O532" i="16"/>
  <c r="N532" i="16"/>
  <c r="O531" i="16"/>
  <c r="N531" i="16"/>
  <c r="O530" i="16"/>
  <c r="N530" i="16"/>
  <c r="O529" i="16"/>
  <c r="N529" i="16"/>
  <c r="O528" i="16"/>
  <c r="N528" i="16"/>
  <c r="O527" i="16"/>
  <c r="N527" i="16"/>
  <c r="O526" i="16"/>
  <c r="N526" i="16"/>
  <c r="O525" i="16"/>
  <c r="N525" i="16"/>
  <c r="O524" i="16"/>
  <c r="N524" i="16"/>
  <c r="O523" i="16"/>
  <c r="N523" i="16"/>
  <c r="O522" i="16"/>
  <c r="N522" i="16"/>
  <c r="O521" i="16"/>
  <c r="N521" i="16"/>
  <c r="O520" i="16"/>
  <c r="N520" i="16"/>
  <c r="O519" i="16"/>
  <c r="N519" i="16"/>
  <c r="O518" i="16"/>
  <c r="N518" i="16"/>
  <c r="O517" i="16"/>
  <c r="N517" i="16"/>
  <c r="O516" i="16"/>
  <c r="N516" i="16"/>
  <c r="O515" i="16"/>
  <c r="N515" i="16"/>
  <c r="O514" i="16"/>
  <c r="N514" i="16"/>
  <c r="O513" i="16"/>
  <c r="N513" i="16"/>
  <c r="O512" i="16"/>
  <c r="N512" i="16"/>
  <c r="O511" i="16"/>
  <c r="N511" i="16"/>
  <c r="O510" i="16"/>
  <c r="N510" i="16"/>
  <c r="O509" i="16"/>
  <c r="N509" i="16"/>
  <c r="O508" i="16"/>
  <c r="N508" i="16"/>
  <c r="O507" i="16"/>
  <c r="N507" i="16"/>
  <c r="O506" i="16"/>
  <c r="N506" i="16"/>
  <c r="O505" i="16"/>
  <c r="N505" i="16"/>
  <c r="O504" i="16"/>
  <c r="N504" i="16"/>
  <c r="O503" i="16"/>
  <c r="N503" i="16"/>
  <c r="O502" i="16"/>
  <c r="N502" i="16"/>
  <c r="O501" i="16"/>
  <c r="N501" i="16"/>
  <c r="O500" i="16"/>
  <c r="N500" i="16"/>
  <c r="O499" i="16"/>
  <c r="N499" i="16"/>
  <c r="O498" i="16"/>
  <c r="N498" i="16"/>
  <c r="O497" i="16"/>
  <c r="N497" i="16"/>
  <c r="O496" i="16"/>
  <c r="N496" i="16"/>
  <c r="O495" i="16"/>
  <c r="N495" i="16"/>
  <c r="O494" i="16"/>
  <c r="N494" i="16"/>
  <c r="O493" i="16"/>
  <c r="N493" i="16"/>
  <c r="O492" i="16"/>
  <c r="N492" i="16"/>
  <c r="O491" i="16"/>
  <c r="N491" i="16"/>
  <c r="O490" i="16"/>
  <c r="N490" i="16"/>
  <c r="O489" i="16"/>
  <c r="N489" i="16"/>
  <c r="O488" i="16"/>
  <c r="N488" i="16"/>
  <c r="O487" i="16"/>
  <c r="N487" i="16"/>
  <c r="O486" i="16"/>
  <c r="N486" i="16"/>
  <c r="O485" i="16"/>
  <c r="N485" i="16"/>
  <c r="O484" i="16"/>
  <c r="N484" i="16"/>
  <c r="O483" i="16"/>
  <c r="N483" i="16"/>
  <c r="O482" i="16"/>
  <c r="N482" i="16"/>
  <c r="O481" i="16"/>
  <c r="N481" i="16"/>
  <c r="O480" i="16"/>
  <c r="N480" i="16"/>
  <c r="O479" i="16"/>
  <c r="N479" i="16"/>
  <c r="O478" i="16"/>
  <c r="N478" i="16"/>
  <c r="O477" i="16"/>
  <c r="N477" i="16"/>
  <c r="O476" i="16"/>
  <c r="N476" i="16"/>
  <c r="O475" i="16"/>
  <c r="N475" i="16"/>
  <c r="O474" i="16"/>
  <c r="N474" i="16"/>
  <c r="O473" i="16"/>
  <c r="N473" i="16"/>
  <c r="O472" i="16"/>
  <c r="N472" i="16"/>
  <c r="O471" i="16"/>
  <c r="N471" i="16"/>
  <c r="O470" i="16"/>
  <c r="N470" i="16"/>
  <c r="O469" i="16"/>
  <c r="N469" i="16"/>
  <c r="O468" i="16"/>
  <c r="N468" i="16"/>
  <c r="O467" i="16"/>
  <c r="N467" i="16"/>
  <c r="O466" i="16"/>
  <c r="N466" i="16"/>
  <c r="O465" i="16"/>
  <c r="N465" i="16"/>
  <c r="O464" i="16"/>
  <c r="N464" i="16"/>
  <c r="O463" i="16"/>
  <c r="N463" i="16"/>
  <c r="O462" i="16"/>
  <c r="N462" i="16"/>
  <c r="O461" i="16"/>
  <c r="N461" i="16"/>
  <c r="O460" i="16"/>
  <c r="N460" i="16"/>
  <c r="O459" i="16"/>
  <c r="N459" i="16"/>
  <c r="O458" i="16"/>
  <c r="N458" i="16"/>
  <c r="O457" i="16"/>
  <c r="N457" i="16"/>
  <c r="O456" i="16"/>
  <c r="N456" i="16"/>
  <c r="O455" i="16"/>
  <c r="N455" i="16"/>
  <c r="O454" i="16"/>
  <c r="N454" i="16"/>
  <c r="O453" i="16"/>
  <c r="N453" i="16"/>
  <c r="O452" i="16"/>
  <c r="N452" i="16"/>
  <c r="O451" i="16"/>
  <c r="N451" i="16"/>
  <c r="O450" i="16"/>
  <c r="N450" i="16"/>
  <c r="O449" i="16"/>
  <c r="N449" i="16"/>
  <c r="O448" i="16"/>
  <c r="N448" i="16"/>
  <c r="O447" i="16"/>
  <c r="N447" i="16"/>
  <c r="O446" i="16"/>
  <c r="N446" i="16"/>
  <c r="O445" i="16"/>
  <c r="N445" i="16"/>
  <c r="O444" i="16"/>
  <c r="N444" i="16"/>
  <c r="O443" i="16"/>
  <c r="N443" i="16"/>
  <c r="O442" i="16"/>
  <c r="N442" i="16"/>
  <c r="O441" i="16"/>
  <c r="N441" i="16"/>
  <c r="O440" i="16"/>
  <c r="N440" i="16"/>
  <c r="O439" i="16"/>
  <c r="N439" i="16"/>
  <c r="O438" i="16"/>
  <c r="N438" i="16"/>
  <c r="O437" i="16"/>
  <c r="N437" i="16"/>
  <c r="O436" i="16"/>
  <c r="N436" i="16"/>
  <c r="O435" i="16"/>
  <c r="N435" i="16"/>
  <c r="O434" i="16"/>
  <c r="N434" i="16"/>
  <c r="O433" i="16"/>
  <c r="N433" i="16"/>
  <c r="O432" i="16"/>
  <c r="N432" i="16"/>
  <c r="O431" i="16"/>
  <c r="N431" i="16"/>
  <c r="O430" i="16"/>
  <c r="N430" i="16"/>
  <c r="O429" i="16"/>
  <c r="N429" i="16"/>
  <c r="O428" i="16"/>
  <c r="N428" i="16"/>
  <c r="O427" i="16"/>
  <c r="N427" i="16"/>
  <c r="O426" i="16"/>
  <c r="N426" i="16"/>
  <c r="O425" i="16"/>
  <c r="N425" i="16"/>
  <c r="O424" i="16"/>
  <c r="N424" i="16"/>
  <c r="O423" i="16"/>
  <c r="N423" i="16"/>
  <c r="O422" i="16"/>
  <c r="N422" i="16"/>
  <c r="O421" i="16"/>
  <c r="N421" i="16"/>
  <c r="O420" i="16"/>
  <c r="N420" i="16"/>
  <c r="O419" i="16"/>
  <c r="N419" i="16"/>
  <c r="O418" i="16"/>
  <c r="N418" i="16"/>
  <c r="O417" i="16"/>
  <c r="N417" i="16"/>
  <c r="O416" i="16"/>
  <c r="N416" i="16"/>
  <c r="O415" i="16"/>
  <c r="N415" i="16"/>
  <c r="O414" i="16"/>
  <c r="N414" i="16"/>
  <c r="O413" i="16"/>
  <c r="N413" i="16"/>
  <c r="O412" i="16"/>
  <c r="N412" i="16"/>
  <c r="O411" i="16"/>
  <c r="N411" i="16"/>
  <c r="O410" i="16"/>
  <c r="N410" i="16"/>
  <c r="O409" i="16"/>
  <c r="N409" i="16"/>
  <c r="O408" i="16"/>
  <c r="N408" i="16"/>
  <c r="O407" i="16"/>
  <c r="N407" i="16"/>
  <c r="O406" i="16"/>
  <c r="N406" i="16"/>
  <c r="O405" i="16"/>
  <c r="N405" i="16"/>
  <c r="O404" i="16"/>
  <c r="N404" i="16"/>
  <c r="O403" i="16"/>
  <c r="N403" i="16"/>
  <c r="O402" i="16"/>
  <c r="N402" i="16"/>
  <c r="O401" i="16"/>
  <c r="N401" i="16"/>
  <c r="O400" i="16"/>
  <c r="N400" i="16"/>
  <c r="O399" i="16"/>
  <c r="N399" i="16"/>
  <c r="O398" i="16"/>
  <c r="N398" i="16"/>
  <c r="O397" i="16"/>
  <c r="N397" i="16"/>
  <c r="O396" i="16"/>
  <c r="N396" i="16"/>
  <c r="O395" i="16"/>
  <c r="N395" i="16"/>
  <c r="O394" i="16"/>
  <c r="N394" i="16"/>
  <c r="O393" i="16"/>
  <c r="N393" i="16"/>
  <c r="O392" i="16"/>
  <c r="N392" i="16"/>
  <c r="O391" i="16"/>
  <c r="N391" i="16"/>
  <c r="O390" i="16"/>
  <c r="N390" i="16"/>
  <c r="O389" i="16"/>
  <c r="N389" i="16"/>
  <c r="O388" i="16"/>
  <c r="N388" i="16"/>
  <c r="O387" i="16"/>
  <c r="N387" i="16"/>
  <c r="O386" i="16"/>
  <c r="N386" i="16"/>
  <c r="O385" i="16"/>
  <c r="N385" i="16"/>
  <c r="O384" i="16"/>
  <c r="N384" i="16"/>
  <c r="O383" i="16"/>
  <c r="N383" i="16"/>
  <c r="O382" i="16"/>
  <c r="N382" i="16"/>
  <c r="O381" i="16"/>
  <c r="N381" i="16"/>
  <c r="O380" i="16"/>
  <c r="N380" i="16"/>
  <c r="O379" i="16"/>
  <c r="N379" i="16"/>
  <c r="O378" i="16"/>
  <c r="N378" i="16"/>
  <c r="O377" i="16"/>
  <c r="N377" i="16"/>
  <c r="O376" i="16"/>
  <c r="N376" i="16"/>
  <c r="O375" i="16"/>
  <c r="N375" i="16"/>
  <c r="O374" i="16"/>
  <c r="N374" i="16"/>
  <c r="O373" i="16"/>
  <c r="N373" i="16"/>
  <c r="O372" i="16"/>
  <c r="N372" i="16"/>
  <c r="O371" i="16"/>
  <c r="N371" i="16"/>
  <c r="O370" i="16"/>
  <c r="N370" i="16"/>
  <c r="O369" i="16"/>
  <c r="N369" i="16"/>
  <c r="O368" i="16"/>
  <c r="N368" i="16"/>
  <c r="O367" i="16"/>
  <c r="N367" i="16"/>
  <c r="O366" i="16"/>
  <c r="N366" i="16"/>
  <c r="O365" i="16"/>
  <c r="N365" i="16"/>
  <c r="O364" i="16"/>
  <c r="N364" i="16"/>
  <c r="O363" i="16"/>
  <c r="N363" i="16"/>
  <c r="O362" i="16"/>
  <c r="N362" i="16"/>
  <c r="O361" i="16"/>
  <c r="N361" i="16"/>
  <c r="O360" i="16"/>
  <c r="N360" i="16"/>
  <c r="O359" i="16"/>
  <c r="N359" i="16"/>
  <c r="O358" i="16"/>
  <c r="N358" i="16"/>
  <c r="O357" i="16"/>
  <c r="N357" i="16"/>
  <c r="O356" i="16"/>
  <c r="N356" i="16"/>
  <c r="O355" i="16"/>
  <c r="N355" i="16"/>
  <c r="O354" i="16"/>
  <c r="N354" i="16"/>
  <c r="O353" i="16"/>
  <c r="N353" i="16"/>
  <c r="O352" i="16"/>
  <c r="N352" i="16"/>
  <c r="O351" i="16"/>
  <c r="N351" i="16"/>
  <c r="O350" i="16"/>
  <c r="N350" i="16"/>
  <c r="O349" i="16"/>
  <c r="N349" i="16"/>
  <c r="O348" i="16"/>
  <c r="N348" i="16"/>
  <c r="O347" i="16"/>
  <c r="N347" i="16"/>
  <c r="O346" i="16"/>
  <c r="N346" i="16"/>
  <c r="O345" i="16"/>
  <c r="N345" i="16"/>
  <c r="O344" i="16"/>
  <c r="N344" i="16"/>
  <c r="O343" i="16"/>
  <c r="N343" i="16"/>
  <c r="O342" i="16"/>
  <c r="N342" i="16"/>
  <c r="O341" i="16"/>
  <c r="N341" i="16"/>
  <c r="O340" i="16"/>
  <c r="N340" i="16"/>
  <c r="O339" i="16"/>
  <c r="N339" i="16"/>
  <c r="O338" i="16"/>
  <c r="N338" i="16"/>
  <c r="O337" i="16"/>
  <c r="N337" i="16"/>
  <c r="O336" i="16"/>
  <c r="N336" i="16"/>
  <c r="O335" i="16"/>
  <c r="N335" i="16"/>
  <c r="O334" i="16"/>
  <c r="N334" i="16"/>
  <c r="O333" i="16"/>
  <c r="N333" i="16"/>
  <c r="O332" i="16"/>
  <c r="N332" i="16"/>
  <c r="O331" i="16"/>
  <c r="N331" i="16"/>
  <c r="O330" i="16"/>
  <c r="N330" i="16"/>
  <c r="O329" i="16"/>
  <c r="N329" i="16"/>
  <c r="O328" i="16"/>
  <c r="N328" i="16"/>
  <c r="O327" i="16"/>
  <c r="N327" i="16"/>
  <c r="O326" i="16"/>
  <c r="N326" i="16"/>
  <c r="O325" i="16"/>
  <c r="N325" i="16"/>
  <c r="O324" i="16"/>
  <c r="N324" i="16"/>
  <c r="O323" i="16"/>
  <c r="N323" i="16"/>
  <c r="O322" i="16"/>
  <c r="N322" i="16"/>
  <c r="O321" i="16"/>
  <c r="N321" i="16"/>
  <c r="O320" i="16"/>
  <c r="N320" i="16"/>
  <c r="O319" i="16"/>
  <c r="N319" i="16"/>
  <c r="O318" i="16"/>
  <c r="N318" i="16"/>
  <c r="O317" i="16"/>
  <c r="N317" i="16"/>
  <c r="O316" i="16"/>
  <c r="N316" i="16"/>
  <c r="O315" i="16"/>
  <c r="N315" i="16"/>
  <c r="O314" i="16"/>
  <c r="N314" i="16"/>
  <c r="O313" i="16"/>
  <c r="N313" i="16"/>
  <c r="O312" i="16"/>
  <c r="N312" i="16"/>
  <c r="O311" i="16"/>
  <c r="N311" i="16"/>
  <c r="O310" i="16"/>
  <c r="N310" i="16"/>
  <c r="O309" i="16"/>
  <c r="N309" i="16"/>
  <c r="O308" i="16"/>
  <c r="N308" i="16"/>
  <c r="O307" i="16"/>
  <c r="N307" i="16"/>
  <c r="O306" i="16"/>
  <c r="N306" i="16"/>
  <c r="O305" i="16"/>
  <c r="N305" i="16"/>
  <c r="O304" i="16"/>
  <c r="N304" i="16"/>
  <c r="O303" i="16"/>
  <c r="N303" i="16"/>
  <c r="O302" i="16"/>
  <c r="N302" i="16"/>
  <c r="O301" i="16"/>
  <c r="N301" i="16"/>
  <c r="O300" i="16"/>
  <c r="N300" i="16"/>
  <c r="O299" i="16"/>
  <c r="N299" i="16"/>
  <c r="O298" i="16"/>
  <c r="N298" i="16"/>
  <c r="O297" i="16"/>
  <c r="N297" i="16"/>
  <c r="O296" i="16"/>
  <c r="N296" i="16"/>
  <c r="O295" i="16"/>
  <c r="N295" i="16"/>
  <c r="O294" i="16"/>
  <c r="N294" i="16"/>
  <c r="O293" i="16"/>
  <c r="N293" i="16"/>
  <c r="O292" i="16"/>
  <c r="N292" i="16"/>
  <c r="O291" i="16"/>
  <c r="N291" i="16"/>
  <c r="O290" i="16"/>
  <c r="N290" i="16"/>
  <c r="O289" i="16"/>
  <c r="N289" i="16"/>
  <c r="O288" i="16"/>
  <c r="N288" i="16"/>
  <c r="O287" i="16"/>
  <c r="N287" i="16"/>
  <c r="O286" i="16"/>
  <c r="N286" i="16"/>
  <c r="O285" i="16"/>
  <c r="N285" i="16"/>
  <c r="O284" i="16"/>
  <c r="N284" i="16"/>
  <c r="O283" i="16"/>
  <c r="N283" i="16"/>
  <c r="O282" i="16"/>
  <c r="N282" i="16"/>
  <c r="O281" i="16"/>
  <c r="N281" i="16"/>
  <c r="O280" i="16"/>
  <c r="N280" i="16"/>
  <c r="O279" i="16"/>
  <c r="N279" i="16"/>
  <c r="O278" i="16"/>
  <c r="N278" i="16"/>
  <c r="O277" i="16"/>
  <c r="N277" i="16"/>
  <c r="O276" i="16"/>
  <c r="N276" i="16"/>
  <c r="O275" i="16"/>
  <c r="N275" i="16"/>
  <c r="O274" i="16"/>
  <c r="N274" i="16"/>
  <c r="O273" i="16"/>
  <c r="N273" i="16"/>
  <c r="O272" i="16"/>
  <c r="N272" i="16"/>
  <c r="O271" i="16"/>
  <c r="N271" i="16"/>
  <c r="O270" i="16"/>
  <c r="N270" i="16"/>
  <c r="O269" i="16"/>
  <c r="N269" i="16"/>
  <c r="O268" i="16"/>
  <c r="N268" i="16"/>
  <c r="O267" i="16"/>
  <c r="N267" i="16"/>
  <c r="O266" i="16"/>
  <c r="N266" i="16"/>
  <c r="O265" i="16"/>
  <c r="N265" i="16"/>
  <c r="O264" i="16"/>
  <c r="N264" i="16"/>
  <c r="O263" i="16"/>
  <c r="N263" i="16"/>
  <c r="O262" i="16"/>
  <c r="N262" i="16"/>
  <c r="O261" i="16"/>
  <c r="N261" i="16"/>
  <c r="O260" i="16"/>
  <c r="N260" i="16"/>
  <c r="O259" i="16"/>
  <c r="N259" i="16"/>
  <c r="O258" i="16"/>
  <c r="N258" i="16"/>
  <c r="O257" i="16"/>
  <c r="N257" i="16"/>
  <c r="O256" i="16"/>
  <c r="N256" i="16"/>
  <c r="O255" i="16"/>
  <c r="N255" i="16"/>
  <c r="O254" i="16"/>
  <c r="N254" i="16"/>
  <c r="O253" i="16"/>
  <c r="N253" i="16"/>
  <c r="O252" i="16"/>
  <c r="N252" i="16"/>
  <c r="O251" i="16"/>
  <c r="N251" i="16"/>
  <c r="O250" i="16"/>
  <c r="N250" i="16"/>
  <c r="O249" i="16"/>
  <c r="N249" i="16"/>
  <c r="O248" i="16"/>
  <c r="N248" i="16"/>
  <c r="O247" i="16"/>
  <c r="N247" i="16"/>
  <c r="O246" i="16"/>
  <c r="N246" i="16"/>
  <c r="O245" i="16"/>
  <c r="N245" i="16"/>
  <c r="O244" i="16"/>
  <c r="N244" i="16"/>
  <c r="O243" i="16"/>
  <c r="N243" i="16"/>
  <c r="O242" i="16"/>
  <c r="N242" i="16"/>
  <c r="O241" i="16"/>
  <c r="N241" i="16"/>
  <c r="O240" i="16"/>
  <c r="N240" i="16"/>
  <c r="O239" i="16"/>
  <c r="N239" i="16"/>
  <c r="O238" i="16"/>
  <c r="N238" i="16"/>
  <c r="O237" i="16"/>
  <c r="N237" i="16"/>
  <c r="O236" i="16"/>
  <c r="N236" i="16"/>
  <c r="O235" i="16"/>
  <c r="N235" i="16"/>
  <c r="O234" i="16"/>
  <c r="N234" i="16"/>
  <c r="O233" i="16"/>
  <c r="N233" i="16"/>
  <c r="O232" i="16"/>
  <c r="N232" i="16"/>
  <c r="O231" i="16"/>
  <c r="N231" i="16"/>
  <c r="O230" i="16"/>
  <c r="N230" i="16"/>
  <c r="O229" i="16"/>
  <c r="N229" i="16"/>
  <c r="O228" i="16"/>
  <c r="N228" i="16"/>
  <c r="O227" i="16"/>
  <c r="N227" i="16"/>
  <c r="O226" i="16"/>
  <c r="N226" i="16"/>
  <c r="O225" i="16"/>
  <c r="N225" i="16"/>
  <c r="O224" i="16"/>
  <c r="N224" i="16"/>
  <c r="O223" i="16"/>
  <c r="N223" i="16"/>
  <c r="O222" i="16"/>
  <c r="N222" i="16"/>
  <c r="O221" i="16"/>
  <c r="N221" i="16"/>
  <c r="O220" i="16"/>
  <c r="N220" i="16"/>
  <c r="O219" i="16"/>
  <c r="N219" i="16"/>
  <c r="O218" i="16"/>
  <c r="N218" i="16"/>
  <c r="O217" i="16"/>
  <c r="N217" i="16"/>
  <c r="O216" i="16"/>
  <c r="N216" i="16"/>
  <c r="O215" i="16"/>
  <c r="N215" i="16"/>
  <c r="O214" i="16"/>
  <c r="N214" i="16"/>
  <c r="O213" i="16"/>
  <c r="N213" i="16"/>
  <c r="O212" i="16"/>
  <c r="N212" i="16"/>
  <c r="O211" i="16"/>
  <c r="N211" i="16"/>
  <c r="O210" i="16"/>
  <c r="N210" i="16"/>
  <c r="O209" i="16"/>
  <c r="N209" i="16"/>
  <c r="O208" i="16"/>
  <c r="N208" i="16"/>
  <c r="O207" i="16"/>
  <c r="N207" i="16"/>
  <c r="O206" i="16"/>
  <c r="N206" i="16"/>
  <c r="O205" i="16"/>
  <c r="N205" i="16"/>
  <c r="O204" i="16"/>
  <c r="N204" i="16"/>
  <c r="O203" i="16"/>
  <c r="N203" i="16"/>
  <c r="O202" i="16"/>
  <c r="N202" i="16"/>
  <c r="O201" i="16"/>
  <c r="N201" i="16"/>
  <c r="O200" i="16"/>
  <c r="N200" i="16"/>
  <c r="O199" i="16"/>
  <c r="N199" i="16"/>
  <c r="O198" i="16"/>
  <c r="N198" i="16"/>
  <c r="O197" i="16"/>
  <c r="N197" i="16"/>
  <c r="O196" i="16"/>
  <c r="N196" i="16"/>
  <c r="O195" i="16"/>
  <c r="N195" i="16"/>
  <c r="O194" i="16"/>
  <c r="N194" i="16"/>
  <c r="O193" i="16"/>
  <c r="N193" i="16"/>
  <c r="O192" i="16"/>
  <c r="N192" i="16"/>
  <c r="O191" i="16"/>
  <c r="N191" i="16"/>
  <c r="O190" i="16"/>
  <c r="N190" i="16"/>
  <c r="O189" i="16"/>
  <c r="N189" i="16"/>
  <c r="O188" i="16"/>
  <c r="N188" i="16"/>
  <c r="O187" i="16"/>
  <c r="N187" i="16"/>
  <c r="O186" i="16"/>
  <c r="N186" i="16"/>
  <c r="O185" i="16"/>
  <c r="N185" i="16"/>
  <c r="O184" i="16"/>
  <c r="N184" i="16"/>
  <c r="O183" i="16"/>
  <c r="N183" i="16"/>
  <c r="O182" i="16"/>
  <c r="N182" i="16"/>
  <c r="O181" i="16"/>
  <c r="N181" i="16"/>
  <c r="O180" i="16"/>
  <c r="N180" i="16"/>
  <c r="O179" i="16"/>
  <c r="N179" i="16"/>
  <c r="O178" i="16"/>
  <c r="N178" i="16"/>
  <c r="O177" i="16"/>
  <c r="N177" i="16"/>
  <c r="O176" i="16"/>
  <c r="N176" i="16"/>
  <c r="O175" i="16"/>
  <c r="N175" i="16"/>
  <c r="O174" i="16"/>
  <c r="N174" i="16"/>
  <c r="O173" i="16"/>
  <c r="N173" i="16"/>
  <c r="O172" i="16"/>
  <c r="N172" i="16"/>
  <c r="O171" i="16"/>
  <c r="N171" i="16"/>
  <c r="O170" i="16"/>
  <c r="N170" i="16"/>
  <c r="O169" i="16"/>
  <c r="N169" i="16"/>
  <c r="O168" i="16"/>
  <c r="N168" i="16"/>
  <c r="O167" i="16"/>
  <c r="N167" i="16"/>
  <c r="O166" i="16"/>
  <c r="N166" i="16"/>
  <c r="O165" i="16"/>
  <c r="N165" i="16"/>
  <c r="O164" i="16"/>
  <c r="N164" i="16"/>
  <c r="O163" i="16"/>
  <c r="N163" i="16"/>
  <c r="O162" i="16"/>
  <c r="N162" i="16"/>
  <c r="O161" i="16"/>
  <c r="N161" i="16"/>
  <c r="O160" i="16"/>
  <c r="N160" i="16"/>
  <c r="O159" i="16"/>
  <c r="N159" i="16"/>
  <c r="O158" i="16"/>
  <c r="N158" i="16"/>
  <c r="O157" i="16"/>
  <c r="N157" i="16"/>
  <c r="O156" i="16"/>
  <c r="N156" i="16"/>
  <c r="O155" i="16"/>
  <c r="N155" i="16"/>
  <c r="O154" i="16"/>
  <c r="N154" i="16"/>
  <c r="O153" i="16"/>
  <c r="N153" i="16"/>
  <c r="O152" i="16"/>
  <c r="N152" i="16"/>
  <c r="O151" i="16"/>
  <c r="N151" i="16"/>
  <c r="O150" i="16"/>
  <c r="N150" i="16"/>
  <c r="O149" i="16"/>
  <c r="N149" i="16"/>
  <c r="O148" i="16"/>
  <c r="N148" i="16"/>
  <c r="O147" i="16"/>
  <c r="N147" i="16"/>
  <c r="O146" i="16"/>
  <c r="N146" i="16"/>
  <c r="O145" i="16"/>
  <c r="N145" i="16"/>
  <c r="O144" i="16"/>
  <c r="N144" i="16"/>
  <c r="O143" i="16"/>
  <c r="N143" i="16"/>
  <c r="O142" i="16"/>
  <c r="N142" i="16"/>
  <c r="O141" i="16"/>
  <c r="N141" i="16"/>
  <c r="O140" i="16"/>
  <c r="N140" i="16"/>
  <c r="O139" i="16"/>
  <c r="N139" i="16"/>
  <c r="O138" i="16"/>
  <c r="N138" i="16"/>
  <c r="O137" i="16"/>
  <c r="N137" i="16"/>
  <c r="O136" i="16"/>
  <c r="N136" i="16"/>
  <c r="O135" i="16"/>
  <c r="N135" i="16"/>
  <c r="O134" i="16"/>
  <c r="N134" i="16"/>
  <c r="O133" i="16"/>
  <c r="N133" i="16"/>
  <c r="O132" i="16"/>
  <c r="N132" i="16"/>
  <c r="O131" i="16"/>
  <c r="N131" i="16"/>
  <c r="O130" i="16"/>
  <c r="N130" i="16"/>
  <c r="O129" i="16"/>
  <c r="N129" i="16"/>
  <c r="O128" i="16"/>
  <c r="N128" i="16"/>
  <c r="O127" i="16"/>
  <c r="N127" i="16"/>
  <c r="O126" i="16"/>
  <c r="N126" i="16"/>
  <c r="O125" i="16"/>
  <c r="N125" i="16"/>
  <c r="O124" i="16"/>
  <c r="N124" i="16"/>
  <c r="O123" i="16"/>
  <c r="N123" i="16"/>
  <c r="O122" i="16"/>
  <c r="N122" i="16"/>
  <c r="O121" i="16"/>
  <c r="N121" i="16"/>
  <c r="O120" i="16"/>
  <c r="N120" i="16"/>
  <c r="O119" i="16"/>
  <c r="N119" i="16"/>
  <c r="O118" i="16"/>
  <c r="N118" i="16"/>
  <c r="O117" i="16"/>
  <c r="N117" i="16"/>
  <c r="O116" i="16"/>
  <c r="N116" i="16"/>
  <c r="O115" i="16"/>
  <c r="N115" i="16"/>
  <c r="O114" i="16"/>
  <c r="N114" i="16"/>
  <c r="O113" i="16"/>
  <c r="N113" i="16"/>
  <c r="O112" i="16"/>
  <c r="N112" i="16"/>
  <c r="O111" i="16"/>
  <c r="N111" i="16"/>
  <c r="O110" i="16"/>
  <c r="N110" i="16"/>
  <c r="O109" i="16"/>
  <c r="N109" i="16"/>
  <c r="O108" i="16"/>
  <c r="N108" i="16"/>
  <c r="O107" i="16"/>
  <c r="N107" i="16"/>
  <c r="O106" i="16"/>
  <c r="N106" i="16"/>
  <c r="O105" i="16"/>
  <c r="N105" i="16"/>
  <c r="O104" i="16"/>
  <c r="N104" i="16"/>
  <c r="O103" i="16"/>
  <c r="N103" i="16"/>
  <c r="O102" i="16"/>
  <c r="N102" i="16"/>
  <c r="O101" i="16"/>
  <c r="N101" i="16"/>
  <c r="O100" i="16"/>
  <c r="N100" i="16"/>
  <c r="O99" i="16"/>
  <c r="N99" i="16"/>
  <c r="O98" i="16"/>
  <c r="N98" i="16"/>
  <c r="O97" i="16"/>
  <c r="N97" i="16"/>
  <c r="O96" i="16"/>
  <c r="N96" i="16"/>
  <c r="O95" i="16"/>
  <c r="N95" i="16"/>
  <c r="O94" i="16"/>
  <c r="N94" i="16"/>
  <c r="O93" i="16"/>
  <c r="N93" i="16"/>
  <c r="O92" i="16"/>
  <c r="N92" i="16"/>
  <c r="O91" i="16"/>
  <c r="N91" i="16"/>
  <c r="O90" i="16"/>
  <c r="N90" i="16"/>
  <c r="O89" i="16"/>
  <c r="N89" i="16"/>
  <c r="O88" i="16"/>
  <c r="N88" i="16"/>
  <c r="O87" i="16"/>
  <c r="N87" i="16"/>
  <c r="O86" i="16"/>
  <c r="N86" i="16"/>
  <c r="O85" i="16"/>
  <c r="N85" i="16"/>
  <c r="O84" i="16"/>
  <c r="N84" i="16"/>
  <c r="O83" i="16"/>
  <c r="N83" i="16"/>
  <c r="O82" i="16"/>
  <c r="N82" i="16"/>
  <c r="O81" i="16"/>
  <c r="N81" i="16"/>
  <c r="O80" i="16"/>
  <c r="N80" i="16"/>
  <c r="O79" i="16"/>
  <c r="N79" i="16"/>
  <c r="O78" i="16"/>
  <c r="N78" i="16"/>
  <c r="O77" i="16"/>
  <c r="N77" i="16"/>
  <c r="O76" i="16"/>
  <c r="N76" i="16"/>
  <c r="O75" i="16"/>
  <c r="N75" i="16"/>
  <c r="O74" i="16"/>
  <c r="N74" i="16"/>
  <c r="O73" i="16"/>
  <c r="N73" i="16"/>
  <c r="O72" i="16"/>
  <c r="N72" i="16"/>
  <c r="O71" i="16"/>
  <c r="N71" i="16"/>
  <c r="O70" i="16"/>
  <c r="N70" i="16"/>
  <c r="O69" i="16"/>
  <c r="N69" i="16"/>
  <c r="O68" i="16"/>
  <c r="N68" i="16"/>
  <c r="O67" i="16"/>
  <c r="N67" i="16"/>
  <c r="O66" i="16"/>
  <c r="N66" i="16"/>
  <c r="O65" i="16"/>
  <c r="N65" i="16"/>
  <c r="O64" i="16"/>
  <c r="N64" i="16"/>
  <c r="O63" i="16"/>
  <c r="N63" i="16"/>
  <c r="O62" i="16"/>
  <c r="N62" i="16"/>
  <c r="O61" i="16"/>
  <c r="N61" i="16"/>
  <c r="O60" i="16"/>
  <c r="N60" i="16"/>
  <c r="O59" i="16"/>
  <c r="N59" i="16"/>
  <c r="O58" i="16"/>
  <c r="N58" i="16"/>
  <c r="O57" i="16"/>
  <c r="N57" i="16"/>
  <c r="O56" i="16"/>
  <c r="N56" i="16"/>
  <c r="O55" i="16"/>
  <c r="N55" i="16"/>
  <c r="O54" i="16"/>
  <c r="N54" i="16"/>
  <c r="O53" i="16"/>
  <c r="N53" i="16"/>
  <c r="O52" i="16"/>
  <c r="N52" i="16"/>
  <c r="O51" i="16"/>
  <c r="N51" i="16"/>
  <c r="O50" i="16"/>
  <c r="N50" i="16"/>
  <c r="O49" i="16"/>
  <c r="N49" i="16"/>
  <c r="O48" i="16"/>
  <c r="N48" i="16"/>
  <c r="O47" i="16"/>
  <c r="N47" i="16"/>
  <c r="O46" i="16"/>
  <c r="N46" i="16"/>
  <c r="O45" i="16"/>
  <c r="N45" i="16"/>
  <c r="O44" i="16"/>
  <c r="N44" i="16"/>
  <c r="O43" i="16"/>
  <c r="N43" i="16"/>
  <c r="O42" i="16"/>
  <c r="N42" i="16"/>
  <c r="O41" i="16"/>
  <c r="N41" i="16"/>
  <c r="O40" i="16"/>
  <c r="N40" i="16"/>
  <c r="O39" i="16"/>
  <c r="N39" i="16"/>
  <c r="O38" i="16"/>
  <c r="N38" i="16"/>
  <c r="O37" i="16"/>
  <c r="N37" i="16"/>
  <c r="O36" i="16"/>
  <c r="N36" i="16"/>
  <c r="O35" i="16"/>
  <c r="N35" i="16"/>
  <c r="O34" i="16"/>
  <c r="N34" i="16"/>
  <c r="N33" i="16"/>
  <c r="O33" i="16" s="1"/>
  <c r="N32" i="16"/>
  <c r="O32" i="16" s="1"/>
  <c r="N31" i="16"/>
  <c r="O31" i="16" s="1"/>
  <c r="N30" i="16"/>
  <c r="O30" i="16" s="1"/>
  <c r="N29" i="16"/>
  <c r="O29" i="16" s="1"/>
  <c r="N28" i="16"/>
  <c r="O28" i="16" s="1"/>
  <c r="N27" i="16"/>
  <c r="O27" i="16" s="1"/>
  <c r="N26" i="16"/>
  <c r="O26" i="16" s="1"/>
  <c r="N25" i="16"/>
  <c r="O25" i="16" s="1"/>
  <c r="N24" i="16"/>
  <c r="O24" i="16" s="1"/>
  <c r="N23" i="16"/>
  <c r="O23" i="16" s="1"/>
  <c r="N22" i="16"/>
  <c r="O22" i="16" s="1"/>
  <c r="N21" i="16"/>
  <c r="O21" i="16" s="1"/>
  <c r="N20" i="16"/>
  <c r="O20" i="16" s="1"/>
  <c r="N19" i="16"/>
  <c r="O19" i="16" s="1"/>
  <c r="N18" i="16"/>
  <c r="O18" i="16" s="1"/>
  <c r="N17" i="16"/>
  <c r="O17" i="16" s="1"/>
  <c r="N16" i="16"/>
  <c r="O16" i="16" s="1"/>
  <c r="N15" i="16"/>
  <c r="O15" i="16" s="1"/>
  <c r="N14" i="16"/>
  <c r="O14" i="16" s="1"/>
  <c r="N13" i="16"/>
  <c r="O13" i="16" s="1"/>
  <c r="N12" i="16"/>
  <c r="O12" i="16" s="1"/>
  <c r="N11" i="16"/>
  <c r="O11" i="16" s="1"/>
  <c r="N10" i="16"/>
  <c r="O10" i="16" s="1"/>
  <c r="N9" i="16"/>
  <c r="O9" i="16" s="1"/>
  <c r="B2" i="16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2" i="14"/>
  <c r="Q73" i="14"/>
  <c r="Q74" i="14"/>
  <c r="Q75" i="14"/>
  <c r="Q76" i="14"/>
  <c r="Q77" i="14"/>
  <c r="Q78" i="14"/>
  <c r="Q79" i="14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46" i="14"/>
  <c r="P47" i="14"/>
  <c r="P48" i="14"/>
  <c r="P49" i="14"/>
  <c r="P50" i="14"/>
  <c r="P51" i="14"/>
  <c r="P52" i="14"/>
  <c r="P53" i="14"/>
  <c r="P54" i="14"/>
  <c r="P55" i="14"/>
  <c r="P56" i="14"/>
  <c r="P57" i="14"/>
  <c r="P58" i="14"/>
  <c r="P59" i="14"/>
  <c r="P60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P84" i="14"/>
  <c r="P85" i="14"/>
  <c r="P86" i="14"/>
  <c r="P87" i="14"/>
  <c r="P88" i="14"/>
  <c r="P89" i="14"/>
  <c r="P90" i="14"/>
  <c r="P91" i="14"/>
  <c r="P92" i="14"/>
  <c r="P93" i="14"/>
  <c r="P94" i="14"/>
  <c r="P95" i="14"/>
  <c r="P96" i="14"/>
  <c r="P97" i="14"/>
  <c r="P98" i="14"/>
  <c r="P99" i="14"/>
  <c r="P100" i="14"/>
  <c r="P101" i="14"/>
  <c r="P102" i="14"/>
  <c r="P103" i="14"/>
  <c r="P104" i="14"/>
  <c r="P105" i="14"/>
  <c r="P106" i="14"/>
  <c r="P107" i="14"/>
  <c r="P108" i="14"/>
  <c r="P109" i="14"/>
  <c r="P110" i="14"/>
  <c r="P111" i="14"/>
  <c r="P112" i="14"/>
  <c r="P113" i="14"/>
  <c r="P114" i="14"/>
  <c r="P115" i="14"/>
  <c r="P116" i="14"/>
  <c r="P117" i="14"/>
  <c r="P118" i="14"/>
  <c r="P119" i="14"/>
  <c r="P120" i="14"/>
  <c r="P121" i="14"/>
  <c r="P122" i="14"/>
  <c r="P123" i="14"/>
  <c r="P124" i="14"/>
  <c r="P125" i="14"/>
  <c r="P126" i="14"/>
  <c r="P127" i="14"/>
  <c r="P128" i="14"/>
  <c r="P129" i="14"/>
  <c r="P130" i="14"/>
  <c r="P131" i="14"/>
  <c r="P132" i="14"/>
  <c r="P133" i="14"/>
  <c r="P134" i="14"/>
  <c r="P135" i="14"/>
  <c r="P136" i="14"/>
  <c r="P137" i="14"/>
  <c r="P138" i="14"/>
  <c r="P139" i="14"/>
  <c r="P140" i="14"/>
  <c r="P141" i="14"/>
  <c r="P142" i="14"/>
  <c r="P143" i="14"/>
  <c r="P144" i="14"/>
  <c r="P145" i="14"/>
  <c r="P146" i="14"/>
  <c r="P147" i="14"/>
  <c r="P148" i="14"/>
  <c r="P149" i="14"/>
  <c r="P150" i="14"/>
  <c r="P151" i="14"/>
  <c r="P152" i="14"/>
  <c r="P153" i="14"/>
  <c r="P154" i="14"/>
  <c r="P155" i="14"/>
  <c r="P156" i="14"/>
  <c r="P157" i="14"/>
  <c r="P158" i="14"/>
  <c r="P159" i="14"/>
  <c r="P160" i="14"/>
  <c r="P161" i="14"/>
  <c r="P162" i="14"/>
  <c r="P163" i="14"/>
  <c r="P164" i="14"/>
  <c r="P165" i="14"/>
  <c r="P166" i="14"/>
  <c r="P167" i="14"/>
  <c r="P168" i="14"/>
  <c r="P169" i="14"/>
  <c r="P170" i="14"/>
  <c r="P171" i="14"/>
  <c r="P172" i="14"/>
  <c r="P173" i="14"/>
  <c r="R173" i="14" s="1"/>
  <c r="T173" i="14" s="1"/>
  <c r="P174" i="14"/>
  <c r="P175" i="14"/>
  <c r="P176" i="14"/>
  <c r="P177" i="14"/>
  <c r="P178" i="14"/>
  <c r="P179" i="14"/>
  <c r="P180" i="14"/>
  <c r="P181" i="14"/>
  <c r="P182" i="14"/>
  <c r="P183" i="14"/>
  <c r="P184" i="14"/>
  <c r="P185" i="14"/>
  <c r="P186" i="14"/>
  <c r="P187" i="14"/>
  <c r="P188" i="14"/>
  <c r="P189" i="14"/>
  <c r="P190" i="14"/>
  <c r="P191" i="14"/>
  <c r="P192" i="14"/>
  <c r="P193" i="14"/>
  <c r="P194" i="14"/>
  <c r="P195" i="14"/>
  <c r="P196" i="14"/>
  <c r="P197" i="14"/>
  <c r="P198" i="14"/>
  <c r="P199" i="14"/>
  <c r="P200" i="14"/>
  <c r="P201" i="14"/>
  <c r="P202" i="14"/>
  <c r="P203" i="14"/>
  <c r="P204" i="14"/>
  <c r="P205" i="14"/>
  <c r="P206" i="14"/>
  <c r="P207" i="14"/>
  <c r="P208" i="14"/>
  <c r="P209" i="14"/>
  <c r="P210" i="14"/>
  <c r="P211" i="14"/>
  <c r="P212" i="14"/>
  <c r="P213" i="14"/>
  <c r="R213" i="14" s="1"/>
  <c r="T213" i="14" s="1"/>
  <c r="P214" i="14"/>
  <c r="P215" i="14"/>
  <c r="P216" i="14"/>
  <c r="P217" i="14"/>
  <c r="P218" i="14"/>
  <c r="P219" i="14"/>
  <c r="P220" i="14"/>
  <c r="P221" i="14"/>
  <c r="R221" i="14" s="1"/>
  <c r="T221" i="14" s="1"/>
  <c r="P222" i="14"/>
  <c r="P223" i="14"/>
  <c r="R223" i="14" s="1"/>
  <c r="T223" i="14" s="1"/>
  <c r="P224" i="14"/>
  <c r="P225" i="14"/>
  <c r="P226" i="14"/>
  <c r="P227" i="14"/>
  <c r="P228" i="14"/>
  <c r="P229" i="14"/>
  <c r="R229" i="14" s="1"/>
  <c r="T229" i="14" s="1"/>
  <c r="P230" i="14"/>
  <c r="P231" i="14"/>
  <c r="R231" i="14" s="1"/>
  <c r="T231" i="14" s="1"/>
  <c r="P232" i="14"/>
  <c r="P233" i="14"/>
  <c r="P234" i="14"/>
  <c r="P235" i="14"/>
  <c r="P236" i="14"/>
  <c r="P237" i="14"/>
  <c r="P238" i="14"/>
  <c r="P239" i="14"/>
  <c r="P240" i="14"/>
  <c r="P241" i="14"/>
  <c r="P242" i="14"/>
  <c r="P243" i="14"/>
  <c r="P244" i="14"/>
  <c r="P245" i="14"/>
  <c r="R245" i="14" s="1"/>
  <c r="T245" i="14" s="1"/>
  <c r="P246" i="14"/>
  <c r="P247" i="14"/>
  <c r="P248" i="14"/>
  <c r="P249" i="14"/>
  <c r="P250" i="14"/>
  <c r="P251" i="14"/>
  <c r="P252" i="14"/>
  <c r="P253" i="14"/>
  <c r="P254" i="14"/>
  <c r="P255" i="14"/>
  <c r="P256" i="14"/>
  <c r="P257" i="14"/>
  <c r="P258" i="14"/>
  <c r="P259" i="14"/>
  <c r="P260" i="14"/>
  <c r="P261" i="14"/>
  <c r="P262" i="14"/>
  <c r="P263" i="14"/>
  <c r="P264" i="14"/>
  <c r="P265" i="14"/>
  <c r="P266" i="14"/>
  <c r="P267" i="14"/>
  <c r="P268" i="14"/>
  <c r="P269" i="14"/>
  <c r="P270" i="14"/>
  <c r="P271" i="14"/>
  <c r="P272" i="14"/>
  <c r="P273" i="14"/>
  <c r="P274" i="14"/>
  <c r="P275" i="14"/>
  <c r="P276" i="14"/>
  <c r="P277" i="14"/>
  <c r="P278" i="14"/>
  <c r="P279" i="14"/>
  <c r="P280" i="14"/>
  <c r="P281" i="14"/>
  <c r="P282" i="14"/>
  <c r="P283" i="14"/>
  <c r="P284" i="14"/>
  <c r="P285" i="14"/>
  <c r="P286" i="14"/>
  <c r="P287" i="14"/>
  <c r="P288" i="14"/>
  <c r="P289" i="14"/>
  <c r="P290" i="14"/>
  <c r="P291" i="14"/>
  <c r="P292" i="14"/>
  <c r="P293" i="14"/>
  <c r="P294" i="14"/>
  <c r="P295" i="14"/>
  <c r="P296" i="14"/>
  <c r="P297" i="14"/>
  <c r="P298" i="14"/>
  <c r="P299" i="14"/>
  <c r="P300" i="14"/>
  <c r="P301" i="14"/>
  <c r="P302" i="14"/>
  <c r="P303" i="14"/>
  <c r="P304" i="14"/>
  <c r="P305" i="14"/>
  <c r="P306" i="14"/>
  <c r="P307" i="14"/>
  <c r="P308" i="14"/>
  <c r="P309" i="14"/>
  <c r="R309" i="14" s="1"/>
  <c r="T309" i="14" s="1"/>
  <c r="P310" i="14"/>
  <c r="P311" i="14"/>
  <c r="P312" i="14"/>
  <c r="P313" i="14"/>
  <c r="P314" i="14"/>
  <c r="P315" i="14"/>
  <c r="P316" i="14"/>
  <c r="P317" i="14"/>
  <c r="P318" i="14"/>
  <c r="P319" i="14"/>
  <c r="P320" i="14"/>
  <c r="P321" i="14"/>
  <c r="P322" i="14"/>
  <c r="P323" i="14"/>
  <c r="P324" i="14"/>
  <c r="P325" i="14"/>
  <c r="P326" i="14"/>
  <c r="P327" i="14"/>
  <c r="P328" i="14"/>
  <c r="P329" i="14"/>
  <c r="P330" i="14"/>
  <c r="P331" i="14"/>
  <c r="P332" i="14"/>
  <c r="P333" i="14"/>
  <c r="P334" i="14"/>
  <c r="P335" i="14"/>
  <c r="P336" i="14"/>
  <c r="P337" i="14"/>
  <c r="P338" i="14"/>
  <c r="P339" i="14"/>
  <c r="P340" i="14"/>
  <c r="P341" i="14"/>
  <c r="P342" i="14"/>
  <c r="P343" i="14"/>
  <c r="P344" i="14"/>
  <c r="P345" i="14"/>
  <c r="P346" i="14"/>
  <c r="P347" i="14"/>
  <c r="P348" i="14"/>
  <c r="P349" i="14"/>
  <c r="P350" i="14"/>
  <c r="P351" i="14"/>
  <c r="P352" i="14"/>
  <c r="P353" i="14"/>
  <c r="P354" i="14"/>
  <c r="P355" i="14"/>
  <c r="P356" i="14"/>
  <c r="P357" i="14"/>
  <c r="P358" i="14"/>
  <c r="P359" i="14"/>
  <c r="P360" i="14"/>
  <c r="P361" i="14"/>
  <c r="P362" i="14"/>
  <c r="P363" i="14"/>
  <c r="P364" i="14"/>
  <c r="P365" i="14"/>
  <c r="P366" i="14"/>
  <c r="P367" i="14"/>
  <c r="P368" i="14"/>
  <c r="P369" i="14"/>
  <c r="P370" i="14"/>
  <c r="P371" i="14"/>
  <c r="P372" i="14"/>
  <c r="P373" i="14"/>
  <c r="P374" i="14"/>
  <c r="P375" i="14"/>
  <c r="P376" i="14"/>
  <c r="P377" i="14"/>
  <c r="P378" i="14"/>
  <c r="P379" i="14"/>
  <c r="P380" i="14"/>
  <c r="P381" i="14"/>
  <c r="P382" i="14"/>
  <c r="P383" i="14"/>
  <c r="P384" i="14"/>
  <c r="P385" i="14"/>
  <c r="P386" i="14"/>
  <c r="P387" i="14"/>
  <c r="P388" i="14"/>
  <c r="P389" i="14"/>
  <c r="P390" i="14"/>
  <c r="P391" i="14"/>
  <c r="P392" i="14"/>
  <c r="P393" i="14"/>
  <c r="P394" i="14"/>
  <c r="P395" i="14"/>
  <c r="P396" i="14"/>
  <c r="P397" i="14"/>
  <c r="P398" i="14"/>
  <c r="P399" i="14"/>
  <c r="P400" i="14"/>
  <c r="P401" i="14"/>
  <c r="P402" i="14"/>
  <c r="P403" i="14"/>
  <c r="P404" i="14"/>
  <c r="P405" i="14"/>
  <c r="P406" i="14"/>
  <c r="P407" i="14"/>
  <c r="P408" i="14"/>
  <c r="P409" i="14"/>
  <c r="P410" i="14"/>
  <c r="P411" i="14"/>
  <c r="P412" i="14"/>
  <c r="P413" i="14"/>
  <c r="P414" i="14"/>
  <c r="P415" i="14"/>
  <c r="P416" i="14"/>
  <c r="P417" i="14"/>
  <c r="P418" i="14"/>
  <c r="P419" i="14"/>
  <c r="P420" i="14"/>
  <c r="P421" i="14"/>
  <c r="P422" i="14"/>
  <c r="P423" i="14"/>
  <c r="P424" i="14"/>
  <c r="P425" i="14"/>
  <c r="P426" i="14"/>
  <c r="P427" i="14"/>
  <c r="P428" i="14"/>
  <c r="P429" i="14"/>
  <c r="P430" i="14"/>
  <c r="P431" i="14"/>
  <c r="P432" i="14"/>
  <c r="P433" i="14"/>
  <c r="P434" i="14"/>
  <c r="P435" i="14"/>
  <c r="P436" i="14"/>
  <c r="P437" i="14"/>
  <c r="P438" i="14"/>
  <c r="P439" i="14"/>
  <c r="P440" i="14"/>
  <c r="P441" i="14"/>
  <c r="P442" i="14"/>
  <c r="P443" i="14"/>
  <c r="P444" i="14"/>
  <c r="P445" i="14"/>
  <c r="P446" i="14"/>
  <c r="P447" i="14"/>
  <c r="P448" i="14"/>
  <c r="P449" i="14"/>
  <c r="P450" i="14"/>
  <c r="P451" i="14"/>
  <c r="P452" i="14"/>
  <c r="P453" i="14"/>
  <c r="P454" i="14"/>
  <c r="P455" i="14"/>
  <c r="P456" i="14"/>
  <c r="P457" i="14"/>
  <c r="P458" i="14"/>
  <c r="P459" i="14"/>
  <c r="P460" i="14"/>
  <c r="P461" i="14"/>
  <c r="P462" i="14"/>
  <c r="P463" i="14"/>
  <c r="P464" i="14"/>
  <c r="P465" i="14"/>
  <c r="P466" i="14"/>
  <c r="P467" i="14"/>
  <c r="P468" i="14"/>
  <c r="P469" i="14"/>
  <c r="P470" i="14"/>
  <c r="R470" i="14" s="1"/>
  <c r="T470" i="14" s="1"/>
  <c r="P471" i="14"/>
  <c r="P472" i="14"/>
  <c r="P473" i="14"/>
  <c r="P474" i="14"/>
  <c r="P475" i="14"/>
  <c r="P476" i="14"/>
  <c r="P477" i="14"/>
  <c r="P478" i="14"/>
  <c r="R478" i="14" s="1"/>
  <c r="T478" i="14" s="1"/>
  <c r="P479" i="14"/>
  <c r="P480" i="14"/>
  <c r="P481" i="14"/>
  <c r="P482" i="14"/>
  <c r="P483" i="14"/>
  <c r="P484" i="14"/>
  <c r="P485" i="14"/>
  <c r="P486" i="14"/>
  <c r="P487" i="14"/>
  <c r="P488" i="14"/>
  <c r="P489" i="14"/>
  <c r="P490" i="14"/>
  <c r="P491" i="14"/>
  <c r="P492" i="14"/>
  <c r="P493" i="14"/>
  <c r="P494" i="14"/>
  <c r="R494" i="14" s="1"/>
  <c r="T494" i="14" s="1"/>
  <c r="P495" i="14"/>
  <c r="P496" i="14"/>
  <c r="P497" i="14"/>
  <c r="P498" i="14"/>
  <c r="P499" i="14"/>
  <c r="P500" i="14"/>
  <c r="P501" i="14"/>
  <c r="P502" i="14"/>
  <c r="R502" i="14" s="1"/>
  <c r="T502" i="14" s="1"/>
  <c r="P503" i="14"/>
  <c r="P504" i="14"/>
  <c r="P505" i="14"/>
  <c r="P506" i="14"/>
  <c r="P507" i="14"/>
  <c r="P508" i="14"/>
  <c r="P509" i="14"/>
  <c r="P510" i="14"/>
  <c r="R510" i="14" s="1"/>
  <c r="T510" i="14" s="1"/>
  <c r="P511" i="14"/>
  <c r="P512" i="14"/>
  <c r="P513" i="14"/>
  <c r="P514" i="14"/>
  <c r="P515" i="14"/>
  <c r="P516" i="14"/>
  <c r="P517" i="14"/>
  <c r="P518" i="14"/>
  <c r="P519" i="14"/>
  <c r="P520" i="14"/>
  <c r="P521" i="14"/>
  <c r="P522" i="14"/>
  <c r="P523" i="14"/>
  <c r="P524" i="14"/>
  <c r="P525" i="14"/>
  <c r="P526" i="14"/>
  <c r="R526" i="14" s="1"/>
  <c r="T526" i="14" s="1"/>
  <c r="P527" i="14"/>
  <c r="P528" i="14"/>
  <c r="P529" i="14"/>
  <c r="P530" i="14"/>
  <c r="P531" i="14"/>
  <c r="P532" i="14"/>
  <c r="P533" i="14"/>
  <c r="P534" i="14"/>
  <c r="P535" i="14"/>
  <c r="P536" i="14"/>
  <c r="P537" i="14"/>
  <c r="P538" i="14"/>
  <c r="P539" i="14"/>
  <c r="P540" i="14"/>
  <c r="P541" i="14"/>
  <c r="P542" i="14"/>
  <c r="P543" i="14"/>
  <c r="P544" i="14"/>
  <c r="P545" i="14"/>
  <c r="P546" i="14"/>
  <c r="P547" i="14"/>
  <c r="P548" i="14"/>
  <c r="P549" i="14"/>
  <c r="P550" i="14"/>
  <c r="P551" i="14"/>
  <c r="P552" i="14"/>
  <c r="P553" i="14"/>
  <c r="P554" i="14"/>
  <c r="P555" i="14"/>
  <c r="P556" i="14"/>
  <c r="P557" i="14"/>
  <c r="P558" i="14"/>
  <c r="P559" i="14"/>
  <c r="P560" i="14"/>
  <c r="P561" i="14"/>
  <c r="P562" i="14"/>
  <c r="P563" i="14"/>
  <c r="P564" i="14"/>
  <c r="P565" i="14"/>
  <c r="P566" i="14"/>
  <c r="P567" i="14"/>
  <c r="P568" i="14"/>
  <c r="P569" i="14"/>
  <c r="P570" i="14"/>
  <c r="P571" i="14"/>
  <c r="P572" i="14"/>
  <c r="P573" i="14"/>
  <c r="P574" i="14"/>
  <c r="P575" i="14"/>
  <c r="P576" i="14"/>
  <c r="P577" i="14"/>
  <c r="P578" i="14"/>
  <c r="P579" i="14"/>
  <c r="P580" i="14"/>
  <c r="P581" i="14"/>
  <c r="P582" i="14"/>
  <c r="P583" i="14"/>
  <c r="P584" i="14"/>
  <c r="P585" i="14"/>
  <c r="P586" i="14"/>
  <c r="P587" i="14"/>
  <c r="P588" i="14"/>
  <c r="P589" i="14"/>
  <c r="P590" i="14"/>
  <c r="P591" i="14"/>
  <c r="P592" i="14"/>
  <c r="P593" i="14"/>
  <c r="P594" i="14"/>
  <c r="P595" i="14"/>
  <c r="P596" i="14"/>
  <c r="P597" i="14"/>
  <c r="P598" i="14"/>
  <c r="P599" i="14"/>
  <c r="P600" i="14"/>
  <c r="P601" i="14"/>
  <c r="P602" i="14"/>
  <c r="P603" i="14"/>
  <c r="P604" i="14"/>
  <c r="P605" i="14"/>
  <c r="P606" i="14"/>
  <c r="P607" i="14"/>
  <c r="P608" i="14"/>
  <c r="P609" i="14"/>
  <c r="P610" i="14"/>
  <c r="P611" i="14"/>
  <c r="P612" i="14"/>
  <c r="P613" i="14"/>
  <c r="P614" i="14"/>
  <c r="P615" i="14"/>
  <c r="P616" i="14"/>
  <c r="P617" i="14"/>
  <c r="P618" i="14"/>
  <c r="P619" i="14"/>
  <c r="P620" i="14"/>
  <c r="P621" i="14"/>
  <c r="P622" i="14"/>
  <c r="P623" i="14"/>
  <c r="P624" i="14"/>
  <c r="P625" i="14"/>
  <c r="P626" i="14"/>
  <c r="P627" i="14"/>
  <c r="P628" i="14"/>
  <c r="P629" i="14"/>
  <c r="P630" i="14"/>
  <c r="R630" i="14" s="1"/>
  <c r="T630" i="14" s="1"/>
  <c r="P631" i="14"/>
  <c r="P632" i="14"/>
  <c r="P633" i="14"/>
  <c r="P634" i="14"/>
  <c r="P635" i="14"/>
  <c r="P636" i="14"/>
  <c r="P637" i="14"/>
  <c r="P638" i="14"/>
  <c r="R638" i="14" s="1"/>
  <c r="T638" i="14" s="1"/>
  <c r="P639" i="14"/>
  <c r="P640" i="14"/>
  <c r="P641" i="14"/>
  <c r="P642" i="14"/>
  <c r="P643" i="14"/>
  <c r="P644" i="14"/>
  <c r="P645" i="14"/>
  <c r="P646" i="14"/>
  <c r="P647" i="14"/>
  <c r="P648" i="14"/>
  <c r="P649" i="14"/>
  <c r="P650" i="14"/>
  <c r="P651" i="14"/>
  <c r="P652" i="14"/>
  <c r="P653" i="14"/>
  <c r="P654" i="14"/>
  <c r="R654" i="14" s="1"/>
  <c r="T654" i="14" s="1"/>
  <c r="P655" i="14"/>
  <c r="P656" i="14"/>
  <c r="P657" i="14"/>
  <c r="P658" i="14"/>
  <c r="P659" i="14"/>
  <c r="P660" i="14"/>
  <c r="P661" i="14"/>
  <c r="P662" i="14"/>
  <c r="R662" i="14" s="1"/>
  <c r="T662" i="14" s="1"/>
  <c r="P663" i="14"/>
  <c r="P664" i="14"/>
  <c r="P665" i="14"/>
  <c r="P666" i="14"/>
  <c r="P667" i="14"/>
  <c r="P668" i="14"/>
  <c r="P669" i="14"/>
  <c r="P670" i="14"/>
  <c r="P671" i="14"/>
  <c r="P672" i="14"/>
  <c r="P673" i="14"/>
  <c r="P674" i="14"/>
  <c r="P675" i="14"/>
  <c r="P676" i="14"/>
  <c r="P677" i="14"/>
  <c r="P678" i="14"/>
  <c r="R678" i="14" s="1"/>
  <c r="T678" i="14" s="1"/>
  <c r="P679" i="14"/>
  <c r="P680" i="14"/>
  <c r="P681" i="14"/>
  <c r="P682" i="14"/>
  <c r="P683" i="14"/>
  <c r="P684" i="14"/>
  <c r="P685" i="14"/>
  <c r="P686" i="14"/>
  <c r="R686" i="14" s="1"/>
  <c r="T686" i="14" s="1"/>
  <c r="P687" i="14"/>
  <c r="P688" i="14"/>
  <c r="P689" i="14"/>
  <c r="P690" i="14"/>
  <c r="P691" i="14"/>
  <c r="P692" i="14"/>
  <c r="P693" i="14"/>
  <c r="P694" i="14"/>
  <c r="P695" i="14"/>
  <c r="P696" i="14"/>
  <c r="P697" i="14"/>
  <c r="P698" i="14"/>
  <c r="P699" i="14"/>
  <c r="P700" i="14"/>
  <c r="P701" i="14"/>
  <c r="P702" i="14"/>
  <c r="P703" i="14"/>
  <c r="P704" i="14"/>
  <c r="P705" i="14"/>
  <c r="P706" i="14"/>
  <c r="P707" i="14"/>
  <c r="P708" i="14"/>
  <c r="P709" i="14"/>
  <c r="P710" i="14"/>
  <c r="P711" i="14"/>
  <c r="P712" i="14"/>
  <c r="P713" i="14"/>
  <c r="P714" i="14"/>
  <c r="P715" i="14"/>
  <c r="P716" i="14"/>
  <c r="P717" i="14"/>
  <c r="P718" i="14"/>
  <c r="P719" i="14"/>
  <c r="P720" i="14"/>
  <c r="P721" i="14"/>
  <c r="P722" i="14"/>
  <c r="P723" i="14"/>
  <c r="P724" i="14"/>
  <c r="P725" i="14"/>
  <c r="R725" i="14" s="1"/>
  <c r="T725" i="14" s="1"/>
  <c r="P726" i="14"/>
  <c r="P727" i="14"/>
  <c r="P728" i="14"/>
  <c r="P729" i="14"/>
  <c r="P730" i="14"/>
  <c r="P731" i="14"/>
  <c r="P732" i="14"/>
  <c r="P733" i="14"/>
  <c r="R733" i="14" s="1"/>
  <c r="T733" i="14" s="1"/>
  <c r="P734" i="14"/>
  <c r="P735" i="14"/>
  <c r="P736" i="14"/>
  <c r="P737" i="14"/>
  <c r="P738" i="14"/>
  <c r="P739" i="14"/>
  <c r="P740" i="14"/>
  <c r="P741" i="14"/>
  <c r="P742" i="14"/>
  <c r="P743" i="14"/>
  <c r="P744" i="14"/>
  <c r="P745" i="14"/>
  <c r="P746" i="14"/>
  <c r="P747" i="14"/>
  <c r="P748" i="14"/>
  <c r="P749" i="14"/>
  <c r="P750" i="14"/>
  <c r="P751" i="14"/>
  <c r="P752" i="14"/>
  <c r="P753" i="14"/>
  <c r="P754" i="14"/>
  <c r="P755" i="14"/>
  <c r="P756" i="14"/>
  <c r="P757" i="14"/>
  <c r="P758" i="14"/>
  <c r="R758" i="14" s="1"/>
  <c r="T758" i="14" s="1"/>
  <c r="P759" i="14"/>
  <c r="P760" i="14"/>
  <c r="P761" i="14"/>
  <c r="P762" i="14"/>
  <c r="P763" i="14"/>
  <c r="P764" i="14"/>
  <c r="P765" i="14"/>
  <c r="P766" i="14"/>
  <c r="R766" i="14" s="1"/>
  <c r="T766" i="14" s="1"/>
  <c r="P767" i="14"/>
  <c r="P768" i="14"/>
  <c r="P769" i="14"/>
  <c r="P770" i="14"/>
  <c r="P771" i="14"/>
  <c r="P772" i="14"/>
  <c r="P773" i="14"/>
  <c r="R773" i="14" s="1"/>
  <c r="T773" i="14" s="1"/>
  <c r="P774" i="14"/>
  <c r="P775" i="14"/>
  <c r="P776" i="14"/>
  <c r="P777" i="14"/>
  <c r="P778" i="14"/>
  <c r="P779" i="14"/>
  <c r="P780" i="14"/>
  <c r="P781" i="14"/>
  <c r="R781" i="14" s="1"/>
  <c r="T781" i="14" s="1"/>
  <c r="P782" i="14"/>
  <c r="P783" i="14"/>
  <c r="P784" i="14"/>
  <c r="P785" i="14"/>
  <c r="P786" i="14"/>
  <c r="P787" i="14"/>
  <c r="P788" i="14"/>
  <c r="P789" i="14"/>
  <c r="P790" i="14"/>
  <c r="P791" i="14"/>
  <c r="P792" i="14"/>
  <c r="P793" i="14"/>
  <c r="P794" i="14"/>
  <c r="P795" i="14"/>
  <c r="P796" i="14"/>
  <c r="P797" i="14"/>
  <c r="P798" i="14"/>
  <c r="P799" i="14"/>
  <c r="P800" i="14"/>
  <c r="P801" i="14"/>
  <c r="P802" i="14"/>
  <c r="P803" i="14"/>
  <c r="P804" i="14"/>
  <c r="P805" i="14"/>
  <c r="P806" i="14"/>
  <c r="P807" i="14"/>
  <c r="P808" i="14"/>
  <c r="P809" i="14"/>
  <c r="P810" i="14"/>
  <c r="P811" i="14"/>
  <c r="P812" i="14"/>
  <c r="P813" i="14"/>
  <c r="P814" i="14"/>
  <c r="P815" i="14"/>
  <c r="P816" i="14"/>
  <c r="P817" i="14"/>
  <c r="P818" i="14"/>
  <c r="P819" i="14"/>
  <c r="P820" i="14"/>
  <c r="P821" i="14"/>
  <c r="P822" i="14"/>
  <c r="P823" i="14"/>
  <c r="P824" i="14"/>
  <c r="P825" i="14"/>
  <c r="P826" i="14"/>
  <c r="P827" i="14"/>
  <c r="P828" i="14"/>
  <c r="P829" i="14"/>
  <c r="P830" i="14"/>
  <c r="P831" i="14"/>
  <c r="P832" i="14"/>
  <c r="P833" i="14"/>
  <c r="P834" i="14"/>
  <c r="P835" i="14"/>
  <c r="P836" i="14"/>
  <c r="P837" i="14"/>
  <c r="P838" i="14"/>
  <c r="P839" i="14"/>
  <c r="P840" i="14"/>
  <c r="P841" i="14"/>
  <c r="P842" i="14"/>
  <c r="P843" i="14"/>
  <c r="P844" i="14"/>
  <c r="P845" i="14"/>
  <c r="R845" i="14" s="1"/>
  <c r="T845" i="14" s="1"/>
  <c r="P846" i="14"/>
  <c r="P847" i="14"/>
  <c r="P848" i="14"/>
  <c r="P849" i="14"/>
  <c r="P850" i="14"/>
  <c r="P851" i="14"/>
  <c r="P852" i="14"/>
  <c r="P853" i="14"/>
  <c r="R853" i="14" s="1"/>
  <c r="T853" i="14" s="1"/>
  <c r="P854" i="14"/>
  <c r="P855" i="14"/>
  <c r="P856" i="14"/>
  <c r="P857" i="14"/>
  <c r="P858" i="14"/>
  <c r="P859" i="14"/>
  <c r="P860" i="14"/>
  <c r="P861" i="14"/>
  <c r="R861" i="14" s="1"/>
  <c r="T861" i="14" s="1"/>
  <c r="P862" i="14"/>
  <c r="P863" i="14"/>
  <c r="P864" i="14"/>
  <c r="P865" i="14"/>
  <c r="P866" i="14"/>
  <c r="P867" i="14"/>
  <c r="P868" i="14"/>
  <c r="P869" i="14"/>
  <c r="P870" i="14"/>
  <c r="P871" i="14"/>
  <c r="P872" i="14"/>
  <c r="P873" i="14"/>
  <c r="P874" i="14"/>
  <c r="P875" i="14"/>
  <c r="P876" i="14"/>
  <c r="P877" i="14"/>
  <c r="R877" i="14" s="1"/>
  <c r="T877" i="14" s="1"/>
  <c r="P878" i="14"/>
  <c r="P879" i="14"/>
  <c r="P880" i="14"/>
  <c r="P881" i="14"/>
  <c r="P882" i="14"/>
  <c r="P883" i="14"/>
  <c r="P884" i="14"/>
  <c r="P885" i="14"/>
  <c r="P886" i="14"/>
  <c r="P887" i="14"/>
  <c r="P888" i="14"/>
  <c r="P889" i="14"/>
  <c r="P890" i="14"/>
  <c r="P891" i="14"/>
  <c r="P892" i="14"/>
  <c r="P893" i="14"/>
  <c r="P894" i="14"/>
  <c r="P895" i="14"/>
  <c r="P896" i="14"/>
  <c r="P897" i="14"/>
  <c r="P898" i="14"/>
  <c r="P899" i="14"/>
  <c r="P900" i="14"/>
  <c r="P901" i="14"/>
  <c r="P902" i="14"/>
  <c r="P903" i="14"/>
  <c r="P904" i="14"/>
  <c r="P905" i="14"/>
  <c r="P906" i="14"/>
  <c r="P907" i="14"/>
  <c r="P908" i="14"/>
  <c r="P909" i="14"/>
  <c r="P910" i="14"/>
  <c r="P911" i="14"/>
  <c r="P912" i="14"/>
  <c r="P913" i="14"/>
  <c r="P914" i="14"/>
  <c r="P915" i="14"/>
  <c r="P916" i="14"/>
  <c r="P917" i="14"/>
  <c r="P918" i="14"/>
  <c r="P919" i="14"/>
  <c r="P920" i="14"/>
  <c r="P921" i="14"/>
  <c r="P922" i="14"/>
  <c r="P923" i="14"/>
  <c r="P924" i="14"/>
  <c r="P925" i="14"/>
  <c r="P926" i="14"/>
  <c r="P927" i="14"/>
  <c r="P928" i="14"/>
  <c r="P929" i="14"/>
  <c r="P930" i="14"/>
  <c r="P931" i="14"/>
  <c r="P932" i="14"/>
  <c r="P933" i="14"/>
  <c r="P934" i="14"/>
  <c r="P935" i="14"/>
  <c r="P936" i="14"/>
  <c r="P937" i="14"/>
  <c r="P938" i="14"/>
  <c r="P939" i="14"/>
  <c r="P940" i="14"/>
  <c r="P941" i="14"/>
  <c r="P942" i="14"/>
  <c r="P943" i="14"/>
  <c r="P944" i="14"/>
  <c r="P945" i="14"/>
  <c r="P946" i="14"/>
  <c r="P947" i="14"/>
  <c r="P948" i="14"/>
  <c r="P949" i="14"/>
  <c r="P950" i="14"/>
  <c r="P951" i="14"/>
  <c r="R951" i="14" s="1"/>
  <c r="T951" i="14" s="1"/>
  <c r="P952" i="14"/>
  <c r="P953" i="14"/>
  <c r="P954" i="14"/>
  <c r="P955" i="14"/>
  <c r="P956" i="14"/>
  <c r="P957" i="14"/>
  <c r="P958" i="14"/>
  <c r="P959" i="14"/>
  <c r="R959" i="14" s="1"/>
  <c r="T959" i="14" s="1"/>
  <c r="P960" i="14"/>
  <c r="P961" i="14"/>
  <c r="P962" i="14"/>
  <c r="P963" i="14"/>
  <c r="P964" i="14"/>
  <c r="P965" i="14"/>
  <c r="P966" i="14"/>
  <c r="P967" i="14"/>
  <c r="R967" i="14" s="1"/>
  <c r="T967" i="14" s="1"/>
  <c r="P968" i="14"/>
  <c r="P969" i="14"/>
  <c r="P970" i="14"/>
  <c r="P971" i="14"/>
  <c r="P972" i="14"/>
  <c r="P973" i="14"/>
  <c r="P974" i="14"/>
  <c r="P975" i="14"/>
  <c r="P976" i="14"/>
  <c r="P977" i="14"/>
  <c r="P978" i="14"/>
  <c r="P979" i="14"/>
  <c r="P980" i="14"/>
  <c r="P981" i="14"/>
  <c r="P982" i="14"/>
  <c r="P983" i="14"/>
  <c r="P984" i="14"/>
  <c r="P985" i="14"/>
  <c r="P986" i="14"/>
  <c r="P987" i="14"/>
  <c r="P988" i="14"/>
  <c r="P989" i="14"/>
  <c r="P990" i="14"/>
  <c r="P991" i="14"/>
  <c r="R991" i="14" s="1"/>
  <c r="T991" i="14" s="1"/>
  <c r="P992" i="14"/>
  <c r="P993" i="14"/>
  <c r="P994" i="14"/>
  <c r="P995" i="14"/>
  <c r="P996" i="14"/>
  <c r="P997" i="14"/>
  <c r="P998" i="14"/>
  <c r="P999" i="14"/>
  <c r="R999" i="14" s="1"/>
  <c r="T999" i="14" s="1"/>
  <c r="P1000" i="14"/>
  <c r="M9" i="14"/>
  <c r="M10" i="14"/>
  <c r="M11" i="14"/>
  <c r="M13" i="14"/>
  <c r="M14" i="14"/>
  <c r="M17" i="14"/>
  <c r="M18" i="14"/>
  <c r="M19" i="14"/>
  <c r="M21" i="14"/>
  <c r="M22" i="14"/>
  <c r="M25" i="14"/>
  <c r="M26" i="14"/>
  <c r="M27" i="14"/>
  <c r="M29" i="14"/>
  <c r="M30" i="14"/>
  <c r="M33" i="14"/>
  <c r="M34" i="14"/>
  <c r="M35" i="14"/>
  <c r="M37" i="14"/>
  <c r="M38" i="14"/>
  <c r="M41" i="14"/>
  <c r="M42" i="14"/>
  <c r="M43" i="14"/>
  <c r="M45" i="14"/>
  <c r="M46" i="14"/>
  <c r="M49" i="14"/>
  <c r="M50" i="14"/>
  <c r="M51" i="14"/>
  <c r="M53" i="14"/>
  <c r="M54" i="14"/>
  <c r="M57" i="14"/>
  <c r="M58" i="14"/>
  <c r="M59" i="14"/>
  <c r="M61" i="14"/>
  <c r="M62" i="14"/>
  <c r="M63" i="14"/>
  <c r="M65" i="14"/>
  <c r="M66" i="14"/>
  <c r="M67" i="14"/>
  <c r="M69" i="14"/>
  <c r="M70" i="14"/>
  <c r="M73" i="14"/>
  <c r="M74" i="14"/>
  <c r="M75" i="14"/>
  <c r="M76" i="14"/>
  <c r="M77" i="14"/>
  <c r="M78" i="14"/>
  <c r="M81" i="14"/>
  <c r="M82" i="14"/>
  <c r="M83" i="14"/>
  <c r="M85" i="14"/>
  <c r="M86" i="14"/>
  <c r="M89" i="14"/>
  <c r="M90" i="14"/>
  <c r="M91" i="14"/>
  <c r="M93" i="14"/>
  <c r="M94" i="14"/>
  <c r="M97" i="14"/>
  <c r="M98" i="14"/>
  <c r="M99" i="14"/>
  <c r="M101" i="14"/>
  <c r="M102" i="14"/>
  <c r="M105" i="14"/>
  <c r="M106" i="14"/>
  <c r="M107" i="14"/>
  <c r="M108" i="14"/>
  <c r="M109" i="14"/>
  <c r="M110" i="14"/>
  <c r="M113" i="14"/>
  <c r="M114" i="14"/>
  <c r="M115" i="14"/>
  <c r="M117" i="14"/>
  <c r="M118" i="14"/>
  <c r="M121" i="14"/>
  <c r="M122" i="14"/>
  <c r="M123" i="14"/>
  <c r="M125" i="14"/>
  <c r="M126" i="14"/>
  <c r="M127" i="14"/>
  <c r="M129" i="14"/>
  <c r="M130" i="14"/>
  <c r="M131" i="14"/>
  <c r="M133" i="14"/>
  <c r="M134" i="14"/>
  <c r="M137" i="14"/>
  <c r="M138" i="14"/>
  <c r="M139" i="14"/>
  <c r="M141" i="14"/>
  <c r="M142" i="14"/>
  <c r="M145" i="14"/>
  <c r="M146" i="14"/>
  <c r="M147" i="14"/>
  <c r="M149" i="14"/>
  <c r="M150" i="14"/>
  <c r="M153" i="14"/>
  <c r="M154" i="14"/>
  <c r="M155" i="14"/>
  <c r="M157" i="14"/>
  <c r="M158" i="14"/>
  <c r="M161" i="14"/>
  <c r="M162" i="14"/>
  <c r="M163" i="14"/>
  <c r="M165" i="14"/>
  <c r="M166" i="14"/>
  <c r="M169" i="14"/>
  <c r="M170" i="14"/>
  <c r="M171" i="14"/>
  <c r="M173" i="14"/>
  <c r="M174" i="14"/>
  <c r="M177" i="14"/>
  <c r="M178" i="14"/>
  <c r="M179" i="14"/>
  <c r="M181" i="14"/>
  <c r="M182" i="14"/>
  <c r="M185" i="14"/>
  <c r="M186" i="14"/>
  <c r="M187" i="14"/>
  <c r="M189" i="14"/>
  <c r="M190" i="14"/>
  <c r="M191" i="14"/>
  <c r="M193" i="14"/>
  <c r="M194" i="14"/>
  <c r="M195" i="14"/>
  <c r="M197" i="14"/>
  <c r="M198" i="14"/>
  <c r="M201" i="14"/>
  <c r="M202" i="14"/>
  <c r="M203" i="14"/>
  <c r="M205" i="14"/>
  <c r="M206" i="14"/>
  <c r="M209" i="14"/>
  <c r="M210" i="14"/>
  <c r="M211" i="14"/>
  <c r="M212" i="14"/>
  <c r="M213" i="14"/>
  <c r="M214" i="14"/>
  <c r="M217" i="14"/>
  <c r="M218" i="14"/>
  <c r="M219" i="14"/>
  <c r="M221" i="14"/>
  <c r="M222" i="14"/>
  <c r="M225" i="14"/>
  <c r="M226" i="14"/>
  <c r="M227" i="14"/>
  <c r="M229" i="14"/>
  <c r="M230" i="14"/>
  <c r="M233" i="14"/>
  <c r="M234" i="14"/>
  <c r="M235" i="14"/>
  <c r="M237" i="14"/>
  <c r="M238" i="14"/>
  <c r="M241" i="14"/>
  <c r="M242" i="14"/>
  <c r="M243" i="14"/>
  <c r="M244" i="14"/>
  <c r="M245" i="14"/>
  <c r="M246" i="14"/>
  <c r="M249" i="14"/>
  <c r="M250" i="14"/>
  <c r="M251" i="14"/>
  <c r="M253" i="14"/>
  <c r="M254" i="14"/>
  <c r="M255" i="14"/>
  <c r="M257" i="14"/>
  <c r="M258" i="14"/>
  <c r="M259" i="14"/>
  <c r="M261" i="14"/>
  <c r="M262" i="14"/>
  <c r="M265" i="14"/>
  <c r="M266" i="14"/>
  <c r="M267" i="14"/>
  <c r="M269" i="14"/>
  <c r="M270" i="14"/>
  <c r="M273" i="14"/>
  <c r="M274" i="14"/>
  <c r="M275" i="14"/>
  <c r="M277" i="14"/>
  <c r="M278" i="14"/>
  <c r="M281" i="14"/>
  <c r="M282" i="14"/>
  <c r="M283" i="14"/>
  <c r="M285" i="14"/>
  <c r="M286" i="14"/>
  <c r="M289" i="14"/>
  <c r="M290" i="14"/>
  <c r="M291" i="14"/>
  <c r="M293" i="14"/>
  <c r="M294" i="14"/>
  <c r="M297" i="14"/>
  <c r="M298" i="14"/>
  <c r="M299" i="14"/>
  <c r="M301" i="14"/>
  <c r="M302" i="14"/>
  <c r="M305" i="14"/>
  <c r="M306" i="14"/>
  <c r="M307" i="14"/>
  <c r="M309" i="14"/>
  <c r="M310" i="14"/>
  <c r="M311" i="14"/>
  <c r="M313" i="14"/>
  <c r="M314" i="14"/>
  <c r="M315" i="14"/>
  <c r="M316" i="14"/>
  <c r="M317" i="14"/>
  <c r="M318" i="14"/>
  <c r="M319" i="14"/>
  <c r="M321" i="14"/>
  <c r="M322" i="14"/>
  <c r="M323" i="14"/>
  <c r="M325" i="14"/>
  <c r="M326" i="14"/>
  <c r="M329" i="14"/>
  <c r="M330" i="14"/>
  <c r="M331" i="14"/>
  <c r="M333" i="14"/>
  <c r="M334" i="14"/>
  <c r="M337" i="14"/>
  <c r="M338" i="14"/>
  <c r="M339" i="14"/>
  <c r="M341" i="14"/>
  <c r="M342" i="14"/>
  <c r="M345" i="14"/>
  <c r="M346" i="14"/>
  <c r="M347" i="14"/>
  <c r="M349" i="14"/>
  <c r="M350" i="14"/>
  <c r="M353" i="14"/>
  <c r="M354" i="14"/>
  <c r="M355" i="14"/>
  <c r="M357" i="14"/>
  <c r="M358" i="14"/>
  <c r="M361" i="14"/>
  <c r="M362" i="14"/>
  <c r="M363" i="14"/>
  <c r="M365" i="14"/>
  <c r="M366" i="14"/>
  <c r="M369" i="14"/>
  <c r="M370" i="14"/>
  <c r="M371" i="14"/>
  <c r="M373" i="14"/>
  <c r="M374" i="14"/>
  <c r="M377" i="14"/>
  <c r="M378" i="14"/>
  <c r="M379" i="14"/>
  <c r="M381" i="14"/>
  <c r="M382" i="14"/>
  <c r="M385" i="14"/>
  <c r="M386" i="14"/>
  <c r="M387" i="14"/>
  <c r="M389" i="14"/>
  <c r="M390" i="14"/>
  <c r="M393" i="14"/>
  <c r="M394" i="14"/>
  <c r="M395" i="14"/>
  <c r="M397" i="14"/>
  <c r="M398" i="14"/>
  <c r="M401" i="14"/>
  <c r="M402" i="14"/>
  <c r="M403" i="14"/>
  <c r="M405" i="14"/>
  <c r="M406" i="14"/>
  <c r="M409" i="14"/>
  <c r="M410" i="14"/>
  <c r="M411" i="14"/>
  <c r="M413" i="14"/>
  <c r="M414" i="14"/>
  <c r="M417" i="14"/>
  <c r="M418" i="14"/>
  <c r="M419" i="14"/>
  <c r="M421" i="14"/>
  <c r="M422" i="14"/>
  <c r="M425" i="14"/>
  <c r="M426" i="14"/>
  <c r="M427" i="14"/>
  <c r="M429" i="14"/>
  <c r="M430" i="14"/>
  <c r="M433" i="14"/>
  <c r="M434" i="14"/>
  <c r="M435" i="14"/>
  <c r="M437" i="14"/>
  <c r="M438" i="14"/>
  <c r="M439" i="14"/>
  <c r="M441" i="14"/>
  <c r="M442" i="14"/>
  <c r="M443" i="14"/>
  <c r="M445" i="14"/>
  <c r="M446" i="14"/>
  <c r="M449" i="14"/>
  <c r="M450" i="14"/>
  <c r="M451" i="14"/>
  <c r="M452" i="14"/>
  <c r="M453" i="14"/>
  <c r="M454" i="14"/>
  <c r="M457" i="14"/>
  <c r="M458" i="14"/>
  <c r="M459" i="14"/>
  <c r="M461" i="14"/>
  <c r="M462" i="14"/>
  <c r="M465" i="14"/>
  <c r="M466" i="14"/>
  <c r="M467" i="14"/>
  <c r="M469" i="14"/>
  <c r="M470" i="14"/>
  <c r="M473" i="14"/>
  <c r="M474" i="14"/>
  <c r="M475" i="14"/>
  <c r="M477" i="14"/>
  <c r="M478" i="14"/>
  <c r="M481" i="14"/>
  <c r="M482" i="14"/>
  <c r="M483" i="14"/>
  <c r="M484" i="14"/>
  <c r="M485" i="14"/>
  <c r="M486" i="14"/>
  <c r="M489" i="14"/>
  <c r="M490" i="14"/>
  <c r="M491" i="14"/>
  <c r="M493" i="14"/>
  <c r="M494" i="14"/>
  <c r="M497" i="14"/>
  <c r="M498" i="14"/>
  <c r="M499" i="14"/>
  <c r="M501" i="14"/>
  <c r="M502" i="14"/>
  <c r="M505" i="14"/>
  <c r="M506" i="14"/>
  <c r="M507" i="14"/>
  <c r="M509" i="14"/>
  <c r="M510" i="14"/>
  <c r="M513" i="14"/>
  <c r="M514" i="14"/>
  <c r="M515" i="14"/>
  <c r="M516" i="14"/>
  <c r="M517" i="14"/>
  <c r="M518" i="14"/>
  <c r="M521" i="14"/>
  <c r="M522" i="14"/>
  <c r="M523" i="14"/>
  <c r="M525" i="14"/>
  <c r="M526" i="14"/>
  <c r="M529" i="14"/>
  <c r="M530" i="14"/>
  <c r="M531" i="14"/>
  <c r="M533" i="14"/>
  <c r="M534" i="14"/>
  <c r="M537" i="14"/>
  <c r="M538" i="14"/>
  <c r="M539" i="14"/>
  <c r="M541" i="14"/>
  <c r="M542" i="14"/>
  <c r="M545" i="14"/>
  <c r="M546" i="14"/>
  <c r="M547" i="14"/>
  <c r="M548" i="14"/>
  <c r="M549" i="14"/>
  <c r="M550" i="14"/>
  <c r="M553" i="14"/>
  <c r="M554" i="14"/>
  <c r="M555" i="14"/>
  <c r="M557" i="14"/>
  <c r="M558" i="14"/>
  <c r="M561" i="14"/>
  <c r="M562" i="14"/>
  <c r="M563" i="14"/>
  <c r="M565" i="14"/>
  <c r="M566" i="14"/>
  <c r="M567" i="14"/>
  <c r="M569" i="14"/>
  <c r="M570" i="14"/>
  <c r="M571" i="14"/>
  <c r="M573" i="14"/>
  <c r="M574" i="14"/>
  <c r="M575" i="14"/>
  <c r="M577" i="14"/>
  <c r="M578" i="14"/>
  <c r="M579" i="14"/>
  <c r="M581" i="14"/>
  <c r="M582" i="14"/>
  <c r="M585" i="14"/>
  <c r="M586" i="14"/>
  <c r="M587" i="14"/>
  <c r="M588" i="14"/>
  <c r="M589" i="14"/>
  <c r="M590" i="14"/>
  <c r="M593" i="14"/>
  <c r="M594" i="14"/>
  <c r="M595" i="14"/>
  <c r="M597" i="14"/>
  <c r="M598" i="14"/>
  <c r="M601" i="14"/>
  <c r="M602" i="14"/>
  <c r="M603" i="14"/>
  <c r="M605" i="14"/>
  <c r="M606" i="14"/>
  <c r="M609" i="14"/>
  <c r="M610" i="14"/>
  <c r="M611" i="14"/>
  <c r="M613" i="14"/>
  <c r="M614" i="14"/>
  <c r="M617" i="14"/>
  <c r="M618" i="14"/>
  <c r="M619" i="14"/>
  <c r="M620" i="14"/>
  <c r="M621" i="14"/>
  <c r="M622" i="14"/>
  <c r="M625" i="14"/>
  <c r="M626" i="14"/>
  <c r="M627" i="14"/>
  <c r="M629" i="14"/>
  <c r="M630" i="14"/>
  <c r="M633" i="14"/>
  <c r="M634" i="14"/>
  <c r="M635" i="14"/>
  <c r="M637" i="14"/>
  <c r="M638" i="14"/>
  <c r="M641" i="14"/>
  <c r="M642" i="14"/>
  <c r="M643" i="14"/>
  <c r="M645" i="14"/>
  <c r="M646" i="14"/>
  <c r="M647" i="14"/>
  <c r="M649" i="14"/>
  <c r="M650" i="14"/>
  <c r="M651" i="14"/>
  <c r="M653" i="14"/>
  <c r="M654" i="14"/>
  <c r="M657" i="14"/>
  <c r="M658" i="14"/>
  <c r="M659" i="14"/>
  <c r="M661" i="14"/>
  <c r="M662" i="14"/>
  <c r="M665" i="14"/>
  <c r="M666" i="14"/>
  <c r="M667" i="14"/>
  <c r="M669" i="14"/>
  <c r="M670" i="14"/>
  <c r="M673" i="14"/>
  <c r="M674" i="14"/>
  <c r="M675" i="14"/>
  <c r="M677" i="14"/>
  <c r="M678" i="14"/>
  <c r="M681" i="14"/>
  <c r="M682" i="14"/>
  <c r="M683" i="14"/>
  <c r="M685" i="14"/>
  <c r="M686" i="14"/>
  <c r="M689" i="14"/>
  <c r="M690" i="14"/>
  <c r="M691" i="14"/>
  <c r="M693" i="14"/>
  <c r="M694" i="14"/>
  <c r="M696" i="14"/>
  <c r="M697" i="14"/>
  <c r="M698" i="14"/>
  <c r="M699" i="14"/>
  <c r="M701" i="14"/>
  <c r="M702" i="14"/>
  <c r="M704" i="14"/>
  <c r="M705" i="14"/>
  <c r="M706" i="14"/>
  <c r="M707" i="14"/>
  <c r="M709" i="14"/>
  <c r="M710" i="14"/>
  <c r="M712" i="14"/>
  <c r="M713" i="14"/>
  <c r="M714" i="14"/>
  <c r="M715" i="14"/>
  <c r="M717" i="14"/>
  <c r="M718" i="14"/>
  <c r="M720" i="14"/>
  <c r="M721" i="14"/>
  <c r="M722" i="14"/>
  <c r="M723" i="14"/>
  <c r="M725" i="14"/>
  <c r="M726" i="14"/>
  <c r="M728" i="14"/>
  <c r="M729" i="14"/>
  <c r="M730" i="14"/>
  <c r="M731" i="14"/>
  <c r="M733" i="14"/>
  <c r="M734" i="14"/>
  <c r="M736" i="14"/>
  <c r="M737" i="14"/>
  <c r="M738" i="14"/>
  <c r="M739" i="14"/>
  <c r="M741" i="14"/>
  <c r="M742" i="14"/>
  <c r="M744" i="14"/>
  <c r="M745" i="14"/>
  <c r="M746" i="14"/>
  <c r="M747" i="14"/>
  <c r="M748" i="14"/>
  <c r="M749" i="14"/>
  <c r="M750" i="14"/>
  <c r="M752" i="14"/>
  <c r="M753" i="14"/>
  <c r="M754" i="14"/>
  <c r="M755" i="14"/>
  <c r="M757" i="14"/>
  <c r="M758" i="14"/>
  <c r="M760" i="14"/>
  <c r="M761" i="14"/>
  <c r="M762" i="14"/>
  <c r="M763" i="14"/>
  <c r="M765" i="14"/>
  <c r="M766" i="14"/>
  <c r="M768" i="14"/>
  <c r="M769" i="14"/>
  <c r="M770" i="14"/>
  <c r="M771" i="14"/>
  <c r="M773" i="14"/>
  <c r="M774" i="14"/>
  <c r="M776" i="14"/>
  <c r="M777" i="14"/>
  <c r="M778" i="14"/>
  <c r="M779" i="14"/>
  <c r="M781" i="14"/>
  <c r="M782" i="14"/>
  <c r="M784" i="14"/>
  <c r="M785" i="14"/>
  <c r="M786" i="14"/>
  <c r="M787" i="14"/>
  <c r="M789" i="14"/>
  <c r="M790" i="14"/>
  <c r="M792" i="14"/>
  <c r="M793" i="14"/>
  <c r="M794" i="14"/>
  <c r="M795" i="14"/>
  <c r="M797" i="14"/>
  <c r="M798" i="14"/>
  <c r="M800" i="14"/>
  <c r="M801" i="14"/>
  <c r="M802" i="14"/>
  <c r="M803" i="14"/>
  <c r="M805" i="14"/>
  <c r="M806" i="14"/>
  <c r="M808" i="14"/>
  <c r="M809" i="14"/>
  <c r="M810" i="14"/>
  <c r="M811" i="14"/>
  <c r="M812" i="14"/>
  <c r="M813" i="14"/>
  <c r="M814" i="14"/>
  <c r="M816" i="14"/>
  <c r="M817" i="14"/>
  <c r="M818" i="14"/>
  <c r="M819" i="14"/>
  <c r="M821" i="14"/>
  <c r="M822" i="14"/>
  <c r="M824" i="14"/>
  <c r="M825" i="14"/>
  <c r="M826" i="14"/>
  <c r="M827" i="14"/>
  <c r="M829" i="14"/>
  <c r="M830" i="14"/>
  <c r="M832" i="14"/>
  <c r="M833" i="14"/>
  <c r="M834" i="14"/>
  <c r="M835" i="14"/>
  <c r="M837" i="14"/>
  <c r="M838" i="14"/>
  <c r="M840" i="14"/>
  <c r="M841" i="14"/>
  <c r="M842" i="14"/>
  <c r="M843" i="14"/>
  <c r="M845" i="14"/>
  <c r="M846" i="14"/>
  <c r="M848" i="14"/>
  <c r="M849" i="14"/>
  <c r="M850" i="14"/>
  <c r="M851" i="14"/>
  <c r="M853" i="14"/>
  <c r="M854" i="14"/>
  <c r="M856" i="14"/>
  <c r="M857" i="14"/>
  <c r="M858" i="14"/>
  <c r="M859" i="14"/>
  <c r="M861" i="14"/>
  <c r="M862" i="14"/>
  <c r="M864" i="14"/>
  <c r="M865" i="14"/>
  <c r="M866" i="14"/>
  <c r="M867" i="14"/>
  <c r="M869" i="14"/>
  <c r="M870" i="14"/>
  <c r="M872" i="14"/>
  <c r="M873" i="14"/>
  <c r="M874" i="14"/>
  <c r="M875" i="14"/>
  <c r="M876" i="14"/>
  <c r="M877" i="14"/>
  <c r="M878" i="14"/>
  <c r="M880" i="14"/>
  <c r="M881" i="14"/>
  <c r="M882" i="14"/>
  <c r="M883" i="14"/>
  <c r="M885" i="14"/>
  <c r="M886" i="14"/>
  <c r="M888" i="14"/>
  <c r="M889" i="14"/>
  <c r="M890" i="14"/>
  <c r="M891" i="14"/>
  <c r="M893" i="14"/>
  <c r="M894" i="14"/>
  <c r="M896" i="14"/>
  <c r="M897" i="14"/>
  <c r="M898" i="14"/>
  <c r="M899" i="14"/>
  <c r="M901" i="14"/>
  <c r="M902" i="14"/>
  <c r="M904" i="14"/>
  <c r="M905" i="14"/>
  <c r="M906" i="14"/>
  <c r="M907" i="14"/>
  <c r="M909" i="14"/>
  <c r="M910" i="14"/>
  <c r="M912" i="14"/>
  <c r="M913" i="14"/>
  <c r="M914" i="14"/>
  <c r="M915" i="14"/>
  <c r="M917" i="14"/>
  <c r="M918" i="14"/>
  <c r="M920" i="14"/>
  <c r="M922" i="14"/>
  <c r="M923" i="14"/>
  <c r="M925" i="14"/>
  <c r="M926" i="14"/>
  <c r="M927" i="14"/>
  <c r="M930" i="14"/>
  <c r="M931" i="14"/>
  <c r="M933" i="14"/>
  <c r="M934" i="14"/>
  <c r="M938" i="14"/>
  <c r="M939" i="14"/>
  <c r="M941" i="14"/>
  <c r="M942" i="14"/>
  <c r="M943" i="14"/>
  <c r="M946" i="14"/>
  <c r="M947" i="14"/>
  <c r="M949" i="14"/>
  <c r="M950" i="14"/>
  <c r="M954" i="14"/>
  <c r="M955" i="14"/>
  <c r="M957" i="14"/>
  <c r="M958" i="14"/>
  <c r="M962" i="14"/>
  <c r="M963" i="14"/>
  <c r="M965" i="14"/>
  <c r="M966" i="14"/>
  <c r="M970" i="14"/>
  <c r="M971" i="14"/>
  <c r="M973" i="14"/>
  <c r="M974" i="14"/>
  <c r="M978" i="14"/>
  <c r="M979" i="14"/>
  <c r="M981" i="14"/>
  <c r="M982" i="14"/>
  <c r="M986" i="14"/>
  <c r="M987" i="14"/>
  <c r="M989" i="14"/>
  <c r="M990" i="14"/>
  <c r="M991" i="14"/>
  <c r="M994" i="14"/>
  <c r="M995" i="14"/>
  <c r="M997" i="14"/>
  <c r="M998" i="14"/>
  <c r="L9" i="14"/>
  <c r="L10" i="14"/>
  <c r="L11" i="14"/>
  <c r="L13" i="14"/>
  <c r="L17" i="14"/>
  <c r="L18" i="14"/>
  <c r="L19" i="14"/>
  <c r="L21" i="14"/>
  <c r="L25" i="14"/>
  <c r="L26" i="14"/>
  <c r="L27" i="14"/>
  <c r="L29" i="14"/>
  <c r="L33" i="14"/>
  <c r="L34" i="14"/>
  <c r="L35" i="14"/>
  <c r="L37" i="14"/>
  <c r="L41" i="14"/>
  <c r="L42" i="14"/>
  <c r="L43" i="14"/>
  <c r="L45" i="14"/>
  <c r="L49" i="14"/>
  <c r="L50" i="14"/>
  <c r="L51" i="14"/>
  <c r="L52" i="14"/>
  <c r="L53" i="14"/>
  <c r="L54" i="14"/>
  <c r="L57" i="14"/>
  <c r="L58" i="14"/>
  <c r="L59" i="14"/>
  <c r="L61" i="14"/>
  <c r="L66" i="14"/>
  <c r="L67" i="14"/>
  <c r="L69" i="14"/>
  <c r="L74" i="14"/>
  <c r="L75" i="14"/>
  <c r="L77" i="14"/>
  <c r="L82" i="14"/>
  <c r="L83" i="14"/>
  <c r="L85" i="14"/>
  <c r="L90" i="14"/>
  <c r="L91" i="14"/>
  <c r="L93" i="14"/>
  <c r="L97" i="14"/>
  <c r="L98" i="14"/>
  <c r="L99" i="14"/>
  <c r="L101" i="14"/>
  <c r="L106" i="14"/>
  <c r="L107" i="14"/>
  <c r="L109" i="14"/>
  <c r="L111" i="14"/>
  <c r="L114" i="14"/>
  <c r="L115" i="14"/>
  <c r="L117" i="14"/>
  <c r="L122" i="14"/>
  <c r="L123" i="14"/>
  <c r="L124" i="14"/>
  <c r="L125" i="14"/>
  <c r="L126" i="14"/>
  <c r="L130" i="14"/>
  <c r="L131" i="14"/>
  <c r="L133" i="14"/>
  <c r="L138" i="14"/>
  <c r="L139" i="14"/>
  <c r="L141" i="14"/>
  <c r="L146" i="14"/>
  <c r="L147" i="14"/>
  <c r="L149" i="14"/>
  <c r="L154" i="14"/>
  <c r="L155" i="14"/>
  <c r="L157" i="14"/>
  <c r="L158" i="14"/>
  <c r="L159" i="14"/>
  <c r="L161" i="14"/>
  <c r="L162" i="14"/>
  <c r="L163" i="14"/>
  <c r="L164" i="14"/>
  <c r="L165" i="14"/>
  <c r="L170" i="14"/>
  <c r="L171" i="14"/>
  <c r="L173" i="14"/>
  <c r="L178" i="14"/>
  <c r="L179" i="14"/>
  <c r="L180" i="14"/>
  <c r="L181" i="14"/>
  <c r="L186" i="14"/>
  <c r="L187" i="14"/>
  <c r="L189" i="14"/>
  <c r="L191" i="14"/>
  <c r="L194" i="14"/>
  <c r="L195" i="14"/>
  <c r="L197" i="14"/>
  <c r="L199" i="14"/>
  <c r="L202" i="14"/>
  <c r="L203" i="14"/>
  <c r="L205" i="14"/>
  <c r="L210" i="14"/>
  <c r="L211" i="14"/>
  <c r="L213" i="14"/>
  <c r="L218" i="14"/>
  <c r="L219" i="14"/>
  <c r="L221" i="14"/>
  <c r="L225" i="14"/>
  <c r="L226" i="14"/>
  <c r="L227" i="14"/>
  <c r="L229" i="14"/>
  <c r="L230" i="14"/>
  <c r="L234" i="14"/>
  <c r="L235" i="14"/>
  <c r="L236" i="14"/>
  <c r="L237" i="14"/>
  <c r="L239" i="14"/>
  <c r="L242" i="14"/>
  <c r="L243" i="14"/>
  <c r="L245" i="14"/>
  <c r="L247" i="14"/>
  <c r="L250" i="14"/>
  <c r="L251" i="14"/>
  <c r="L253" i="14"/>
  <c r="L258" i="14"/>
  <c r="L259" i="14"/>
  <c r="L261" i="14"/>
  <c r="L262" i="14"/>
  <c r="L263" i="14"/>
  <c r="L266" i="14"/>
  <c r="L267" i="14"/>
  <c r="L269" i="14"/>
  <c r="L271" i="14"/>
  <c r="L274" i="14"/>
  <c r="L275" i="14"/>
  <c r="L277" i="14"/>
  <c r="L282" i="14"/>
  <c r="L283" i="14"/>
  <c r="L285" i="14"/>
  <c r="L289" i="14"/>
  <c r="L290" i="14"/>
  <c r="L291" i="14"/>
  <c r="L293" i="14"/>
  <c r="L295" i="14"/>
  <c r="L298" i="14"/>
  <c r="L299" i="14"/>
  <c r="L301" i="14"/>
  <c r="L306" i="14"/>
  <c r="L307" i="14"/>
  <c r="L309" i="14"/>
  <c r="L314" i="14"/>
  <c r="L315" i="14"/>
  <c r="L317" i="14"/>
  <c r="L322" i="14"/>
  <c r="L323" i="14"/>
  <c r="L325" i="14"/>
  <c r="L327" i="14"/>
  <c r="L330" i="14"/>
  <c r="L331" i="14"/>
  <c r="L332" i="14"/>
  <c r="L333" i="14"/>
  <c r="L338" i="14"/>
  <c r="L339" i="14"/>
  <c r="L341" i="14"/>
  <c r="L346" i="14"/>
  <c r="L347" i="14"/>
  <c r="L348" i="14"/>
  <c r="L349" i="14"/>
  <c r="L351" i="14"/>
  <c r="L353" i="14"/>
  <c r="L354" i="14"/>
  <c r="L355" i="14"/>
  <c r="L357" i="14"/>
  <c r="L362" i="14"/>
  <c r="L363" i="14"/>
  <c r="L365" i="14"/>
  <c r="L366" i="14"/>
  <c r="L370" i="14"/>
  <c r="L371" i="14"/>
  <c r="L373" i="14"/>
  <c r="L375" i="14"/>
  <c r="L378" i="14"/>
  <c r="L379" i="14"/>
  <c r="L381" i="14"/>
  <c r="L386" i="14"/>
  <c r="L387" i="14"/>
  <c r="L388" i="14"/>
  <c r="L389" i="14"/>
  <c r="L394" i="14"/>
  <c r="L395" i="14"/>
  <c r="L397" i="14"/>
  <c r="L398" i="14"/>
  <c r="L399" i="14"/>
  <c r="L402" i="14"/>
  <c r="L403" i="14"/>
  <c r="L405" i="14"/>
  <c r="L410" i="14"/>
  <c r="L411" i="14"/>
  <c r="L413" i="14"/>
  <c r="L417" i="14"/>
  <c r="L418" i="14"/>
  <c r="L419" i="14"/>
  <c r="L421" i="14"/>
  <c r="L423" i="14"/>
  <c r="L426" i="14"/>
  <c r="L427" i="14"/>
  <c r="L428" i="14"/>
  <c r="L429" i="14"/>
  <c r="L434" i="14"/>
  <c r="L435" i="14"/>
  <c r="L437" i="14"/>
  <c r="L442" i="14"/>
  <c r="L443" i="14"/>
  <c r="L444" i="14"/>
  <c r="L445" i="14"/>
  <c r="L447" i="14"/>
  <c r="L450" i="14"/>
  <c r="L451" i="14"/>
  <c r="L453" i="14"/>
  <c r="L455" i="14"/>
  <c r="L458" i="14"/>
  <c r="L459" i="14"/>
  <c r="L461" i="14"/>
  <c r="L466" i="14"/>
  <c r="L467" i="14"/>
  <c r="L469" i="14"/>
  <c r="L474" i="14"/>
  <c r="L475" i="14"/>
  <c r="L477" i="14"/>
  <c r="L481" i="14"/>
  <c r="L482" i="14"/>
  <c r="L483" i="14"/>
  <c r="L485" i="14"/>
  <c r="L490" i="14"/>
  <c r="L491" i="14"/>
  <c r="L493" i="14"/>
  <c r="L498" i="14"/>
  <c r="L499" i="14"/>
  <c r="L501" i="14"/>
  <c r="L502" i="14"/>
  <c r="L503" i="14"/>
  <c r="L506" i="14"/>
  <c r="L507" i="14"/>
  <c r="L509" i="14"/>
  <c r="L514" i="14"/>
  <c r="L515" i="14"/>
  <c r="L517" i="14"/>
  <c r="L522" i="14"/>
  <c r="L523" i="14"/>
  <c r="L525" i="14"/>
  <c r="L530" i="14"/>
  <c r="L531" i="14"/>
  <c r="L533" i="14"/>
  <c r="L534" i="14"/>
  <c r="L538" i="14"/>
  <c r="L539" i="14"/>
  <c r="L541" i="14"/>
  <c r="L545" i="14"/>
  <c r="L546" i="14"/>
  <c r="L547" i="14"/>
  <c r="L549" i="14"/>
  <c r="L551" i="14"/>
  <c r="L554" i="14"/>
  <c r="L555" i="14"/>
  <c r="L556" i="14"/>
  <c r="L557" i="14"/>
  <c r="L562" i="14"/>
  <c r="L563" i="14"/>
  <c r="L565" i="14"/>
  <c r="L570" i="14"/>
  <c r="L571" i="14"/>
  <c r="L572" i="14"/>
  <c r="L573" i="14"/>
  <c r="L578" i="14"/>
  <c r="L579" i="14"/>
  <c r="L581" i="14"/>
  <c r="L583" i="14"/>
  <c r="L586" i="14"/>
  <c r="L587" i="14"/>
  <c r="L589" i="14"/>
  <c r="L594" i="14"/>
  <c r="L595" i="14"/>
  <c r="L597" i="14"/>
  <c r="L602" i="14"/>
  <c r="L603" i="14"/>
  <c r="L605" i="14"/>
  <c r="L607" i="14"/>
  <c r="L609" i="14"/>
  <c r="L610" i="14"/>
  <c r="L611" i="14"/>
  <c r="L613" i="14"/>
  <c r="L618" i="14"/>
  <c r="L619" i="14"/>
  <c r="L621" i="14"/>
  <c r="L626" i="14"/>
  <c r="L627" i="14"/>
  <c r="L629" i="14"/>
  <c r="L631" i="14"/>
  <c r="L634" i="14"/>
  <c r="L635" i="14"/>
  <c r="L637" i="14"/>
  <c r="L638" i="14"/>
  <c r="L642" i="14"/>
  <c r="L643" i="14"/>
  <c r="L645" i="14"/>
  <c r="L650" i="14"/>
  <c r="L651" i="14"/>
  <c r="L653" i="14"/>
  <c r="L655" i="14"/>
  <c r="L658" i="14"/>
  <c r="L659" i="14"/>
  <c r="L661" i="14"/>
  <c r="L663" i="14"/>
  <c r="L666" i="14"/>
  <c r="L667" i="14"/>
  <c r="L669" i="14"/>
  <c r="L670" i="14"/>
  <c r="L673" i="14"/>
  <c r="L674" i="14"/>
  <c r="L675" i="14"/>
  <c r="L677" i="14"/>
  <c r="L679" i="14"/>
  <c r="L682" i="14"/>
  <c r="L683" i="14"/>
  <c r="L685" i="14"/>
  <c r="L690" i="14"/>
  <c r="L691" i="14"/>
  <c r="L693" i="14"/>
  <c r="L698" i="14"/>
  <c r="L699" i="14"/>
  <c r="L701" i="14"/>
  <c r="L703" i="14"/>
  <c r="L706" i="14"/>
  <c r="L707" i="14"/>
  <c r="L709" i="14"/>
  <c r="L711" i="14"/>
  <c r="L714" i="14"/>
  <c r="L715" i="14"/>
  <c r="L717" i="14"/>
  <c r="L722" i="14"/>
  <c r="L723" i="14"/>
  <c r="L724" i="14"/>
  <c r="L725" i="14"/>
  <c r="L730" i="14"/>
  <c r="L731" i="14"/>
  <c r="L733" i="14"/>
  <c r="L737" i="14"/>
  <c r="L738" i="14"/>
  <c r="L739" i="14"/>
  <c r="L741" i="14"/>
  <c r="L742" i="14"/>
  <c r="L746" i="14"/>
  <c r="L747" i="14"/>
  <c r="L749" i="14"/>
  <c r="L751" i="14"/>
  <c r="L754" i="14"/>
  <c r="L755" i="14"/>
  <c r="L757" i="14"/>
  <c r="L759" i="14"/>
  <c r="L762" i="14"/>
  <c r="L763" i="14"/>
  <c r="L764" i="14"/>
  <c r="L765" i="14"/>
  <c r="L770" i="14"/>
  <c r="L771" i="14"/>
  <c r="L773" i="14"/>
  <c r="L774" i="14"/>
  <c r="L775" i="14"/>
  <c r="L778" i="14"/>
  <c r="L779" i="14"/>
  <c r="L781" i="14"/>
  <c r="L783" i="14"/>
  <c r="L786" i="14"/>
  <c r="L787" i="14"/>
  <c r="L789" i="14"/>
  <c r="L794" i="14"/>
  <c r="L795" i="14"/>
  <c r="L797" i="14"/>
  <c r="L801" i="14"/>
  <c r="L802" i="14"/>
  <c r="L803" i="14"/>
  <c r="L804" i="14"/>
  <c r="L805" i="14"/>
  <c r="L807" i="14"/>
  <c r="L810" i="14"/>
  <c r="L811" i="14"/>
  <c r="L813" i="14"/>
  <c r="L818" i="14"/>
  <c r="L819" i="14"/>
  <c r="L821" i="14"/>
  <c r="L826" i="14"/>
  <c r="L827" i="14"/>
  <c r="L829" i="14"/>
  <c r="L834" i="14"/>
  <c r="L835" i="14"/>
  <c r="L837" i="14"/>
  <c r="L839" i="14"/>
  <c r="L842" i="14"/>
  <c r="L843" i="14"/>
  <c r="L845" i="14"/>
  <c r="L850" i="14"/>
  <c r="L851" i="14"/>
  <c r="L853" i="14"/>
  <c r="L858" i="14"/>
  <c r="L859" i="14"/>
  <c r="L861" i="14"/>
  <c r="L863" i="14"/>
  <c r="L865" i="14"/>
  <c r="L866" i="14"/>
  <c r="L867" i="14"/>
  <c r="L869" i="14"/>
  <c r="L874" i="14"/>
  <c r="L875" i="14"/>
  <c r="L876" i="14"/>
  <c r="L877" i="14"/>
  <c r="L878" i="14"/>
  <c r="L882" i="14"/>
  <c r="L883" i="14"/>
  <c r="L885" i="14"/>
  <c r="L887" i="14"/>
  <c r="L890" i="14"/>
  <c r="L891" i="14"/>
  <c r="L893" i="14"/>
  <c r="L898" i="14"/>
  <c r="L899" i="14"/>
  <c r="L901" i="14"/>
  <c r="L906" i="14"/>
  <c r="L907" i="14"/>
  <c r="L909" i="14"/>
  <c r="L910" i="14"/>
  <c r="L911" i="14"/>
  <c r="L914" i="14"/>
  <c r="L915" i="14"/>
  <c r="L916" i="14"/>
  <c r="L917" i="14"/>
  <c r="L922" i="14"/>
  <c r="L923" i="14"/>
  <c r="L925" i="14"/>
  <c r="L929" i="14"/>
  <c r="L930" i="14"/>
  <c r="L931" i="14"/>
  <c r="L933" i="14"/>
  <c r="L935" i="14"/>
  <c r="L938" i="14"/>
  <c r="L939" i="14"/>
  <c r="L941" i="14"/>
  <c r="L946" i="14"/>
  <c r="L947" i="14"/>
  <c r="L949" i="14"/>
  <c r="L954" i="14"/>
  <c r="L955" i="14"/>
  <c r="L957" i="14"/>
  <c r="L959" i="14"/>
  <c r="L962" i="14"/>
  <c r="L963" i="14"/>
  <c r="L965" i="14"/>
  <c r="L967" i="14"/>
  <c r="L970" i="14"/>
  <c r="L971" i="14"/>
  <c r="L972" i="14"/>
  <c r="L973" i="14"/>
  <c r="L978" i="14"/>
  <c r="L979" i="14"/>
  <c r="L981" i="14"/>
  <c r="L986" i="14"/>
  <c r="L987" i="14"/>
  <c r="L988" i="14"/>
  <c r="L989" i="14"/>
  <c r="L993" i="14"/>
  <c r="L994" i="14"/>
  <c r="L995" i="14"/>
  <c r="L997" i="14"/>
  <c r="O1000" i="14"/>
  <c r="N1000" i="14"/>
  <c r="O999" i="14"/>
  <c r="N999" i="14"/>
  <c r="O998" i="14"/>
  <c r="N998" i="14"/>
  <c r="O997" i="14"/>
  <c r="N997" i="14"/>
  <c r="O996" i="14"/>
  <c r="N996" i="14"/>
  <c r="O995" i="14"/>
  <c r="N995" i="14"/>
  <c r="O994" i="14"/>
  <c r="N994" i="14"/>
  <c r="O993" i="14"/>
  <c r="N993" i="14"/>
  <c r="O992" i="14"/>
  <c r="N992" i="14"/>
  <c r="O991" i="14"/>
  <c r="N991" i="14"/>
  <c r="O990" i="14"/>
  <c r="N990" i="14"/>
  <c r="O989" i="14"/>
  <c r="N989" i="14"/>
  <c r="O988" i="14"/>
  <c r="N988" i="14"/>
  <c r="O987" i="14"/>
  <c r="N987" i="14"/>
  <c r="R986" i="14"/>
  <c r="T986" i="14" s="1"/>
  <c r="O986" i="14"/>
  <c r="N986" i="14"/>
  <c r="O985" i="14"/>
  <c r="N985" i="14"/>
  <c r="O984" i="14"/>
  <c r="N984" i="14"/>
  <c r="O983" i="14"/>
  <c r="N983" i="14"/>
  <c r="O982" i="14"/>
  <c r="N982" i="14"/>
  <c r="O981" i="14"/>
  <c r="N981" i="14"/>
  <c r="O980" i="14"/>
  <c r="N980" i="14"/>
  <c r="O979" i="14"/>
  <c r="N979" i="14"/>
  <c r="O978" i="14"/>
  <c r="N978" i="14"/>
  <c r="O977" i="14"/>
  <c r="N977" i="14"/>
  <c r="O976" i="14"/>
  <c r="N976" i="14"/>
  <c r="O975" i="14"/>
  <c r="N975" i="14"/>
  <c r="O974" i="14"/>
  <c r="N974" i="14"/>
  <c r="O973" i="14"/>
  <c r="N973" i="14"/>
  <c r="O972" i="14"/>
  <c r="N972" i="14"/>
  <c r="O971" i="14"/>
  <c r="N971" i="14"/>
  <c r="O970" i="14"/>
  <c r="N970" i="14"/>
  <c r="O969" i="14"/>
  <c r="N969" i="14"/>
  <c r="O968" i="14"/>
  <c r="N968" i="14"/>
  <c r="O967" i="14"/>
  <c r="N967" i="14"/>
  <c r="O966" i="14"/>
  <c r="N966" i="14"/>
  <c r="O965" i="14"/>
  <c r="N965" i="14"/>
  <c r="O964" i="14"/>
  <c r="N964" i="14"/>
  <c r="O963" i="14"/>
  <c r="N963" i="14"/>
  <c r="O962" i="14"/>
  <c r="N962" i="14"/>
  <c r="O961" i="14"/>
  <c r="N961" i="14"/>
  <c r="O960" i="14"/>
  <c r="N960" i="14"/>
  <c r="O959" i="14"/>
  <c r="N959" i="14"/>
  <c r="O958" i="14"/>
  <c r="N958" i="14"/>
  <c r="O957" i="14"/>
  <c r="N957" i="14"/>
  <c r="O956" i="14"/>
  <c r="N956" i="14"/>
  <c r="O955" i="14"/>
  <c r="N955" i="14"/>
  <c r="R954" i="14"/>
  <c r="T954" i="14" s="1"/>
  <c r="O954" i="14"/>
  <c r="N954" i="14"/>
  <c r="O953" i="14"/>
  <c r="N953" i="14"/>
  <c r="O952" i="14"/>
  <c r="N952" i="14"/>
  <c r="O951" i="14"/>
  <c r="N951" i="14"/>
  <c r="O950" i="14"/>
  <c r="N950" i="14"/>
  <c r="O949" i="14"/>
  <c r="N949" i="14"/>
  <c r="O948" i="14"/>
  <c r="N948" i="14"/>
  <c r="O947" i="14"/>
  <c r="N947" i="14"/>
  <c r="O946" i="14"/>
  <c r="N946" i="14"/>
  <c r="O945" i="14"/>
  <c r="N945" i="14"/>
  <c r="O944" i="14"/>
  <c r="N944" i="14"/>
  <c r="O943" i="14"/>
  <c r="N943" i="14"/>
  <c r="O942" i="14"/>
  <c r="N942" i="14"/>
  <c r="O941" i="14"/>
  <c r="N941" i="14"/>
  <c r="O940" i="14"/>
  <c r="N940" i="14"/>
  <c r="O939" i="14"/>
  <c r="N939" i="14"/>
  <c r="O938" i="14"/>
  <c r="N938" i="14"/>
  <c r="O937" i="14"/>
  <c r="N937" i="14"/>
  <c r="O936" i="14"/>
  <c r="N936" i="14"/>
  <c r="O935" i="14"/>
  <c r="N935" i="14"/>
  <c r="O934" i="14"/>
  <c r="N934" i="14"/>
  <c r="O933" i="14"/>
  <c r="N933" i="14"/>
  <c r="O932" i="14"/>
  <c r="N932" i="14"/>
  <c r="O931" i="14"/>
  <c r="N931" i="14"/>
  <c r="O930" i="14"/>
  <c r="N930" i="14"/>
  <c r="O929" i="14"/>
  <c r="N929" i="14"/>
  <c r="O928" i="14"/>
  <c r="N928" i="14"/>
  <c r="O927" i="14"/>
  <c r="N927" i="14"/>
  <c r="O926" i="14"/>
  <c r="N926" i="14"/>
  <c r="O925" i="14"/>
  <c r="N925" i="14"/>
  <c r="O924" i="14"/>
  <c r="N924" i="14"/>
  <c r="O923" i="14"/>
  <c r="N923" i="14"/>
  <c r="O922" i="14"/>
  <c r="N922" i="14"/>
  <c r="O921" i="14"/>
  <c r="N921" i="14"/>
  <c r="O920" i="14"/>
  <c r="N920" i="14"/>
  <c r="O919" i="14"/>
  <c r="N919" i="14"/>
  <c r="O918" i="14"/>
  <c r="N918" i="14"/>
  <c r="O917" i="14"/>
  <c r="N917" i="14"/>
  <c r="O916" i="14"/>
  <c r="N916" i="14"/>
  <c r="O915" i="14"/>
  <c r="N915" i="14"/>
  <c r="O914" i="14"/>
  <c r="N914" i="14"/>
  <c r="O913" i="14"/>
  <c r="N913" i="14"/>
  <c r="O912" i="14"/>
  <c r="N912" i="14"/>
  <c r="O911" i="14"/>
  <c r="N911" i="14"/>
  <c r="O910" i="14"/>
  <c r="N910" i="14"/>
  <c r="O909" i="14"/>
  <c r="N909" i="14"/>
  <c r="O908" i="14"/>
  <c r="N908" i="14"/>
  <c r="O907" i="14"/>
  <c r="N907" i="14"/>
  <c r="O906" i="14"/>
  <c r="N906" i="14"/>
  <c r="O905" i="14"/>
  <c r="N905" i="14"/>
  <c r="O904" i="14"/>
  <c r="N904" i="14"/>
  <c r="O903" i="14"/>
  <c r="N903" i="14"/>
  <c r="O902" i="14"/>
  <c r="N902" i="14"/>
  <c r="O901" i="14"/>
  <c r="N901" i="14"/>
  <c r="O900" i="14"/>
  <c r="N900" i="14"/>
  <c r="O899" i="14"/>
  <c r="N899" i="14"/>
  <c r="O898" i="14"/>
  <c r="N898" i="14"/>
  <c r="O897" i="14"/>
  <c r="N897" i="14"/>
  <c r="O896" i="14"/>
  <c r="N896" i="14"/>
  <c r="O895" i="14"/>
  <c r="N895" i="14"/>
  <c r="O894" i="14"/>
  <c r="N894" i="14"/>
  <c r="O893" i="14"/>
  <c r="N893" i="14"/>
  <c r="O892" i="14"/>
  <c r="N892" i="14"/>
  <c r="O891" i="14"/>
  <c r="N891" i="14"/>
  <c r="O890" i="14"/>
  <c r="N890" i="14"/>
  <c r="O889" i="14"/>
  <c r="N889" i="14"/>
  <c r="O888" i="14"/>
  <c r="N888" i="14"/>
  <c r="O887" i="14"/>
  <c r="N887" i="14"/>
  <c r="O886" i="14"/>
  <c r="N886" i="14"/>
  <c r="O885" i="14"/>
  <c r="N885" i="14"/>
  <c r="O884" i="14"/>
  <c r="N884" i="14"/>
  <c r="O883" i="14"/>
  <c r="N883" i="14"/>
  <c r="O882" i="14"/>
  <c r="N882" i="14"/>
  <c r="O881" i="14"/>
  <c r="N881" i="14"/>
  <c r="O880" i="14"/>
  <c r="N880" i="14"/>
  <c r="O879" i="14"/>
  <c r="N879" i="14"/>
  <c r="O878" i="14"/>
  <c r="N878" i="14"/>
  <c r="O877" i="14"/>
  <c r="N877" i="14"/>
  <c r="O876" i="14"/>
  <c r="N876" i="14"/>
  <c r="O875" i="14"/>
  <c r="N875" i="14"/>
  <c r="O874" i="14"/>
  <c r="N874" i="14"/>
  <c r="O873" i="14"/>
  <c r="N873" i="14"/>
  <c r="O872" i="14"/>
  <c r="N872" i="14"/>
  <c r="O871" i="14"/>
  <c r="N871" i="14"/>
  <c r="O870" i="14"/>
  <c r="N870" i="14"/>
  <c r="R869" i="14"/>
  <c r="T869" i="14" s="1"/>
  <c r="O869" i="14"/>
  <c r="N869" i="14"/>
  <c r="O868" i="14"/>
  <c r="N868" i="14"/>
  <c r="O867" i="14"/>
  <c r="N867" i="14"/>
  <c r="O866" i="14"/>
  <c r="N866" i="14"/>
  <c r="O865" i="14"/>
  <c r="N865" i="14"/>
  <c r="O864" i="14"/>
  <c r="N864" i="14"/>
  <c r="O863" i="14"/>
  <c r="N863" i="14"/>
  <c r="O862" i="14"/>
  <c r="N862" i="14"/>
  <c r="O861" i="14"/>
  <c r="N861" i="14"/>
  <c r="O860" i="14"/>
  <c r="N860" i="14"/>
  <c r="O859" i="14"/>
  <c r="N859" i="14"/>
  <c r="O858" i="14"/>
  <c r="N858" i="14"/>
  <c r="O857" i="14"/>
  <c r="N857" i="14"/>
  <c r="O856" i="14"/>
  <c r="N856" i="14"/>
  <c r="O855" i="14"/>
  <c r="N855" i="14"/>
  <c r="O854" i="14"/>
  <c r="N854" i="14"/>
  <c r="O853" i="14"/>
  <c r="N853" i="14"/>
  <c r="O852" i="14"/>
  <c r="N852" i="14"/>
  <c r="O851" i="14"/>
  <c r="N851" i="14"/>
  <c r="O850" i="14"/>
  <c r="N850" i="14"/>
  <c r="O849" i="14"/>
  <c r="N849" i="14"/>
  <c r="O848" i="14"/>
  <c r="N848" i="14"/>
  <c r="O847" i="14"/>
  <c r="N847" i="14"/>
  <c r="O846" i="14"/>
  <c r="N846" i="14"/>
  <c r="O845" i="14"/>
  <c r="N845" i="14"/>
  <c r="O844" i="14"/>
  <c r="N844" i="14"/>
  <c r="O843" i="14"/>
  <c r="N843" i="14"/>
  <c r="O842" i="14"/>
  <c r="N842" i="14"/>
  <c r="O841" i="14"/>
  <c r="N841" i="14"/>
  <c r="O840" i="14"/>
  <c r="N840" i="14"/>
  <c r="O839" i="14"/>
  <c r="N839" i="14"/>
  <c r="O838" i="14"/>
  <c r="N838" i="14"/>
  <c r="O837" i="14"/>
  <c r="N837" i="14"/>
  <c r="O836" i="14"/>
  <c r="N836" i="14"/>
  <c r="O835" i="14"/>
  <c r="N835" i="14"/>
  <c r="O834" i="14"/>
  <c r="N834" i="14"/>
  <c r="O833" i="14"/>
  <c r="N833" i="14"/>
  <c r="O832" i="14"/>
  <c r="N832" i="14"/>
  <c r="O831" i="14"/>
  <c r="N831" i="14"/>
  <c r="O830" i="14"/>
  <c r="N830" i="14"/>
  <c r="O829" i="14"/>
  <c r="N829" i="14"/>
  <c r="O828" i="14"/>
  <c r="N828" i="14"/>
  <c r="O827" i="14"/>
  <c r="N827" i="14"/>
  <c r="O826" i="14"/>
  <c r="N826" i="14"/>
  <c r="O825" i="14"/>
  <c r="N825" i="14"/>
  <c r="O824" i="14"/>
  <c r="N824" i="14"/>
  <c r="O823" i="14"/>
  <c r="N823" i="14"/>
  <c r="O822" i="14"/>
  <c r="N822" i="14"/>
  <c r="O821" i="14"/>
  <c r="N821" i="14"/>
  <c r="O820" i="14"/>
  <c r="N820" i="14"/>
  <c r="O819" i="14"/>
  <c r="N819" i="14"/>
  <c r="O818" i="14"/>
  <c r="N818" i="14"/>
  <c r="O817" i="14"/>
  <c r="N817" i="14"/>
  <c r="O816" i="14"/>
  <c r="N816" i="14"/>
  <c r="O815" i="14"/>
  <c r="N815" i="14"/>
  <c r="O814" i="14"/>
  <c r="N814" i="14"/>
  <c r="O813" i="14"/>
  <c r="N813" i="14"/>
  <c r="O812" i="14"/>
  <c r="N812" i="14"/>
  <c r="O811" i="14"/>
  <c r="N811" i="14"/>
  <c r="O810" i="14"/>
  <c r="N810" i="14"/>
  <c r="O809" i="14"/>
  <c r="N809" i="14"/>
  <c r="O808" i="14"/>
  <c r="N808" i="14"/>
  <c r="O807" i="14"/>
  <c r="N807" i="14"/>
  <c r="O806" i="14"/>
  <c r="N806" i="14"/>
  <c r="O805" i="14"/>
  <c r="N805" i="14"/>
  <c r="O804" i="14"/>
  <c r="N804" i="14"/>
  <c r="O803" i="14"/>
  <c r="N803" i="14"/>
  <c r="O802" i="14"/>
  <c r="N802" i="14"/>
  <c r="O801" i="14"/>
  <c r="N801" i="14"/>
  <c r="O800" i="14"/>
  <c r="N800" i="14"/>
  <c r="O799" i="14"/>
  <c r="N799" i="14"/>
  <c r="O798" i="14"/>
  <c r="N798" i="14"/>
  <c r="O797" i="14"/>
  <c r="N797" i="14"/>
  <c r="O796" i="14"/>
  <c r="N796" i="14"/>
  <c r="O795" i="14"/>
  <c r="N795" i="14"/>
  <c r="O794" i="14"/>
  <c r="N794" i="14"/>
  <c r="O793" i="14"/>
  <c r="N793" i="14"/>
  <c r="O792" i="14"/>
  <c r="N792" i="14"/>
  <c r="O791" i="14"/>
  <c r="N791" i="14"/>
  <c r="O790" i="14"/>
  <c r="N790" i="14"/>
  <c r="O789" i="14"/>
  <c r="N789" i="14"/>
  <c r="O788" i="14"/>
  <c r="N788" i="14"/>
  <c r="O787" i="14"/>
  <c r="N787" i="14"/>
  <c r="O786" i="14"/>
  <c r="N786" i="14"/>
  <c r="O785" i="14"/>
  <c r="N785" i="14"/>
  <c r="O784" i="14"/>
  <c r="N784" i="14"/>
  <c r="O783" i="14"/>
  <c r="N783" i="14"/>
  <c r="O782" i="14"/>
  <c r="N782" i="14"/>
  <c r="O781" i="14"/>
  <c r="N781" i="14"/>
  <c r="O780" i="14"/>
  <c r="N780" i="14"/>
  <c r="O779" i="14"/>
  <c r="N779" i="14"/>
  <c r="O778" i="14"/>
  <c r="N778" i="14"/>
  <c r="O777" i="14"/>
  <c r="N777" i="14"/>
  <c r="O776" i="14"/>
  <c r="N776" i="14"/>
  <c r="O775" i="14"/>
  <c r="N775" i="14"/>
  <c r="O774" i="14"/>
  <c r="N774" i="14"/>
  <c r="O773" i="14"/>
  <c r="N773" i="14"/>
  <c r="O772" i="14"/>
  <c r="N772" i="14"/>
  <c r="O771" i="14"/>
  <c r="N771" i="14"/>
  <c r="O770" i="14"/>
  <c r="N770" i="14"/>
  <c r="O769" i="14"/>
  <c r="N769" i="14"/>
  <c r="O768" i="14"/>
  <c r="N768" i="14"/>
  <c r="O767" i="14"/>
  <c r="N767" i="14"/>
  <c r="O766" i="14"/>
  <c r="N766" i="14"/>
  <c r="O765" i="14"/>
  <c r="N765" i="14"/>
  <c r="O764" i="14"/>
  <c r="N764" i="14"/>
  <c r="O763" i="14"/>
  <c r="N763" i="14"/>
  <c r="O762" i="14"/>
  <c r="N762" i="14"/>
  <c r="O761" i="14"/>
  <c r="N761" i="14"/>
  <c r="O760" i="14"/>
  <c r="N760" i="14"/>
  <c r="O759" i="14"/>
  <c r="N759" i="14"/>
  <c r="O758" i="14"/>
  <c r="N758" i="14"/>
  <c r="R757" i="14"/>
  <c r="T757" i="14" s="1"/>
  <c r="O757" i="14"/>
  <c r="N757" i="14"/>
  <c r="O756" i="14"/>
  <c r="N756" i="14"/>
  <c r="O755" i="14"/>
  <c r="N755" i="14"/>
  <c r="O754" i="14"/>
  <c r="N754" i="14"/>
  <c r="O753" i="14"/>
  <c r="N753" i="14"/>
  <c r="O752" i="14"/>
  <c r="N752" i="14"/>
  <c r="O751" i="14"/>
  <c r="N751" i="14"/>
  <c r="O750" i="14"/>
  <c r="N750" i="14"/>
  <c r="O749" i="14"/>
  <c r="N749" i="14"/>
  <c r="O748" i="14"/>
  <c r="N748" i="14"/>
  <c r="O747" i="14"/>
  <c r="N747" i="14"/>
  <c r="O746" i="14"/>
  <c r="N746" i="14"/>
  <c r="O745" i="14"/>
  <c r="N745" i="14"/>
  <c r="O744" i="14"/>
  <c r="N744" i="14"/>
  <c r="O743" i="14"/>
  <c r="N743" i="14"/>
  <c r="O742" i="14"/>
  <c r="N742" i="14"/>
  <c r="O741" i="14"/>
  <c r="N741" i="14"/>
  <c r="O740" i="14"/>
  <c r="N740" i="14"/>
  <c r="O739" i="14"/>
  <c r="N739" i="14"/>
  <c r="O738" i="14"/>
  <c r="N738" i="14"/>
  <c r="O737" i="14"/>
  <c r="N737" i="14"/>
  <c r="O736" i="14"/>
  <c r="N736" i="14"/>
  <c r="O735" i="14"/>
  <c r="N735" i="14"/>
  <c r="O734" i="14"/>
  <c r="N734" i="14"/>
  <c r="O733" i="14"/>
  <c r="N733" i="14"/>
  <c r="O732" i="14"/>
  <c r="N732" i="14"/>
  <c r="O731" i="14"/>
  <c r="N731" i="14"/>
  <c r="O730" i="14"/>
  <c r="N730" i="14"/>
  <c r="O729" i="14"/>
  <c r="N729" i="14"/>
  <c r="O728" i="14"/>
  <c r="N728" i="14"/>
  <c r="O727" i="14"/>
  <c r="N727" i="14"/>
  <c r="O726" i="14"/>
  <c r="N726" i="14"/>
  <c r="O725" i="14"/>
  <c r="N725" i="14"/>
  <c r="O724" i="14"/>
  <c r="N724" i="14"/>
  <c r="O723" i="14"/>
  <c r="N723" i="14"/>
  <c r="O722" i="14"/>
  <c r="N722" i="14"/>
  <c r="O721" i="14"/>
  <c r="N721" i="14"/>
  <c r="O720" i="14"/>
  <c r="N720" i="14"/>
  <c r="O719" i="14"/>
  <c r="N719" i="14"/>
  <c r="O718" i="14"/>
  <c r="N718" i="14"/>
  <c r="O717" i="14"/>
  <c r="N717" i="14"/>
  <c r="O716" i="14"/>
  <c r="N716" i="14"/>
  <c r="O715" i="14"/>
  <c r="N715" i="14"/>
  <c r="O714" i="14"/>
  <c r="N714" i="14"/>
  <c r="O713" i="14"/>
  <c r="N713" i="14"/>
  <c r="O712" i="14"/>
  <c r="N712" i="14"/>
  <c r="O711" i="14"/>
  <c r="N711" i="14"/>
  <c r="O710" i="14"/>
  <c r="N710" i="14"/>
  <c r="O709" i="14"/>
  <c r="N709" i="14"/>
  <c r="O708" i="14"/>
  <c r="N708" i="14"/>
  <c r="O707" i="14"/>
  <c r="N707" i="14"/>
  <c r="O706" i="14"/>
  <c r="N706" i="14"/>
  <c r="O705" i="14"/>
  <c r="N705" i="14"/>
  <c r="O704" i="14"/>
  <c r="N704" i="14"/>
  <c r="O703" i="14"/>
  <c r="N703" i="14"/>
  <c r="O702" i="14"/>
  <c r="N702" i="14"/>
  <c r="O701" i="14"/>
  <c r="N701" i="14"/>
  <c r="O700" i="14"/>
  <c r="N700" i="14"/>
  <c r="O699" i="14"/>
  <c r="N699" i="14"/>
  <c r="O698" i="14"/>
  <c r="N698" i="14"/>
  <c r="O697" i="14"/>
  <c r="N697" i="14"/>
  <c r="O696" i="14"/>
  <c r="N696" i="14"/>
  <c r="O695" i="14"/>
  <c r="N695" i="14"/>
  <c r="O694" i="14"/>
  <c r="N694" i="14"/>
  <c r="O693" i="14"/>
  <c r="N693" i="14"/>
  <c r="O692" i="14"/>
  <c r="N692" i="14"/>
  <c r="O691" i="14"/>
  <c r="N691" i="14"/>
  <c r="O690" i="14"/>
  <c r="N690" i="14"/>
  <c r="O689" i="14"/>
  <c r="N689" i="14"/>
  <c r="O688" i="14"/>
  <c r="N688" i="14"/>
  <c r="O687" i="14"/>
  <c r="N687" i="14"/>
  <c r="O686" i="14"/>
  <c r="N686" i="14"/>
  <c r="O685" i="14"/>
  <c r="N685" i="14"/>
  <c r="O684" i="14"/>
  <c r="N684" i="14"/>
  <c r="O683" i="14"/>
  <c r="N683" i="14"/>
  <c r="O682" i="14"/>
  <c r="N682" i="14"/>
  <c r="O681" i="14"/>
  <c r="N681" i="14"/>
  <c r="O680" i="14"/>
  <c r="N680" i="14"/>
  <c r="O679" i="14"/>
  <c r="N679" i="14"/>
  <c r="O678" i="14"/>
  <c r="N678" i="14"/>
  <c r="O677" i="14"/>
  <c r="N677" i="14"/>
  <c r="O676" i="14"/>
  <c r="N676" i="14"/>
  <c r="O675" i="14"/>
  <c r="N675" i="14"/>
  <c r="O674" i="14"/>
  <c r="N674" i="14"/>
  <c r="O673" i="14"/>
  <c r="N673" i="14"/>
  <c r="O672" i="14"/>
  <c r="N672" i="14"/>
  <c r="O671" i="14"/>
  <c r="N671" i="14"/>
  <c r="O670" i="14"/>
  <c r="N670" i="14"/>
  <c r="O669" i="14"/>
  <c r="N669" i="14"/>
  <c r="O668" i="14"/>
  <c r="N668" i="14"/>
  <c r="O667" i="14"/>
  <c r="N667" i="14"/>
  <c r="O666" i="14"/>
  <c r="N666" i="14"/>
  <c r="O665" i="14"/>
  <c r="N665" i="14"/>
  <c r="O664" i="14"/>
  <c r="N664" i="14"/>
  <c r="O663" i="14"/>
  <c r="N663" i="14"/>
  <c r="O662" i="14"/>
  <c r="N662" i="14"/>
  <c r="O661" i="14"/>
  <c r="N661" i="14"/>
  <c r="O660" i="14"/>
  <c r="N660" i="14"/>
  <c r="O659" i="14"/>
  <c r="N659" i="14"/>
  <c r="O658" i="14"/>
  <c r="N658" i="14"/>
  <c r="O657" i="14"/>
  <c r="N657" i="14"/>
  <c r="O656" i="14"/>
  <c r="N656" i="14"/>
  <c r="O655" i="14"/>
  <c r="N655" i="14"/>
  <c r="O654" i="14"/>
  <c r="N654" i="14"/>
  <c r="O653" i="14"/>
  <c r="N653" i="14"/>
  <c r="O652" i="14"/>
  <c r="N652" i="14"/>
  <c r="O651" i="14"/>
  <c r="N651" i="14"/>
  <c r="O650" i="14"/>
  <c r="N650" i="14"/>
  <c r="O649" i="14"/>
  <c r="N649" i="14"/>
  <c r="O648" i="14"/>
  <c r="N648" i="14"/>
  <c r="O647" i="14"/>
  <c r="N647" i="14"/>
  <c r="O646" i="14"/>
  <c r="N646" i="14"/>
  <c r="O645" i="14"/>
  <c r="N645" i="14"/>
  <c r="O644" i="14"/>
  <c r="N644" i="14"/>
  <c r="O643" i="14"/>
  <c r="N643" i="14"/>
  <c r="O642" i="14"/>
  <c r="N642" i="14"/>
  <c r="O641" i="14"/>
  <c r="N641" i="14"/>
  <c r="O640" i="14"/>
  <c r="N640" i="14"/>
  <c r="O639" i="14"/>
  <c r="N639" i="14"/>
  <c r="O638" i="14"/>
  <c r="N638" i="14"/>
  <c r="O637" i="14"/>
  <c r="N637" i="14"/>
  <c r="O636" i="14"/>
  <c r="N636" i="14"/>
  <c r="O635" i="14"/>
  <c r="N635" i="14"/>
  <c r="O634" i="14"/>
  <c r="N634" i="14"/>
  <c r="O633" i="14"/>
  <c r="N633" i="14"/>
  <c r="O632" i="14"/>
  <c r="N632" i="14"/>
  <c r="O631" i="14"/>
  <c r="N631" i="14"/>
  <c r="O630" i="14"/>
  <c r="N630" i="14"/>
  <c r="O629" i="14"/>
  <c r="N629" i="14"/>
  <c r="O628" i="14"/>
  <c r="N628" i="14"/>
  <c r="O627" i="14"/>
  <c r="N627" i="14"/>
  <c r="O626" i="14"/>
  <c r="N626" i="14"/>
  <c r="O625" i="14"/>
  <c r="N625" i="14"/>
  <c r="O624" i="14"/>
  <c r="N624" i="14"/>
  <c r="O623" i="14"/>
  <c r="N623" i="14"/>
  <c r="O622" i="14"/>
  <c r="N622" i="14"/>
  <c r="O621" i="14"/>
  <c r="N621" i="14"/>
  <c r="O620" i="14"/>
  <c r="N620" i="14"/>
  <c r="O619" i="14"/>
  <c r="N619" i="14"/>
  <c r="O618" i="14"/>
  <c r="N618" i="14"/>
  <c r="O617" i="14"/>
  <c r="N617" i="14"/>
  <c r="O616" i="14"/>
  <c r="N616" i="14"/>
  <c r="O615" i="14"/>
  <c r="N615" i="14"/>
  <c r="R614" i="14"/>
  <c r="T614" i="14" s="1"/>
  <c r="O614" i="14"/>
  <c r="N614" i="14"/>
  <c r="O613" i="14"/>
  <c r="N613" i="14"/>
  <c r="O612" i="14"/>
  <c r="N612" i="14"/>
  <c r="O611" i="14"/>
  <c r="N611" i="14"/>
  <c r="O610" i="14"/>
  <c r="N610" i="14"/>
  <c r="O609" i="14"/>
  <c r="N609" i="14"/>
  <c r="O608" i="14"/>
  <c r="N608" i="14"/>
  <c r="O607" i="14"/>
  <c r="N607" i="14"/>
  <c r="O606" i="14"/>
  <c r="N606" i="14"/>
  <c r="O605" i="14"/>
  <c r="N605" i="14"/>
  <c r="O604" i="14"/>
  <c r="N604" i="14"/>
  <c r="O603" i="14"/>
  <c r="N603" i="14"/>
  <c r="O602" i="14"/>
  <c r="N602" i="14"/>
  <c r="O601" i="14"/>
  <c r="N601" i="14"/>
  <c r="O600" i="14"/>
  <c r="N600" i="14"/>
  <c r="O599" i="14"/>
  <c r="N599" i="14"/>
  <c r="O598" i="14"/>
  <c r="N598" i="14"/>
  <c r="O597" i="14"/>
  <c r="N597" i="14"/>
  <c r="O596" i="14"/>
  <c r="N596" i="14"/>
  <c r="O595" i="14"/>
  <c r="N595" i="14"/>
  <c r="O594" i="14"/>
  <c r="N594" i="14"/>
  <c r="O593" i="14"/>
  <c r="N593" i="14"/>
  <c r="O592" i="14"/>
  <c r="N592" i="14"/>
  <c r="O591" i="14"/>
  <c r="N591" i="14"/>
  <c r="O590" i="14"/>
  <c r="N590" i="14"/>
  <c r="O589" i="14"/>
  <c r="N589" i="14"/>
  <c r="O588" i="14"/>
  <c r="N588" i="14"/>
  <c r="O587" i="14"/>
  <c r="N587" i="14"/>
  <c r="O586" i="14"/>
  <c r="N586" i="14"/>
  <c r="O585" i="14"/>
  <c r="N585" i="14"/>
  <c r="O584" i="14"/>
  <c r="N584" i="14"/>
  <c r="O583" i="14"/>
  <c r="N583" i="14"/>
  <c r="O582" i="14"/>
  <c r="N582" i="14"/>
  <c r="O581" i="14"/>
  <c r="N581" i="14"/>
  <c r="O580" i="14"/>
  <c r="N580" i="14"/>
  <c r="O579" i="14"/>
  <c r="N579" i="14"/>
  <c r="O578" i="14"/>
  <c r="N578" i="14"/>
  <c r="O577" i="14"/>
  <c r="N577" i="14"/>
  <c r="O576" i="14"/>
  <c r="N576" i="14"/>
  <c r="O575" i="14"/>
  <c r="N575" i="14"/>
  <c r="O574" i="14"/>
  <c r="N574" i="14"/>
  <c r="O573" i="14"/>
  <c r="N573" i="14"/>
  <c r="O572" i="14"/>
  <c r="N572" i="14"/>
  <c r="O571" i="14"/>
  <c r="N571" i="14"/>
  <c r="O570" i="14"/>
  <c r="N570" i="14"/>
  <c r="O569" i="14"/>
  <c r="N569" i="14"/>
  <c r="O568" i="14"/>
  <c r="N568" i="14"/>
  <c r="O567" i="14"/>
  <c r="N567" i="14"/>
  <c r="O566" i="14"/>
  <c r="N566" i="14"/>
  <c r="O565" i="14"/>
  <c r="N565" i="14"/>
  <c r="O564" i="14"/>
  <c r="N564" i="14"/>
  <c r="O563" i="14"/>
  <c r="N563" i="14"/>
  <c r="O562" i="14"/>
  <c r="N562" i="14"/>
  <c r="O561" i="14"/>
  <c r="N561" i="14"/>
  <c r="O560" i="14"/>
  <c r="N560" i="14"/>
  <c r="O559" i="14"/>
  <c r="N559" i="14"/>
  <c r="O558" i="14"/>
  <c r="N558" i="14"/>
  <c r="O557" i="14"/>
  <c r="N557" i="14"/>
  <c r="O556" i="14"/>
  <c r="N556" i="14"/>
  <c r="O555" i="14"/>
  <c r="N555" i="14"/>
  <c r="O554" i="14"/>
  <c r="N554" i="14"/>
  <c r="O553" i="14"/>
  <c r="N553" i="14"/>
  <c r="O552" i="14"/>
  <c r="N552" i="14"/>
  <c r="O551" i="14"/>
  <c r="N551" i="14"/>
  <c r="O550" i="14"/>
  <c r="N550" i="14"/>
  <c r="O549" i="14"/>
  <c r="N549" i="14"/>
  <c r="O548" i="14"/>
  <c r="N548" i="14"/>
  <c r="O547" i="14"/>
  <c r="N547" i="14"/>
  <c r="O546" i="14"/>
  <c r="N546" i="14"/>
  <c r="O545" i="14"/>
  <c r="N545" i="14"/>
  <c r="O544" i="14"/>
  <c r="N544" i="14"/>
  <c r="O543" i="14"/>
  <c r="N543" i="14"/>
  <c r="O542" i="14"/>
  <c r="N542" i="14"/>
  <c r="O541" i="14"/>
  <c r="N541" i="14"/>
  <c r="O540" i="14"/>
  <c r="N540" i="14"/>
  <c r="O539" i="14"/>
  <c r="N539" i="14"/>
  <c r="O538" i="14"/>
  <c r="N538" i="14"/>
  <c r="O537" i="14"/>
  <c r="N537" i="14"/>
  <c r="O536" i="14"/>
  <c r="N536" i="14"/>
  <c r="O535" i="14"/>
  <c r="N535" i="14"/>
  <c r="O534" i="14"/>
  <c r="N534" i="14"/>
  <c r="O533" i="14"/>
  <c r="N533" i="14"/>
  <c r="O532" i="14"/>
  <c r="N532" i="14"/>
  <c r="O531" i="14"/>
  <c r="N531" i="14"/>
  <c r="O530" i="14"/>
  <c r="N530" i="14"/>
  <c r="O529" i="14"/>
  <c r="N529" i="14"/>
  <c r="O528" i="14"/>
  <c r="N528" i="14"/>
  <c r="O527" i="14"/>
  <c r="N527" i="14"/>
  <c r="O526" i="14"/>
  <c r="N526" i="14"/>
  <c r="O525" i="14"/>
  <c r="N525" i="14"/>
  <c r="O524" i="14"/>
  <c r="N524" i="14"/>
  <c r="O523" i="14"/>
  <c r="N523" i="14"/>
  <c r="O522" i="14"/>
  <c r="N522" i="14"/>
  <c r="O521" i="14"/>
  <c r="N521" i="14"/>
  <c r="O520" i="14"/>
  <c r="N520" i="14"/>
  <c r="O519" i="14"/>
  <c r="N519" i="14"/>
  <c r="O518" i="14"/>
  <c r="N518" i="14"/>
  <c r="O517" i="14"/>
  <c r="N517" i="14"/>
  <c r="O516" i="14"/>
  <c r="N516" i="14"/>
  <c r="O515" i="14"/>
  <c r="N515" i="14"/>
  <c r="R514" i="14"/>
  <c r="T514" i="14" s="1"/>
  <c r="O514" i="14"/>
  <c r="N514" i="14"/>
  <c r="O513" i="14"/>
  <c r="N513" i="14"/>
  <c r="O512" i="14"/>
  <c r="N512" i="14"/>
  <c r="O511" i="14"/>
  <c r="N511" i="14"/>
  <c r="O510" i="14"/>
  <c r="N510" i="14"/>
  <c r="O509" i="14"/>
  <c r="N509" i="14"/>
  <c r="O508" i="14"/>
  <c r="N508" i="14"/>
  <c r="O507" i="14"/>
  <c r="N507" i="14"/>
  <c r="O506" i="14"/>
  <c r="N506" i="14"/>
  <c r="O505" i="14"/>
  <c r="N505" i="14"/>
  <c r="O504" i="14"/>
  <c r="N504" i="14"/>
  <c r="O503" i="14"/>
  <c r="N503" i="14"/>
  <c r="O502" i="14"/>
  <c r="N502" i="14"/>
  <c r="O501" i="14"/>
  <c r="N501" i="14"/>
  <c r="O500" i="14"/>
  <c r="N500" i="14"/>
  <c r="O499" i="14"/>
  <c r="N499" i="14"/>
  <c r="O498" i="14"/>
  <c r="N498" i="14"/>
  <c r="O497" i="14"/>
  <c r="N497" i="14"/>
  <c r="O496" i="14"/>
  <c r="N496" i="14"/>
  <c r="O495" i="14"/>
  <c r="N495" i="14"/>
  <c r="O494" i="14"/>
  <c r="N494" i="14"/>
  <c r="O493" i="14"/>
  <c r="N493" i="14"/>
  <c r="O492" i="14"/>
  <c r="N492" i="14"/>
  <c r="O491" i="14"/>
  <c r="N491" i="14"/>
  <c r="O490" i="14"/>
  <c r="N490" i="14"/>
  <c r="O489" i="14"/>
  <c r="N489" i="14"/>
  <c r="O488" i="14"/>
  <c r="N488" i="14"/>
  <c r="O487" i="14"/>
  <c r="N487" i="14"/>
  <c r="O486" i="14"/>
  <c r="N486" i="14"/>
  <c r="O485" i="14"/>
  <c r="N485" i="14"/>
  <c r="O484" i="14"/>
  <c r="N484" i="14"/>
  <c r="O483" i="14"/>
  <c r="N483" i="14"/>
  <c r="O482" i="14"/>
  <c r="N482" i="14"/>
  <c r="O481" i="14"/>
  <c r="N481" i="14"/>
  <c r="O480" i="14"/>
  <c r="N480" i="14"/>
  <c r="O479" i="14"/>
  <c r="N479" i="14"/>
  <c r="O478" i="14"/>
  <c r="N478" i="14"/>
  <c r="O477" i="14"/>
  <c r="N477" i="14"/>
  <c r="O476" i="14"/>
  <c r="N476" i="14"/>
  <c r="O475" i="14"/>
  <c r="N475" i="14"/>
  <c r="O474" i="14"/>
  <c r="N474" i="14"/>
  <c r="O473" i="14"/>
  <c r="N473" i="14"/>
  <c r="O472" i="14"/>
  <c r="N472" i="14"/>
  <c r="O471" i="14"/>
  <c r="N471" i="14"/>
  <c r="O470" i="14"/>
  <c r="N470" i="14"/>
  <c r="O469" i="14"/>
  <c r="N469" i="14"/>
  <c r="O468" i="14"/>
  <c r="N468" i="14"/>
  <c r="O467" i="14"/>
  <c r="N467" i="14"/>
  <c r="O466" i="14"/>
  <c r="N466" i="14"/>
  <c r="O465" i="14"/>
  <c r="N465" i="14"/>
  <c r="O464" i="14"/>
  <c r="N464" i="14"/>
  <c r="O463" i="14"/>
  <c r="N463" i="14"/>
  <c r="O462" i="14"/>
  <c r="N462" i="14"/>
  <c r="O461" i="14"/>
  <c r="N461" i="14"/>
  <c r="O460" i="14"/>
  <c r="N460" i="14"/>
  <c r="O459" i="14"/>
  <c r="N459" i="14"/>
  <c r="O458" i="14"/>
  <c r="N458" i="14"/>
  <c r="O457" i="14"/>
  <c r="N457" i="14"/>
  <c r="O456" i="14"/>
  <c r="N456" i="14"/>
  <c r="O455" i="14"/>
  <c r="N455" i="14"/>
  <c r="R454" i="14"/>
  <c r="T454" i="14" s="1"/>
  <c r="O454" i="14"/>
  <c r="N454" i="14"/>
  <c r="O453" i="14"/>
  <c r="N453" i="14"/>
  <c r="O452" i="14"/>
  <c r="N452" i="14"/>
  <c r="O451" i="14"/>
  <c r="N451" i="14"/>
  <c r="O450" i="14"/>
  <c r="N450" i="14"/>
  <c r="O449" i="14"/>
  <c r="N449" i="14"/>
  <c r="O448" i="14"/>
  <c r="N448" i="14"/>
  <c r="O447" i="14"/>
  <c r="N447" i="14"/>
  <c r="O446" i="14"/>
  <c r="N446" i="14"/>
  <c r="O445" i="14"/>
  <c r="N445" i="14"/>
  <c r="O444" i="14"/>
  <c r="N444" i="14"/>
  <c r="O443" i="14"/>
  <c r="N443" i="14"/>
  <c r="O442" i="14"/>
  <c r="N442" i="14"/>
  <c r="O441" i="14"/>
  <c r="N441" i="14"/>
  <c r="O440" i="14"/>
  <c r="N440" i="14"/>
  <c r="O439" i="14"/>
  <c r="N439" i="14"/>
  <c r="O438" i="14"/>
  <c r="N438" i="14"/>
  <c r="O437" i="14"/>
  <c r="N437" i="14"/>
  <c r="O436" i="14"/>
  <c r="N436" i="14"/>
  <c r="O435" i="14"/>
  <c r="N435" i="14"/>
  <c r="O434" i="14"/>
  <c r="N434" i="14"/>
  <c r="O433" i="14"/>
  <c r="N433" i="14"/>
  <c r="O432" i="14"/>
  <c r="N432" i="14"/>
  <c r="O431" i="14"/>
  <c r="N431" i="14"/>
  <c r="O430" i="14"/>
  <c r="N430" i="14"/>
  <c r="O429" i="14"/>
  <c r="N429" i="14"/>
  <c r="O428" i="14"/>
  <c r="N428" i="14"/>
  <c r="O427" i="14"/>
  <c r="N427" i="14"/>
  <c r="O426" i="14"/>
  <c r="N426" i="14"/>
  <c r="O425" i="14"/>
  <c r="N425" i="14"/>
  <c r="O424" i="14"/>
  <c r="N424" i="14"/>
  <c r="O423" i="14"/>
  <c r="N423" i="14"/>
  <c r="O422" i="14"/>
  <c r="N422" i="14"/>
  <c r="O421" i="14"/>
  <c r="N421" i="14"/>
  <c r="O420" i="14"/>
  <c r="N420" i="14"/>
  <c r="O419" i="14"/>
  <c r="N419" i="14"/>
  <c r="O418" i="14"/>
  <c r="N418" i="14"/>
  <c r="O417" i="14"/>
  <c r="N417" i="14"/>
  <c r="O416" i="14"/>
  <c r="N416" i="14"/>
  <c r="O415" i="14"/>
  <c r="N415" i="14"/>
  <c r="O414" i="14"/>
  <c r="N414" i="14"/>
  <c r="O413" i="14"/>
  <c r="N413" i="14"/>
  <c r="O412" i="14"/>
  <c r="N412" i="14"/>
  <c r="O411" i="14"/>
  <c r="N411" i="14"/>
  <c r="O410" i="14"/>
  <c r="N410" i="14"/>
  <c r="O409" i="14"/>
  <c r="N409" i="14"/>
  <c r="O408" i="14"/>
  <c r="N408" i="14"/>
  <c r="O407" i="14"/>
  <c r="N407" i="14"/>
  <c r="O406" i="14"/>
  <c r="N406" i="14"/>
  <c r="O405" i="14"/>
  <c r="N405" i="14"/>
  <c r="O404" i="14"/>
  <c r="N404" i="14"/>
  <c r="O403" i="14"/>
  <c r="N403" i="14"/>
  <c r="O402" i="14"/>
  <c r="N402" i="14"/>
  <c r="O401" i="14"/>
  <c r="N401" i="14"/>
  <c r="O400" i="14"/>
  <c r="N400" i="14"/>
  <c r="O399" i="14"/>
  <c r="N399" i="14"/>
  <c r="O398" i="14"/>
  <c r="N398" i="14"/>
  <c r="O397" i="14"/>
  <c r="N397" i="14"/>
  <c r="O396" i="14"/>
  <c r="N396" i="14"/>
  <c r="O395" i="14"/>
  <c r="N395" i="14"/>
  <c r="O394" i="14"/>
  <c r="N394" i="14"/>
  <c r="O393" i="14"/>
  <c r="N393" i="14"/>
  <c r="O392" i="14"/>
  <c r="N392" i="14"/>
  <c r="O391" i="14"/>
  <c r="N391" i="14"/>
  <c r="O390" i="14"/>
  <c r="N390" i="14"/>
  <c r="O389" i="14"/>
  <c r="N389" i="14"/>
  <c r="O388" i="14"/>
  <c r="N388" i="14"/>
  <c r="O387" i="14"/>
  <c r="N387" i="14"/>
  <c r="O386" i="14"/>
  <c r="N386" i="14"/>
  <c r="O385" i="14"/>
  <c r="N385" i="14"/>
  <c r="O384" i="14"/>
  <c r="N384" i="14"/>
  <c r="O383" i="14"/>
  <c r="N383" i="14"/>
  <c r="O382" i="14"/>
  <c r="N382" i="14"/>
  <c r="O381" i="14"/>
  <c r="N381" i="14"/>
  <c r="O380" i="14"/>
  <c r="N380" i="14"/>
  <c r="O379" i="14"/>
  <c r="N379" i="14"/>
  <c r="O378" i="14"/>
  <c r="N378" i="14"/>
  <c r="O377" i="14"/>
  <c r="N377" i="14"/>
  <c r="O376" i="14"/>
  <c r="N376" i="14"/>
  <c r="O375" i="14"/>
  <c r="N375" i="14"/>
  <c r="O374" i="14"/>
  <c r="N374" i="14"/>
  <c r="O373" i="14"/>
  <c r="N373" i="14"/>
  <c r="O372" i="14"/>
  <c r="N372" i="14"/>
  <c r="O371" i="14"/>
  <c r="N371" i="14"/>
  <c r="O370" i="14"/>
  <c r="N370" i="14"/>
  <c r="O369" i="14"/>
  <c r="N369" i="14"/>
  <c r="O368" i="14"/>
  <c r="N368" i="14"/>
  <c r="O367" i="14"/>
  <c r="N367" i="14"/>
  <c r="O366" i="14"/>
  <c r="N366" i="14"/>
  <c r="O365" i="14"/>
  <c r="N365" i="14"/>
  <c r="O364" i="14"/>
  <c r="N364" i="14"/>
  <c r="O363" i="14"/>
  <c r="N363" i="14"/>
  <c r="O362" i="14"/>
  <c r="N362" i="14"/>
  <c r="O361" i="14"/>
  <c r="N361" i="14"/>
  <c r="O360" i="14"/>
  <c r="N360" i="14"/>
  <c r="O359" i="14"/>
  <c r="N359" i="14"/>
  <c r="O358" i="14"/>
  <c r="N358" i="14"/>
  <c r="O357" i="14"/>
  <c r="N357" i="14"/>
  <c r="O356" i="14"/>
  <c r="N356" i="14"/>
  <c r="O355" i="14"/>
  <c r="N355" i="14"/>
  <c r="O354" i="14"/>
  <c r="N354" i="14"/>
  <c r="O353" i="14"/>
  <c r="N353" i="14"/>
  <c r="O352" i="14"/>
  <c r="N352" i="14"/>
  <c r="O351" i="14"/>
  <c r="N351" i="14"/>
  <c r="O350" i="14"/>
  <c r="N350" i="14"/>
  <c r="O349" i="14"/>
  <c r="N349" i="14"/>
  <c r="O348" i="14"/>
  <c r="N348" i="14"/>
  <c r="O347" i="14"/>
  <c r="N347" i="14"/>
  <c r="O346" i="14"/>
  <c r="N346" i="14"/>
  <c r="O345" i="14"/>
  <c r="N345" i="14"/>
  <c r="O344" i="14"/>
  <c r="N344" i="14"/>
  <c r="O343" i="14"/>
  <c r="N343" i="14"/>
  <c r="O342" i="14"/>
  <c r="N342" i="14"/>
  <c r="O341" i="14"/>
  <c r="N341" i="14"/>
  <c r="O340" i="14"/>
  <c r="N340" i="14"/>
  <c r="O339" i="14"/>
  <c r="N339" i="14"/>
  <c r="O338" i="14"/>
  <c r="N338" i="14"/>
  <c r="O337" i="14"/>
  <c r="N337" i="14"/>
  <c r="O336" i="14"/>
  <c r="N336" i="14"/>
  <c r="O335" i="14"/>
  <c r="N335" i="14"/>
  <c r="O334" i="14"/>
  <c r="N334" i="14"/>
  <c r="O333" i="14"/>
  <c r="N333" i="14"/>
  <c r="O332" i="14"/>
  <c r="N332" i="14"/>
  <c r="O331" i="14"/>
  <c r="N331" i="14"/>
  <c r="O330" i="14"/>
  <c r="N330" i="14"/>
  <c r="O329" i="14"/>
  <c r="N329" i="14"/>
  <c r="O328" i="14"/>
  <c r="N328" i="14"/>
  <c r="O327" i="14"/>
  <c r="N327" i="14"/>
  <c r="O326" i="14"/>
  <c r="N326" i="14"/>
  <c r="O325" i="14"/>
  <c r="N325" i="14"/>
  <c r="O324" i="14"/>
  <c r="N324" i="14"/>
  <c r="O323" i="14"/>
  <c r="N323" i="14"/>
  <c r="O322" i="14"/>
  <c r="N322" i="14"/>
  <c r="O321" i="14"/>
  <c r="N321" i="14"/>
  <c r="O320" i="14"/>
  <c r="N320" i="14"/>
  <c r="O319" i="14"/>
  <c r="N319" i="14"/>
  <c r="O318" i="14"/>
  <c r="N318" i="14"/>
  <c r="O317" i="14"/>
  <c r="N317" i="14"/>
  <c r="O316" i="14"/>
  <c r="N316" i="14"/>
  <c r="O315" i="14"/>
  <c r="N315" i="14"/>
  <c r="O314" i="14"/>
  <c r="N314" i="14"/>
  <c r="O313" i="14"/>
  <c r="N313" i="14"/>
  <c r="O312" i="14"/>
  <c r="N312" i="14"/>
  <c r="O311" i="14"/>
  <c r="N311" i="14"/>
  <c r="O310" i="14"/>
  <c r="N310" i="14"/>
  <c r="O309" i="14"/>
  <c r="N309" i="14"/>
  <c r="O308" i="14"/>
  <c r="N308" i="14"/>
  <c r="O307" i="14"/>
  <c r="N307" i="14"/>
  <c r="O306" i="14"/>
  <c r="N306" i="14"/>
  <c r="O305" i="14"/>
  <c r="N305" i="14"/>
  <c r="O304" i="14"/>
  <c r="N304" i="14"/>
  <c r="O303" i="14"/>
  <c r="N303" i="14"/>
  <c r="O302" i="14"/>
  <c r="N302" i="14"/>
  <c r="O301" i="14"/>
  <c r="N301" i="14"/>
  <c r="O300" i="14"/>
  <c r="N300" i="14"/>
  <c r="O299" i="14"/>
  <c r="N299" i="14"/>
  <c r="O298" i="14"/>
  <c r="N298" i="14"/>
  <c r="O297" i="14"/>
  <c r="N297" i="14"/>
  <c r="O296" i="14"/>
  <c r="N296" i="14"/>
  <c r="O295" i="14"/>
  <c r="N295" i="14"/>
  <c r="O294" i="14"/>
  <c r="N294" i="14"/>
  <c r="O293" i="14"/>
  <c r="N293" i="14"/>
  <c r="O292" i="14"/>
  <c r="N292" i="14"/>
  <c r="O291" i="14"/>
  <c r="N291" i="14"/>
  <c r="O290" i="14"/>
  <c r="N290" i="14"/>
  <c r="O289" i="14"/>
  <c r="N289" i="14"/>
  <c r="O288" i="14"/>
  <c r="N288" i="14"/>
  <c r="O287" i="14"/>
  <c r="N287" i="14"/>
  <c r="O286" i="14"/>
  <c r="N286" i="14"/>
  <c r="O285" i="14"/>
  <c r="N285" i="14"/>
  <c r="O284" i="14"/>
  <c r="N284" i="14"/>
  <c r="O283" i="14"/>
  <c r="N283" i="14"/>
  <c r="O282" i="14"/>
  <c r="N282" i="14"/>
  <c r="O281" i="14"/>
  <c r="N281" i="14"/>
  <c r="O280" i="14"/>
  <c r="N280" i="14"/>
  <c r="O279" i="14"/>
  <c r="N279" i="14"/>
  <c r="O278" i="14"/>
  <c r="N278" i="14"/>
  <c r="O277" i="14"/>
  <c r="N277" i="14"/>
  <c r="O276" i="14"/>
  <c r="N276" i="14"/>
  <c r="O275" i="14"/>
  <c r="N275" i="14"/>
  <c r="O274" i="14"/>
  <c r="N274" i="14"/>
  <c r="O273" i="14"/>
  <c r="N273" i="14"/>
  <c r="O272" i="14"/>
  <c r="N272" i="14"/>
  <c r="O271" i="14"/>
  <c r="N271" i="14"/>
  <c r="O270" i="14"/>
  <c r="N270" i="14"/>
  <c r="O269" i="14"/>
  <c r="N269" i="14"/>
  <c r="O268" i="14"/>
  <c r="N268" i="14"/>
  <c r="O267" i="14"/>
  <c r="N267" i="14"/>
  <c r="O266" i="14"/>
  <c r="N266" i="14"/>
  <c r="R265" i="14"/>
  <c r="T265" i="14" s="1"/>
  <c r="O265" i="14"/>
  <c r="N265" i="14"/>
  <c r="O264" i="14"/>
  <c r="N264" i="14"/>
  <c r="O263" i="14"/>
  <c r="N263" i="14"/>
  <c r="O262" i="14"/>
  <c r="N262" i="14"/>
  <c r="O261" i="14"/>
  <c r="N261" i="14"/>
  <c r="O260" i="14"/>
  <c r="N260" i="14"/>
  <c r="O259" i="14"/>
  <c r="N259" i="14"/>
  <c r="O258" i="14"/>
  <c r="N258" i="14"/>
  <c r="O257" i="14"/>
  <c r="N257" i="14"/>
  <c r="O256" i="14"/>
  <c r="N256" i="14"/>
  <c r="O255" i="14"/>
  <c r="N255" i="14"/>
  <c r="O254" i="14"/>
  <c r="N254" i="14"/>
  <c r="O253" i="14"/>
  <c r="N253" i="14"/>
  <c r="O252" i="14"/>
  <c r="N252" i="14"/>
  <c r="O251" i="14"/>
  <c r="N251" i="14"/>
  <c r="O250" i="14"/>
  <c r="N250" i="14"/>
  <c r="O249" i="14"/>
  <c r="N249" i="14"/>
  <c r="O248" i="14"/>
  <c r="N248" i="14"/>
  <c r="O247" i="14"/>
  <c r="N247" i="14"/>
  <c r="O246" i="14"/>
  <c r="N246" i="14"/>
  <c r="O245" i="14"/>
  <c r="N245" i="14"/>
  <c r="O244" i="14"/>
  <c r="N244" i="14"/>
  <c r="O243" i="14"/>
  <c r="N243" i="14"/>
  <c r="O242" i="14"/>
  <c r="N242" i="14"/>
  <c r="O241" i="14"/>
  <c r="N241" i="14"/>
  <c r="O240" i="14"/>
  <c r="N240" i="14"/>
  <c r="O239" i="14"/>
  <c r="N239" i="14"/>
  <c r="O238" i="14"/>
  <c r="N238" i="14"/>
  <c r="O237" i="14"/>
  <c r="N237" i="14"/>
  <c r="O236" i="14"/>
  <c r="N236" i="14"/>
  <c r="O235" i="14"/>
  <c r="N235" i="14"/>
  <c r="O234" i="14"/>
  <c r="N234" i="14"/>
  <c r="O233" i="14"/>
  <c r="N233" i="14"/>
  <c r="O232" i="14"/>
  <c r="N232" i="14"/>
  <c r="O231" i="14"/>
  <c r="N231" i="14"/>
  <c r="O230" i="14"/>
  <c r="N230" i="14"/>
  <c r="O229" i="14"/>
  <c r="N229" i="14"/>
  <c r="O228" i="14"/>
  <c r="N228" i="14"/>
  <c r="O227" i="14"/>
  <c r="N227" i="14"/>
  <c r="O226" i="14"/>
  <c r="N226" i="14"/>
  <c r="O225" i="14"/>
  <c r="N225" i="14"/>
  <c r="O224" i="14"/>
  <c r="N224" i="14"/>
  <c r="O223" i="14"/>
  <c r="N223" i="14"/>
  <c r="O222" i="14"/>
  <c r="N222" i="14"/>
  <c r="O221" i="14"/>
  <c r="N221" i="14"/>
  <c r="O220" i="14"/>
  <c r="N220" i="14"/>
  <c r="O219" i="14"/>
  <c r="N219" i="14"/>
  <c r="O218" i="14"/>
  <c r="N218" i="14"/>
  <c r="O217" i="14"/>
  <c r="N217" i="14"/>
  <c r="O216" i="14"/>
  <c r="N216" i="14"/>
  <c r="O215" i="14"/>
  <c r="N215" i="14"/>
  <c r="O214" i="14"/>
  <c r="N214" i="14"/>
  <c r="O213" i="14"/>
  <c r="N213" i="14"/>
  <c r="O212" i="14"/>
  <c r="N212" i="14"/>
  <c r="O211" i="14"/>
  <c r="N211" i="14"/>
  <c r="O210" i="14"/>
  <c r="N210" i="14"/>
  <c r="O209" i="14"/>
  <c r="N209" i="14"/>
  <c r="O208" i="14"/>
  <c r="N208" i="14"/>
  <c r="O207" i="14"/>
  <c r="N207" i="14"/>
  <c r="O206" i="14"/>
  <c r="N206" i="14"/>
  <c r="O205" i="14"/>
  <c r="N205" i="14"/>
  <c r="O204" i="14"/>
  <c r="N204" i="14"/>
  <c r="O203" i="14"/>
  <c r="N203" i="14"/>
  <c r="O202" i="14"/>
  <c r="N202" i="14"/>
  <c r="O201" i="14"/>
  <c r="N201" i="14"/>
  <c r="O200" i="14"/>
  <c r="N200" i="14"/>
  <c r="O199" i="14"/>
  <c r="N199" i="14"/>
  <c r="O198" i="14"/>
  <c r="N198" i="14"/>
  <c r="O197" i="14"/>
  <c r="N197" i="14"/>
  <c r="O196" i="14"/>
  <c r="N196" i="14"/>
  <c r="O195" i="14"/>
  <c r="N195" i="14"/>
  <c r="O194" i="14"/>
  <c r="N194" i="14"/>
  <c r="O193" i="14"/>
  <c r="N193" i="14"/>
  <c r="O192" i="14"/>
  <c r="N192" i="14"/>
  <c r="O191" i="14"/>
  <c r="N191" i="14"/>
  <c r="O190" i="14"/>
  <c r="N190" i="14"/>
  <c r="O189" i="14"/>
  <c r="N189" i="14"/>
  <c r="O188" i="14"/>
  <c r="N188" i="14"/>
  <c r="O187" i="14"/>
  <c r="N187" i="14"/>
  <c r="O186" i="14"/>
  <c r="N186" i="14"/>
  <c r="O185" i="14"/>
  <c r="N185" i="14"/>
  <c r="O184" i="14"/>
  <c r="N184" i="14"/>
  <c r="O183" i="14"/>
  <c r="N183" i="14"/>
  <c r="O182" i="14"/>
  <c r="N182" i="14"/>
  <c r="R181" i="14"/>
  <c r="T181" i="14" s="1"/>
  <c r="O181" i="14"/>
  <c r="N181" i="14"/>
  <c r="O180" i="14"/>
  <c r="N180" i="14"/>
  <c r="O179" i="14"/>
  <c r="N179" i="14"/>
  <c r="O178" i="14"/>
  <c r="N178" i="14"/>
  <c r="O177" i="14"/>
  <c r="N177" i="14"/>
  <c r="O176" i="14"/>
  <c r="N176" i="14"/>
  <c r="O175" i="14"/>
  <c r="N175" i="14"/>
  <c r="O174" i="14"/>
  <c r="N174" i="14"/>
  <c r="O173" i="14"/>
  <c r="N173" i="14"/>
  <c r="O172" i="14"/>
  <c r="N172" i="14"/>
  <c r="O171" i="14"/>
  <c r="N171" i="14"/>
  <c r="O170" i="14"/>
  <c r="N170" i="14"/>
  <c r="O169" i="14"/>
  <c r="N169" i="14"/>
  <c r="O168" i="14"/>
  <c r="N168" i="14"/>
  <c r="O167" i="14"/>
  <c r="N167" i="14"/>
  <c r="O166" i="14"/>
  <c r="N166" i="14"/>
  <c r="O165" i="14"/>
  <c r="N165" i="14"/>
  <c r="O164" i="14"/>
  <c r="N164" i="14"/>
  <c r="O163" i="14"/>
  <c r="N163" i="14"/>
  <c r="O162" i="14"/>
  <c r="N162" i="14"/>
  <c r="O161" i="14"/>
  <c r="N161" i="14"/>
  <c r="O160" i="14"/>
  <c r="N160" i="14"/>
  <c r="O159" i="14"/>
  <c r="N159" i="14"/>
  <c r="O158" i="14"/>
  <c r="N158" i="14"/>
  <c r="O157" i="14"/>
  <c r="N157" i="14"/>
  <c r="O156" i="14"/>
  <c r="N156" i="14"/>
  <c r="O155" i="14"/>
  <c r="N155" i="14"/>
  <c r="O154" i="14"/>
  <c r="N154" i="14"/>
  <c r="R153" i="14"/>
  <c r="T153" i="14" s="1"/>
  <c r="O153" i="14"/>
  <c r="N153" i="14"/>
  <c r="O152" i="14"/>
  <c r="N152" i="14"/>
  <c r="O151" i="14"/>
  <c r="N151" i="14"/>
  <c r="O150" i="14"/>
  <c r="N150" i="14"/>
  <c r="O149" i="14"/>
  <c r="N149" i="14"/>
  <c r="O148" i="14"/>
  <c r="N148" i="14"/>
  <c r="O147" i="14"/>
  <c r="N147" i="14"/>
  <c r="O146" i="14"/>
  <c r="N146" i="14"/>
  <c r="O145" i="14"/>
  <c r="N145" i="14"/>
  <c r="O144" i="14"/>
  <c r="N144" i="14"/>
  <c r="O143" i="14"/>
  <c r="N143" i="14"/>
  <c r="O142" i="14"/>
  <c r="N142" i="14"/>
  <c r="O141" i="14"/>
  <c r="N141" i="14"/>
  <c r="O140" i="14"/>
  <c r="N140" i="14"/>
  <c r="O139" i="14"/>
  <c r="N139" i="14"/>
  <c r="O138" i="14"/>
  <c r="N138" i="14"/>
  <c r="O137" i="14"/>
  <c r="N137" i="14"/>
  <c r="O136" i="14"/>
  <c r="N136" i="14"/>
  <c r="O135" i="14"/>
  <c r="N135" i="14"/>
  <c r="O134" i="14"/>
  <c r="N134" i="14"/>
  <c r="O133" i="14"/>
  <c r="N133" i="14"/>
  <c r="O132" i="14"/>
  <c r="N132" i="14"/>
  <c r="O131" i="14"/>
  <c r="N131" i="14"/>
  <c r="O130" i="14"/>
  <c r="N130" i="14"/>
  <c r="R129" i="14"/>
  <c r="T129" i="14" s="1"/>
  <c r="O129" i="14"/>
  <c r="N129" i="14"/>
  <c r="O128" i="14"/>
  <c r="N128" i="14"/>
  <c r="O127" i="14"/>
  <c r="N127" i="14"/>
  <c r="O126" i="14"/>
  <c r="N126" i="14"/>
  <c r="O125" i="14"/>
  <c r="N125" i="14"/>
  <c r="O124" i="14"/>
  <c r="N124" i="14"/>
  <c r="O123" i="14"/>
  <c r="N123" i="14"/>
  <c r="O122" i="14"/>
  <c r="N122" i="14"/>
  <c r="O121" i="14"/>
  <c r="N121" i="14"/>
  <c r="O120" i="14"/>
  <c r="N120" i="14"/>
  <c r="O119" i="14"/>
  <c r="N119" i="14"/>
  <c r="O118" i="14"/>
  <c r="N118" i="14"/>
  <c r="O117" i="14"/>
  <c r="N117" i="14"/>
  <c r="O116" i="14"/>
  <c r="N116" i="14"/>
  <c r="O115" i="14"/>
  <c r="N115" i="14"/>
  <c r="O114" i="14"/>
  <c r="N114" i="14"/>
  <c r="O113" i="14"/>
  <c r="N113" i="14"/>
  <c r="O112" i="14"/>
  <c r="N112" i="14"/>
  <c r="O111" i="14"/>
  <c r="N111" i="14"/>
  <c r="O110" i="14"/>
  <c r="N110" i="14"/>
  <c r="O109" i="14"/>
  <c r="N109" i="14"/>
  <c r="O108" i="14"/>
  <c r="N108" i="14"/>
  <c r="O107" i="14"/>
  <c r="N107" i="14"/>
  <c r="O106" i="14"/>
  <c r="N106" i="14"/>
  <c r="O105" i="14"/>
  <c r="N105" i="14"/>
  <c r="O104" i="14"/>
  <c r="N104" i="14"/>
  <c r="O103" i="14"/>
  <c r="N103" i="14"/>
  <c r="O102" i="14"/>
  <c r="N102" i="14"/>
  <c r="O101" i="14"/>
  <c r="N101" i="14"/>
  <c r="O100" i="14"/>
  <c r="N100" i="14"/>
  <c r="O99" i="14"/>
  <c r="N99" i="14"/>
  <c r="O98" i="14"/>
  <c r="N98" i="14"/>
  <c r="O97" i="14"/>
  <c r="N97" i="14"/>
  <c r="O96" i="14"/>
  <c r="N96" i="14"/>
  <c r="O95" i="14"/>
  <c r="N95" i="14"/>
  <c r="O94" i="14"/>
  <c r="N94" i="14"/>
  <c r="O93" i="14"/>
  <c r="N93" i="14"/>
  <c r="O92" i="14"/>
  <c r="N92" i="14"/>
  <c r="O91" i="14"/>
  <c r="N91" i="14"/>
  <c r="O90" i="14"/>
  <c r="N90" i="14"/>
  <c r="O89" i="14"/>
  <c r="N89" i="14"/>
  <c r="O88" i="14"/>
  <c r="N88" i="14"/>
  <c r="O87" i="14"/>
  <c r="N87" i="14"/>
  <c r="O86" i="14"/>
  <c r="N86" i="14"/>
  <c r="O85" i="14"/>
  <c r="N85" i="14"/>
  <c r="O84" i="14"/>
  <c r="N84" i="14"/>
  <c r="O83" i="14"/>
  <c r="N83" i="14"/>
  <c r="O82" i="14"/>
  <c r="N82" i="14"/>
  <c r="O81" i="14"/>
  <c r="N81" i="14"/>
  <c r="O80" i="14"/>
  <c r="N80" i="14"/>
  <c r="O79" i="14"/>
  <c r="N79" i="14"/>
  <c r="O78" i="14"/>
  <c r="N78" i="14"/>
  <c r="O77" i="14"/>
  <c r="N77" i="14"/>
  <c r="O76" i="14"/>
  <c r="N76" i="14"/>
  <c r="O75" i="14"/>
  <c r="N75" i="14"/>
  <c r="O74" i="14"/>
  <c r="N74" i="14"/>
  <c r="O73" i="14"/>
  <c r="N73" i="14"/>
  <c r="O72" i="14"/>
  <c r="N72" i="14"/>
  <c r="O71" i="14"/>
  <c r="N71" i="14"/>
  <c r="O70" i="14"/>
  <c r="N70" i="14"/>
  <c r="O69" i="14"/>
  <c r="N69" i="14"/>
  <c r="O68" i="14"/>
  <c r="N68" i="14"/>
  <c r="O67" i="14"/>
  <c r="N67" i="14"/>
  <c r="O66" i="14"/>
  <c r="N66" i="14"/>
  <c r="O65" i="14"/>
  <c r="N65" i="14"/>
  <c r="O64" i="14"/>
  <c r="N64" i="14"/>
  <c r="O63" i="14"/>
  <c r="N63" i="14"/>
  <c r="O62" i="14"/>
  <c r="N62" i="14"/>
  <c r="O61" i="14"/>
  <c r="N61" i="14"/>
  <c r="O60" i="14"/>
  <c r="N60" i="14"/>
  <c r="O59" i="14"/>
  <c r="N59" i="14"/>
  <c r="N58" i="14"/>
  <c r="O58" i="14" s="1"/>
  <c r="N57" i="14"/>
  <c r="O57" i="14" s="1"/>
  <c r="N56" i="14"/>
  <c r="O56" i="14" s="1"/>
  <c r="N55" i="14"/>
  <c r="O55" i="14" s="1"/>
  <c r="N54" i="14"/>
  <c r="O54" i="14" s="1"/>
  <c r="N53" i="14"/>
  <c r="O53" i="14" s="1"/>
  <c r="N52" i="14"/>
  <c r="O52" i="14" s="1"/>
  <c r="N51" i="14"/>
  <c r="O51" i="14" s="1"/>
  <c r="N50" i="14"/>
  <c r="O50" i="14" s="1"/>
  <c r="N49" i="14"/>
  <c r="O49" i="14" s="1"/>
  <c r="N48" i="14"/>
  <c r="O48" i="14" s="1"/>
  <c r="N47" i="14"/>
  <c r="O47" i="14" s="1"/>
  <c r="N46" i="14"/>
  <c r="O46" i="14" s="1"/>
  <c r="N45" i="14"/>
  <c r="O45" i="14" s="1"/>
  <c r="N44" i="14"/>
  <c r="O44" i="14" s="1"/>
  <c r="N43" i="14"/>
  <c r="O43" i="14" s="1"/>
  <c r="N42" i="14"/>
  <c r="O42" i="14" s="1"/>
  <c r="N41" i="14"/>
  <c r="O41" i="14" s="1"/>
  <c r="N40" i="14"/>
  <c r="O40" i="14" s="1"/>
  <c r="N39" i="14"/>
  <c r="O39" i="14" s="1"/>
  <c r="N38" i="14"/>
  <c r="O38" i="14" s="1"/>
  <c r="N37" i="14"/>
  <c r="O37" i="14" s="1"/>
  <c r="N36" i="14"/>
  <c r="O36" i="14" s="1"/>
  <c r="N35" i="14"/>
  <c r="O35" i="14" s="1"/>
  <c r="N34" i="14"/>
  <c r="O34" i="14" s="1"/>
  <c r="N33" i="14"/>
  <c r="O33" i="14" s="1"/>
  <c r="N32" i="14"/>
  <c r="O32" i="14" s="1"/>
  <c r="N31" i="14"/>
  <c r="O31" i="14" s="1"/>
  <c r="N30" i="14"/>
  <c r="O30" i="14" s="1"/>
  <c r="N29" i="14"/>
  <c r="O29" i="14" s="1"/>
  <c r="N28" i="14"/>
  <c r="O28" i="14" s="1"/>
  <c r="N27" i="14"/>
  <c r="O27" i="14" s="1"/>
  <c r="N26" i="14"/>
  <c r="O26" i="14" s="1"/>
  <c r="N25" i="14"/>
  <c r="O25" i="14" s="1"/>
  <c r="N24" i="14"/>
  <c r="O24" i="14" s="1"/>
  <c r="N23" i="14"/>
  <c r="O23" i="14" s="1"/>
  <c r="N22" i="14"/>
  <c r="O22" i="14" s="1"/>
  <c r="N21" i="14"/>
  <c r="O21" i="14" s="1"/>
  <c r="N20" i="14"/>
  <c r="O20" i="14" s="1"/>
  <c r="N19" i="14"/>
  <c r="O19" i="14" s="1"/>
  <c r="N18" i="14"/>
  <c r="O18" i="14" s="1"/>
  <c r="N17" i="14"/>
  <c r="O17" i="14" s="1"/>
  <c r="N16" i="14"/>
  <c r="O16" i="14" s="1"/>
  <c r="N15" i="14"/>
  <c r="O15" i="14" s="1"/>
  <c r="N14" i="14"/>
  <c r="O14" i="14" s="1"/>
  <c r="N13" i="14"/>
  <c r="O13" i="14" s="1"/>
  <c r="N12" i="14"/>
  <c r="O12" i="14" s="1"/>
  <c r="N11" i="14"/>
  <c r="O11" i="14" s="1"/>
  <c r="N10" i="14"/>
  <c r="O10" i="14" s="1"/>
  <c r="N9" i="14"/>
  <c r="O9" i="14" s="1"/>
  <c r="B2" i="14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39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3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H801" i="11"/>
  <c r="H802" i="11"/>
  <c r="H803" i="11"/>
  <c r="H804" i="11"/>
  <c r="H805" i="11"/>
  <c r="H806" i="11"/>
  <c r="H807" i="11"/>
  <c r="H808" i="11"/>
  <c r="H809" i="11"/>
  <c r="H810" i="11"/>
  <c r="H811" i="11"/>
  <c r="H812" i="11"/>
  <c r="H813" i="11"/>
  <c r="H814" i="11"/>
  <c r="H815" i="11"/>
  <c r="H816" i="11"/>
  <c r="H817" i="11"/>
  <c r="H818" i="11"/>
  <c r="H819" i="11"/>
  <c r="H820" i="11"/>
  <c r="H821" i="11"/>
  <c r="H822" i="11"/>
  <c r="H823" i="11"/>
  <c r="H824" i="11"/>
  <c r="H825" i="11"/>
  <c r="H826" i="11"/>
  <c r="H827" i="11"/>
  <c r="H828" i="11"/>
  <c r="H829" i="11"/>
  <c r="H830" i="11"/>
  <c r="H831" i="11"/>
  <c r="H832" i="11"/>
  <c r="H833" i="11"/>
  <c r="H834" i="11"/>
  <c r="H835" i="11"/>
  <c r="H836" i="11"/>
  <c r="H837" i="11"/>
  <c r="H838" i="11"/>
  <c r="H839" i="11"/>
  <c r="H840" i="11"/>
  <c r="H841" i="11"/>
  <c r="H842" i="11"/>
  <c r="H843" i="11"/>
  <c r="H844" i="11"/>
  <c r="H845" i="11"/>
  <c r="H846" i="11"/>
  <c r="H847" i="11"/>
  <c r="H848" i="11"/>
  <c r="H849" i="11"/>
  <c r="H850" i="11"/>
  <c r="H851" i="11"/>
  <c r="H852" i="11"/>
  <c r="H853" i="11"/>
  <c r="H854" i="11"/>
  <c r="H855" i="11"/>
  <c r="H856" i="11"/>
  <c r="H857" i="11"/>
  <c r="H858" i="11"/>
  <c r="H859" i="11"/>
  <c r="H860" i="11"/>
  <c r="H861" i="11"/>
  <c r="H862" i="11"/>
  <c r="H863" i="11"/>
  <c r="H864" i="11"/>
  <c r="H865" i="11"/>
  <c r="H866" i="11"/>
  <c r="H867" i="11"/>
  <c r="H868" i="11"/>
  <c r="H869" i="11"/>
  <c r="H870" i="11"/>
  <c r="H871" i="11"/>
  <c r="H872" i="11"/>
  <c r="H873" i="11"/>
  <c r="H874" i="11"/>
  <c r="H875" i="11"/>
  <c r="H876" i="11"/>
  <c r="H877" i="11"/>
  <c r="H878" i="11"/>
  <c r="H879" i="11"/>
  <c r="H880" i="11"/>
  <c r="H881" i="11"/>
  <c r="H882" i="11"/>
  <c r="H883" i="11"/>
  <c r="H884" i="11"/>
  <c r="H885" i="11"/>
  <c r="H886" i="11"/>
  <c r="H887" i="11"/>
  <c r="H888" i="11"/>
  <c r="H889" i="11"/>
  <c r="H890" i="11"/>
  <c r="H891" i="11"/>
  <c r="H892" i="11"/>
  <c r="H893" i="11"/>
  <c r="H894" i="11"/>
  <c r="H895" i="11"/>
  <c r="H896" i="11"/>
  <c r="H897" i="11"/>
  <c r="H898" i="11"/>
  <c r="H899" i="11"/>
  <c r="H900" i="11"/>
  <c r="H901" i="11"/>
  <c r="H902" i="11"/>
  <c r="H903" i="11"/>
  <c r="H904" i="11"/>
  <c r="H905" i="11"/>
  <c r="H906" i="11"/>
  <c r="H907" i="11"/>
  <c r="H908" i="11"/>
  <c r="H909" i="11"/>
  <c r="H910" i="11"/>
  <c r="H911" i="11"/>
  <c r="H912" i="11"/>
  <c r="H913" i="11"/>
  <c r="H914" i="11"/>
  <c r="H915" i="11"/>
  <c r="H916" i="11"/>
  <c r="H917" i="11"/>
  <c r="H918" i="11"/>
  <c r="H919" i="11"/>
  <c r="H920" i="11"/>
  <c r="H921" i="11"/>
  <c r="H922" i="11"/>
  <c r="H923" i="11"/>
  <c r="H924" i="11"/>
  <c r="H925" i="11"/>
  <c r="H926" i="11"/>
  <c r="H927" i="11"/>
  <c r="H928" i="11"/>
  <c r="H929" i="11"/>
  <c r="H930" i="11"/>
  <c r="H931" i="11"/>
  <c r="H932" i="11"/>
  <c r="H933" i="11"/>
  <c r="H934" i="11"/>
  <c r="H935" i="11"/>
  <c r="H936" i="11"/>
  <c r="H937" i="11"/>
  <c r="H938" i="11"/>
  <c r="H939" i="11"/>
  <c r="H940" i="11"/>
  <c r="H941" i="11"/>
  <c r="H942" i="11"/>
  <c r="H943" i="11"/>
  <c r="H944" i="11"/>
  <c r="H945" i="11"/>
  <c r="H946" i="11"/>
  <c r="H947" i="11"/>
  <c r="H948" i="11"/>
  <c r="H949" i="11"/>
  <c r="H950" i="11"/>
  <c r="H951" i="11"/>
  <c r="H952" i="11"/>
  <c r="H953" i="11"/>
  <c r="H954" i="11"/>
  <c r="H955" i="11"/>
  <c r="H956" i="11"/>
  <c r="H957" i="11"/>
  <c r="H958" i="11"/>
  <c r="H959" i="11"/>
  <c r="H960" i="11"/>
  <c r="H961" i="11"/>
  <c r="H962" i="11"/>
  <c r="H963" i="11"/>
  <c r="H964" i="11"/>
  <c r="H965" i="11"/>
  <c r="H966" i="11"/>
  <c r="H967" i="11"/>
  <c r="H968" i="11"/>
  <c r="H969" i="11"/>
  <c r="H970" i="11"/>
  <c r="H971" i="11"/>
  <c r="H972" i="11"/>
  <c r="H973" i="11"/>
  <c r="H974" i="11"/>
  <c r="H975" i="11"/>
  <c r="H976" i="11"/>
  <c r="H977" i="11"/>
  <c r="H978" i="11"/>
  <c r="H979" i="11"/>
  <c r="H980" i="11"/>
  <c r="H981" i="11"/>
  <c r="H982" i="11"/>
  <c r="H983" i="11"/>
  <c r="H984" i="11"/>
  <c r="H985" i="11"/>
  <c r="H986" i="11"/>
  <c r="H987" i="11"/>
  <c r="H988" i="11"/>
  <c r="H989" i="11"/>
  <c r="H990" i="11"/>
  <c r="H991" i="11"/>
  <c r="H992" i="11"/>
  <c r="H993" i="11"/>
  <c r="H994" i="11"/>
  <c r="H995" i="11"/>
  <c r="H996" i="11"/>
  <c r="H997" i="11"/>
  <c r="H998" i="11"/>
  <c r="H999" i="11"/>
  <c r="H1000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159" i="11"/>
  <c r="I160" i="11"/>
  <c r="I161" i="11"/>
  <c r="I162" i="11"/>
  <c r="I163" i="11"/>
  <c r="I164" i="11"/>
  <c r="I165" i="11"/>
  <c r="I166" i="11"/>
  <c r="I167" i="11"/>
  <c r="I168" i="11"/>
  <c r="I169" i="11"/>
  <c r="I170" i="11"/>
  <c r="I171" i="11"/>
  <c r="I172" i="11"/>
  <c r="I173" i="11"/>
  <c r="I174" i="11"/>
  <c r="I175" i="11"/>
  <c r="I176" i="11"/>
  <c r="I177" i="11"/>
  <c r="I178" i="11"/>
  <c r="I179" i="11"/>
  <c r="I180" i="11"/>
  <c r="I181" i="11"/>
  <c r="I182" i="11"/>
  <c r="I183" i="11"/>
  <c r="I184" i="11"/>
  <c r="I185" i="11"/>
  <c r="I186" i="11"/>
  <c r="I187" i="11"/>
  <c r="I188" i="11"/>
  <c r="I189" i="11"/>
  <c r="I190" i="11"/>
  <c r="I191" i="11"/>
  <c r="I192" i="11"/>
  <c r="I193" i="11"/>
  <c r="I194" i="11"/>
  <c r="I195" i="11"/>
  <c r="I196" i="11"/>
  <c r="I197" i="11"/>
  <c r="I198" i="11"/>
  <c r="I199" i="11"/>
  <c r="I200" i="11"/>
  <c r="I201" i="11"/>
  <c r="I202" i="11"/>
  <c r="I203" i="11"/>
  <c r="I204" i="11"/>
  <c r="I205" i="11"/>
  <c r="I206" i="11"/>
  <c r="I207" i="11"/>
  <c r="I208" i="11"/>
  <c r="I209" i="11"/>
  <c r="I210" i="11"/>
  <c r="I211" i="11"/>
  <c r="I212" i="11"/>
  <c r="I213" i="11"/>
  <c r="I214" i="11"/>
  <c r="I215" i="11"/>
  <c r="I216" i="11"/>
  <c r="I217" i="11"/>
  <c r="I218" i="11"/>
  <c r="I219" i="11"/>
  <c r="I220" i="11"/>
  <c r="I221" i="11"/>
  <c r="I222" i="11"/>
  <c r="I223" i="11"/>
  <c r="I224" i="11"/>
  <c r="I225" i="11"/>
  <c r="I226" i="11"/>
  <c r="I227" i="11"/>
  <c r="I228" i="11"/>
  <c r="I229" i="11"/>
  <c r="I230" i="11"/>
  <c r="I231" i="11"/>
  <c r="I232" i="11"/>
  <c r="I233" i="11"/>
  <c r="I234" i="11"/>
  <c r="I235" i="11"/>
  <c r="I236" i="11"/>
  <c r="I237" i="11"/>
  <c r="I238" i="11"/>
  <c r="I239" i="11"/>
  <c r="I240" i="11"/>
  <c r="I241" i="11"/>
  <c r="I242" i="11"/>
  <c r="I243" i="11"/>
  <c r="I244" i="11"/>
  <c r="I245" i="11"/>
  <c r="I246" i="11"/>
  <c r="I247" i="11"/>
  <c r="I248" i="11"/>
  <c r="I249" i="11"/>
  <c r="I250" i="11"/>
  <c r="I251" i="11"/>
  <c r="I252" i="11"/>
  <c r="I253" i="11"/>
  <c r="I254" i="11"/>
  <c r="I255" i="11"/>
  <c r="I256" i="11"/>
  <c r="I257" i="11"/>
  <c r="I258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75" i="11"/>
  <c r="I276" i="11"/>
  <c r="I277" i="11"/>
  <c r="I278" i="11"/>
  <c r="I279" i="11"/>
  <c r="I280" i="11"/>
  <c r="I281" i="11"/>
  <c r="I282" i="11"/>
  <c r="I283" i="11"/>
  <c r="I284" i="11"/>
  <c r="I285" i="11"/>
  <c r="I286" i="11"/>
  <c r="I287" i="11"/>
  <c r="I288" i="11"/>
  <c r="I289" i="11"/>
  <c r="I290" i="11"/>
  <c r="I291" i="11"/>
  <c r="I292" i="11"/>
  <c r="I293" i="11"/>
  <c r="I294" i="11"/>
  <c r="I295" i="11"/>
  <c r="I296" i="11"/>
  <c r="I297" i="11"/>
  <c r="I298" i="11"/>
  <c r="I299" i="11"/>
  <c r="I300" i="11"/>
  <c r="I301" i="11"/>
  <c r="I302" i="11"/>
  <c r="I303" i="11"/>
  <c r="I304" i="11"/>
  <c r="I305" i="11"/>
  <c r="I306" i="11"/>
  <c r="I307" i="11"/>
  <c r="I308" i="11"/>
  <c r="I309" i="11"/>
  <c r="I310" i="11"/>
  <c r="I311" i="11"/>
  <c r="I312" i="11"/>
  <c r="I313" i="11"/>
  <c r="I314" i="11"/>
  <c r="I315" i="11"/>
  <c r="I316" i="11"/>
  <c r="I317" i="11"/>
  <c r="I318" i="11"/>
  <c r="I319" i="11"/>
  <c r="I320" i="11"/>
  <c r="I321" i="11"/>
  <c r="I322" i="11"/>
  <c r="I323" i="11"/>
  <c r="I324" i="11"/>
  <c r="I325" i="11"/>
  <c r="I326" i="11"/>
  <c r="I327" i="11"/>
  <c r="I328" i="11"/>
  <c r="I329" i="11"/>
  <c r="I330" i="11"/>
  <c r="I331" i="11"/>
  <c r="I332" i="11"/>
  <c r="I333" i="11"/>
  <c r="I334" i="11"/>
  <c r="I335" i="11"/>
  <c r="I336" i="11"/>
  <c r="I337" i="11"/>
  <c r="I338" i="11"/>
  <c r="I339" i="11"/>
  <c r="I340" i="11"/>
  <c r="I341" i="11"/>
  <c r="I342" i="11"/>
  <c r="I343" i="11"/>
  <c r="I344" i="11"/>
  <c r="I345" i="11"/>
  <c r="I346" i="11"/>
  <c r="I347" i="11"/>
  <c r="I348" i="11"/>
  <c r="I349" i="11"/>
  <c r="I350" i="11"/>
  <c r="I351" i="11"/>
  <c r="I352" i="11"/>
  <c r="I353" i="11"/>
  <c r="I354" i="11"/>
  <c r="I355" i="11"/>
  <c r="I356" i="11"/>
  <c r="I357" i="11"/>
  <c r="I358" i="11"/>
  <c r="I359" i="11"/>
  <c r="I360" i="11"/>
  <c r="I361" i="11"/>
  <c r="I362" i="11"/>
  <c r="I363" i="11"/>
  <c r="I364" i="11"/>
  <c r="I365" i="11"/>
  <c r="I366" i="11"/>
  <c r="I367" i="11"/>
  <c r="I368" i="11"/>
  <c r="I369" i="11"/>
  <c r="I370" i="11"/>
  <c r="I371" i="11"/>
  <c r="I372" i="11"/>
  <c r="I373" i="11"/>
  <c r="I374" i="11"/>
  <c r="I375" i="11"/>
  <c r="I376" i="11"/>
  <c r="I377" i="11"/>
  <c r="I378" i="11"/>
  <c r="I379" i="11"/>
  <c r="I380" i="11"/>
  <c r="I381" i="11"/>
  <c r="I382" i="11"/>
  <c r="I383" i="11"/>
  <c r="I384" i="11"/>
  <c r="I385" i="11"/>
  <c r="I386" i="11"/>
  <c r="I387" i="11"/>
  <c r="I388" i="11"/>
  <c r="I389" i="11"/>
  <c r="I390" i="11"/>
  <c r="I391" i="11"/>
  <c r="I392" i="11"/>
  <c r="I393" i="11"/>
  <c r="I394" i="11"/>
  <c r="I395" i="11"/>
  <c r="I396" i="11"/>
  <c r="I397" i="11"/>
  <c r="I398" i="11"/>
  <c r="I399" i="11"/>
  <c r="I400" i="11"/>
  <c r="I401" i="11"/>
  <c r="I402" i="11"/>
  <c r="I403" i="11"/>
  <c r="I404" i="11"/>
  <c r="I405" i="11"/>
  <c r="I406" i="11"/>
  <c r="I407" i="11"/>
  <c r="I408" i="11"/>
  <c r="I409" i="11"/>
  <c r="I410" i="11"/>
  <c r="I411" i="11"/>
  <c r="I412" i="11"/>
  <c r="I413" i="11"/>
  <c r="I414" i="11"/>
  <c r="I415" i="11"/>
  <c r="I416" i="11"/>
  <c r="I417" i="11"/>
  <c r="I418" i="11"/>
  <c r="I419" i="11"/>
  <c r="I420" i="11"/>
  <c r="I421" i="11"/>
  <c r="I422" i="11"/>
  <c r="I423" i="11"/>
  <c r="I424" i="11"/>
  <c r="I425" i="11"/>
  <c r="I426" i="11"/>
  <c r="I427" i="11"/>
  <c r="I428" i="11"/>
  <c r="I429" i="11"/>
  <c r="I430" i="11"/>
  <c r="I431" i="11"/>
  <c r="I432" i="11"/>
  <c r="I433" i="11"/>
  <c r="I434" i="11"/>
  <c r="I435" i="11"/>
  <c r="I436" i="11"/>
  <c r="I437" i="11"/>
  <c r="I438" i="11"/>
  <c r="I439" i="11"/>
  <c r="I440" i="11"/>
  <c r="I441" i="11"/>
  <c r="I442" i="11"/>
  <c r="I443" i="11"/>
  <c r="I444" i="11"/>
  <c r="I445" i="11"/>
  <c r="I446" i="11"/>
  <c r="I447" i="11"/>
  <c r="I448" i="11"/>
  <c r="I449" i="11"/>
  <c r="I450" i="11"/>
  <c r="I451" i="11"/>
  <c r="I452" i="11"/>
  <c r="I453" i="11"/>
  <c r="I454" i="11"/>
  <c r="I455" i="11"/>
  <c r="I456" i="11"/>
  <c r="I457" i="11"/>
  <c r="I458" i="11"/>
  <c r="I459" i="11"/>
  <c r="I460" i="11"/>
  <c r="I461" i="11"/>
  <c r="I462" i="11"/>
  <c r="I463" i="11"/>
  <c r="I464" i="11"/>
  <c r="I465" i="11"/>
  <c r="I466" i="11"/>
  <c r="I467" i="11"/>
  <c r="I468" i="11"/>
  <c r="I469" i="11"/>
  <c r="I470" i="11"/>
  <c r="I471" i="11"/>
  <c r="I472" i="11"/>
  <c r="I473" i="11"/>
  <c r="I474" i="11"/>
  <c r="I475" i="11"/>
  <c r="I476" i="11"/>
  <c r="I477" i="11"/>
  <c r="I478" i="11"/>
  <c r="I479" i="11"/>
  <c r="I480" i="11"/>
  <c r="I481" i="11"/>
  <c r="I482" i="11"/>
  <c r="I483" i="11"/>
  <c r="I484" i="11"/>
  <c r="I485" i="11"/>
  <c r="I486" i="11"/>
  <c r="I487" i="11"/>
  <c r="I488" i="11"/>
  <c r="I489" i="11"/>
  <c r="I490" i="11"/>
  <c r="I491" i="11"/>
  <c r="I492" i="11"/>
  <c r="I493" i="11"/>
  <c r="I494" i="11"/>
  <c r="I495" i="11"/>
  <c r="I496" i="11"/>
  <c r="I497" i="11"/>
  <c r="I498" i="11"/>
  <c r="I499" i="11"/>
  <c r="I500" i="11"/>
  <c r="I501" i="11"/>
  <c r="I502" i="11"/>
  <c r="I503" i="11"/>
  <c r="I504" i="11"/>
  <c r="I505" i="11"/>
  <c r="I506" i="11"/>
  <c r="I507" i="11"/>
  <c r="I508" i="11"/>
  <c r="I509" i="11"/>
  <c r="I510" i="11"/>
  <c r="I511" i="11"/>
  <c r="I512" i="11"/>
  <c r="I513" i="11"/>
  <c r="I514" i="11"/>
  <c r="I515" i="11"/>
  <c r="I516" i="11"/>
  <c r="I517" i="11"/>
  <c r="I518" i="11"/>
  <c r="I519" i="11"/>
  <c r="I520" i="11"/>
  <c r="I521" i="11"/>
  <c r="I522" i="11"/>
  <c r="I523" i="11"/>
  <c r="I524" i="11"/>
  <c r="I525" i="11"/>
  <c r="I526" i="11"/>
  <c r="I527" i="11"/>
  <c r="I528" i="11"/>
  <c r="I529" i="11"/>
  <c r="I530" i="11"/>
  <c r="I531" i="11"/>
  <c r="I532" i="11"/>
  <c r="I533" i="11"/>
  <c r="I534" i="11"/>
  <c r="I535" i="11"/>
  <c r="I536" i="11"/>
  <c r="I537" i="11"/>
  <c r="I538" i="11"/>
  <c r="I539" i="11"/>
  <c r="I540" i="11"/>
  <c r="I541" i="11"/>
  <c r="I542" i="11"/>
  <c r="I543" i="11"/>
  <c r="I544" i="11"/>
  <c r="I545" i="11"/>
  <c r="I546" i="11"/>
  <c r="I547" i="11"/>
  <c r="I548" i="11"/>
  <c r="I549" i="11"/>
  <c r="I550" i="11"/>
  <c r="I551" i="11"/>
  <c r="I552" i="11"/>
  <c r="I553" i="11"/>
  <c r="I554" i="11"/>
  <c r="I555" i="11"/>
  <c r="I556" i="11"/>
  <c r="I557" i="11"/>
  <c r="I558" i="11"/>
  <c r="I559" i="11"/>
  <c r="I560" i="11"/>
  <c r="I561" i="11"/>
  <c r="I562" i="11"/>
  <c r="I563" i="11"/>
  <c r="I564" i="11"/>
  <c r="I565" i="11"/>
  <c r="I566" i="11"/>
  <c r="I567" i="11"/>
  <c r="I568" i="11"/>
  <c r="I569" i="11"/>
  <c r="I570" i="11"/>
  <c r="I571" i="11"/>
  <c r="I572" i="11"/>
  <c r="I573" i="11"/>
  <c r="I574" i="11"/>
  <c r="I575" i="11"/>
  <c r="I576" i="11"/>
  <c r="I577" i="11"/>
  <c r="I578" i="11"/>
  <c r="I579" i="11"/>
  <c r="I580" i="11"/>
  <c r="I581" i="11"/>
  <c r="I582" i="11"/>
  <c r="I583" i="11"/>
  <c r="I584" i="11"/>
  <c r="I585" i="11"/>
  <c r="I586" i="11"/>
  <c r="I587" i="11"/>
  <c r="I588" i="11"/>
  <c r="I589" i="11"/>
  <c r="I590" i="11"/>
  <c r="I591" i="11"/>
  <c r="I592" i="11"/>
  <c r="I593" i="11"/>
  <c r="I594" i="11"/>
  <c r="I595" i="11"/>
  <c r="I596" i="11"/>
  <c r="I597" i="11"/>
  <c r="I598" i="11"/>
  <c r="I599" i="11"/>
  <c r="I600" i="11"/>
  <c r="I601" i="11"/>
  <c r="I602" i="11"/>
  <c r="I603" i="11"/>
  <c r="I604" i="11"/>
  <c r="I605" i="11"/>
  <c r="I606" i="11"/>
  <c r="I607" i="11"/>
  <c r="I608" i="11"/>
  <c r="I609" i="11"/>
  <c r="I610" i="11"/>
  <c r="I611" i="11"/>
  <c r="I612" i="11"/>
  <c r="I613" i="11"/>
  <c r="I614" i="11"/>
  <c r="I615" i="11"/>
  <c r="I616" i="11"/>
  <c r="I617" i="11"/>
  <c r="I618" i="11"/>
  <c r="I619" i="11"/>
  <c r="I620" i="11"/>
  <c r="I621" i="11"/>
  <c r="I622" i="11"/>
  <c r="I623" i="11"/>
  <c r="I624" i="11"/>
  <c r="I625" i="11"/>
  <c r="I626" i="11"/>
  <c r="I627" i="11"/>
  <c r="I628" i="11"/>
  <c r="I629" i="11"/>
  <c r="I630" i="11"/>
  <c r="I631" i="11"/>
  <c r="I632" i="11"/>
  <c r="I633" i="11"/>
  <c r="I634" i="11"/>
  <c r="I635" i="11"/>
  <c r="I636" i="11"/>
  <c r="I637" i="11"/>
  <c r="I638" i="11"/>
  <c r="I639" i="11"/>
  <c r="I640" i="11"/>
  <c r="I641" i="11"/>
  <c r="I642" i="11"/>
  <c r="I643" i="11"/>
  <c r="I644" i="11"/>
  <c r="I645" i="11"/>
  <c r="I646" i="11"/>
  <c r="I647" i="11"/>
  <c r="I648" i="11"/>
  <c r="I649" i="11"/>
  <c r="I650" i="11"/>
  <c r="I651" i="11"/>
  <c r="I652" i="11"/>
  <c r="I653" i="11"/>
  <c r="I654" i="11"/>
  <c r="I655" i="11"/>
  <c r="I656" i="11"/>
  <c r="I657" i="11"/>
  <c r="I658" i="11"/>
  <c r="I659" i="11"/>
  <c r="I660" i="11"/>
  <c r="I661" i="11"/>
  <c r="I662" i="11"/>
  <c r="I663" i="11"/>
  <c r="I664" i="11"/>
  <c r="I665" i="11"/>
  <c r="I666" i="11"/>
  <c r="I667" i="11"/>
  <c r="I668" i="11"/>
  <c r="I669" i="11"/>
  <c r="I670" i="11"/>
  <c r="I671" i="11"/>
  <c r="I672" i="11"/>
  <c r="I673" i="11"/>
  <c r="I674" i="11"/>
  <c r="I675" i="11"/>
  <c r="I676" i="11"/>
  <c r="I677" i="11"/>
  <c r="I678" i="11"/>
  <c r="I679" i="11"/>
  <c r="I680" i="11"/>
  <c r="I681" i="11"/>
  <c r="I682" i="11"/>
  <c r="I683" i="11"/>
  <c r="I684" i="11"/>
  <c r="I685" i="11"/>
  <c r="I686" i="11"/>
  <c r="I687" i="11"/>
  <c r="I688" i="11"/>
  <c r="I689" i="11"/>
  <c r="I690" i="11"/>
  <c r="I691" i="11"/>
  <c r="I692" i="11"/>
  <c r="I693" i="11"/>
  <c r="I694" i="11"/>
  <c r="I695" i="11"/>
  <c r="I696" i="11"/>
  <c r="I697" i="11"/>
  <c r="I698" i="11"/>
  <c r="I699" i="11"/>
  <c r="I700" i="11"/>
  <c r="I701" i="11"/>
  <c r="I702" i="11"/>
  <c r="I703" i="11"/>
  <c r="I704" i="11"/>
  <c r="I705" i="11"/>
  <c r="I706" i="11"/>
  <c r="I707" i="11"/>
  <c r="I708" i="11"/>
  <c r="I709" i="11"/>
  <c r="I710" i="11"/>
  <c r="I711" i="11"/>
  <c r="I712" i="11"/>
  <c r="I713" i="11"/>
  <c r="I714" i="11"/>
  <c r="I715" i="11"/>
  <c r="I716" i="11"/>
  <c r="I717" i="11"/>
  <c r="I718" i="11"/>
  <c r="I719" i="11"/>
  <c r="I720" i="11"/>
  <c r="I721" i="11"/>
  <c r="I722" i="11"/>
  <c r="I723" i="11"/>
  <c r="I724" i="11"/>
  <c r="I725" i="11"/>
  <c r="I726" i="11"/>
  <c r="I727" i="11"/>
  <c r="I728" i="11"/>
  <c r="I729" i="11"/>
  <c r="I730" i="11"/>
  <c r="I731" i="11"/>
  <c r="I732" i="11"/>
  <c r="I733" i="11"/>
  <c r="I734" i="11"/>
  <c r="I735" i="11"/>
  <c r="I736" i="11"/>
  <c r="I737" i="11"/>
  <c r="I738" i="11"/>
  <c r="I739" i="11"/>
  <c r="I740" i="11"/>
  <c r="I741" i="11"/>
  <c r="I742" i="11"/>
  <c r="I743" i="11"/>
  <c r="I744" i="11"/>
  <c r="I745" i="11"/>
  <c r="I746" i="11"/>
  <c r="I747" i="11"/>
  <c r="I748" i="11"/>
  <c r="I749" i="11"/>
  <c r="I750" i="11"/>
  <c r="I751" i="11"/>
  <c r="I752" i="11"/>
  <c r="I753" i="11"/>
  <c r="I754" i="11"/>
  <c r="I755" i="11"/>
  <c r="I756" i="11"/>
  <c r="I757" i="11"/>
  <c r="I758" i="11"/>
  <c r="I759" i="11"/>
  <c r="I760" i="11"/>
  <c r="I761" i="11"/>
  <c r="I762" i="11"/>
  <c r="I763" i="11"/>
  <c r="I764" i="11"/>
  <c r="I765" i="11"/>
  <c r="I766" i="11"/>
  <c r="I767" i="11"/>
  <c r="I768" i="11"/>
  <c r="I769" i="11"/>
  <c r="I770" i="11"/>
  <c r="I771" i="11"/>
  <c r="I772" i="11"/>
  <c r="I773" i="11"/>
  <c r="I774" i="11"/>
  <c r="I775" i="11"/>
  <c r="I776" i="11"/>
  <c r="I777" i="11"/>
  <c r="I778" i="11"/>
  <c r="I779" i="11"/>
  <c r="I780" i="11"/>
  <c r="I781" i="11"/>
  <c r="I782" i="11"/>
  <c r="I783" i="11"/>
  <c r="I784" i="11"/>
  <c r="I785" i="11"/>
  <c r="I786" i="11"/>
  <c r="I787" i="11"/>
  <c r="I788" i="11"/>
  <c r="I789" i="11"/>
  <c r="I790" i="11"/>
  <c r="I791" i="11"/>
  <c r="I792" i="11"/>
  <c r="I793" i="11"/>
  <c r="I794" i="11"/>
  <c r="I795" i="11"/>
  <c r="I796" i="11"/>
  <c r="I797" i="11"/>
  <c r="I798" i="11"/>
  <c r="I799" i="11"/>
  <c r="I800" i="11"/>
  <c r="I801" i="11"/>
  <c r="I802" i="11"/>
  <c r="I803" i="11"/>
  <c r="I804" i="11"/>
  <c r="I805" i="11"/>
  <c r="I806" i="11"/>
  <c r="I807" i="11"/>
  <c r="I808" i="11"/>
  <c r="I809" i="11"/>
  <c r="I810" i="11"/>
  <c r="I811" i="11"/>
  <c r="I812" i="11"/>
  <c r="I813" i="11"/>
  <c r="I814" i="11"/>
  <c r="I815" i="11"/>
  <c r="I816" i="11"/>
  <c r="I817" i="11"/>
  <c r="I818" i="11"/>
  <c r="I819" i="11"/>
  <c r="I820" i="11"/>
  <c r="I821" i="11"/>
  <c r="I822" i="11"/>
  <c r="I823" i="11"/>
  <c r="I824" i="11"/>
  <c r="I825" i="11"/>
  <c r="I826" i="11"/>
  <c r="I827" i="11"/>
  <c r="I828" i="11"/>
  <c r="I829" i="11"/>
  <c r="I830" i="11"/>
  <c r="I831" i="11"/>
  <c r="I832" i="11"/>
  <c r="I833" i="11"/>
  <c r="I834" i="11"/>
  <c r="I835" i="11"/>
  <c r="I836" i="11"/>
  <c r="I837" i="11"/>
  <c r="I838" i="11"/>
  <c r="I839" i="11"/>
  <c r="I840" i="11"/>
  <c r="I841" i="11"/>
  <c r="I842" i="11"/>
  <c r="I843" i="11"/>
  <c r="I844" i="11"/>
  <c r="I845" i="11"/>
  <c r="I846" i="11"/>
  <c r="I847" i="11"/>
  <c r="I848" i="11"/>
  <c r="I849" i="11"/>
  <c r="I850" i="11"/>
  <c r="I851" i="11"/>
  <c r="I852" i="11"/>
  <c r="I853" i="11"/>
  <c r="I854" i="11"/>
  <c r="I855" i="11"/>
  <c r="I856" i="11"/>
  <c r="I857" i="11"/>
  <c r="I858" i="11"/>
  <c r="I859" i="11"/>
  <c r="I860" i="11"/>
  <c r="I861" i="11"/>
  <c r="I862" i="11"/>
  <c r="I863" i="11"/>
  <c r="I864" i="11"/>
  <c r="I865" i="11"/>
  <c r="I866" i="11"/>
  <c r="I867" i="11"/>
  <c r="I868" i="11"/>
  <c r="I869" i="11"/>
  <c r="I870" i="11"/>
  <c r="I871" i="11"/>
  <c r="I872" i="11"/>
  <c r="I873" i="11"/>
  <c r="I874" i="11"/>
  <c r="I875" i="11"/>
  <c r="I876" i="11"/>
  <c r="I877" i="11"/>
  <c r="I878" i="11"/>
  <c r="I879" i="11"/>
  <c r="I880" i="11"/>
  <c r="I881" i="11"/>
  <c r="I882" i="11"/>
  <c r="I883" i="11"/>
  <c r="I884" i="11"/>
  <c r="I885" i="11"/>
  <c r="I886" i="11"/>
  <c r="I887" i="11"/>
  <c r="I888" i="11"/>
  <c r="I889" i="11"/>
  <c r="I890" i="11"/>
  <c r="I891" i="11"/>
  <c r="I892" i="11"/>
  <c r="I893" i="11"/>
  <c r="I894" i="11"/>
  <c r="I895" i="11"/>
  <c r="I896" i="11"/>
  <c r="I897" i="11"/>
  <c r="I898" i="11"/>
  <c r="I899" i="11"/>
  <c r="I900" i="11"/>
  <c r="I901" i="11"/>
  <c r="I902" i="11"/>
  <c r="I903" i="11"/>
  <c r="I904" i="11"/>
  <c r="I905" i="11"/>
  <c r="I906" i="11"/>
  <c r="I907" i="11"/>
  <c r="I908" i="11"/>
  <c r="I909" i="11"/>
  <c r="I910" i="11"/>
  <c r="I911" i="11"/>
  <c r="I912" i="11"/>
  <c r="I913" i="11"/>
  <c r="I914" i="11"/>
  <c r="I915" i="11"/>
  <c r="I916" i="11"/>
  <c r="I917" i="11"/>
  <c r="I918" i="11"/>
  <c r="I919" i="11"/>
  <c r="I920" i="11"/>
  <c r="I921" i="11"/>
  <c r="I922" i="11"/>
  <c r="I923" i="11"/>
  <c r="I924" i="11"/>
  <c r="I925" i="11"/>
  <c r="I926" i="11"/>
  <c r="I927" i="11"/>
  <c r="I928" i="11"/>
  <c r="I929" i="11"/>
  <c r="I930" i="11"/>
  <c r="I931" i="11"/>
  <c r="I932" i="11"/>
  <c r="I933" i="11"/>
  <c r="I934" i="11"/>
  <c r="I935" i="11"/>
  <c r="I936" i="11"/>
  <c r="I937" i="11"/>
  <c r="I938" i="11"/>
  <c r="I939" i="11"/>
  <c r="I940" i="11"/>
  <c r="I941" i="11"/>
  <c r="I942" i="11"/>
  <c r="I943" i="11"/>
  <c r="I944" i="11"/>
  <c r="I945" i="11"/>
  <c r="I946" i="11"/>
  <c r="I947" i="11"/>
  <c r="I948" i="11"/>
  <c r="I949" i="11"/>
  <c r="I950" i="11"/>
  <c r="I951" i="11"/>
  <c r="I952" i="11"/>
  <c r="I953" i="11"/>
  <c r="I954" i="11"/>
  <c r="I955" i="11"/>
  <c r="I956" i="11"/>
  <c r="I957" i="11"/>
  <c r="I958" i="11"/>
  <c r="I959" i="11"/>
  <c r="I960" i="11"/>
  <c r="I961" i="11"/>
  <c r="I962" i="11"/>
  <c r="I963" i="11"/>
  <c r="I964" i="11"/>
  <c r="I965" i="11"/>
  <c r="I966" i="11"/>
  <c r="I967" i="11"/>
  <c r="I968" i="11"/>
  <c r="I969" i="11"/>
  <c r="I970" i="11"/>
  <c r="I971" i="11"/>
  <c r="I972" i="11"/>
  <c r="I973" i="11"/>
  <c r="I974" i="11"/>
  <c r="I975" i="11"/>
  <c r="I976" i="11"/>
  <c r="I977" i="11"/>
  <c r="I978" i="11"/>
  <c r="I979" i="11"/>
  <c r="I980" i="11"/>
  <c r="I981" i="11"/>
  <c r="I982" i="11"/>
  <c r="I983" i="11"/>
  <c r="I984" i="11"/>
  <c r="I985" i="11"/>
  <c r="I986" i="11"/>
  <c r="I987" i="11"/>
  <c r="I988" i="11"/>
  <c r="I989" i="11"/>
  <c r="I990" i="11"/>
  <c r="I991" i="11"/>
  <c r="I992" i="11"/>
  <c r="I993" i="11"/>
  <c r="I994" i="11"/>
  <c r="I995" i="11"/>
  <c r="I996" i="11"/>
  <c r="I997" i="11"/>
  <c r="I998" i="11"/>
  <c r="I999" i="11"/>
  <c r="I1000" i="11"/>
  <c r="L102" i="11"/>
  <c r="N102" i="11" s="1"/>
  <c r="L166" i="11"/>
  <c r="N166" i="11" s="1"/>
  <c r="L230" i="11"/>
  <c r="N230" i="11" s="1"/>
  <c r="L294" i="11"/>
  <c r="N294" i="11" s="1"/>
  <c r="L358" i="11"/>
  <c r="N358" i="11" s="1"/>
  <c r="L422" i="11"/>
  <c r="N422" i="11" s="1"/>
  <c r="L486" i="11"/>
  <c r="N486" i="11" s="1"/>
  <c r="L550" i="11"/>
  <c r="N550" i="11" s="1"/>
  <c r="L614" i="11"/>
  <c r="N614" i="11" s="1"/>
  <c r="L678" i="11"/>
  <c r="N678" i="11" s="1"/>
  <c r="L742" i="11"/>
  <c r="N742" i="11" s="1"/>
  <c r="L806" i="11"/>
  <c r="N806" i="11" s="1"/>
  <c r="L870" i="11"/>
  <c r="N870" i="11" s="1"/>
  <c r="L934" i="11"/>
  <c r="N934" i="11" s="1"/>
  <c r="L998" i="11"/>
  <c r="N998" i="11" s="1"/>
  <c r="L59" i="11"/>
  <c r="N59" i="11" s="1"/>
  <c r="L60" i="11"/>
  <c r="N60" i="11" s="1"/>
  <c r="L61" i="11"/>
  <c r="L65" i="11"/>
  <c r="L66" i="11"/>
  <c r="L67" i="11"/>
  <c r="N67" i="11" s="1"/>
  <c r="L68" i="11"/>
  <c r="N68" i="11" s="1"/>
  <c r="L69" i="11"/>
  <c r="N69" i="11" s="1"/>
  <c r="L73" i="11"/>
  <c r="N73" i="11" s="1"/>
  <c r="L74" i="11"/>
  <c r="N74" i="11" s="1"/>
  <c r="L75" i="11"/>
  <c r="L76" i="11"/>
  <c r="L77" i="11"/>
  <c r="L81" i="11"/>
  <c r="N81" i="11" s="1"/>
  <c r="L82" i="11"/>
  <c r="N82" i="11" s="1"/>
  <c r="L83" i="11"/>
  <c r="N83" i="11" s="1"/>
  <c r="L84" i="11"/>
  <c r="N84" i="11" s="1"/>
  <c r="L85" i="11"/>
  <c r="N85" i="11" s="1"/>
  <c r="L89" i="11"/>
  <c r="L90" i="11"/>
  <c r="N90" i="11" s="1"/>
  <c r="L91" i="11"/>
  <c r="N91" i="11" s="1"/>
  <c r="L92" i="11"/>
  <c r="N92" i="11" s="1"/>
  <c r="L93" i="11"/>
  <c r="N93" i="11" s="1"/>
  <c r="L97" i="11"/>
  <c r="L98" i="11"/>
  <c r="L99" i="11"/>
  <c r="N99" i="11" s="1"/>
  <c r="L100" i="11"/>
  <c r="N100" i="11" s="1"/>
  <c r="L101" i="11"/>
  <c r="N101" i="11" s="1"/>
  <c r="L105" i="11"/>
  <c r="N105" i="11" s="1"/>
  <c r="L106" i="11"/>
  <c r="L107" i="11"/>
  <c r="L108" i="11"/>
  <c r="L109" i="11"/>
  <c r="N109" i="11" s="1"/>
  <c r="L113" i="11"/>
  <c r="N113" i="11" s="1"/>
  <c r="L114" i="11"/>
  <c r="N114" i="11" s="1"/>
  <c r="L115" i="11"/>
  <c r="N115" i="11" s="1"/>
  <c r="L116" i="11"/>
  <c r="L117" i="11"/>
  <c r="L121" i="11"/>
  <c r="L122" i="11"/>
  <c r="N122" i="11" s="1"/>
  <c r="L123" i="11"/>
  <c r="N123" i="11" s="1"/>
  <c r="L124" i="11"/>
  <c r="N124" i="11" s="1"/>
  <c r="L125" i="11"/>
  <c r="N125" i="11" s="1"/>
  <c r="L129" i="11"/>
  <c r="L130" i="11"/>
  <c r="L131" i="11"/>
  <c r="N131" i="11" s="1"/>
  <c r="L132" i="11"/>
  <c r="N132" i="11" s="1"/>
  <c r="L133" i="11"/>
  <c r="N133" i="11" s="1"/>
  <c r="L135" i="11"/>
  <c r="N135" i="11" s="1"/>
  <c r="L137" i="11"/>
  <c r="N137" i="11" s="1"/>
  <c r="L138" i="11"/>
  <c r="N138" i="11" s="1"/>
  <c r="L139" i="11"/>
  <c r="L140" i="11"/>
  <c r="L141" i="11"/>
  <c r="L145" i="11"/>
  <c r="N145" i="11" s="1"/>
  <c r="L146" i="11"/>
  <c r="N146" i="11" s="1"/>
  <c r="L147" i="11"/>
  <c r="N147" i="11" s="1"/>
  <c r="L148" i="11"/>
  <c r="L149" i="11"/>
  <c r="N149" i="11" s="1"/>
  <c r="L153" i="11"/>
  <c r="L154" i="11"/>
  <c r="L155" i="11"/>
  <c r="N155" i="11" s="1"/>
  <c r="L156" i="11"/>
  <c r="L157" i="11"/>
  <c r="N157" i="11" s="1"/>
  <c r="L161" i="11"/>
  <c r="N161" i="11" s="1"/>
  <c r="L162" i="11"/>
  <c r="L163" i="11"/>
  <c r="L164" i="11"/>
  <c r="N164" i="11" s="1"/>
  <c r="L165" i="11"/>
  <c r="N165" i="11" s="1"/>
  <c r="L169" i="11"/>
  <c r="N169" i="11" s="1"/>
  <c r="L170" i="11"/>
  <c r="L171" i="11"/>
  <c r="N171" i="11" s="1"/>
  <c r="L172" i="11"/>
  <c r="L173" i="11"/>
  <c r="L177" i="11"/>
  <c r="N177" i="11" s="1"/>
  <c r="L178" i="11"/>
  <c r="N178" i="11" s="1"/>
  <c r="L179" i="11"/>
  <c r="N179" i="11" s="1"/>
  <c r="L180" i="11"/>
  <c r="L181" i="11"/>
  <c r="L185" i="11"/>
  <c r="N185" i="11" s="1"/>
  <c r="L186" i="11"/>
  <c r="N186" i="11" s="1"/>
  <c r="L187" i="11"/>
  <c r="N187" i="11" s="1"/>
  <c r="L188" i="11"/>
  <c r="N188" i="11" s="1"/>
  <c r="L189" i="11"/>
  <c r="N189" i="11" s="1"/>
  <c r="L193" i="11"/>
  <c r="L194" i="11"/>
  <c r="L195" i="11"/>
  <c r="N195" i="11" s="1"/>
  <c r="L196" i="11"/>
  <c r="N196" i="11" s="1"/>
  <c r="L197" i="11"/>
  <c r="L201" i="11"/>
  <c r="N201" i="11" s="1"/>
  <c r="L202" i="11"/>
  <c r="N202" i="11" s="1"/>
  <c r="L203" i="11"/>
  <c r="L204" i="11"/>
  <c r="L205" i="11"/>
  <c r="L209" i="11"/>
  <c r="N209" i="11" s="1"/>
  <c r="L210" i="11"/>
  <c r="N210" i="11" s="1"/>
  <c r="L211" i="11"/>
  <c r="N211" i="11" s="1"/>
  <c r="L212" i="11"/>
  <c r="L213" i="11"/>
  <c r="N213" i="11" s="1"/>
  <c r="L217" i="11"/>
  <c r="L218" i="11"/>
  <c r="N218" i="11" s="1"/>
  <c r="L219" i="11"/>
  <c r="N219" i="11" s="1"/>
  <c r="L220" i="11"/>
  <c r="N220" i="11" s="1"/>
  <c r="L221" i="11"/>
  <c r="N221" i="11" s="1"/>
  <c r="L225" i="11"/>
  <c r="L226" i="11"/>
  <c r="L227" i="11"/>
  <c r="L228" i="11"/>
  <c r="N228" i="11" s="1"/>
  <c r="L229" i="11"/>
  <c r="N229" i="11" s="1"/>
  <c r="L233" i="11"/>
  <c r="L234" i="11"/>
  <c r="L235" i="11"/>
  <c r="L236" i="11"/>
  <c r="L237" i="11"/>
  <c r="L241" i="11"/>
  <c r="N241" i="11" s="1"/>
  <c r="L242" i="11"/>
  <c r="N242" i="11" s="1"/>
  <c r="L243" i="11"/>
  <c r="N243" i="11" s="1"/>
  <c r="L244" i="11"/>
  <c r="N244" i="11" s="1"/>
  <c r="L245" i="11"/>
  <c r="L249" i="11"/>
  <c r="L250" i="11"/>
  <c r="N250" i="11" s="1"/>
  <c r="L251" i="11"/>
  <c r="N251" i="11" s="1"/>
  <c r="L252" i="11"/>
  <c r="N252" i="11" s="1"/>
  <c r="L253" i="11"/>
  <c r="N253" i="11" s="1"/>
  <c r="L257" i="11"/>
  <c r="L258" i="11"/>
  <c r="N258" i="11" s="1"/>
  <c r="L259" i="11"/>
  <c r="N259" i="11" s="1"/>
  <c r="L260" i="11"/>
  <c r="N260" i="11" s="1"/>
  <c r="L261" i="11"/>
  <c r="N261" i="11" s="1"/>
  <c r="L265" i="11"/>
  <c r="N265" i="11" s="1"/>
  <c r="L266" i="11"/>
  <c r="L267" i="11"/>
  <c r="L268" i="11"/>
  <c r="N268" i="11" s="1"/>
  <c r="L269" i="11"/>
  <c r="L273" i="11"/>
  <c r="L274" i="11"/>
  <c r="N274" i="11" s="1"/>
  <c r="L275" i="11"/>
  <c r="N275" i="11" s="1"/>
  <c r="L276" i="11"/>
  <c r="L277" i="11"/>
  <c r="N277" i="11" s="1"/>
  <c r="L281" i="11"/>
  <c r="L282" i="11"/>
  <c r="N282" i="11" s="1"/>
  <c r="L283" i="11"/>
  <c r="N283" i="11" s="1"/>
  <c r="L284" i="11"/>
  <c r="N284" i="11" s="1"/>
  <c r="L285" i="11"/>
  <c r="N285" i="11" s="1"/>
  <c r="L289" i="11"/>
  <c r="L290" i="11"/>
  <c r="L291" i="11"/>
  <c r="L292" i="11"/>
  <c r="N292" i="11" s="1"/>
  <c r="L293" i="11"/>
  <c r="N293" i="11" s="1"/>
  <c r="L297" i="11"/>
  <c r="L298" i="11"/>
  <c r="L299" i="11"/>
  <c r="L300" i="11"/>
  <c r="L301" i="11"/>
  <c r="L305" i="11"/>
  <c r="L306" i="11"/>
  <c r="N306" i="11" s="1"/>
  <c r="L307" i="11"/>
  <c r="N307" i="11" s="1"/>
  <c r="L308" i="11"/>
  <c r="L309" i="11"/>
  <c r="L313" i="11"/>
  <c r="L314" i="11"/>
  <c r="N314" i="11" s="1"/>
  <c r="L315" i="11"/>
  <c r="N315" i="11" s="1"/>
  <c r="L316" i="11"/>
  <c r="N316" i="11" s="1"/>
  <c r="L317" i="11"/>
  <c r="N317" i="11" s="1"/>
  <c r="L321" i="11"/>
  <c r="L322" i="11"/>
  <c r="L323" i="11"/>
  <c r="N323" i="11" s="1"/>
  <c r="L324" i="11"/>
  <c r="L325" i="11"/>
  <c r="N325" i="11" s="1"/>
  <c r="L329" i="11"/>
  <c r="N329" i="11" s="1"/>
  <c r="L330" i="11"/>
  <c r="L331" i="11"/>
  <c r="L332" i="11"/>
  <c r="L333" i="11"/>
  <c r="L337" i="11"/>
  <c r="N337" i="11" s="1"/>
  <c r="L338" i="11"/>
  <c r="N338" i="11" s="1"/>
  <c r="L339" i="11"/>
  <c r="L340" i="11"/>
  <c r="L341" i="11"/>
  <c r="N341" i="11" s="1"/>
  <c r="L345" i="11"/>
  <c r="L346" i="11"/>
  <c r="L347" i="11"/>
  <c r="N347" i="11" s="1"/>
  <c r="L348" i="11"/>
  <c r="N348" i="11" s="1"/>
  <c r="L349" i="11"/>
  <c r="N349" i="11" s="1"/>
  <c r="L353" i="11"/>
  <c r="L354" i="11"/>
  <c r="L355" i="11"/>
  <c r="N355" i="11" s="1"/>
  <c r="L356" i="11"/>
  <c r="L357" i="11"/>
  <c r="N357" i="11" s="1"/>
  <c r="L361" i="11"/>
  <c r="N361" i="11" s="1"/>
  <c r="L362" i="11"/>
  <c r="L363" i="11"/>
  <c r="L364" i="11"/>
  <c r="L365" i="11"/>
  <c r="L369" i="11"/>
  <c r="N369" i="11" s="1"/>
  <c r="L370" i="11"/>
  <c r="N370" i="11" s="1"/>
  <c r="L371" i="11"/>
  <c r="N371" i="11" s="1"/>
  <c r="L372" i="11"/>
  <c r="L373" i="11"/>
  <c r="L377" i="11"/>
  <c r="L378" i="11"/>
  <c r="N378" i="11" s="1"/>
  <c r="L379" i="11"/>
  <c r="N379" i="11" s="1"/>
  <c r="L380" i="11"/>
  <c r="N380" i="11" s="1"/>
  <c r="L381" i="11"/>
  <c r="L385" i="11"/>
  <c r="L386" i="11"/>
  <c r="L387" i="11"/>
  <c r="L388" i="11"/>
  <c r="N388" i="11" s="1"/>
  <c r="L389" i="11"/>
  <c r="N389" i="11" s="1"/>
  <c r="L391" i="11"/>
  <c r="N391" i="11" s="1"/>
  <c r="L393" i="11"/>
  <c r="N393" i="11" s="1"/>
  <c r="L394" i="11"/>
  <c r="L395" i="11"/>
  <c r="L396" i="11"/>
  <c r="L397" i="11"/>
  <c r="L401" i="11"/>
  <c r="N401" i="11" s="1"/>
  <c r="L402" i="11"/>
  <c r="N402" i="11" s="1"/>
  <c r="L403" i="11"/>
  <c r="N403" i="11" s="1"/>
  <c r="L404" i="11"/>
  <c r="L405" i="11"/>
  <c r="N405" i="11" s="1"/>
  <c r="L409" i="11"/>
  <c r="L410" i="11"/>
  <c r="L411" i="11"/>
  <c r="N411" i="11" s="1"/>
  <c r="L412" i="11"/>
  <c r="L413" i="11"/>
  <c r="L417" i="11"/>
  <c r="N417" i="11" s="1"/>
  <c r="L418" i="11"/>
  <c r="L419" i="11"/>
  <c r="L420" i="11"/>
  <c r="N420" i="11" s="1"/>
  <c r="L421" i="11"/>
  <c r="N421" i="11" s="1"/>
  <c r="L425" i="11"/>
  <c r="N425" i="11" s="1"/>
  <c r="L426" i="11"/>
  <c r="L427" i="11"/>
  <c r="N427" i="11" s="1"/>
  <c r="L428" i="11"/>
  <c r="L429" i="11"/>
  <c r="L433" i="11"/>
  <c r="N433" i="11" s="1"/>
  <c r="L434" i="11"/>
  <c r="N434" i="11" s="1"/>
  <c r="L435" i="11"/>
  <c r="N435" i="11" s="1"/>
  <c r="L436" i="11"/>
  <c r="L437" i="11"/>
  <c r="L441" i="11"/>
  <c r="N441" i="11" s="1"/>
  <c r="L442" i="11"/>
  <c r="N442" i="11" s="1"/>
  <c r="L443" i="11"/>
  <c r="N443" i="11" s="1"/>
  <c r="L444" i="11"/>
  <c r="N444" i="11" s="1"/>
  <c r="L445" i="11"/>
  <c r="N445" i="11" s="1"/>
  <c r="L449" i="11"/>
  <c r="L450" i="11"/>
  <c r="L451" i="11"/>
  <c r="L452" i="11"/>
  <c r="N452" i="11" s="1"/>
  <c r="L453" i="11"/>
  <c r="N453" i="11" s="1"/>
  <c r="L457" i="11"/>
  <c r="N457" i="11" s="1"/>
  <c r="L458" i="11"/>
  <c r="L459" i="11"/>
  <c r="L460" i="11"/>
  <c r="L461" i="11"/>
  <c r="L465" i="11"/>
  <c r="N465" i="11" s="1"/>
  <c r="L466" i="11"/>
  <c r="N466" i="11" s="1"/>
  <c r="L467" i="11"/>
  <c r="N467" i="11" s="1"/>
  <c r="L468" i="11"/>
  <c r="L469" i="11"/>
  <c r="L473" i="11"/>
  <c r="L474" i="11"/>
  <c r="N474" i="11" s="1"/>
  <c r="L475" i="11"/>
  <c r="N475" i="11" s="1"/>
  <c r="L476" i="11"/>
  <c r="N476" i="11" s="1"/>
  <c r="L477" i="11"/>
  <c r="N477" i="11" s="1"/>
  <c r="L481" i="11"/>
  <c r="L482" i="11"/>
  <c r="L483" i="11"/>
  <c r="L484" i="11"/>
  <c r="N484" i="11" s="1"/>
  <c r="L485" i="11"/>
  <c r="N485" i="11" s="1"/>
  <c r="L489" i="11"/>
  <c r="N489" i="11" s="1"/>
  <c r="L490" i="11"/>
  <c r="L491" i="11"/>
  <c r="L492" i="11"/>
  <c r="L493" i="11"/>
  <c r="N493" i="11" s="1"/>
  <c r="L497" i="11"/>
  <c r="N497" i="11" s="1"/>
  <c r="L498" i="11"/>
  <c r="N498" i="11" s="1"/>
  <c r="L499" i="11"/>
  <c r="N499" i="11" s="1"/>
  <c r="L500" i="11"/>
  <c r="N500" i="11" s="1"/>
  <c r="L501" i="11"/>
  <c r="L505" i="11"/>
  <c r="N505" i="11" s="1"/>
  <c r="L506" i="11"/>
  <c r="N506" i="11" s="1"/>
  <c r="L507" i="11"/>
  <c r="N507" i="11" s="1"/>
  <c r="L508" i="11"/>
  <c r="N508" i="11" s="1"/>
  <c r="L509" i="11"/>
  <c r="N509" i="11" s="1"/>
  <c r="L513" i="11"/>
  <c r="L514" i="11"/>
  <c r="N514" i="11" s="1"/>
  <c r="L515" i="11"/>
  <c r="N515" i="11" s="1"/>
  <c r="L516" i="11"/>
  <c r="N516" i="11" s="1"/>
  <c r="L517" i="11"/>
  <c r="N517" i="11" s="1"/>
  <c r="L521" i="11"/>
  <c r="N521" i="11" s="1"/>
  <c r="L522" i="11"/>
  <c r="N522" i="11" s="1"/>
  <c r="L523" i="11"/>
  <c r="L524" i="11"/>
  <c r="L525" i="11"/>
  <c r="N525" i="11" s="1"/>
  <c r="L529" i="11"/>
  <c r="N529" i="11" s="1"/>
  <c r="L530" i="11"/>
  <c r="N530" i="11" s="1"/>
  <c r="L531" i="11"/>
  <c r="N531" i="11" s="1"/>
  <c r="L532" i="11"/>
  <c r="L533" i="11"/>
  <c r="L537" i="11"/>
  <c r="N537" i="11" s="1"/>
  <c r="L538" i="11"/>
  <c r="N538" i="11" s="1"/>
  <c r="L539" i="11"/>
  <c r="N539" i="11" s="1"/>
  <c r="L540" i="11"/>
  <c r="N540" i="11" s="1"/>
  <c r="L541" i="11"/>
  <c r="N541" i="11" s="1"/>
  <c r="L545" i="11"/>
  <c r="L546" i="11"/>
  <c r="L547" i="11"/>
  <c r="N547" i="11" s="1"/>
  <c r="L548" i="11"/>
  <c r="L549" i="11"/>
  <c r="N549" i="11" s="1"/>
  <c r="L553" i="11"/>
  <c r="N553" i="11" s="1"/>
  <c r="L554" i="11"/>
  <c r="L555" i="11"/>
  <c r="N555" i="11" s="1"/>
  <c r="L556" i="11"/>
  <c r="L557" i="11"/>
  <c r="N557" i="11" s="1"/>
  <c r="L561" i="11"/>
  <c r="N561" i="11" s="1"/>
  <c r="L562" i="11"/>
  <c r="N562" i="11" s="1"/>
  <c r="L563" i="11"/>
  <c r="L564" i="11"/>
  <c r="N564" i="11" s="1"/>
  <c r="L565" i="11"/>
  <c r="L569" i="11"/>
  <c r="N569" i="11" s="1"/>
  <c r="L570" i="11"/>
  <c r="N570" i="11" s="1"/>
  <c r="L571" i="11"/>
  <c r="N571" i="11" s="1"/>
  <c r="L572" i="11"/>
  <c r="N572" i="11" s="1"/>
  <c r="L573" i="11"/>
  <c r="N573" i="11" s="1"/>
  <c r="L577" i="11"/>
  <c r="L578" i="11"/>
  <c r="L579" i="11"/>
  <c r="N579" i="11" s="1"/>
  <c r="L580" i="11"/>
  <c r="L581" i="11"/>
  <c r="N581" i="11" s="1"/>
  <c r="L585" i="11"/>
  <c r="N585" i="11" s="1"/>
  <c r="L586" i="11"/>
  <c r="N586" i="11" s="1"/>
  <c r="L587" i="11"/>
  <c r="L588" i="11"/>
  <c r="L589" i="11"/>
  <c r="N589" i="11" s="1"/>
  <c r="L593" i="11"/>
  <c r="N593" i="11" s="1"/>
  <c r="L594" i="11"/>
  <c r="N594" i="11" s="1"/>
  <c r="L595" i="11"/>
  <c r="N595" i="11" s="1"/>
  <c r="L596" i="11"/>
  <c r="N596" i="11" s="1"/>
  <c r="L597" i="11"/>
  <c r="L601" i="11"/>
  <c r="L602" i="11"/>
  <c r="N602" i="11" s="1"/>
  <c r="L603" i="11"/>
  <c r="N603" i="11" s="1"/>
  <c r="L604" i="11"/>
  <c r="N604" i="11" s="1"/>
  <c r="L605" i="11"/>
  <c r="N605" i="11" s="1"/>
  <c r="L609" i="11"/>
  <c r="L610" i="11"/>
  <c r="L611" i="11"/>
  <c r="N611" i="11" s="1"/>
  <c r="L612" i="11"/>
  <c r="N612" i="11" s="1"/>
  <c r="L613" i="11"/>
  <c r="N613" i="11" s="1"/>
  <c r="L617" i="11"/>
  <c r="L618" i="11"/>
  <c r="N618" i="11" s="1"/>
  <c r="L619" i="11"/>
  <c r="L620" i="11"/>
  <c r="L621" i="11"/>
  <c r="N621" i="11" s="1"/>
  <c r="L625" i="11"/>
  <c r="N625" i="11" s="1"/>
  <c r="L626" i="11"/>
  <c r="N626" i="11" s="1"/>
  <c r="L627" i="11"/>
  <c r="N627" i="11" s="1"/>
  <c r="L628" i="11"/>
  <c r="L629" i="11"/>
  <c r="L633" i="11"/>
  <c r="N633" i="11" s="1"/>
  <c r="L634" i="11"/>
  <c r="N634" i="11" s="1"/>
  <c r="L635" i="11"/>
  <c r="N635" i="11" s="1"/>
  <c r="L636" i="11"/>
  <c r="N636" i="11" s="1"/>
  <c r="L637" i="11"/>
  <c r="N637" i="11" s="1"/>
  <c r="L641" i="11"/>
  <c r="L642" i="11"/>
  <c r="L643" i="11"/>
  <c r="N643" i="11" s="1"/>
  <c r="L644" i="11"/>
  <c r="N644" i="11" s="1"/>
  <c r="L645" i="11"/>
  <c r="L647" i="11"/>
  <c r="N647" i="11" s="1"/>
  <c r="L649" i="11"/>
  <c r="N649" i="11" s="1"/>
  <c r="L650" i="11"/>
  <c r="L651" i="11"/>
  <c r="L652" i="11"/>
  <c r="N652" i="11" s="1"/>
  <c r="L653" i="11"/>
  <c r="N653" i="11" s="1"/>
  <c r="L657" i="11"/>
  <c r="N657" i="11" s="1"/>
  <c r="L658" i="11"/>
  <c r="N658" i="11" s="1"/>
  <c r="L659" i="11"/>
  <c r="N659" i="11" s="1"/>
  <c r="L660" i="11"/>
  <c r="N660" i="11" s="1"/>
  <c r="L661" i="11"/>
  <c r="L665" i="11"/>
  <c r="N665" i="11" s="1"/>
  <c r="L666" i="11"/>
  <c r="N666" i="11" s="1"/>
  <c r="L667" i="11"/>
  <c r="N667" i="11" s="1"/>
  <c r="L668" i="11"/>
  <c r="N668" i="11" s="1"/>
  <c r="L669" i="11"/>
  <c r="N669" i="11" s="1"/>
  <c r="L673" i="11"/>
  <c r="N673" i="11" s="1"/>
  <c r="L674" i="11"/>
  <c r="L675" i="11"/>
  <c r="N675" i="11" s="1"/>
  <c r="L676" i="11"/>
  <c r="N676" i="11" s="1"/>
  <c r="L677" i="11"/>
  <c r="N677" i="11" s="1"/>
  <c r="L681" i="11"/>
  <c r="N681" i="11" s="1"/>
  <c r="L682" i="11"/>
  <c r="L683" i="11"/>
  <c r="N683" i="11" s="1"/>
  <c r="L684" i="11"/>
  <c r="L685" i="11"/>
  <c r="N685" i="11" s="1"/>
  <c r="L689" i="11"/>
  <c r="N689" i="11" s="1"/>
  <c r="L690" i="11"/>
  <c r="N690" i="11" s="1"/>
  <c r="L691" i="11"/>
  <c r="N691" i="11" s="1"/>
  <c r="L692" i="11"/>
  <c r="N692" i="11" s="1"/>
  <c r="L693" i="11"/>
  <c r="N693" i="11" s="1"/>
  <c r="L697" i="11"/>
  <c r="N697" i="11" s="1"/>
  <c r="L698" i="11"/>
  <c r="L699" i="11"/>
  <c r="N699" i="11" s="1"/>
  <c r="L700" i="11"/>
  <c r="N700" i="11" s="1"/>
  <c r="L701" i="11"/>
  <c r="N701" i="11" s="1"/>
  <c r="L705" i="11"/>
  <c r="L706" i="11"/>
  <c r="L707" i="11"/>
  <c r="N707" i="11" s="1"/>
  <c r="L708" i="11"/>
  <c r="N708" i="11" s="1"/>
  <c r="L709" i="11"/>
  <c r="N709" i="11" s="1"/>
  <c r="L713" i="11"/>
  <c r="L714" i="11"/>
  <c r="N714" i="11" s="1"/>
  <c r="L715" i="11"/>
  <c r="L716" i="11"/>
  <c r="L717" i="11"/>
  <c r="N717" i="11" s="1"/>
  <c r="L721" i="11"/>
  <c r="N721" i="11" s="1"/>
  <c r="L722" i="11"/>
  <c r="N722" i="11" s="1"/>
  <c r="L723" i="11"/>
  <c r="N723" i="11" s="1"/>
  <c r="L724" i="11"/>
  <c r="L725" i="11"/>
  <c r="N725" i="11" s="1"/>
  <c r="L729" i="11"/>
  <c r="N729" i="11" s="1"/>
  <c r="L730" i="11"/>
  <c r="L731" i="11"/>
  <c r="N731" i="11" s="1"/>
  <c r="L732" i="11"/>
  <c r="N732" i="11" s="1"/>
  <c r="L733" i="11"/>
  <c r="N733" i="11" s="1"/>
  <c r="L737" i="11"/>
  <c r="L738" i="11"/>
  <c r="L739" i="11"/>
  <c r="N739" i="11" s="1"/>
  <c r="L740" i="11"/>
  <c r="N740" i="11" s="1"/>
  <c r="L741" i="11"/>
  <c r="N741" i="11" s="1"/>
  <c r="L745" i="11"/>
  <c r="N745" i="11" s="1"/>
  <c r="L746" i="11"/>
  <c r="L747" i="11"/>
  <c r="L748" i="11"/>
  <c r="N748" i="11" s="1"/>
  <c r="L749" i="11"/>
  <c r="N749" i="11" s="1"/>
  <c r="L753" i="11"/>
  <c r="L754" i="11"/>
  <c r="N754" i="11" s="1"/>
  <c r="L755" i="11"/>
  <c r="N755" i="11" s="1"/>
  <c r="L756" i="11"/>
  <c r="N756" i="11" s="1"/>
  <c r="L757" i="11"/>
  <c r="L761" i="11"/>
  <c r="N761" i="11" s="1"/>
  <c r="L762" i="11"/>
  <c r="N762" i="11" s="1"/>
  <c r="L763" i="11"/>
  <c r="L764" i="11"/>
  <c r="N764" i="11" s="1"/>
  <c r="L765" i="11"/>
  <c r="N765" i="11" s="1"/>
  <c r="L769" i="11"/>
  <c r="L770" i="11"/>
  <c r="N770" i="11" s="1"/>
  <c r="L771" i="11"/>
  <c r="N771" i="11" s="1"/>
  <c r="L772" i="11"/>
  <c r="N772" i="11" s="1"/>
  <c r="L773" i="11"/>
  <c r="N773" i="11" s="1"/>
  <c r="L777" i="11"/>
  <c r="N777" i="11" s="1"/>
  <c r="L778" i="11"/>
  <c r="N778" i="11" s="1"/>
  <c r="L779" i="11"/>
  <c r="L780" i="11"/>
  <c r="N780" i="11" s="1"/>
  <c r="L781" i="11"/>
  <c r="N781" i="11" s="1"/>
  <c r="L785" i="11"/>
  <c r="N785" i="11" s="1"/>
  <c r="L786" i="11"/>
  <c r="N786" i="11" s="1"/>
  <c r="L787" i="11"/>
  <c r="N787" i="11" s="1"/>
  <c r="L788" i="11"/>
  <c r="N788" i="11" s="1"/>
  <c r="L789" i="11"/>
  <c r="N789" i="11" s="1"/>
  <c r="L793" i="11"/>
  <c r="N793" i="11" s="1"/>
  <c r="L794" i="11"/>
  <c r="N794" i="11" s="1"/>
  <c r="L795" i="11"/>
  <c r="N795" i="11" s="1"/>
  <c r="L796" i="11"/>
  <c r="N796" i="11" s="1"/>
  <c r="L797" i="11"/>
  <c r="N797" i="11" s="1"/>
  <c r="L801" i="11"/>
  <c r="L802" i="11"/>
  <c r="N802" i="11" s="1"/>
  <c r="L803" i="11"/>
  <c r="N803" i="11" s="1"/>
  <c r="L804" i="11"/>
  <c r="N804" i="11" s="1"/>
  <c r="L805" i="11"/>
  <c r="N805" i="11" s="1"/>
  <c r="L809" i="11"/>
  <c r="N809" i="11" s="1"/>
  <c r="L810" i="11"/>
  <c r="N810" i="11" s="1"/>
  <c r="L811" i="11"/>
  <c r="N811" i="11" s="1"/>
  <c r="L812" i="11"/>
  <c r="L813" i="11"/>
  <c r="N813" i="11" s="1"/>
  <c r="L817" i="11"/>
  <c r="L818" i="11"/>
  <c r="N818" i="11" s="1"/>
  <c r="L819" i="11"/>
  <c r="N819" i="11" s="1"/>
  <c r="L820" i="11"/>
  <c r="N820" i="11" s="1"/>
  <c r="L821" i="11"/>
  <c r="N821" i="11" s="1"/>
  <c r="L825" i="11"/>
  <c r="N825" i="11" s="1"/>
  <c r="L826" i="11"/>
  <c r="N826" i="11" s="1"/>
  <c r="L827" i="11"/>
  <c r="N827" i="11" s="1"/>
  <c r="L828" i="11"/>
  <c r="N828" i="11" s="1"/>
  <c r="L829" i="11"/>
  <c r="N829" i="11" s="1"/>
  <c r="L833" i="11"/>
  <c r="N833" i="11" s="1"/>
  <c r="L834" i="11"/>
  <c r="L835" i="11"/>
  <c r="N835" i="11" s="1"/>
  <c r="L836" i="11"/>
  <c r="N836" i="11" s="1"/>
  <c r="L837" i="11"/>
  <c r="N837" i="11" s="1"/>
  <c r="L841" i="11"/>
  <c r="N841" i="11" s="1"/>
  <c r="L842" i="11"/>
  <c r="N842" i="11" s="1"/>
  <c r="L843" i="11"/>
  <c r="N843" i="11" s="1"/>
  <c r="L844" i="11"/>
  <c r="L845" i="11"/>
  <c r="N845" i="11" s="1"/>
  <c r="L849" i="11"/>
  <c r="N849" i="11" s="1"/>
  <c r="L850" i="11"/>
  <c r="N850" i="11" s="1"/>
  <c r="L851" i="11"/>
  <c r="L852" i="11"/>
  <c r="N852" i="11" s="1"/>
  <c r="L853" i="11"/>
  <c r="N853" i="11" s="1"/>
  <c r="L857" i="11"/>
  <c r="N857" i="11" s="1"/>
  <c r="L858" i="11"/>
  <c r="N858" i="11" s="1"/>
  <c r="L859" i="11"/>
  <c r="N859" i="11" s="1"/>
  <c r="L860" i="11"/>
  <c r="N860" i="11" s="1"/>
  <c r="L861" i="11"/>
  <c r="N861" i="11" s="1"/>
  <c r="L865" i="11"/>
  <c r="N865" i="11" s="1"/>
  <c r="L866" i="11"/>
  <c r="L867" i="11"/>
  <c r="N867" i="11" s="1"/>
  <c r="L868" i="11"/>
  <c r="N868" i="11" s="1"/>
  <c r="L869" i="11"/>
  <c r="N869" i="11" s="1"/>
  <c r="L873" i="11"/>
  <c r="N873" i="11" s="1"/>
  <c r="L874" i="11"/>
  <c r="N874" i="11" s="1"/>
  <c r="L875" i="11"/>
  <c r="L876" i="11"/>
  <c r="L877" i="11"/>
  <c r="N877" i="11" s="1"/>
  <c r="L881" i="11"/>
  <c r="L882" i="11"/>
  <c r="N882" i="11" s="1"/>
  <c r="L883" i="11"/>
  <c r="N883" i="11" s="1"/>
  <c r="L884" i="11"/>
  <c r="N884" i="11" s="1"/>
  <c r="L885" i="11"/>
  <c r="L889" i="11"/>
  <c r="N889" i="11" s="1"/>
  <c r="L890" i="11"/>
  <c r="N890" i="11" s="1"/>
  <c r="L891" i="11"/>
  <c r="N891" i="11" s="1"/>
  <c r="L892" i="11"/>
  <c r="N892" i="11" s="1"/>
  <c r="L893" i="11"/>
  <c r="N893" i="11" s="1"/>
  <c r="L897" i="11"/>
  <c r="L898" i="11"/>
  <c r="L899" i="11"/>
  <c r="N899" i="11" s="1"/>
  <c r="L900" i="11"/>
  <c r="N900" i="11" s="1"/>
  <c r="L901" i="11"/>
  <c r="N901" i="11" s="1"/>
  <c r="L903" i="11"/>
  <c r="N903" i="11" s="1"/>
  <c r="L905" i="11"/>
  <c r="N905" i="11" s="1"/>
  <c r="L906" i="11"/>
  <c r="N906" i="11" s="1"/>
  <c r="L907" i="11"/>
  <c r="L908" i="11"/>
  <c r="L909" i="11"/>
  <c r="N909" i="11" s="1"/>
  <c r="L913" i="11"/>
  <c r="N913" i="11" s="1"/>
  <c r="L914" i="11"/>
  <c r="N914" i="11" s="1"/>
  <c r="L915" i="11"/>
  <c r="N915" i="11" s="1"/>
  <c r="L916" i="11"/>
  <c r="N916" i="11" s="1"/>
  <c r="L917" i="11"/>
  <c r="N917" i="11" s="1"/>
  <c r="L921" i="11"/>
  <c r="L922" i="11"/>
  <c r="N922" i="11" s="1"/>
  <c r="L923" i="11"/>
  <c r="L924" i="11"/>
  <c r="N924" i="11" s="1"/>
  <c r="L925" i="11"/>
  <c r="N925" i="11" s="1"/>
  <c r="L929" i="11"/>
  <c r="N929" i="11" s="1"/>
  <c r="L930" i="11"/>
  <c r="L931" i="11"/>
  <c r="N931" i="11" s="1"/>
  <c r="L932" i="11"/>
  <c r="N932" i="11" s="1"/>
  <c r="L933" i="11"/>
  <c r="N933" i="11" s="1"/>
  <c r="L937" i="11"/>
  <c r="N937" i="11" s="1"/>
  <c r="L938" i="11"/>
  <c r="N938" i="11" s="1"/>
  <c r="L939" i="11"/>
  <c r="N939" i="11" s="1"/>
  <c r="L940" i="11"/>
  <c r="L941" i="11"/>
  <c r="N941" i="11" s="1"/>
  <c r="L945" i="11"/>
  <c r="N945" i="11" s="1"/>
  <c r="L946" i="11"/>
  <c r="N946" i="11" s="1"/>
  <c r="L947" i="11"/>
  <c r="N947" i="11" s="1"/>
  <c r="L948" i="11"/>
  <c r="N948" i="11" s="1"/>
  <c r="L949" i="11"/>
  <c r="L953" i="11"/>
  <c r="N953" i="11" s="1"/>
  <c r="L954" i="11"/>
  <c r="N954" i="11" s="1"/>
  <c r="L955" i="11"/>
  <c r="N955" i="11" s="1"/>
  <c r="L956" i="11"/>
  <c r="N956" i="11" s="1"/>
  <c r="L957" i="11"/>
  <c r="N957" i="11" s="1"/>
  <c r="L961" i="11"/>
  <c r="L962" i="11"/>
  <c r="N962" i="11" s="1"/>
  <c r="L963" i="11"/>
  <c r="N963" i="11" s="1"/>
  <c r="L964" i="11"/>
  <c r="N964" i="11" s="1"/>
  <c r="L965" i="11"/>
  <c r="N965" i="11" s="1"/>
  <c r="L969" i="11"/>
  <c r="N969" i="11" s="1"/>
  <c r="L970" i="11"/>
  <c r="N970" i="11" s="1"/>
  <c r="L971" i="11"/>
  <c r="L972" i="11"/>
  <c r="N972" i="11" s="1"/>
  <c r="L973" i="11"/>
  <c r="N973" i="11" s="1"/>
  <c r="L977" i="11"/>
  <c r="N977" i="11" s="1"/>
  <c r="L978" i="11"/>
  <c r="N978" i="11" s="1"/>
  <c r="L979" i="11"/>
  <c r="N979" i="11" s="1"/>
  <c r="L980" i="11"/>
  <c r="L981" i="11"/>
  <c r="N981" i="11" s="1"/>
  <c r="L985" i="11"/>
  <c r="N985" i="11" s="1"/>
  <c r="L986" i="11"/>
  <c r="N986" i="11" s="1"/>
  <c r="L987" i="11"/>
  <c r="N987" i="11" s="1"/>
  <c r="L988" i="11"/>
  <c r="N988" i="11" s="1"/>
  <c r="L989" i="11"/>
  <c r="N989" i="11" s="1"/>
  <c r="L993" i="11"/>
  <c r="L994" i="11"/>
  <c r="N994" i="11" s="1"/>
  <c r="L995" i="11"/>
  <c r="N995" i="11" s="1"/>
  <c r="L996" i="11"/>
  <c r="L997" i="11"/>
  <c r="N997" i="11" s="1"/>
  <c r="N61" i="11"/>
  <c r="N65" i="11"/>
  <c r="N66" i="11"/>
  <c r="N75" i="11"/>
  <c r="N76" i="11"/>
  <c r="N77" i="11"/>
  <c r="N89" i="11"/>
  <c r="N97" i="11"/>
  <c r="N98" i="11"/>
  <c r="N106" i="11"/>
  <c r="N107" i="11"/>
  <c r="N108" i="11"/>
  <c r="N116" i="11"/>
  <c r="N117" i="11"/>
  <c r="N121" i="11"/>
  <c r="N129" i="11"/>
  <c r="N130" i="11"/>
  <c r="N139" i="11"/>
  <c r="N140" i="11"/>
  <c r="N141" i="11"/>
  <c r="N148" i="11"/>
  <c r="N153" i="11"/>
  <c r="N154" i="11"/>
  <c r="N156" i="11"/>
  <c r="N162" i="11"/>
  <c r="N163" i="11"/>
  <c r="N170" i="11"/>
  <c r="N172" i="11"/>
  <c r="N173" i="11"/>
  <c r="N180" i="11"/>
  <c r="N181" i="11"/>
  <c r="N193" i="11"/>
  <c r="N194" i="11"/>
  <c r="N197" i="11"/>
  <c r="N203" i="11"/>
  <c r="N204" i="11"/>
  <c r="N205" i="11"/>
  <c r="N212" i="11"/>
  <c r="N217" i="11"/>
  <c r="N225" i="11"/>
  <c r="N226" i="11"/>
  <c r="N227" i="11"/>
  <c r="N233" i="11"/>
  <c r="N234" i="11"/>
  <c r="N235" i="11"/>
  <c r="N236" i="11"/>
  <c r="N237" i="11"/>
  <c r="N245" i="11"/>
  <c r="N249" i="11"/>
  <c r="N257" i="11"/>
  <c r="N266" i="11"/>
  <c r="N267" i="11"/>
  <c r="N269" i="11"/>
  <c r="N273" i="11"/>
  <c r="N276" i="11"/>
  <c r="N281" i="11"/>
  <c r="N289" i="11"/>
  <c r="N290" i="11"/>
  <c r="N291" i="11"/>
  <c r="N297" i="11"/>
  <c r="N298" i="11"/>
  <c r="N299" i="11"/>
  <c r="N300" i="11"/>
  <c r="N301" i="11"/>
  <c r="N305" i="11"/>
  <c r="N308" i="11"/>
  <c r="N309" i="11"/>
  <c r="N313" i="11"/>
  <c r="N321" i="11"/>
  <c r="N322" i="11"/>
  <c r="N324" i="11"/>
  <c r="N330" i="11"/>
  <c r="N331" i="11"/>
  <c r="N332" i="11"/>
  <c r="N333" i="11"/>
  <c r="N339" i="11"/>
  <c r="N340" i="11"/>
  <c r="N345" i="11"/>
  <c r="N346" i="11"/>
  <c r="N353" i="11"/>
  <c r="N354" i="11"/>
  <c r="N356" i="11"/>
  <c r="N362" i="11"/>
  <c r="N363" i="11"/>
  <c r="N364" i="11"/>
  <c r="N365" i="11"/>
  <c r="N372" i="11"/>
  <c r="N373" i="11"/>
  <c r="N377" i="11"/>
  <c r="N381" i="11"/>
  <c r="N385" i="11"/>
  <c r="N386" i="11"/>
  <c r="N387" i="11"/>
  <c r="N394" i="11"/>
  <c r="N395" i="11"/>
  <c r="N396" i="11"/>
  <c r="N397" i="11"/>
  <c r="N404" i="11"/>
  <c r="N409" i="11"/>
  <c r="N410" i="11"/>
  <c r="N412" i="11"/>
  <c r="N413" i="11"/>
  <c r="N418" i="11"/>
  <c r="N419" i="11"/>
  <c r="N426" i="11"/>
  <c r="N428" i="11"/>
  <c r="N429" i="11"/>
  <c r="N436" i="11"/>
  <c r="N437" i="11"/>
  <c r="N449" i="11"/>
  <c r="N450" i="11"/>
  <c r="N451" i="11"/>
  <c r="N458" i="11"/>
  <c r="N459" i="11"/>
  <c r="N460" i="11"/>
  <c r="N461" i="11"/>
  <c r="N468" i="11"/>
  <c r="N469" i="11"/>
  <c r="N473" i="11"/>
  <c r="N481" i="11"/>
  <c r="N482" i="11"/>
  <c r="N483" i="11"/>
  <c r="N490" i="11"/>
  <c r="N491" i="11"/>
  <c r="N492" i="11"/>
  <c r="N501" i="11"/>
  <c r="N513" i="11"/>
  <c r="N523" i="11"/>
  <c r="N524" i="11"/>
  <c r="N532" i="11"/>
  <c r="N533" i="11"/>
  <c r="N545" i="11"/>
  <c r="N546" i="11"/>
  <c r="N548" i="11"/>
  <c r="N554" i="11"/>
  <c r="N556" i="11"/>
  <c r="N563" i="11"/>
  <c r="N565" i="11"/>
  <c r="N577" i="11"/>
  <c r="N578" i="11"/>
  <c r="N580" i="11"/>
  <c r="N587" i="11"/>
  <c r="N588" i="11"/>
  <c r="N597" i="11"/>
  <c r="N601" i="11"/>
  <c r="N609" i="11"/>
  <c r="N610" i="11"/>
  <c r="N617" i="11"/>
  <c r="N619" i="11"/>
  <c r="N620" i="11"/>
  <c r="N628" i="11"/>
  <c r="N629" i="11"/>
  <c r="N641" i="11"/>
  <c r="N642" i="11"/>
  <c r="N645" i="11"/>
  <c r="N650" i="11"/>
  <c r="N651" i="11"/>
  <c r="N661" i="11"/>
  <c r="N674" i="11"/>
  <c r="N682" i="11"/>
  <c r="N684" i="11"/>
  <c r="N698" i="11"/>
  <c r="N705" i="11"/>
  <c r="N706" i="11"/>
  <c r="N713" i="11"/>
  <c r="N715" i="11"/>
  <c r="N716" i="11"/>
  <c r="N724" i="11"/>
  <c r="N730" i="11"/>
  <c r="N737" i="11"/>
  <c r="N738" i="11"/>
  <c r="N746" i="11"/>
  <c r="N747" i="11"/>
  <c r="N753" i="11"/>
  <c r="N757" i="11"/>
  <c r="N763" i="11"/>
  <c r="N769" i="11"/>
  <c r="N779" i="11"/>
  <c r="N801" i="11"/>
  <c r="N812" i="11"/>
  <c r="N817" i="11"/>
  <c r="N834" i="11"/>
  <c r="N844" i="11"/>
  <c r="N851" i="11"/>
  <c r="N866" i="11"/>
  <c r="N875" i="11"/>
  <c r="N876" i="11"/>
  <c r="N881" i="11"/>
  <c r="N885" i="11"/>
  <c r="N897" i="11"/>
  <c r="N898" i="11"/>
  <c r="N907" i="11"/>
  <c r="N908" i="11"/>
  <c r="N921" i="11"/>
  <c r="N923" i="11"/>
  <c r="N930" i="11"/>
  <c r="N940" i="11"/>
  <c r="N949" i="11"/>
  <c r="N961" i="11"/>
  <c r="N971" i="11"/>
  <c r="N980" i="11"/>
  <c r="N993" i="11"/>
  <c r="N996" i="11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L74" i="3" s="1"/>
  <c r="N74" i="3" s="1"/>
  <c r="J75" i="3"/>
  <c r="J76" i="3"/>
  <c r="J77" i="3"/>
  <c r="J78" i="3"/>
  <c r="J79" i="3"/>
  <c r="J80" i="3"/>
  <c r="J81" i="3"/>
  <c r="J82" i="3"/>
  <c r="L82" i="3" s="1"/>
  <c r="N82" i="3" s="1"/>
  <c r="J83" i="3"/>
  <c r="J84" i="3"/>
  <c r="J85" i="3"/>
  <c r="J86" i="3"/>
  <c r="J87" i="3"/>
  <c r="J88" i="3"/>
  <c r="J89" i="3"/>
  <c r="J90" i="3"/>
  <c r="L90" i="3" s="1"/>
  <c r="N90" i="3" s="1"/>
  <c r="J91" i="3"/>
  <c r="J92" i="3"/>
  <c r="J93" i="3"/>
  <c r="J94" i="3"/>
  <c r="J95" i="3"/>
  <c r="J96" i="3"/>
  <c r="J97" i="3"/>
  <c r="J98" i="3"/>
  <c r="L98" i="3" s="1"/>
  <c r="N98" i="3" s="1"/>
  <c r="J99" i="3"/>
  <c r="J100" i="3"/>
  <c r="J101" i="3"/>
  <c r="J102" i="3"/>
  <c r="J103" i="3"/>
  <c r="J104" i="3"/>
  <c r="J105" i="3"/>
  <c r="J106" i="3"/>
  <c r="L106" i="3" s="1"/>
  <c r="N106" i="3" s="1"/>
  <c r="J107" i="3"/>
  <c r="J108" i="3"/>
  <c r="J109" i="3"/>
  <c r="J110" i="3"/>
  <c r="J111" i="3"/>
  <c r="J112" i="3"/>
  <c r="J113" i="3"/>
  <c r="J114" i="3"/>
  <c r="L114" i="3" s="1"/>
  <c r="N114" i="3" s="1"/>
  <c r="J115" i="3"/>
  <c r="J116" i="3"/>
  <c r="J117" i="3"/>
  <c r="J118" i="3"/>
  <c r="J119" i="3"/>
  <c r="J120" i="3"/>
  <c r="J121" i="3"/>
  <c r="J122" i="3"/>
  <c r="L122" i="3" s="1"/>
  <c r="N122" i="3" s="1"/>
  <c r="J123" i="3"/>
  <c r="J124" i="3"/>
  <c r="J125" i="3"/>
  <c r="J126" i="3"/>
  <c r="J127" i="3"/>
  <c r="J128" i="3"/>
  <c r="J129" i="3"/>
  <c r="J130" i="3"/>
  <c r="L130" i="3" s="1"/>
  <c r="N130" i="3" s="1"/>
  <c r="J131" i="3"/>
  <c r="J132" i="3"/>
  <c r="J133" i="3"/>
  <c r="J134" i="3"/>
  <c r="J135" i="3"/>
  <c r="J136" i="3"/>
  <c r="J137" i="3"/>
  <c r="J138" i="3"/>
  <c r="L138" i="3" s="1"/>
  <c r="N138" i="3" s="1"/>
  <c r="J139" i="3"/>
  <c r="J140" i="3"/>
  <c r="J141" i="3"/>
  <c r="J142" i="3"/>
  <c r="J143" i="3"/>
  <c r="J144" i="3"/>
  <c r="J145" i="3"/>
  <c r="J146" i="3"/>
  <c r="L146" i="3" s="1"/>
  <c r="N146" i="3" s="1"/>
  <c r="J147" i="3"/>
  <c r="J148" i="3"/>
  <c r="J149" i="3"/>
  <c r="J150" i="3"/>
  <c r="J151" i="3"/>
  <c r="J152" i="3"/>
  <c r="J153" i="3"/>
  <c r="J154" i="3"/>
  <c r="L154" i="3" s="1"/>
  <c r="N154" i="3" s="1"/>
  <c r="J155" i="3"/>
  <c r="J156" i="3"/>
  <c r="J157" i="3"/>
  <c r="J158" i="3"/>
  <c r="J159" i="3"/>
  <c r="J160" i="3"/>
  <c r="J161" i="3"/>
  <c r="J162" i="3"/>
  <c r="L162" i="3" s="1"/>
  <c r="N162" i="3" s="1"/>
  <c r="J163" i="3"/>
  <c r="J164" i="3"/>
  <c r="J165" i="3"/>
  <c r="J166" i="3"/>
  <c r="J167" i="3"/>
  <c r="J168" i="3"/>
  <c r="J169" i="3"/>
  <c r="J170" i="3"/>
  <c r="L170" i="3" s="1"/>
  <c r="N170" i="3" s="1"/>
  <c r="J171" i="3"/>
  <c r="J172" i="3"/>
  <c r="J173" i="3"/>
  <c r="J174" i="3"/>
  <c r="J175" i="3"/>
  <c r="J176" i="3"/>
  <c r="J177" i="3"/>
  <c r="J178" i="3"/>
  <c r="L178" i="3" s="1"/>
  <c r="N178" i="3" s="1"/>
  <c r="J179" i="3"/>
  <c r="J180" i="3"/>
  <c r="J181" i="3"/>
  <c r="J182" i="3"/>
  <c r="J183" i="3"/>
  <c r="J184" i="3"/>
  <c r="J185" i="3"/>
  <c r="J186" i="3"/>
  <c r="L186" i="3" s="1"/>
  <c r="N186" i="3" s="1"/>
  <c r="J187" i="3"/>
  <c r="J188" i="3"/>
  <c r="J189" i="3"/>
  <c r="J190" i="3"/>
  <c r="J191" i="3"/>
  <c r="J192" i="3"/>
  <c r="J193" i="3"/>
  <c r="J194" i="3"/>
  <c r="L194" i="3" s="1"/>
  <c r="N194" i="3" s="1"/>
  <c r="J195" i="3"/>
  <c r="J196" i="3"/>
  <c r="J197" i="3"/>
  <c r="J198" i="3"/>
  <c r="J199" i="3"/>
  <c r="J200" i="3"/>
  <c r="J201" i="3"/>
  <c r="J202" i="3"/>
  <c r="L202" i="3" s="1"/>
  <c r="N202" i="3" s="1"/>
  <c r="J203" i="3"/>
  <c r="J204" i="3"/>
  <c r="J205" i="3"/>
  <c r="J206" i="3"/>
  <c r="J207" i="3"/>
  <c r="J208" i="3"/>
  <c r="J209" i="3"/>
  <c r="J210" i="3"/>
  <c r="L210" i="3" s="1"/>
  <c r="N210" i="3" s="1"/>
  <c r="J211" i="3"/>
  <c r="J212" i="3"/>
  <c r="J213" i="3"/>
  <c r="J214" i="3"/>
  <c r="J215" i="3"/>
  <c r="J216" i="3"/>
  <c r="J217" i="3"/>
  <c r="J218" i="3"/>
  <c r="L218" i="3" s="1"/>
  <c r="N218" i="3" s="1"/>
  <c r="J219" i="3"/>
  <c r="J220" i="3"/>
  <c r="J221" i="3"/>
  <c r="J222" i="3"/>
  <c r="J223" i="3"/>
  <c r="J224" i="3"/>
  <c r="J225" i="3"/>
  <c r="J226" i="3"/>
  <c r="L226" i="3" s="1"/>
  <c r="N226" i="3" s="1"/>
  <c r="J227" i="3"/>
  <c r="J228" i="3"/>
  <c r="J229" i="3"/>
  <c r="J230" i="3"/>
  <c r="J231" i="3"/>
  <c r="J232" i="3"/>
  <c r="J233" i="3"/>
  <c r="J234" i="3"/>
  <c r="L234" i="3" s="1"/>
  <c r="N234" i="3" s="1"/>
  <c r="J235" i="3"/>
  <c r="J236" i="3"/>
  <c r="J237" i="3"/>
  <c r="J238" i="3"/>
  <c r="J239" i="3"/>
  <c r="J240" i="3"/>
  <c r="J241" i="3"/>
  <c r="J242" i="3"/>
  <c r="L242" i="3" s="1"/>
  <c r="N242" i="3" s="1"/>
  <c r="J243" i="3"/>
  <c r="J244" i="3"/>
  <c r="J245" i="3"/>
  <c r="J246" i="3"/>
  <c r="J247" i="3"/>
  <c r="J248" i="3"/>
  <c r="J249" i="3"/>
  <c r="J250" i="3"/>
  <c r="L250" i="3" s="1"/>
  <c r="N250" i="3" s="1"/>
  <c r="J251" i="3"/>
  <c r="J252" i="3"/>
  <c r="J253" i="3"/>
  <c r="J254" i="3"/>
  <c r="J255" i="3"/>
  <c r="J256" i="3"/>
  <c r="J257" i="3"/>
  <c r="J258" i="3"/>
  <c r="L258" i="3" s="1"/>
  <c r="N258" i="3" s="1"/>
  <c r="J259" i="3"/>
  <c r="J260" i="3"/>
  <c r="J261" i="3"/>
  <c r="J262" i="3"/>
  <c r="J263" i="3"/>
  <c r="J264" i="3"/>
  <c r="J265" i="3"/>
  <c r="J266" i="3"/>
  <c r="L266" i="3" s="1"/>
  <c r="N266" i="3" s="1"/>
  <c r="J267" i="3"/>
  <c r="J268" i="3"/>
  <c r="J269" i="3"/>
  <c r="J270" i="3"/>
  <c r="J271" i="3"/>
  <c r="J272" i="3"/>
  <c r="J273" i="3"/>
  <c r="J274" i="3"/>
  <c r="L274" i="3" s="1"/>
  <c r="N274" i="3" s="1"/>
  <c r="J275" i="3"/>
  <c r="J276" i="3"/>
  <c r="J277" i="3"/>
  <c r="J278" i="3"/>
  <c r="J279" i="3"/>
  <c r="J280" i="3"/>
  <c r="J281" i="3"/>
  <c r="J282" i="3"/>
  <c r="L282" i="3" s="1"/>
  <c r="N282" i="3" s="1"/>
  <c r="J283" i="3"/>
  <c r="J284" i="3"/>
  <c r="J285" i="3"/>
  <c r="J286" i="3"/>
  <c r="J287" i="3"/>
  <c r="J288" i="3"/>
  <c r="J289" i="3"/>
  <c r="J290" i="3"/>
  <c r="L290" i="3" s="1"/>
  <c r="N290" i="3" s="1"/>
  <c r="J291" i="3"/>
  <c r="J292" i="3"/>
  <c r="J293" i="3"/>
  <c r="J294" i="3"/>
  <c r="J295" i="3"/>
  <c r="J296" i="3"/>
  <c r="J297" i="3"/>
  <c r="J298" i="3"/>
  <c r="L298" i="3" s="1"/>
  <c r="N298" i="3" s="1"/>
  <c r="J299" i="3"/>
  <c r="J300" i="3"/>
  <c r="J301" i="3"/>
  <c r="J302" i="3"/>
  <c r="J303" i="3"/>
  <c r="J304" i="3"/>
  <c r="J305" i="3"/>
  <c r="J306" i="3"/>
  <c r="L306" i="3" s="1"/>
  <c r="N306" i="3" s="1"/>
  <c r="J307" i="3"/>
  <c r="J308" i="3"/>
  <c r="J309" i="3"/>
  <c r="J310" i="3"/>
  <c r="J311" i="3"/>
  <c r="J312" i="3"/>
  <c r="J313" i="3"/>
  <c r="J314" i="3"/>
  <c r="L314" i="3" s="1"/>
  <c r="N314" i="3" s="1"/>
  <c r="J315" i="3"/>
  <c r="J316" i="3"/>
  <c r="J317" i="3"/>
  <c r="J318" i="3"/>
  <c r="J319" i="3"/>
  <c r="J320" i="3"/>
  <c r="J321" i="3"/>
  <c r="J322" i="3"/>
  <c r="L322" i="3" s="1"/>
  <c r="N322" i="3" s="1"/>
  <c r="J323" i="3"/>
  <c r="J324" i="3"/>
  <c r="J325" i="3"/>
  <c r="J326" i="3"/>
  <c r="J327" i="3"/>
  <c r="J328" i="3"/>
  <c r="J329" i="3"/>
  <c r="J330" i="3"/>
  <c r="L330" i="3" s="1"/>
  <c r="N330" i="3" s="1"/>
  <c r="J331" i="3"/>
  <c r="J332" i="3"/>
  <c r="J333" i="3"/>
  <c r="J334" i="3"/>
  <c r="J335" i="3"/>
  <c r="J336" i="3"/>
  <c r="J337" i="3"/>
  <c r="J338" i="3"/>
  <c r="L338" i="3" s="1"/>
  <c r="N338" i="3" s="1"/>
  <c r="J339" i="3"/>
  <c r="J340" i="3"/>
  <c r="J341" i="3"/>
  <c r="J342" i="3"/>
  <c r="J343" i="3"/>
  <c r="J344" i="3"/>
  <c r="J345" i="3"/>
  <c r="J346" i="3"/>
  <c r="L346" i="3" s="1"/>
  <c r="N346" i="3" s="1"/>
  <c r="J347" i="3"/>
  <c r="J348" i="3"/>
  <c r="J349" i="3"/>
  <c r="J350" i="3"/>
  <c r="J351" i="3"/>
  <c r="J352" i="3"/>
  <c r="J353" i="3"/>
  <c r="J354" i="3"/>
  <c r="L354" i="3" s="1"/>
  <c r="N354" i="3" s="1"/>
  <c r="J355" i="3"/>
  <c r="J356" i="3"/>
  <c r="J357" i="3"/>
  <c r="J358" i="3"/>
  <c r="J359" i="3"/>
  <c r="J360" i="3"/>
  <c r="J361" i="3"/>
  <c r="J362" i="3"/>
  <c r="L362" i="3" s="1"/>
  <c r="N362" i="3" s="1"/>
  <c r="J363" i="3"/>
  <c r="J364" i="3"/>
  <c r="J365" i="3"/>
  <c r="J366" i="3"/>
  <c r="J367" i="3"/>
  <c r="J368" i="3"/>
  <c r="J369" i="3"/>
  <c r="J370" i="3"/>
  <c r="L370" i="3" s="1"/>
  <c r="N370" i="3" s="1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L386" i="3" s="1"/>
  <c r="N386" i="3" s="1"/>
  <c r="J387" i="3"/>
  <c r="J388" i="3"/>
  <c r="J389" i="3"/>
  <c r="J390" i="3"/>
  <c r="J391" i="3"/>
  <c r="J392" i="3"/>
  <c r="J393" i="3"/>
  <c r="J394" i="3"/>
  <c r="L394" i="3" s="1"/>
  <c r="N394" i="3" s="1"/>
  <c r="J395" i="3"/>
  <c r="J396" i="3"/>
  <c r="J397" i="3"/>
  <c r="J398" i="3"/>
  <c r="J399" i="3"/>
  <c r="J400" i="3"/>
  <c r="J401" i="3"/>
  <c r="J402" i="3"/>
  <c r="L402" i="3" s="1"/>
  <c r="N402" i="3" s="1"/>
  <c r="J403" i="3"/>
  <c r="J404" i="3"/>
  <c r="J405" i="3"/>
  <c r="J406" i="3"/>
  <c r="J407" i="3"/>
  <c r="J408" i="3"/>
  <c r="J409" i="3"/>
  <c r="J410" i="3"/>
  <c r="L410" i="3" s="1"/>
  <c r="N410" i="3" s="1"/>
  <c r="J411" i="3"/>
  <c r="J412" i="3"/>
  <c r="J413" i="3"/>
  <c r="J414" i="3"/>
  <c r="J415" i="3"/>
  <c r="J416" i="3"/>
  <c r="J417" i="3"/>
  <c r="J418" i="3"/>
  <c r="L418" i="3" s="1"/>
  <c r="N418" i="3" s="1"/>
  <c r="J419" i="3"/>
  <c r="J420" i="3"/>
  <c r="J421" i="3"/>
  <c r="J422" i="3"/>
  <c r="J423" i="3"/>
  <c r="J424" i="3"/>
  <c r="J425" i="3"/>
  <c r="J426" i="3"/>
  <c r="L426" i="3" s="1"/>
  <c r="N426" i="3" s="1"/>
  <c r="J427" i="3"/>
  <c r="J428" i="3"/>
  <c r="J429" i="3"/>
  <c r="J430" i="3"/>
  <c r="J431" i="3"/>
  <c r="J432" i="3"/>
  <c r="J433" i="3"/>
  <c r="J434" i="3"/>
  <c r="L434" i="3" s="1"/>
  <c r="N434" i="3" s="1"/>
  <c r="J435" i="3"/>
  <c r="J436" i="3"/>
  <c r="J437" i="3"/>
  <c r="J438" i="3"/>
  <c r="J439" i="3"/>
  <c r="J440" i="3"/>
  <c r="J441" i="3"/>
  <c r="J442" i="3"/>
  <c r="L442" i="3" s="1"/>
  <c r="N442" i="3" s="1"/>
  <c r="J443" i="3"/>
  <c r="J444" i="3"/>
  <c r="J445" i="3"/>
  <c r="J446" i="3"/>
  <c r="J447" i="3"/>
  <c r="J448" i="3"/>
  <c r="J449" i="3"/>
  <c r="J450" i="3"/>
  <c r="L450" i="3" s="1"/>
  <c r="N450" i="3" s="1"/>
  <c r="J451" i="3"/>
  <c r="J452" i="3"/>
  <c r="J453" i="3"/>
  <c r="J454" i="3"/>
  <c r="J455" i="3"/>
  <c r="J456" i="3"/>
  <c r="J457" i="3"/>
  <c r="J458" i="3"/>
  <c r="L458" i="3" s="1"/>
  <c r="N458" i="3" s="1"/>
  <c r="J459" i="3"/>
  <c r="J460" i="3"/>
  <c r="J461" i="3"/>
  <c r="J462" i="3"/>
  <c r="J463" i="3"/>
  <c r="J464" i="3"/>
  <c r="J465" i="3"/>
  <c r="J466" i="3"/>
  <c r="L466" i="3" s="1"/>
  <c r="N466" i="3" s="1"/>
  <c r="J467" i="3"/>
  <c r="J468" i="3"/>
  <c r="J469" i="3"/>
  <c r="J470" i="3"/>
  <c r="J471" i="3"/>
  <c r="J472" i="3"/>
  <c r="J473" i="3"/>
  <c r="J474" i="3"/>
  <c r="L474" i="3" s="1"/>
  <c r="N474" i="3" s="1"/>
  <c r="J475" i="3"/>
  <c r="J476" i="3"/>
  <c r="J477" i="3"/>
  <c r="J478" i="3"/>
  <c r="J479" i="3"/>
  <c r="J480" i="3"/>
  <c r="J481" i="3"/>
  <c r="J482" i="3"/>
  <c r="L482" i="3" s="1"/>
  <c r="N482" i="3" s="1"/>
  <c r="J483" i="3"/>
  <c r="J484" i="3"/>
  <c r="J485" i="3"/>
  <c r="J486" i="3"/>
  <c r="J487" i="3"/>
  <c r="J488" i="3"/>
  <c r="J489" i="3"/>
  <c r="J490" i="3"/>
  <c r="L490" i="3" s="1"/>
  <c r="N490" i="3" s="1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L506" i="3" s="1"/>
  <c r="N506" i="3" s="1"/>
  <c r="J507" i="3"/>
  <c r="J508" i="3"/>
  <c r="J509" i="3"/>
  <c r="J510" i="3"/>
  <c r="J511" i="3"/>
  <c r="J512" i="3"/>
  <c r="J513" i="3"/>
  <c r="J514" i="3"/>
  <c r="L514" i="3" s="1"/>
  <c r="N514" i="3" s="1"/>
  <c r="J515" i="3"/>
  <c r="J516" i="3"/>
  <c r="J517" i="3"/>
  <c r="J518" i="3"/>
  <c r="J519" i="3"/>
  <c r="J520" i="3"/>
  <c r="J521" i="3"/>
  <c r="J522" i="3"/>
  <c r="L522" i="3" s="1"/>
  <c r="N522" i="3" s="1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L538" i="3" s="1"/>
  <c r="N538" i="3" s="1"/>
  <c r="J539" i="3"/>
  <c r="J540" i="3"/>
  <c r="J541" i="3"/>
  <c r="J542" i="3"/>
  <c r="J543" i="3"/>
  <c r="J544" i="3"/>
  <c r="J545" i="3"/>
  <c r="J546" i="3"/>
  <c r="L546" i="3" s="1"/>
  <c r="N546" i="3" s="1"/>
  <c r="J547" i="3"/>
  <c r="J548" i="3"/>
  <c r="J549" i="3"/>
  <c r="J550" i="3"/>
  <c r="J551" i="3"/>
  <c r="J552" i="3"/>
  <c r="J553" i="3"/>
  <c r="J554" i="3"/>
  <c r="L554" i="3" s="1"/>
  <c r="N554" i="3" s="1"/>
  <c r="J555" i="3"/>
  <c r="J556" i="3"/>
  <c r="J557" i="3"/>
  <c r="J558" i="3"/>
  <c r="J559" i="3"/>
  <c r="J560" i="3"/>
  <c r="J561" i="3"/>
  <c r="J562" i="3"/>
  <c r="L562" i="3" s="1"/>
  <c r="N562" i="3" s="1"/>
  <c r="J563" i="3"/>
  <c r="J564" i="3"/>
  <c r="J565" i="3"/>
  <c r="J566" i="3"/>
  <c r="J567" i="3"/>
  <c r="J568" i="3"/>
  <c r="J569" i="3"/>
  <c r="J570" i="3"/>
  <c r="L570" i="3" s="1"/>
  <c r="N570" i="3" s="1"/>
  <c r="J571" i="3"/>
  <c r="J572" i="3"/>
  <c r="J573" i="3"/>
  <c r="J574" i="3"/>
  <c r="J575" i="3"/>
  <c r="J576" i="3"/>
  <c r="J577" i="3"/>
  <c r="J578" i="3"/>
  <c r="L578" i="3" s="1"/>
  <c r="N578" i="3" s="1"/>
  <c r="J579" i="3"/>
  <c r="J580" i="3"/>
  <c r="J581" i="3"/>
  <c r="J582" i="3"/>
  <c r="J583" i="3"/>
  <c r="J584" i="3"/>
  <c r="J585" i="3"/>
  <c r="J586" i="3"/>
  <c r="L586" i="3" s="1"/>
  <c r="N586" i="3" s="1"/>
  <c r="J587" i="3"/>
  <c r="J588" i="3"/>
  <c r="J589" i="3"/>
  <c r="J590" i="3"/>
  <c r="J591" i="3"/>
  <c r="J592" i="3"/>
  <c r="J593" i="3"/>
  <c r="J594" i="3"/>
  <c r="L594" i="3" s="1"/>
  <c r="N594" i="3" s="1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L610" i="3" s="1"/>
  <c r="N610" i="3" s="1"/>
  <c r="J611" i="3"/>
  <c r="J612" i="3"/>
  <c r="J613" i="3"/>
  <c r="J614" i="3"/>
  <c r="J615" i="3"/>
  <c r="J616" i="3"/>
  <c r="J617" i="3"/>
  <c r="J618" i="3"/>
  <c r="L618" i="3" s="1"/>
  <c r="N618" i="3" s="1"/>
  <c r="J619" i="3"/>
  <c r="J620" i="3"/>
  <c r="J621" i="3"/>
  <c r="J622" i="3"/>
  <c r="J623" i="3"/>
  <c r="J624" i="3"/>
  <c r="J625" i="3"/>
  <c r="J626" i="3"/>
  <c r="L626" i="3" s="1"/>
  <c r="N626" i="3" s="1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L642" i="3" s="1"/>
  <c r="N642" i="3" s="1"/>
  <c r="J643" i="3"/>
  <c r="J644" i="3"/>
  <c r="J645" i="3"/>
  <c r="J646" i="3"/>
  <c r="J647" i="3"/>
  <c r="J648" i="3"/>
  <c r="J649" i="3"/>
  <c r="J650" i="3"/>
  <c r="L650" i="3" s="1"/>
  <c r="N650" i="3" s="1"/>
  <c r="J651" i="3"/>
  <c r="J652" i="3"/>
  <c r="J653" i="3"/>
  <c r="J654" i="3"/>
  <c r="J655" i="3"/>
  <c r="J656" i="3"/>
  <c r="J657" i="3"/>
  <c r="J658" i="3"/>
  <c r="L658" i="3" s="1"/>
  <c r="N658" i="3" s="1"/>
  <c r="J659" i="3"/>
  <c r="J660" i="3"/>
  <c r="J661" i="3"/>
  <c r="J662" i="3"/>
  <c r="J663" i="3"/>
  <c r="J664" i="3"/>
  <c r="J665" i="3"/>
  <c r="J666" i="3"/>
  <c r="L666" i="3" s="1"/>
  <c r="N666" i="3" s="1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L682" i="3" s="1"/>
  <c r="N682" i="3" s="1"/>
  <c r="J683" i="3"/>
  <c r="J684" i="3"/>
  <c r="J685" i="3"/>
  <c r="J686" i="3"/>
  <c r="J687" i="3"/>
  <c r="J688" i="3"/>
  <c r="J689" i="3"/>
  <c r="J690" i="3"/>
  <c r="L690" i="3" s="1"/>
  <c r="N690" i="3" s="1"/>
  <c r="J691" i="3"/>
  <c r="J692" i="3"/>
  <c r="J693" i="3"/>
  <c r="J694" i="3"/>
  <c r="J695" i="3"/>
  <c r="J696" i="3"/>
  <c r="J697" i="3"/>
  <c r="J698" i="3"/>
  <c r="L698" i="3" s="1"/>
  <c r="N698" i="3" s="1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L714" i="3" s="1"/>
  <c r="N714" i="3" s="1"/>
  <c r="J715" i="3"/>
  <c r="J716" i="3"/>
  <c r="J717" i="3"/>
  <c r="J718" i="3"/>
  <c r="J719" i="3"/>
  <c r="J720" i="3"/>
  <c r="J721" i="3"/>
  <c r="J722" i="3"/>
  <c r="L722" i="3" s="1"/>
  <c r="N722" i="3" s="1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L746" i="3" s="1"/>
  <c r="N746" i="3" s="1"/>
  <c r="J747" i="3"/>
  <c r="J748" i="3"/>
  <c r="J749" i="3"/>
  <c r="J750" i="3"/>
  <c r="J751" i="3"/>
  <c r="J752" i="3"/>
  <c r="J753" i="3"/>
  <c r="J754" i="3"/>
  <c r="L754" i="3" s="1"/>
  <c r="N754" i="3" s="1"/>
  <c r="J755" i="3"/>
  <c r="J756" i="3"/>
  <c r="J757" i="3"/>
  <c r="J758" i="3"/>
  <c r="J759" i="3"/>
  <c r="J760" i="3"/>
  <c r="J761" i="3"/>
  <c r="J762" i="3"/>
  <c r="L762" i="3" s="1"/>
  <c r="N762" i="3" s="1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L778" i="3" s="1"/>
  <c r="N778" i="3" s="1"/>
  <c r="J779" i="3"/>
  <c r="J780" i="3"/>
  <c r="J781" i="3"/>
  <c r="J782" i="3"/>
  <c r="J783" i="3"/>
  <c r="J784" i="3"/>
  <c r="J785" i="3"/>
  <c r="J786" i="3"/>
  <c r="L786" i="3" s="1"/>
  <c r="N786" i="3" s="1"/>
  <c r="J787" i="3"/>
  <c r="J788" i="3"/>
  <c r="J789" i="3"/>
  <c r="J790" i="3"/>
  <c r="J791" i="3"/>
  <c r="J792" i="3"/>
  <c r="J793" i="3"/>
  <c r="J794" i="3"/>
  <c r="L794" i="3" s="1"/>
  <c r="N794" i="3" s="1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L810" i="3" s="1"/>
  <c r="N810" i="3" s="1"/>
  <c r="J811" i="3"/>
  <c r="J812" i="3"/>
  <c r="J813" i="3"/>
  <c r="J814" i="3"/>
  <c r="J815" i="3"/>
  <c r="J816" i="3"/>
  <c r="J817" i="3"/>
  <c r="J818" i="3"/>
  <c r="L818" i="3" s="1"/>
  <c r="N818" i="3" s="1"/>
  <c r="J819" i="3"/>
  <c r="J820" i="3"/>
  <c r="J821" i="3"/>
  <c r="J822" i="3"/>
  <c r="J823" i="3"/>
  <c r="J824" i="3"/>
  <c r="J825" i="3"/>
  <c r="J826" i="3"/>
  <c r="L826" i="3" s="1"/>
  <c r="N826" i="3" s="1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L842" i="3" s="1"/>
  <c r="N842" i="3" s="1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L858" i="3" s="1"/>
  <c r="N858" i="3" s="1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L914" i="3" s="1"/>
  <c r="N914" i="3" s="1"/>
  <c r="J915" i="3"/>
  <c r="J916" i="3"/>
  <c r="J917" i="3"/>
  <c r="J918" i="3"/>
  <c r="J919" i="3"/>
  <c r="J920" i="3"/>
  <c r="J921" i="3"/>
  <c r="J922" i="3"/>
  <c r="L922" i="3" s="1"/>
  <c r="N922" i="3" s="1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L946" i="3" s="1"/>
  <c r="N946" i="3" s="1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L962" i="3" s="1"/>
  <c r="N962" i="3" s="1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L986" i="3" s="1"/>
  <c r="N986" i="3" s="1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K59" i="3"/>
  <c r="K60" i="3"/>
  <c r="K61" i="3"/>
  <c r="L61" i="3" s="1"/>
  <c r="N61" i="3" s="1"/>
  <c r="K62" i="3"/>
  <c r="K63" i="3"/>
  <c r="K64" i="3"/>
  <c r="L64" i="3" s="1"/>
  <c r="N64" i="3" s="1"/>
  <c r="K65" i="3"/>
  <c r="K66" i="3"/>
  <c r="K67" i="3"/>
  <c r="K68" i="3"/>
  <c r="K69" i="3"/>
  <c r="L69" i="3" s="1"/>
  <c r="N69" i="3" s="1"/>
  <c r="K70" i="3"/>
  <c r="K71" i="3"/>
  <c r="K72" i="3"/>
  <c r="L72" i="3" s="1"/>
  <c r="N72" i="3" s="1"/>
  <c r="K73" i="3"/>
  <c r="K74" i="3"/>
  <c r="K75" i="3"/>
  <c r="K76" i="3"/>
  <c r="K77" i="3"/>
  <c r="L77" i="3" s="1"/>
  <c r="N77" i="3" s="1"/>
  <c r="K78" i="3"/>
  <c r="K79" i="3"/>
  <c r="K80" i="3"/>
  <c r="L80" i="3" s="1"/>
  <c r="N80" i="3" s="1"/>
  <c r="K81" i="3"/>
  <c r="K82" i="3"/>
  <c r="K83" i="3"/>
  <c r="K84" i="3"/>
  <c r="K85" i="3"/>
  <c r="L85" i="3" s="1"/>
  <c r="N85" i="3" s="1"/>
  <c r="K86" i="3"/>
  <c r="K87" i="3"/>
  <c r="K88" i="3"/>
  <c r="L88" i="3" s="1"/>
  <c r="N88" i="3" s="1"/>
  <c r="K89" i="3"/>
  <c r="K90" i="3"/>
  <c r="K91" i="3"/>
  <c r="K92" i="3"/>
  <c r="K93" i="3"/>
  <c r="L93" i="3" s="1"/>
  <c r="N93" i="3" s="1"/>
  <c r="K94" i="3"/>
  <c r="K95" i="3"/>
  <c r="K96" i="3"/>
  <c r="L96" i="3" s="1"/>
  <c r="N96" i="3" s="1"/>
  <c r="K97" i="3"/>
  <c r="K98" i="3"/>
  <c r="K99" i="3"/>
  <c r="K100" i="3"/>
  <c r="K101" i="3"/>
  <c r="L101" i="3" s="1"/>
  <c r="K102" i="3"/>
  <c r="K103" i="3"/>
  <c r="K104" i="3"/>
  <c r="L104" i="3" s="1"/>
  <c r="N104" i="3" s="1"/>
  <c r="K105" i="3"/>
  <c r="K106" i="3"/>
  <c r="K107" i="3"/>
  <c r="K108" i="3"/>
  <c r="K109" i="3"/>
  <c r="L109" i="3" s="1"/>
  <c r="N109" i="3" s="1"/>
  <c r="K110" i="3"/>
  <c r="K111" i="3"/>
  <c r="K112" i="3"/>
  <c r="L112" i="3" s="1"/>
  <c r="N112" i="3" s="1"/>
  <c r="K113" i="3"/>
  <c r="K114" i="3"/>
  <c r="K115" i="3"/>
  <c r="K116" i="3"/>
  <c r="K117" i="3"/>
  <c r="L117" i="3" s="1"/>
  <c r="N117" i="3" s="1"/>
  <c r="K118" i="3"/>
  <c r="K119" i="3"/>
  <c r="K120" i="3"/>
  <c r="L120" i="3" s="1"/>
  <c r="N120" i="3" s="1"/>
  <c r="K121" i="3"/>
  <c r="K122" i="3"/>
  <c r="K123" i="3"/>
  <c r="K124" i="3"/>
  <c r="K125" i="3"/>
  <c r="L125" i="3" s="1"/>
  <c r="N125" i="3" s="1"/>
  <c r="K126" i="3"/>
  <c r="K127" i="3"/>
  <c r="K128" i="3"/>
  <c r="L128" i="3" s="1"/>
  <c r="K129" i="3"/>
  <c r="K130" i="3"/>
  <c r="K131" i="3"/>
  <c r="K132" i="3"/>
  <c r="K133" i="3"/>
  <c r="L133" i="3" s="1"/>
  <c r="N133" i="3" s="1"/>
  <c r="K134" i="3"/>
  <c r="K135" i="3"/>
  <c r="K136" i="3"/>
  <c r="L136" i="3" s="1"/>
  <c r="N136" i="3" s="1"/>
  <c r="K137" i="3"/>
  <c r="K138" i="3"/>
  <c r="K139" i="3"/>
  <c r="K140" i="3"/>
  <c r="K141" i="3"/>
  <c r="L141" i="3" s="1"/>
  <c r="K142" i="3"/>
  <c r="K143" i="3"/>
  <c r="K144" i="3"/>
  <c r="L144" i="3" s="1"/>
  <c r="N144" i="3" s="1"/>
  <c r="K145" i="3"/>
  <c r="K146" i="3"/>
  <c r="K147" i="3"/>
  <c r="K148" i="3"/>
  <c r="K149" i="3"/>
  <c r="L149" i="3" s="1"/>
  <c r="N149" i="3" s="1"/>
  <c r="K150" i="3"/>
  <c r="K151" i="3"/>
  <c r="K152" i="3"/>
  <c r="K153" i="3"/>
  <c r="K154" i="3"/>
  <c r="K155" i="3"/>
  <c r="K156" i="3"/>
  <c r="K157" i="3"/>
  <c r="L157" i="3" s="1"/>
  <c r="N157" i="3" s="1"/>
  <c r="K158" i="3"/>
  <c r="K159" i="3"/>
  <c r="K160" i="3"/>
  <c r="L160" i="3" s="1"/>
  <c r="N160" i="3" s="1"/>
  <c r="K161" i="3"/>
  <c r="K162" i="3"/>
  <c r="K163" i="3"/>
  <c r="K164" i="3"/>
  <c r="K165" i="3"/>
  <c r="L165" i="3" s="1"/>
  <c r="N165" i="3" s="1"/>
  <c r="K166" i="3"/>
  <c r="K167" i="3"/>
  <c r="K168" i="3"/>
  <c r="L168" i="3" s="1"/>
  <c r="N168" i="3" s="1"/>
  <c r="K169" i="3"/>
  <c r="K170" i="3"/>
  <c r="K171" i="3"/>
  <c r="K172" i="3"/>
  <c r="K173" i="3"/>
  <c r="L173" i="3" s="1"/>
  <c r="N173" i="3" s="1"/>
  <c r="K174" i="3"/>
  <c r="K175" i="3"/>
  <c r="K176" i="3"/>
  <c r="L176" i="3" s="1"/>
  <c r="N176" i="3" s="1"/>
  <c r="K177" i="3"/>
  <c r="K178" i="3"/>
  <c r="K179" i="3"/>
  <c r="K180" i="3"/>
  <c r="K181" i="3"/>
  <c r="L181" i="3" s="1"/>
  <c r="N181" i="3" s="1"/>
  <c r="K182" i="3"/>
  <c r="K183" i="3"/>
  <c r="K184" i="3"/>
  <c r="L184" i="3" s="1"/>
  <c r="N184" i="3" s="1"/>
  <c r="K185" i="3"/>
  <c r="K186" i="3"/>
  <c r="K187" i="3"/>
  <c r="K188" i="3"/>
  <c r="K189" i="3"/>
  <c r="L189" i="3" s="1"/>
  <c r="N189" i="3" s="1"/>
  <c r="K190" i="3"/>
  <c r="K191" i="3"/>
  <c r="K192" i="3"/>
  <c r="L192" i="3" s="1"/>
  <c r="N192" i="3" s="1"/>
  <c r="K193" i="3"/>
  <c r="K194" i="3"/>
  <c r="K195" i="3"/>
  <c r="K196" i="3"/>
  <c r="K197" i="3"/>
  <c r="L197" i="3" s="1"/>
  <c r="N197" i="3" s="1"/>
  <c r="K198" i="3"/>
  <c r="K199" i="3"/>
  <c r="K200" i="3"/>
  <c r="L200" i="3" s="1"/>
  <c r="N200" i="3" s="1"/>
  <c r="K201" i="3"/>
  <c r="K202" i="3"/>
  <c r="K203" i="3"/>
  <c r="K204" i="3"/>
  <c r="K205" i="3"/>
  <c r="L205" i="3" s="1"/>
  <c r="N205" i="3" s="1"/>
  <c r="K206" i="3"/>
  <c r="K207" i="3"/>
  <c r="K208" i="3"/>
  <c r="L208" i="3" s="1"/>
  <c r="N208" i="3" s="1"/>
  <c r="K209" i="3"/>
  <c r="K210" i="3"/>
  <c r="K211" i="3"/>
  <c r="K212" i="3"/>
  <c r="K213" i="3"/>
  <c r="L213" i="3" s="1"/>
  <c r="N213" i="3" s="1"/>
  <c r="K214" i="3"/>
  <c r="K215" i="3"/>
  <c r="K216" i="3"/>
  <c r="L216" i="3" s="1"/>
  <c r="N216" i="3" s="1"/>
  <c r="K217" i="3"/>
  <c r="K218" i="3"/>
  <c r="K219" i="3"/>
  <c r="K220" i="3"/>
  <c r="K221" i="3"/>
  <c r="L221" i="3" s="1"/>
  <c r="N221" i="3" s="1"/>
  <c r="K222" i="3"/>
  <c r="K223" i="3"/>
  <c r="K224" i="3"/>
  <c r="L224" i="3" s="1"/>
  <c r="N224" i="3" s="1"/>
  <c r="K225" i="3"/>
  <c r="K226" i="3"/>
  <c r="K227" i="3"/>
  <c r="K228" i="3"/>
  <c r="K229" i="3"/>
  <c r="L229" i="3" s="1"/>
  <c r="N229" i="3" s="1"/>
  <c r="K230" i="3"/>
  <c r="K231" i="3"/>
  <c r="K232" i="3"/>
  <c r="L232" i="3" s="1"/>
  <c r="N232" i="3" s="1"/>
  <c r="K233" i="3"/>
  <c r="K234" i="3"/>
  <c r="K235" i="3"/>
  <c r="K236" i="3"/>
  <c r="K237" i="3"/>
  <c r="L237" i="3" s="1"/>
  <c r="N237" i="3" s="1"/>
  <c r="K238" i="3"/>
  <c r="K239" i="3"/>
  <c r="K240" i="3"/>
  <c r="L240" i="3" s="1"/>
  <c r="N240" i="3" s="1"/>
  <c r="K241" i="3"/>
  <c r="K242" i="3"/>
  <c r="K243" i="3"/>
  <c r="K244" i="3"/>
  <c r="K245" i="3"/>
  <c r="L245" i="3" s="1"/>
  <c r="N245" i="3" s="1"/>
  <c r="K246" i="3"/>
  <c r="K247" i="3"/>
  <c r="K248" i="3"/>
  <c r="L248" i="3" s="1"/>
  <c r="N248" i="3" s="1"/>
  <c r="K249" i="3"/>
  <c r="K250" i="3"/>
  <c r="K251" i="3"/>
  <c r="K252" i="3"/>
  <c r="K253" i="3"/>
  <c r="L253" i="3" s="1"/>
  <c r="N253" i="3" s="1"/>
  <c r="K254" i="3"/>
  <c r="K255" i="3"/>
  <c r="K256" i="3"/>
  <c r="L256" i="3" s="1"/>
  <c r="N256" i="3" s="1"/>
  <c r="K257" i="3"/>
  <c r="K258" i="3"/>
  <c r="K259" i="3"/>
  <c r="K260" i="3"/>
  <c r="K261" i="3"/>
  <c r="L261" i="3" s="1"/>
  <c r="N261" i="3" s="1"/>
  <c r="K262" i="3"/>
  <c r="K263" i="3"/>
  <c r="K264" i="3"/>
  <c r="L264" i="3" s="1"/>
  <c r="N264" i="3" s="1"/>
  <c r="K265" i="3"/>
  <c r="K266" i="3"/>
  <c r="K267" i="3"/>
  <c r="K268" i="3"/>
  <c r="K269" i="3"/>
  <c r="L269" i="3" s="1"/>
  <c r="N269" i="3" s="1"/>
  <c r="K270" i="3"/>
  <c r="K271" i="3"/>
  <c r="K272" i="3"/>
  <c r="L272" i="3" s="1"/>
  <c r="N272" i="3" s="1"/>
  <c r="K273" i="3"/>
  <c r="K274" i="3"/>
  <c r="K275" i="3"/>
  <c r="K276" i="3"/>
  <c r="K277" i="3"/>
  <c r="L277" i="3" s="1"/>
  <c r="N277" i="3" s="1"/>
  <c r="K278" i="3"/>
  <c r="K279" i="3"/>
  <c r="K280" i="3"/>
  <c r="K281" i="3"/>
  <c r="K282" i="3"/>
  <c r="K283" i="3"/>
  <c r="K284" i="3"/>
  <c r="K285" i="3"/>
  <c r="L285" i="3" s="1"/>
  <c r="N285" i="3" s="1"/>
  <c r="K286" i="3"/>
  <c r="K287" i="3"/>
  <c r="K288" i="3"/>
  <c r="L288" i="3" s="1"/>
  <c r="N288" i="3" s="1"/>
  <c r="K289" i="3"/>
  <c r="K290" i="3"/>
  <c r="K291" i="3"/>
  <c r="K292" i="3"/>
  <c r="K293" i="3"/>
  <c r="L293" i="3" s="1"/>
  <c r="N293" i="3" s="1"/>
  <c r="K294" i="3"/>
  <c r="K295" i="3"/>
  <c r="K296" i="3"/>
  <c r="L296" i="3" s="1"/>
  <c r="N296" i="3" s="1"/>
  <c r="K297" i="3"/>
  <c r="K298" i="3"/>
  <c r="K299" i="3"/>
  <c r="K300" i="3"/>
  <c r="K301" i="3"/>
  <c r="L301" i="3" s="1"/>
  <c r="N301" i="3" s="1"/>
  <c r="K302" i="3"/>
  <c r="K303" i="3"/>
  <c r="K304" i="3"/>
  <c r="L304" i="3" s="1"/>
  <c r="N304" i="3" s="1"/>
  <c r="K305" i="3"/>
  <c r="K306" i="3"/>
  <c r="K307" i="3"/>
  <c r="K308" i="3"/>
  <c r="K309" i="3"/>
  <c r="L309" i="3" s="1"/>
  <c r="N309" i="3" s="1"/>
  <c r="K310" i="3"/>
  <c r="K311" i="3"/>
  <c r="K312" i="3"/>
  <c r="L312" i="3" s="1"/>
  <c r="N312" i="3" s="1"/>
  <c r="K313" i="3"/>
  <c r="K314" i="3"/>
  <c r="K315" i="3"/>
  <c r="K316" i="3"/>
  <c r="K317" i="3"/>
  <c r="L317" i="3" s="1"/>
  <c r="N317" i="3" s="1"/>
  <c r="K318" i="3"/>
  <c r="K319" i="3"/>
  <c r="L319" i="3" s="1"/>
  <c r="K320" i="3"/>
  <c r="L320" i="3" s="1"/>
  <c r="N320" i="3" s="1"/>
  <c r="K321" i="3"/>
  <c r="K322" i="3"/>
  <c r="K323" i="3"/>
  <c r="K324" i="3"/>
  <c r="K325" i="3"/>
  <c r="L325" i="3" s="1"/>
  <c r="N325" i="3" s="1"/>
  <c r="K326" i="3"/>
  <c r="K327" i="3"/>
  <c r="K328" i="3"/>
  <c r="K329" i="3"/>
  <c r="K330" i="3"/>
  <c r="K331" i="3"/>
  <c r="K332" i="3"/>
  <c r="K333" i="3"/>
  <c r="L333" i="3" s="1"/>
  <c r="N333" i="3" s="1"/>
  <c r="K334" i="3"/>
  <c r="K335" i="3"/>
  <c r="K336" i="3"/>
  <c r="L336" i="3" s="1"/>
  <c r="N336" i="3" s="1"/>
  <c r="K337" i="3"/>
  <c r="K338" i="3"/>
  <c r="K339" i="3"/>
  <c r="K340" i="3"/>
  <c r="K341" i="3"/>
  <c r="L341" i="3" s="1"/>
  <c r="N341" i="3" s="1"/>
  <c r="K342" i="3"/>
  <c r="K343" i="3"/>
  <c r="K344" i="3"/>
  <c r="L344" i="3" s="1"/>
  <c r="N344" i="3" s="1"/>
  <c r="K345" i="3"/>
  <c r="K346" i="3"/>
  <c r="K347" i="3"/>
  <c r="K348" i="3"/>
  <c r="K349" i="3"/>
  <c r="L349" i="3" s="1"/>
  <c r="N349" i="3" s="1"/>
  <c r="K350" i="3"/>
  <c r="K351" i="3"/>
  <c r="L351" i="3" s="1"/>
  <c r="K352" i="3"/>
  <c r="L352" i="3" s="1"/>
  <c r="N352" i="3" s="1"/>
  <c r="K353" i="3"/>
  <c r="K354" i="3"/>
  <c r="K355" i="3"/>
  <c r="K356" i="3"/>
  <c r="K357" i="3"/>
  <c r="L357" i="3" s="1"/>
  <c r="N357" i="3" s="1"/>
  <c r="K358" i="3"/>
  <c r="K359" i="3"/>
  <c r="K360" i="3"/>
  <c r="L360" i="3" s="1"/>
  <c r="N360" i="3" s="1"/>
  <c r="K361" i="3"/>
  <c r="K362" i="3"/>
  <c r="K363" i="3"/>
  <c r="K364" i="3"/>
  <c r="K365" i="3"/>
  <c r="L365" i="3" s="1"/>
  <c r="N365" i="3" s="1"/>
  <c r="K366" i="3"/>
  <c r="K367" i="3"/>
  <c r="K368" i="3"/>
  <c r="L368" i="3" s="1"/>
  <c r="N368" i="3" s="1"/>
  <c r="K369" i="3"/>
  <c r="K370" i="3"/>
  <c r="K371" i="3"/>
  <c r="K372" i="3"/>
  <c r="K373" i="3"/>
  <c r="L373" i="3" s="1"/>
  <c r="N373" i="3" s="1"/>
  <c r="K374" i="3"/>
  <c r="K375" i="3"/>
  <c r="K376" i="3"/>
  <c r="K377" i="3"/>
  <c r="K378" i="3"/>
  <c r="K379" i="3"/>
  <c r="K380" i="3"/>
  <c r="K381" i="3"/>
  <c r="L381" i="3" s="1"/>
  <c r="N381" i="3" s="1"/>
  <c r="K382" i="3"/>
  <c r="K383" i="3"/>
  <c r="L383" i="3" s="1"/>
  <c r="K384" i="3"/>
  <c r="L384" i="3" s="1"/>
  <c r="N384" i="3" s="1"/>
  <c r="K385" i="3"/>
  <c r="K386" i="3"/>
  <c r="K387" i="3"/>
  <c r="K388" i="3"/>
  <c r="K389" i="3"/>
  <c r="L389" i="3" s="1"/>
  <c r="N389" i="3" s="1"/>
  <c r="K390" i="3"/>
  <c r="K391" i="3"/>
  <c r="K392" i="3"/>
  <c r="L392" i="3" s="1"/>
  <c r="N392" i="3" s="1"/>
  <c r="K393" i="3"/>
  <c r="K394" i="3"/>
  <c r="K395" i="3"/>
  <c r="K396" i="3"/>
  <c r="K397" i="3"/>
  <c r="L397" i="3" s="1"/>
  <c r="N397" i="3" s="1"/>
  <c r="K398" i="3"/>
  <c r="K399" i="3"/>
  <c r="K400" i="3"/>
  <c r="K401" i="3"/>
  <c r="K402" i="3"/>
  <c r="K403" i="3"/>
  <c r="K404" i="3"/>
  <c r="K405" i="3"/>
  <c r="K406" i="3"/>
  <c r="K407" i="3"/>
  <c r="K408" i="3"/>
  <c r="L408" i="3" s="1"/>
  <c r="N408" i="3" s="1"/>
  <c r="K409" i="3"/>
  <c r="K410" i="3"/>
  <c r="K411" i="3"/>
  <c r="K412" i="3"/>
  <c r="K413" i="3"/>
  <c r="L413" i="3" s="1"/>
  <c r="K414" i="3"/>
  <c r="K415" i="3"/>
  <c r="L415" i="3" s="1"/>
  <c r="N415" i="3" s="1"/>
  <c r="K416" i="3"/>
  <c r="L416" i="3" s="1"/>
  <c r="N416" i="3" s="1"/>
  <c r="K417" i="3"/>
  <c r="K418" i="3"/>
  <c r="K419" i="3"/>
  <c r="K420" i="3"/>
  <c r="K421" i="3"/>
  <c r="L421" i="3" s="1"/>
  <c r="N421" i="3" s="1"/>
  <c r="K422" i="3"/>
  <c r="K423" i="3"/>
  <c r="K424" i="3"/>
  <c r="L424" i="3" s="1"/>
  <c r="N424" i="3" s="1"/>
  <c r="K425" i="3"/>
  <c r="K426" i="3"/>
  <c r="K427" i="3"/>
  <c r="K428" i="3"/>
  <c r="K429" i="3"/>
  <c r="L429" i="3" s="1"/>
  <c r="N429" i="3" s="1"/>
  <c r="K430" i="3"/>
  <c r="K431" i="3"/>
  <c r="K432" i="3"/>
  <c r="L432" i="3" s="1"/>
  <c r="N432" i="3" s="1"/>
  <c r="K433" i="3"/>
  <c r="K434" i="3"/>
  <c r="K435" i="3"/>
  <c r="K436" i="3"/>
  <c r="K437" i="3"/>
  <c r="L437" i="3" s="1"/>
  <c r="N437" i="3" s="1"/>
  <c r="K438" i="3"/>
  <c r="K439" i="3"/>
  <c r="K440" i="3"/>
  <c r="L440" i="3" s="1"/>
  <c r="N440" i="3" s="1"/>
  <c r="K441" i="3"/>
  <c r="K442" i="3"/>
  <c r="K443" i="3"/>
  <c r="K444" i="3"/>
  <c r="K445" i="3"/>
  <c r="L445" i="3" s="1"/>
  <c r="N445" i="3" s="1"/>
  <c r="K446" i="3"/>
  <c r="K447" i="3"/>
  <c r="L447" i="3" s="1"/>
  <c r="N447" i="3" s="1"/>
  <c r="K448" i="3"/>
  <c r="K449" i="3"/>
  <c r="K450" i="3"/>
  <c r="K451" i="3"/>
  <c r="K452" i="3"/>
  <c r="K453" i="3"/>
  <c r="L453" i="3" s="1"/>
  <c r="N453" i="3" s="1"/>
  <c r="K454" i="3"/>
  <c r="K455" i="3"/>
  <c r="K456" i="3"/>
  <c r="L456" i="3" s="1"/>
  <c r="N456" i="3" s="1"/>
  <c r="K457" i="3"/>
  <c r="K458" i="3"/>
  <c r="K459" i="3"/>
  <c r="K460" i="3"/>
  <c r="K461" i="3"/>
  <c r="L461" i="3" s="1"/>
  <c r="N461" i="3" s="1"/>
  <c r="K462" i="3"/>
  <c r="K463" i="3"/>
  <c r="K464" i="3"/>
  <c r="L464" i="3" s="1"/>
  <c r="N464" i="3" s="1"/>
  <c r="K465" i="3"/>
  <c r="K466" i="3"/>
  <c r="K467" i="3"/>
  <c r="K468" i="3"/>
  <c r="K469" i="3"/>
  <c r="L469" i="3" s="1"/>
  <c r="N469" i="3" s="1"/>
  <c r="K470" i="3"/>
  <c r="K471" i="3"/>
  <c r="K472" i="3"/>
  <c r="L472" i="3" s="1"/>
  <c r="N472" i="3" s="1"/>
  <c r="K473" i="3"/>
  <c r="K474" i="3"/>
  <c r="K475" i="3"/>
  <c r="K476" i="3"/>
  <c r="K477" i="3"/>
  <c r="L477" i="3" s="1"/>
  <c r="K478" i="3"/>
  <c r="K479" i="3"/>
  <c r="L479" i="3" s="1"/>
  <c r="K480" i="3"/>
  <c r="L480" i="3" s="1"/>
  <c r="N480" i="3" s="1"/>
  <c r="K481" i="3"/>
  <c r="K482" i="3"/>
  <c r="K483" i="3"/>
  <c r="K484" i="3"/>
  <c r="K485" i="3"/>
  <c r="L485" i="3" s="1"/>
  <c r="N485" i="3" s="1"/>
  <c r="K486" i="3"/>
  <c r="K487" i="3"/>
  <c r="K488" i="3"/>
  <c r="L488" i="3" s="1"/>
  <c r="N488" i="3" s="1"/>
  <c r="K489" i="3"/>
  <c r="K490" i="3"/>
  <c r="K491" i="3"/>
  <c r="K492" i="3"/>
  <c r="K493" i="3"/>
  <c r="K494" i="3"/>
  <c r="K495" i="3"/>
  <c r="K496" i="3"/>
  <c r="L496" i="3" s="1"/>
  <c r="N496" i="3" s="1"/>
  <c r="K497" i="3"/>
  <c r="K498" i="3"/>
  <c r="K499" i="3"/>
  <c r="K500" i="3"/>
  <c r="K501" i="3"/>
  <c r="L501" i="3" s="1"/>
  <c r="N501" i="3" s="1"/>
  <c r="K502" i="3"/>
  <c r="K503" i="3"/>
  <c r="K504" i="3"/>
  <c r="L504" i="3" s="1"/>
  <c r="N504" i="3" s="1"/>
  <c r="K505" i="3"/>
  <c r="K506" i="3"/>
  <c r="K507" i="3"/>
  <c r="K508" i="3"/>
  <c r="K509" i="3"/>
  <c r="L509" i="3" s="1"/>
  <c r="N509" i="3" s="1"/>
  <c r="K510" i="3"/>
  <c r="K511" i="3"/>
  <c r="K512" i="3"/>
  <c r="L512" i="3" s="1"/>
  <c r="N512" i="3" s="1"/>
  <c r="K513" i="3"/>
  <c r="K514" i="3"/>
  <c r="K515" i="3"/>
  <c r="K516" i="3"/>
  <c r="K517" i="3"/>
  <c r="L517" i="3" s="1"/>
  <c r="N517" i="3" s="1"/>
  <c r="K518" i="3"/>
  <c r="K519" i="3"/>
  <c r="L519" i="3" s="1"/>
  <c r="K520" i="3"/>
  <c r="L520" i="3" s="1"/>
  <c r="N520" i="3" s="1"/>
  <c r="K521" i="3"/>
  <c r="K522" i="3"/>
  <c r="K523" i="3"/>
  <c r="K524" i="3"/>
  <c r="K525" i="3"/>
  <c r="L525" i="3" s="1"/>
  <c r="N525" i="3" s="1"/>
  <c r="K526" i="3"/>
  <c r="K527" i="3"/>
  <c r="L527" i="3" s="1"/>
  <c r="N527" i="3" s="1"/>
  <c r="K528" i="3"/>
  <c r="L528" i="3" s="1"/>
  <c r="N528" i="3" s="1"/>
  <c r="K529" i="3"/>
  <c r="K530" i="3"/>
  <c r="K531" i="3"/>
  <c r="K532" i="3"/>
  <c r="K533" i="3"/>
  <c r="K534" i="3"/>
  <c r="K535" i="3"/>
  <c r="K536" i="3"/>
  <c r="L536" i="3" s="1"/>
  <c r="N536" i="3" s="1"/>
  <c r="K537" i="3"/>
  <c r="K538" i="3"/>
  <c r="K539" i="3"/>
  <c r="K540" i="3"/>
  <c r="K541" i="3"/>
  <c r="L541" i="3" s="1"/>
  <c r="K542" i="3"/>
  <c r="K543" i="3"/>
  <c r="K544" i="3"/>
  <c r="L544" i="3" s="1"/>
  <c r="N544" i="3" s="1"/>
  <c r="K545" i="3"/>
  <c r="K546" i="3"/>
  <c r="K547" i="3"/>
  <c r="K548" i="3"/>
  <c r="K549" i="3"/>
  <c r="L549" i="3" s="1"/>
  <c r="N549" i="3" s="1"/>
  <c r="K550" i="3"/>
  <c r="K551" i="3"/>
  <c r="L551" i="3" s="1"/>
  <c r="K552" i="3"/>
  <c r="L552" i="3" s="1"/>
  <c r="N552" i="3" s="1"/>
  <c r="K553" i="3"/>
  <c r="K554" i="3"/>
  <c r="K555" i="3"/>
  <c r="K556" i="3"/>
  <c r="K557" i="3"/>
  <c r="L557" i="3" s="1"/>
  <c r="N557" i="3" s="1"/>
  <c r="K558" i="3"/>
  <c r="K559" i="3"/>
  <c r="K560" i="3"/>
  <c r="L560" i="3" s="1"/>
  <c r="N560" i="3" s="1"/>
  <c r="K561" i="3"/>
  <c r="K562" i="3"/>
  <c r="K563" i="3"/>
  <c r="K564" i="3"/>
  <c r="K565" i="3"/>
  <c r="L565" i="3" s="1"/>
  <c r="N565" i="3" s="1"/>
  <c r="K566" i="3"/>
  <c r="K567" i="3"/>
  <c r="K568" i="3"/>
  <c r="K569" i="3"/>
  <c r="K570" i="3"/>
  <c r="K571" i="3"/>
  <c r="K572" i="3"/>
  <c r="K573" i="3"/>
  <c r="L573" i="3" s="1"/>
  <c r="N573" i="3" s="1"/>
  <c r="K574" i="3"/>
  <c r="K575" i="3"/>
  <c r="K576" i="3"/>
  <c r="L576" i="3" s="1"/>
  <c r="N576" i="3" s="1"/>
  <c r="K577" i="3"/>
  <c r="K578" i="3"/>
  <c r="K579" i="3"/>
  <c r="K580" i="3"/>
  <c r="K581" i="3"/>
  <c r="L581" i="3" s="1"/>
  <c r="N581" i="3" s="1"/>
  <c r="K582" i="3"/>
  <c r="K583" i="3"/>
  <c r="L583" i="3" s="1"/>
  <c r="K584" i="3"/>
  <c r="L584" i="3" s="1"/>
  <c r="N584" i="3" s="1"/>
  <c r="K585" i="3"/>
  <c r="K586" i="3"/>
  <c r="K587" i="3"/>
  <c r="K588" i="3"/>
  <c r="K589" i="3"/>
  <c r="L589" i="3" s="1"/>
  <c r="N589" i="3" s="1"/>
  <c r="K590" i="3"/>
  <c r="K591" i="3"/>
  <c r="K592" i="3"/>
  <c r="L592" i="3" s="1"/>
  <c r="N592" i="3" s="1"/>
  <c r="K593" i="3"/>
  <c r="K594" i="3"/>
  <c r="K595" i="3"/>
  <c r="K596" i="3"/>
  <c r="K597" i="3"/>
  <c r="L597" i="3" s="1"/>
  <c r="N597" i="3" s="1"/>
  <c r="K598" i="3"/>
  <c r="K599" i="3"/>
  <c r="L599" i="3" s="1"/>
  <c r="N599" i="3" s="1"/>
  <c r="K600" i="3"/>
  <c r="L600" i="3" s="1"/>
  <c r="N600" i="3" s="1"/>
  <c r="K601" i="3"/>
  <c r="K602" i="3"/>
  <c r="K603" i="3"/>
  <c r="K604" i="3"/>
  <c r="K605" i="3"/>
  <c r="L605" i="3" s="1"/>
  <c r="K606" i="3"/>
  <c r="K607" i="3"/>
  <c r="K608" i="3"/>
  <c r="L608" i="3" s="1"/>
  <c r="N608" i="3" s="1"/>
  <c r="K609" i="3"/>
  <c r="K610" i="3"/>
  <c r="K611" i="3"/>
  <c r="K612" i="3"/>
  <c r="K613" i="3"/>
  <c r="L613" i="3" s="1"/>
  <c r="N613" i="3" s="1"/>
  <c r="K614" i="3"/>
  <c r="K615" i="3"/>
  <c r="L615" i="3" s="1"/>
  <c r="K616" i="3"/>
  <c r="L616" i="3" s="1"/>
  <c r="N616" i="3" s="1"/>
  <c r="K617" i="3"/>
  <c r="K618" i="3"/>
  <c r="K619" i="3"/>
  <c r="K620" i="3"/>
  <c r="K621" i="3"/>
  <c r="L621" i="3" s="1"/>
  <c r="N621" i="3" s="1"/>
  <c r="K622" i="3"/>
  <c r="K623" i="3"/>
  <c r="L623" i="3" s="1"/>
  <c r="N623" i="3" s="1"/>
  <c r="K624" i="3"/>
  <c r="L624" i="3" s="1"/>
  <c r="N624" i="3" s="1"/>
  <c r="K625" i="3"/>
  <c r="K626" i="3"/>
  <c r="K627" i="3"/>
  <c r="K628" i="3"/>
  <c r="K629" i="3"/>
  <c r="L629" i="3" s="1"/>
  <c r="N629" i="3" s="1"/>
  <c r="K630" i="3"/>
  <c r="K631" i="3"/>
  <c r="K632" i="3"/>
  <c r="L632" i="3" s="1"/>
  <c r="N632" i="3" s="1"/>
  <c r="K633" i="3"/>
  <c r="K634" i="3"/>
  <c r="K635" i="3"/>
  <c r="K636" i="3"/>
  <c r="K637" i="3"/>
  <c r="L637" i="3" s="1"/>
  <c r="N637" i="3" s="1"/>
  <c r="K638" i="3"/>
  <c r="K639" i="3"/>
  <c r="K640" i="3"/>
  <c r="L640" i="3" s="1"/>
  <c r="N640" i="3" s="1"/>
  <c r="K641" i="3"/>
  <c r="K642" i="3"/>
  <c r="K643" i="3"/>
  <c r="K644" i="3"/>
  <c r="K645" i="3"/>
  <c r="L645" i="3" s="1"/>
  <c r="N645" i="3" s="1"/>
  <c r="K646" i="3"/>
  <c r="K647" i="3"/>
  <c r="K648" i="3"/>
  <c r="L648" i="3" s="1"/>
  <c r="N648" i="3" s="1"/>
  <c r="K649" i="3"/>
  <c r="K650" i="3"/>
  <c r="K651" i="3"/>
  <c r="K652" i="3"/>
  <c r="K653" i="3"/>
  <c r="L653" i="3" s="1"/>
  <c r="N653" i="3" s="1"/>
  <c r="K654" i="3"/>
  <c r="K655" i="3"/>
  <c r="L655" i="3" s="1"/>
  <c r="K656" i="3"/>
  <c r="L656" i="3" s="1"/>
  <c r="N656" i="3" s="1"/>
  <c r="K657" i="3"/>
  <c r="K658" i="3"/>
  <c r="K659" i="3"/>
  <c r="K660" i="3"/>
  <c r="K661" i="3"/>
  <c r="K662" i="3"/>
  <c r="K663" i="3"/>
  <c r="K664" i="3"/>
  <c r="L664" i="3" s="1"/>
  <c r="N664" i="3" s="1"/>
  <c r="K665" i="3"/>
  <c r="K666" i="3"/>
  <c r="K667" i="3"/>
  <c r="K668" i="3"/>
  <c r="K669" i="3"/>
  <c r="L669" i="3" s="1"/>
  <c r="N669" i="3" s="1"/>
  <c r="K670" i="3"/>
  <c r="K671" i="3"/>
  <c r="K672" i="3"/>
  <c r="L672" i="3" s="1"/>
  <c r="N672" i="3" s="1"/>
  <c r="K673" i="3"/>
  <c r="K674" i="3"/>
  <c r="K675" i="3"/>
  <c r="K676" i="3"/>
  <c r="K677" i="3"/>
  <c r="L677" i="3" s="1"/>
  <c r="N677" i="3" s="1"/>
  <c r="K678" i="3"/>
  <c r="K679" i="3"/>
  <c r="K680" i="3"/>
  <c r="K681" i="3"/>
  <c r="K682" i="3"/>
  <c r="K683" i="3"/>
  <c r="K684" i="3"/>
  <c r="K685" i="3"/>
  <c r="L685" i="3" s="1"/>
  <c r="N685" i="3" s="1"/>
  <c r="K686" i="3"/>
  <c r="K687" i="3"/>
  <c r="L687" i="3" s="1"/>
  <c r="K688" i="3"/>
  <c r="L688" i="3" s="1"/>
  <c r="N688" i="3" s="1"/>
  <c r="K689" i="3"/>
  <c r="K690" i="3"/>
  <c r="K691" i="3"/>
  <c r="K692" i="3"/>
  <c r="K693" i="3"/>
  <c r="L693" i="3" s="1"/>
  <c r="N693" i="3" s="1"/>
  <c r="K694" i="3"/>
  <c r="K695" i="3"/>
  <c r="L695" i="3" s="1"/>
  <c r="N695" i="3" s="1"/>
  <c r="K696" i="3"/>
  <c r="L696" i="3" s="1"/>
  <c r="N696" i="3" s="1"/>
  <c r="K697" i="3"/>
  <c r="K698" i="3"/>
  <c r="K699" i="3"/>
  <c r="K700" i="3"/>
  <c r="K701" i="3"/>
  <c r="L701" i="3" s="1"/>
  <c r="N701" i="3" s="1"/>
  <c r="K702" i="3"/>
  <c r="K703" i="3"/>
  <c r="L703" i="3" s="1"/>
  <c r="N703" i="3" s="1"/>
  <c r="K704" i="3"/>
  <c r="L704" i="3" s="1"/>
  <c r="N704" i="3" s="1"/>
  <c r="K705" i="3"/>
  <c r="K706" i="3"/>
  <c r="K707" i="3"/>
  <c r="K708" i="3"/>
  <c r="K709" i="3"/>
  <c r="L709" i="3" s="1"/>
  <c r="N709" i="3" s="1"/>
  <c r="K710" i="3"/>
  <c r="K711" i="3"/>
  <c r="L711" i="3" s="1"/>
  <c r="N711" i="3" s="1"/>
  <c r="K712" i="3"/>
  <c r="L712" i="3" s="1"/>
  <c r="N712" i="3" s="1"/>
  <c r="K713" i="3"/>
  <c r="K714" i="3"/>
  <c r="K715" i="3"/>
  <c r="K716" i="3"/>
  <c r="K717" i="3"/>
  <c r="L717" i="3" s="1"/>
  <c r="N717" i="3" s="1"/>
  <c r="K718" i="3"/>
  <c r="K719" i="3"/>
  <c r="L719" i="3" s="1"/>
  <c r="K720" i="3"/>
  <c r="L720" i="3" s="1"/>
  <c r="N720" i="3" s="1"/>
  <c r="K721" i="3"/>
  <c r="K722" i="3"/>
  <c r="K723" i="3"/>
  <c r="K724" i="3"/>
  <c r="K725" i="3"/>
  <c r="L725" i="3" s="1"/>
  <c r="N725" i="3" s="1"/>
  <c r="K726" i="3"/>
  <c r="K727" i="3"/>
  <c r="L727" i="3" s="1"/>
  <c r="N727" i="3" s="1"/>
  <c r="K728" i="3"/>
  <c r="L728" i="3" s="1"/>
  <c r="N728" i="3" s="1"/>
  <c r="K729" i="3"/>
  <c r="K730" i="3"/>
  <c r="K731" i="3"/>
  <c r="K732" i="3"/>
  <c r="K733" i="3"/>
  <c r="L733" i="3" s="1"/>
  <c r="N733" i="3" s="1"/>
  <c r="K734" i="3"/>
  <c r="K735" i="3"/>
  <c r="L735" i="3" s="1"/>
  <c r="N735" i="3" s="1"/>
  <c r="K736" i="3"/>
  <c r="L736" i="3" s="1"/>
  <c r="N736" i="3" s="1"/>
  <c r="K737" i="3"/>
  <c r="K738" i="3"/>
  <c r="K739" i="3"/>
  <c r="K740" i="3"/>
  <c r="L740" i="3" s="1"/>
  <c r="N740" i="3" s="1"/>
  <c r="K741" i="3"/>
  <c r="L741" i="3" s="1"/>
  <c r="N741" i="3" s="1"/>
  <c r="K742" i="3"/>
  <c r="K743" i="3"/>
  <c r="K744" i="3"/>
  <c r="L744" i="3" s="1"/>
  <c r="N744" i="3" s="1"/>
  <c r="K745" i="3"/>
  <c r="K746" i="3"/>
  <c r="K747" i="3"/>
  <c r="K748" i="3"/>
  <c r="K749" i="3"/>
  <c r="L749" i="3" s="1"/>
  <c r="N749" i="3" s="1"/>
  <c r="K750" i="3"/>
  <c r="K751" i="3"/>
  <c r="L751" i="3" s="1"/>
  <c r="K752" i="3"/>
  <c r="L752" i="3" s="1"/>
  <c r="N752" i="3" s="1"/>
  <c r="K753" i="3"/>
  <c r="K754" i="3"/>
  <c r="K755" i="3"/>
  <c r="K756" i="3"/>
  <c r="K757" i="3"/>
  <c r="L757" i="3" s="1"/>
  <c r="N757" i="3" s="1"/>
  <c r="K758" i="3"/>
  <c r="K759" i="3"/>
  <c r="K760" i="3"/>
  <c r="L760" i="3" s="1"/>
  <c r="N760" i="3" s="1"/>
  <c r="K761" i="3"/>
  <c r="L761" i="3" s="1"/>
  <c r="K762" i="3"/>
  <c r="K763" i="3"/>
  <c r="K764" i="3"/>
  <c r="K765" i="3"/>
  <c r="L765" i="3" s="1"/>
  <c r="N765" i="3" s="1"/>
  <c r="K766" i="3"/>
  <c r="K767" i="3"/>
  <c r="L767" i="3" s="1"/>
  <c r="N767" i="3" s="1"/>
  <c r="K768" i="3"/>
  <c r="L768" i="3" s="1"/>
  <c r="N768" i="3" s="1"/>
  <c r="K769" i="3"/>
  <c r="K770" i="3"/>
  <c r="K771" i="3"/>
  <c r="K772" i="3"/>
  <c r="K773" i="3"/>
  <c r="L773" i="3" s="1"/>
  <c r="N773" i="3" s="1"/>
  <c r="K774" i="3"/>
  <c r="K775" i="3"/>
  <c r="L775" i="3" s="1"/>
  <c r="N775" i="3" s="1"/>
  <c r="K776" i="3"/>
  <c r="L776" i="3" s="1"/>
  <c r="N776" i="3" s="1"/>
  <c r="K777" i="3"/>
  <c r="K778" i="3"/>
  <c r="K779" i="3"/>
  <c r="K780" i="3"/>
  <c r="K781" i="3"/>
  <c r="L781" i="3" s="1"/>
  <c r="N781" i="3" s="1"/>
  <c r="K782" i="3"/>
  <c r="K783" i="3"/>
  <c r="L783" i="3" s="1"/>
  <c r="K784" i="3"/>
  <c r="K785" i="3"/>
  <c r="K786" i="3"/>
  <c r="K787" i="3"/>
  <c r="K788" i="3"/>
  <c r="K789" i="3"/>
  <c r="L789" i="3" s="1"/>
  <c r="N789" i="3" s="1"/>
  <c r="K790" i="3"/>
  <c r="K791" i="3"/>
  <c r="L791" i="3" s="1"/>
  <c r="N791" i="3" s="1"/>
  <c r="K792" i="3"/>
  <c r="L792" i="3" s="1"/>
  <c r="N792" i="3" s="1"/>
  <c r="K793" i="3"/>
  <c r="L793" i="3" s="1"/>
  <c r="K794" i="3"/>
  <c r="K795" i="3"/>
  <c r="K796" i="3"/>
  <c r="K797" i="3"/>
  <c r="L797" i="3" s="1"/>
  <c r="N797" i="3" s="1"/>
  <c r="K798" i="3"/>
  <c r="K799" i="3"/>
  <c r="L799" i="3" s="1"/>
  <c r="N799" i="3" s="1"/>
  <c r="K800" i="3"/>
  <c r="L800" i="3" s="1"/>
  <c r="N800" i="3" s="1"/>
  <c r="K801" i="3"/>
  <c r="K802" i="3"/>
  <c r="K803" i="3"/>
  <c r="K804" i="3"/>
  <c r="L804" i="3" s="1"/>
  <c r="N804" i="3" s="1"/>
  <c r="K805" i="3"/>
  <c r="L805" i="3" s="1"/>
  <c r="N805" i="3" s="1"/>
  <c r="K806" i="3"/>
  <c r="K807" i="3"/>
  <c r="K808" i="3"/>
  <c r="L808" i="3" s="1"/>
  <c r="N808" i="3" s="1"/>
  <c r="K809" i="3"/>
  <c r="K810" i="3"/>
  <c r="K811" i="3"/>
  <c r="K812" i="3"/>
  <c r="K813" i="3"/>
  <c r="L813" i="3" s="1"/>
  <c r="N813" i="3" s="1"/>
  <c r="K814" i="3"/>
  <c r="K815" i="3"/>
  <c r="L815" i="3" s="1"/>
  <c r="N815" i="3" s="1"/>
  <c r="K816" i="3"/>
  <c r="L816" i="3" s="1"/>
  <c r="N816" i="3" s="1"/>
  <c r="K817" i="3"/>
  <c r="K818" i="3"/>
  <c r="K819" i="3"/>
  <c r="K820" i="3"/>
  <c r="K821" i="3"/>
  <c r="L821" i="3" s="1"/>
  <c r="N821" i="3" s="1"/>
  <c r="K822" i="3"/>
  <c r="K823" i="3"/>
  <c r="L823" i="3" s="1"/>
  <c r="N823" i="3" s="1"/>
  <c r="K824" i="3"/>
  <c r="L824" i="3" s="1"/>
  <c r="N824" i="3" s="1"/>
  <c r="K825" i="3"/>
  <c r="K826" i="3"/>
  <c r="K827" i="3"/>
  <c r="K828" i="3"/>
  <c r="K829" i="3"/>
  <c r="L829" i="3" s="1"/>
  <c r="N829" i="3" s="1"/>
  <c r="K830" i="3"/>
  <c r="K831" i="3"/>
  <c r="K832" i="3"/>
  <c r="L832" i="3" s="1"/>
  <c r="N832" i="3" s="1"/>
  <c r="K833" i="3"/>
  <c r="K834" i="3"/>
  <c r="K835" i="3"/>
  <c r="K836" i="3"/>
  <c r="K837" i="3"/>
  <c r="L837" i="3" s="1"/>
  <c r="N837" i="3" s="1"/>
  <c r="K838" i="3"/>
  <c r="K839" i="3"/>
  <c r="L839" i="3" s="1"/>
  <c r="N839" i="3" s="1"/>
  <c r="K840" i="3"/>
  <c r="L840" i="3" s="1"/>
  <c r="N840" i="3" s="1"/>
  <c r="K841" i="3"/>
  <c r="K842" i="3"/>
  <c r="K843" i="3"/>
  <c r="K844" i="3"/>
  <c r="K845" i="3"/>
  <c r="L845" i="3" s="1"/>
  <c r="N845" i="3" s="1"/>
  <c r="K846" i="3"/>
  <c r="K847" i="3"/>
  <c r="K848" i="3"/>
  <c r="L848" i="3" s="1"/>
  <c r="N848" i="3" s="1"/>
  <c r="K849" i="3"/>
  <c r="K850" i="3"/>
  <c r="K851" i="3"/>
  <c r="K852" i="3"/>
  <c r="K853" i="3"/>
  <c r="L853" i="3" s="1"/>
  <c r="N853" i="3" s="1"/>
  <c r="K854" i="3"/>
  <c r="K855" i="3"/>
  <c r="K856" i="3"/>
  <c r="L856" i="3" s="1"/>
  <c r="N856" i="3" s="1"/>
  <c r="K857" i="3"/>
  <c r="K858" i="3"/>
  <c r="K859" i="3"/>
  <c r="K860" i="3"/>
  <c r="K861" i="3"/>
  <c r="L861" i="3" s="1"/>
  <c r="N861" i="3" s="1"/>
  <c r="K862" i="3"/>
  <c r="K863" i="3"/>
  <c r="L863" i="3" s="1"/>
  <c r="N863" i="3" s="1"/>
  <c r="K864" i="3"/>
  <c r="L864" i="3" s="1"/>
  <c r="N864" i="3" s="1"/>
  <c r="K865" i="3"/>
  <c r="K866" i="3"/>
  <c r="K867" i="3"/>
  <c r="K868" i="3"/>
  <c r="L868" i="3" s="1"/>
  <c r="N868" i="3" s="1"/>
  <c r="K869" i="3"/>
  <c r="L869" i="3" s="1"/>
  <c r="N869" i="3" s="1"/>
  <c r="K870" i="3"/>
  <c r="K871" i="3"/>
  <c r="L871" i="3" s="1"/>
  <c r="N871" i="3" s="1"/>
  <c r="K872" i="3"/>
  <c r="L872" i="3" s="1"/>
  <c r="N872" i="3" s="1"/>
  <c r="K873" i="3"/>
  <c r="K874" i="3"/>
  <c r="K875" i="3"/>
  <c r="K876" i="3"/>
  <c r="K877" i="3"/>
  <c r="L877" i="3" s="1"/>
  <c r="N877" i="3" s="1"/>
  <c r="K878" i="3"/>
  <c r="K879" i="3"/>
  <c r="L879" i="3" s="1"/>
  <c r="N879" i="3" s="1"/>
  <c r="K880" i="3"/>
  <c r="L880" i="3" s="1"/>
  <c r="N880" i="3" s="1"/>
  <c r="K881" i="3"/>
  <c r="K882" i="3"/>
  <c r="K883" i="3"/>
  <c r="K884" i="3"/>
  <c r="K885" i="3"/>
  <c r="L885" i="3" s="1"/>
  <c r="N885" i="3" s="1"/>
  <c r="K886" i="3"/>
  <c r="K887" i="3"/>
  <c r="L887" i="3" s="1"/>
  <c r="N887" i="3" s="1"/>
  <c r="K888" i="3"/>
  <c r="L888" i="3" s="1"/>
  <c r="N888" i="3" s="1"/>
  <c r="K889" i="3"/>
  <c r="K890" i="3"/>
  <c r="K891" i="3"/>
  <c r="K892" i="3"/>
  <c r="K893" i="3"/>
  <c r="L893" i="3" s="1"/>
  <c r="N893" i="3" s="1"/>
  <c r="K894" i="3"/>
  <c r="K895" i="3"/>
  <c r="L895" i="3" s="1"/>
  <c r="N895" i="3" s="1"/>
  <c r="K896" i="3"/>
  <c r="L896" i="3" s="1"/>
  <c r="N896" i="3" s="1"/>
  <c r="K897" i="3"/>
  <c r="L897" i="3" s="1"/>
  <c r="K898" i="3"/>
  <c r="K899" i="3"/>
  <c r="K900" i="3"/>
  <c r="K901" i="3"/>
  <c r="L901" i="3" s="1"/>
  <c r="N901" i="3" s="1"/>
  <c r="K902" i="3"/>
  <c r="K903" i="3"/>
  <c r="L903" i="3" s="1"/>
  <c r="N903" i="3" s="1"/>
  <c r="K904" i="3"/>
  <c r="L904" i="3" s="1"/>
  <c r="N904" i="3" s="1"/>
  <c r="K905" i="3"/>
  <c r="K906" i="3"/>
  <c r="K907" i="3"/>
  <c r="K908" i="3"/>
  <c r="K909" i="3"/>
  <c r="L909" i="3" s="1"/>
  <c r="N909" i="3" s="1"/>
  <c r="K910" i="3"/>
  <c r="K911" i="3"/>
  <c r="K912" i="3"/>
  <c r="K913" i="3"/>
  <c r="K914" i="3"/>
  <c r="K915" i="3"/>
  <c r="K916" i="3"/>
  <c r="K917" i="3"/>
  <c r="L917" i="3" s="1"/>
  <c r="N917" i="3" s="1"/>
  <c r="K918" i="3"/>
  <c r="K919" i="3"/>
  <c r="L919" i="3" s="1"/>
  <c r="K920" i="3"/>
  <c r="L920" i="3" s="1"/>
  <c r="N920" i="3" s="1"/>
  <c r="K921" i="3"/>
  <c r="K922" i="3"/>
  <c r="K923" i="3"/>
  <c r="K924" i="3"/>
  <c r="K925" i="3"/>
  <c r="L925" i="3" s="1"/>
  <c r="N925" i="3" s="1"/>
  <c r="K926" i="3"/>
  <c r="K927" i="3"/>
  <c r="K928" i="3"/>
  <c r="L928" i="3" s="1"/>
  <c r="N928" i="3" s="1"/>
  <c r="K929" i="3"/>
  <c r="L929" i="3" s="1"/>
  <c r="K930" i="3"/>
  <c r="K931" i="3"/>
  <c r="K932" i="3"/>
  <c r="L932" i="3" s="1"/>
  <c r="N932" i="3" s="1"/>
  <c r="K933" i="3"/>
  <c r="L933" i="3" s="1"/>
  <c r="N933" i="3" s="1"/>
  <c r="K934" i="3"/>
  <c r="K935" i="3"/>
  <c r="K936" i="3"/>
  <c r="L936" i="3" s="1"/>
  <c r="N936" i="3" s="1"/>
  <c r="K937" i="3"/>
  <c r="K938" i="3"/>
  <c r="K939" i="3"/>
  <c r="K940" i="3"/>
  <c r="K941" i="3"/>
  <c r="L941" i="3" s="1"/>
  <c r="N941" i="3" s="1"/>
  <c r="K942" i="3"/>
  <c r="K943" i="3"/>
  <c r="L943" i="3" s="1"/>
  <c r="N943" i="3" s="1"/>
  <c r="K944" i="3"/>
  <c r="L944" i="3" s="1"/>
  <c r="N944" i="3" s="1"/>
  <c r="K945" i="3"/>
  <c r="K946" i="3"/>
  <c r="K947" i="3"/>
  <c r="K948" i="3"/>
  <c r="K949" i="3"/>
  <c r="L949" i="3" s="1"/>
  <c r="N949" i="3" s="1"/>
  <c r="K950" i="3"/>
  <c r="K951" i="3"/>
  <c r="K952" i="3"/>
  <c r="L952" i="3" s="1"/>
  <c r="N952" i="3" s="1"/>
  <c r="K953" i="3"/>
  <c r="L953" i="3" s="1"/>
  <c r="N953" i="3" s="1"/>
  <c r="K954" i="3"/>
  <c r="K955" i="3"/>
  <c r="K956" i="3"/>
  <c r="K957" i="3"/>
  <c r="L957" i="3" s="1"/>
  <c r="N957" i="3" s="1"/>
  <c r="K958" i="3"/>
  <c r="K959" i="3"/>
  <c r="K960" i="3"/>
  <c r="L960" i="3" s="1"/>
  <c r="N960" i="3" s="1"/>
  <c r="K961" i="3"/>
  <c r="K962" i="3"/>
  <c r="K963" i="3"/>
  <c r="K964" i="3"/>
  <c r="K965" i="3"/>
  <c r="L965" i="3" s="1"/>
  <c r="N965" i="3" s="1"/>
  <c r="K966" i="3"/>
  <c r="K967" i="3"/>
  <c r="L967" i="3" s="1"/>
  <c r="N967" i="3" s="1"/>
  <c r="K968" i="3"/>
  <c r="L968" i="3" s="1"/>
  <c r="N968" i="3" s="1"/>
  <c r="K969" i="3"/>
  <c r="K970" i="3"/>
  <c r="K971" i="3"/>
  <c r="K972" i="3"/>
  <c r="K973" i="3"/>
  <c r="L973" i="3" s="1"/>
  <c r="N973" i="3" s="1"/>
  <c r="K974" i="3"/>
  <c r="K975" i="3"/>
  <c r="K976" i="3"/>
  <c r="L976" i="3" s="1"/>
  <c r="N976" i="3" s="1"/>
  <c r="K977" i="3"/>
  <c r="L977" i="3" s="1"/>
  <c r="N977" i="3" s="1"/>
  <c r="K978" i="3"/>
  <c r="K979" i="3"/>
  <c r="K980" i="3"/>
  <c r="K981" i="3"/>
  <c r="L981" i="3" s="1"/>
  <c r="N981" i="3" s="1"/>
  <c r="K982" i="3"/>
  <c r="K983" i="3"/>
  <c r="K984" i="3"/>
  <c r="L984" i="3" s="1"/>
  <c r="N984" i="3" s="1"/>
  <c r="K985" i="3"/>
  <c r="K986" i="3"/>
  <c r="K987" i="3"/>
  <c r="K988" i="3"/>
  <c r="K989" i="3"/>
  <c r="L989" i="3" s="1"/>
  <c r="N989" i="3" s="1"/>
  <c r="K990" i="3"/>
  <c r="K991" i="3"/>
  <c r="L991" i="3" s="1"/>
  <c r="N991" i="3" s="1"/>
  <c r="K992" i="3"/>
  <c r="L992" i="3" s="1"/>
  <c r="N992" i="3" s="1"/>
  <c r="K993" i="3"/>
  <c r="K994" i="3"/>
  <c r="K995" i="3"/>
  <c r="K996" i="3"/>
  <c r="K997" i="3"/>
  <c r="L997" i="3" s="1"/>
  <c r="N997" i="3" s="1"/>
  <c r="K998" i="3"/>
  <c r="K999" i="3"/>
  <c r="L999" i="3" s="1"/>
  <c r="N999" i="3" s="1"/>
  <c r="K1000" i="3"/>
  <c r="L1000" i="3" s="1"/>
  <c r="N1000" i="3" s="1"/>
  <c r="L59" i="3"/>
  <c r="N59" i="3" s="1"/>
  <c r="L63" i="3"/>
  <c r="L65" i="3"/>
  <c r="N65" i="3" s="1"/>
  <c r="L66" i="3"/>
  <c r="N66" i="3" s="1"/>
  <c r="L67" i="3"/>
  <c r="N67" i="3" s="1"/>
  <c r="L71" i="3"/>
  <c r="N71" i="3" s="1"/>
  <c r="L73" i="3"/>
  <c r="N73" i="3" s="1"/>
  <c r="L75" i="3"/>
  <c r="N75" i="3" s="1"/>
  <c r="L79" i="3"/>
  <c r="N79" i="3" s="1"/>
  <c r="L81" i="3"/>
  <c r="N81" i="3" s="1"/>
  <c r="L83" i="3"/>
  <c r="N83" i="3" s="1"/>
  <c r="L87" i="3"/>
  <c r="N87" i="3" s="1"/>
  <c r="L89" i="3"/>
  <c r="N89" i="3" s="1"/>
  <c r="L91" i="3"/>
  <c r="N91" i="3" s="1"/>
  <c r="L94" i="3"/>
  <c r="N94" i="3" s="1"/>
  <c r="L95" i="3"/>
  <c r="L97" i="3"/>
  <c r="N97" i="3" s="1"/>
  <c r="L99" i="3"/>
  <c r="L103" i="3"/>
  <c r="N103" i="3" s="1"/>
  <c r="L105" i="3"/>
  <c r="N105" i="3" s="1"/>
  <c r="L107" i="3"/>
  <c r="N107" i="3" s="1"/>
  <c r="L111" i="3"/>
  <c r="L113" i="3"/>
  <c r="N113" i="3" s="1"/>
  <c r="L115" i="3"/>
  <c r="L119" i="3"/>
  <c r="N119" i="3" s="1"/>
  <c r="L121" i="3"/>
  <c r="N121" i="3" s="1"/>
  <c r="L123" i="3"/>
  <c r="N123" i="3" s="1"/>
  <c r="L127" i="3"/>
  <c r="L129" i="3"/>
  <c r="N129" i="3" s="1"/>
  <c r="L131" i="3"/>
  <c r="L135" i="3"/>
  <c r="N135" i="3" s="1"/>
  <c r="L137" i="3"/>
  <c r="N137" i="3" s="1"/>
  <c r="L139" i="3"/>
  <c r="N139" i="3" s="1"/>
  <c r="L143" i="3"/>
  <c r="L145" i="3"/>
  <c r="N145" i="3" s="1"/>
  <c r="L147" i="3"/>
  <c r="N147" i="3" s="1"/>
  <c r="L151" i="3"/>
  <c r="N151" i="3" s="1"/>
  <c r="L152" i="3"/>
  <c r="N152" i="3" s="1"/>
  <c r="L153" i="3"/>
  <c r="N153" i="3" s="1"/>
  <c r="L155" i="3"/>
  <c r="N155" i="3" s="1"/>
  <c r="L159" i="3"/>
  <c r="N159" i="3" s="1"/>
  <c r="L161" i="3"/>
  <c r="L163" i="3"/>
  <c r="N163" i="3" s="1"/>
  <c r="L167" i="3"/>
  <c r="N167" i="3" s="1"/>
  <c r="L169" i="3"/>
  <c r="L171" i="3"/>
  <c r="N171" i="3" s="1"/>
  <c r="L175" i="3"/>
  <c r="N175" i="3" s="1"/>
  <c r="L177" i="3"/>
  <c r="N177" i="3" s="1"/>
  <c r="L179" i="3"/>
  <c r="N179" i="3" s="1"/>
  <c r="L183" i="3"/>
  <c r="N183" i="3" s="1"/>
  <c r="L185" i="3"/>
  <c r="N185" i="3" s="1"/>
  <c r="L187" i="3"/>
  <c r="N187" i="3" s="1"/>
  <c r="L191" i="3"/>
  <c r="L193" i="3"/>
  <c r="L195" i="3"/>
  <c r="N195" i="3" s="1"/>
  <c r="L199" i="3"/>
  <c r="N199" i="3" s="1"/>
  <c r="L201" i="3"/>
  <c r="L203" i="3"/>
  <c r="N203" i="3" s="1"/>
  <c r="L207" i="3"/>
  <c r="N207" i="3" s="1"/>
  <c r="L209" i="3"/>
  <c r="N209" i="3" s="1"/>
  <c r="L211" i="3"/>
  <c r="N211" i="3" s="1"/>
  <c r="L215" i="3"/>
  <c r="N215" i="3" s="1"/>
  <c r="L217" i="3"/>
  <c r="N217" i="3" s="1"/>
  <c r="L219" i="3"/>
  <c r="N219" i="3" s="1"/>
  <c r="L222" i="3"/>
  <c r="N222" i="3" s="1"/>
  <c r="L223" i="3"/>
  <c r="L225" i="3"/>
  <c r="N225" i="3" s="1"/>
  <c r="L227" i="3"/>
  <c r="N227" i="3" s="1"/>
  <c r="L231" i="3"/>
  <c r="N231" i="3" s="1"/>
  <c r="L233" i="3"/>
  <c r="N233" i="3" s="1"/>
  <c r="L235" i="3"/>
  <c r="N235" i="3" s="1"/>
  <c r="L239" i="3"/>
  <c r="N239" i="3" s="1"/>
  <c r="L241" i="3"/>
  <c r="N241" i="3" s="1"/>
  <c r="L243" i="3"/>
  <c r="N243" i="3" s="1"/>
  <c r="L247" i="3"/>
  <c r="L249" i="3"/>
  <c r="L251" i="3"/>
  <c r="N251" i="3" s="1"/>
  <c r="L255" i="3"/>
  <c r="N255" i="3" s="1"/>
  <c r="L257" i="3"/>
  <c r="N257" i="3" s="1"/>
  <c r="L259" i="3"/>
  <c r="N259" i="3" s="1"/>
  <c r="L263" i="3"/>
  <c r="N263" i="3" s="1"/>
  <c r="L265" i="3"/>
  <c r="L267" i="3"/>
  <c r="N267" i="3" s="1"/>
  <c r="L271" i="3"/>
  <c r="N271" i="3" s="1"/>
  <c r="L273" i="3"/>
  <c r="N273" i="3" s="1"/>
  <c r="L275" i="3"/>
  <c r="N275" i="3" s="1"/>
  <c r="L279" i="3"/>
  <c r="N279" i="3" s="1"/>
  <c r="L280" i="3"/>
  <c r="N280" i="3" s="1"/>
  <c r="L281" i="3"/>
  <c r="L283" i="3"/>
  <c r="N283" i="3" s="1"/>
  <c r="L287" i="3"/>
  <c r="N287" i="3" s="1"/>
  <c r="L289" i="3"/>
  <c r="N289" i="3" s="1"/>
  <c r="L291" i="3"/>
  <c r="N291" i="3" s="1"/>
  <c r="L295" i="3"/>
  <c r="N295" i="3" s="1"/>
  <c r="L297" i="3"/>
  <c r="L299" i="3"/>
  <c r="N299" i="3" s="1"/>
  <c r="L303" i="3"/>
  <c r="N303" i="3" s="1"/>
  <c r="L305" i="3"/>
  <c r="N305" i="3" s="1"/>
  <c r="L307" i="3"/>
  <c r="L311" i="3"/>
  <c r="N311" i="3" s="1"/>
  <c r="L313" i="3"/>
  <c r="N313" i="3" s="1"/>
  <c r="L315" i="3"/>
  <c r="N315" i="3" s="1"/>
  <c r="L321" i="3"/>
  <c r="N321" i="3" s="1"/>
  <c r="L323" i="3"/>
  <c r="N323" i="3" s="1"/>
  <c r="L327" i="3"/>
  <c r="N327" i="3" s="1"/>
  <c r="L328" i="3"/>
  <c r="N328" i="3" s="1"/>
  <c r="L329" i="3"/>
  <c r="L331" i="3"/>
  <c r="N331" i="3" s="1"/>
  <c r="L335" i="3"/>
  <c r="N335" i="3" s="1"/>
  <c r="L337" i="3"/>
  <c r="N337" i="3" s="1"/>
  <c r="L339" i="3"/>
  <c r="N339" i="3" s="1"/>
  <c r="L343" i="3"/>
  <c r="N343" i="3" s="1"/>
  <c r="L345" i="3"/>
  <c r="L347" i="3"/>
  <c r="N347" i="3" s="1"/>
  <c r="L353" i="3"/>
  <c r="N353" i="3" s="1"/>
  <c r="L355" i="3"/>
  <c r="N355" i="3" s="1"/>
  <c r="L359" i="3"/>
  <c r="N359" i="3" s="1"/>
  <c r="L361" i="3"/>
  <c r="N361" i="3" s="1"/>
  <c r="L363" i="3"/>
  <c r="N363" i="3" s="1"/>
  <c r="L367" i="3"/>
  <c r="N367" i="3" s="1"/>
  <c r="L369" i="3"/>
  <c r="N369" i="3" s="1"/>
  <c r="L371" i="3"/>
  <c r="N371" i="3" s="1"/>
  <c r="L375" i="3"/>
  <c r="N375" i="3" s="1"/>
  <c r="L376" i="3"/>
  <c r="N376" i="3" s="1"/>
  <c r="L377" i="3"/>
  <c r="L378" i="3"/>
  <c r="N378" i="3" s="1"/>
  <c r="L379" i="3"/>
  <c r="N379" i="3" s="1"/>
  <c r="L385" i="3"/>
  <c r="N385" i="3" s="1"/>
  <c r="L387" i="3"/>
  <c r="N387" i="3" s="1"/>
  <c r="L390" i="3"/>
  <c r="N390" i="3" s="1"/>
  <c r="L391" i="3"/>
  <c r="N391" i="3" s="1"/>
  <c r="L393" i="3"/>
  <c r="L395" i="3"/>
  <c r="N395" i="3" s="1"/>
  <c r="L399" i="3"/>
  <c r="N399" i="3" s="1"/>
  <c r="L400" i="3"/>
  <c r="N400" i="3" s="1"/>
  <c r="L401" i="3"/>
  <c r="N401" i="3" s="1"/>
  <c r="L403" i="3"/>
  <c r="N403" i="3" s="1"/>
  <c r="L405" i="3"/>
  <c r="N405" i="3" s="1"/>
  <c r="L407" i="3"/>
  <c r="N407" i="3" s="1"/>
  <c r="L409" i="3"/>
  <c r="N409" i="3" s="1"/>
  <c r="L411" i="3"/>
  <c r="N411" i="3" s="1"/>
  <c r="L417" i="3"/>
  <c r="N417" i="3" s="1"/>
  <c r="L419" i="3"/>
  <c r="N419" i="3" s="1"/>
  <c r="L423" i="3"/>
  <c r="N423" i="3" s="1"/>
  <c r="L425" i="3"/>
  <c r="N425" i="3" s="1"/>
  <c r="L427" i="3"/>
  <c r="L431" i="3"/>
  <c r="L433" i="3"/>
  <c r="N433" i="3" s="1"/>
  <c r="L435" i="3"/>
  <c r="N435" i="3" s="1"/>
  <c r="L439" i="3"/>
  <c r="L441" i="3"/>
  <c r="N441" i="3" s="1"/>
  <c r="L443" i="3"/>
  <c r="N443" i="3" s="1"/>
  <c r="L448" i="3"/>
  <c r="N448" i="3" s="1"/>
  <c r="L449" i="3"/>
  <c r="N449" i="3" s="1"/>
  <c r="L451" i="3"/>
  <c r="N451" i="3" s="1"/>
  <c r="L455" i="3"/>
  <c r="L457" i="3"/>
  <c r="N457" i="3" s="1"/>
  <c r="L459" i="3"/>
  <c r="N459" i="3" s="1"/>
  <c r="L463" i="3"/>
  <c r="N463" i="3" s="1"/>
  <c r="L465" i="3"/>
  <c r="N465" i="3" s="1"/>
  <c r="L467" i="3"/>
  <c r="N467" i="3" s="1"/>
  <c r="L471" i="3"/>
  <c r="L473" i="3"/>
  <c r="N473" i="3" s="1"/>
  <c r="L475" i="3"/>
  <c r="N475" i="3" s="1"/>
  <c r="L481" i="3"/>
  <c r="N481" i="3" s="1"/>
  <c r="L483" i="3"/>
  <c r="N483" i="3" s="1"/>
  <c r="L487" i="3"/>
  <c r="L489" i="3"/>
  <c r="N489" i="3" s="1"/>
  <c r="L491" i="3"/>
  <c r="N491" i="3" s="1"/>
  <c r="L493" i="3"/>
  <c r="N493" i="3" s="1"/>
  <c r="L495" i="3"/>
  <c r="N495" i="3" s="1"/>
  <c r="L497" i="3"/>
  <c r="N497" i="3" s="1"/>
  <c r="L499" i="3"/>
  <c r="L503" i="3"/>
  <c r="N503" i="3" s="1"/>
  <c r="L505" i="3"/>
  <c r="N505" i="3" s="1"/>
  <c r="L507" i="3"/>
  <c r="L511" i="3"/>
  <c r="N511" i="3" s="1"/>
  <c r="L513" i="3"/>
  <c r="N513" i="3" s="1"/>
  <c r="L515" i="3"/>
  <c r="N515" i="3" s="1"/>
  <c r="L521" i="3"/>
  <c r="N521" i="3" s="1"/>
  <c r="L523" i="3"/>
  <c r="N523" i="3" s="1"/>
  <c r="L529" i="3"/>
  <c r="N529" i="3" s="1"/>
  <c r="L531" i="3"/>
  <c r="N531" i="3" s="1"/>
  <c r="L533" i="3"/>
  <c r="N533" i="3" s="1"/>
  <c r="L535" i="3"/>
  <c r="N535" i="3" s="1"/>
  <c r="L537" i="3"/>
  <c r="L539" i="3"/>
  <c r="N539" i="3" s="1"/>
  <c r="L543" i="3"/>
  <c r="N543" i="3" s="1"/>
  <c r="L545" i="3"/>
  <c r="L547" i="3"/>
  <c r="N547" i="3" s="1"/>
  <c r="L553" i="3"/>
  <c r="N553" i="3" s="1"/>
  <c r="L555" i="3"/>
  <c r="N555" i="3" s="1"/>
  <c r="L559" i="3"/>
  <c r="L561" i="3"/>
  <c r="N561" i="3" s="1"/>
  <c r="L563" i="3"/>
  <c r="L567" i="3"/>
  <c r="N567" i="3" s="1"/>
  <c r="L568" i="3"/>
  <c r="N568" i="3" s="1"/>
  <c r="L569" i="3"/>
  <c r="N569" i="3" s="1"/>
  <c r="L571" i="3"/>
  <c r="L575" i="3"/>
  <c r="N575" i="3" s="1"/>
  <c r="L577" i="3"/>
  <c r="N577" i="3" s="1"/>
  <c r="L579" i="3"/>
  <c r="N579" i="3" s="1"/>
  <c r="L585" i="3"/>
  <c r="N585" i="3" s="1"/>
  <c r="L587" i="3"/>
  <c r="N587" i="3" s="1"/>
  <c r="L591" i="3"/>
  <c r="N591" i="3" s="1"/>
  <c r="L593" i="3"/>
  <c r="N593" i="3" s="1"/>
  <c r="L595" i="3"/>
  <c r="N595" i="3" s="1"/>
  <c r="L601" i="3"/>
  <c r="N601" i="3" s="1"/>
  <c r="L603" i="3"/>
  <c r="N603" i="3" s="1"/>
  <c r="L606" i="3"/>
  <c r="N606" i="3" s="1"/>
  <c r="L607" i="3"/>
  <c r="N607" i="3" s="1"/>
  <c r="L609" i="3"/>
  <c r="N609" i="3" s="1"/>
  <c r="L611" i="3"/>
  <c r="N611" i="3" s="1"/>
  <c r="L617" i="3"/>
  <c r="N617" i="3" s="1"/>
  <c r="L619" i="3"/>
  <c r="N619" i="3" s="1"/>
  <c r="L625" i="3"/>
  <c r="N625" i="3" s="1"/>
  <c r="L627" i="3"/>
  <c r="N627" i="3" s="1"/>
  <c r="L631" i="3"/>
  <c r="N631" i="3" s="1"/>
  <c r="L633" i="3"/>
  <c r="N633" i="3" s="1"/>
  <c r="L635" i="3"/>
  <c r="N635" i="3" s="1"/>
  <c r="L639" i="3"/>
  <c r="N639" i="3" s="1"/>
  <c r="L641" i="3"/>
  <c r="N641" i="3" s="1"/>
  <c r="L643" i="3"/>
  <c r="N643" i="3" s="1"/>
  <c r="L647" i="3"/>
  <c r="N647" i="3" s="1"/>
  <c r="L649" i="3"/>
  <c r="N649" i="3" s="1"/>
  <c r="L651" i="3"/>
  <c r="N651" i="3" s="1"/>
  <c r="L657" i="3"/>
  <c r="N657" i="3" s="1"/>
  <c r="L659" i="3"/>
  <c r="N659" i="3" s="1"/>
  <c r="L661" i="3"/>
  <c r="N661" i="3" s="1"/>
  <c r="L663" i="3"/>
  <c r="N663" i="3" s="1"/>
  <c r="L665" i="3"/>
  <c r="N665" i="3" s="1"/>
  <c r="L667" i="3"/>
  <c r="N667" i="3" s="1"/>
  <c r="L671" i="3"/>
  <c r="N671" i="3" s="1"/>
  <c r="L673" i="3"/>
  <c r="L675" i="3"/>
  <c r="N675" i="3" s="1"/>
  <c r="L679" i="3"/>
  <c r="N679" i="3" s="1"/>
  <c r="L680" i="3"/>
  <c r="N680" i="3" s="1"/>
  <c r="L681" i="3"/>
  <c r="N681" i="3" s="1"/>
  <c r="L683" i="3"/>
  <c r="L689" i="3"/>
  <c r="N689" i="3" s="1"/>
  <c r="L691" i="3"/>
  <c r="N691" i="3" s="1"/>
  <c r="L694" i="3"/>
  <c r="N694" i="3" s="1"/>
  <c r="L697" i="3"/>
  <c r="N697" i="3" s="1"/>
  <c r="L699" i="3"/>
  <c r="L705" i="3"/>
  <c r="N705" i="3" s="1"/>
  <c r="L707" i="3"/>
  <c r="N707" i="3" s="1"/>
  <c r="L713" i="3"/>
  <c r="N713" i="3" s="1"/>
  <c r="L715" i="3"/>
  <c r="N715" i="3" s="1"/>
  <c r="L721" i="3"/>
  <c r="N721" i="3" s="1"/>
  <c r="L723" i="3"/>
  <c r="N723" i="3" s="1"/>
  <c r="L729" i="3"/>
  <c r="L731" i="3"/>
  <c r="N731" i="3" s="1"/>
  <c r="L734" i="3"/>
  <c r="N734" i="3" s="1"/>
  <c r="L737" i="3"/>
  <c r="L739" i="3"/>
  <c r="N739" i="3" s="1"/>
  <c r="L743" i="3"/>
  <c r="N743" i="3" s="1"/>
  <c r="L745" i="3"/>
  <c r="N745" i="3" s="1"/>
  <c r="L747" i="3"/>
  <c r="N747" i="3" s="1"/>
  <c r="L753" i="3"/>
  <c r="L755" i="3"/>
  <c r="N755" i="3" s="1"/>
  <c r="L759" i="3"/>
  <c r="N759" i="3" s="1"/>
  <c r="L763" i="3"/>
  <c r="N763" i="3" s="1"/>
  <c r="L769" i="3"/>
  <c r="N769" i="3" s="1"/>
  <c r="L771" i="3"/>
  <c r="N771" i="3" s="1"/>
  <c r="L777" i="3"/>
  <c r="N777" i="3" s="1"/>
  <c r="L779" i="3"/>
  <c r="L784" i="3"/>
  <c r="N784" i="3" s="1"/>
  <c r="L785" i="3"/>
  <c r="N785" i="3" s="1"/>
  <c r="L787" i="3"/>
  <c r="L795" i="3"/>
  <c r="N795" i="3" s="1"/>
  <c r="L798" i="3"/>
  <c r="N798" i="3" s="1"/>
  <c r="L801" i="3"/>
  <c r="L803" i="3"/>
  <c r="N803" i="3" s="1"/>
  <c r="L807" i="3"/>
  <c r="N807" i="3" s="1"/>
  <c r="L809" i="3"/>
  <c r="N809" i="3" s="1"/>
  <c r="L811" i="3"/>
  <c r="N811" i="3" s="1"/>
  <c r="L817" i="3"/>
  <c r="L819" i="3"/>
  <c r="N819" i="3" s="1"/>
  <c r="L825" i="3"/>
  <c r="L827" i="3"/>
  <c r="N827" i="3" s="1"/>
  <c r="L831" i="3"/>
  <c r="N831" i="3" s="1"/>
  <c r="L833" i="3"/>
  <c r="N833" i="3" s="1"/>
  <c r="L835" i="3"/>
  <c r="L841" i="3"/>
  <c r="N841" i="3" s="1"/>
  <c r="L843" i="3"/>
  <c r="N843" i="3" s="1"/>
  <c r="L847" i="3"/>
  <c r="N847" i="3" s="1"/>
  <c r="L849" i="3"/>
  <c r="N849" i="3" s="1"/>
  <c r="L851" i="3"/>
  <c r="N851" i="3" s="1"/>
  <c r="L855" i="3"/>
  <c r="N855" i="3" s="1"/>
  <c r="L857" i="3"/>
  <c r="N857" i="3" s="1"/>
  <c r="L859" i="3"/>
  <c r="N859" i="3" s="1"/>
  <c r="L865" i="3"/>
  <c r="N865" i="3" s="1"/>
  <c r="L867" i="3"/>
  <c r="N867" i="3" s="1"/>
  <c r="L873" i="3"/>
  <c r="N873" i="3" s="1"/>
  <c r="L875" i="3"/>
  <c r="N875" i="3" s="1"/>
  <c r="L878" i="3"/>
  <c r="N878" i="3" s="1"/>
  <c r="L881" i="3"/>
  <c r="L883" i="3"/>
  <c r="N883" i="3" s="1"/>
  <c r="L889" i="3"/>
  <c r="N889" i="3" s="1"/>
  <c r="L891" i="3"/>
  <c r="N891" i="3" s="1"/>
  <c r="L899" i="3"/>
  <c r="N899" i="3" s="1"/>
  <c r="L902" i="3"/>
  <c r="N902" i="3" s="1"/>
  <c r="L905" i="3"/>
  <c r="N905" i="3" s="1"/>
  <c r="L907" i="3"/>
  <c r="N907" i="3" s="1"/>
  <c r="L911" i="3"/>
  <c r="N911" i="3" s="1"/>
  <c r="L912" i="3"/>
  <c r="N912" i="3" s="1"/>
  <c r="L913" i="3"/>
  <c r="L915" i="3"/>
  <c r="L921" i="3"/>
  <c r="N921" i="3" s="1"/>
  <c r="L923" i="3"/>
  <c r="N923" i="3" s="1"/>
  <c r="L927" i="3"/>
  <c r="N927" i="3" s="1"/>
  <c r="L931" i="3"/>
  <c r="N931" i="3" s="1"/>
  <c r="L935" i="3"/>
  <c r="N935" i="3" s="1"/>
  <c r="L937" i="3"/>
  <c r="N937" i="3" s="1"/>
  <c r="L939" i="3"/>
  <c r="N939" i="3" s="1"/>
  <c r="L945" i="3"/>
  <c r="L947" i="3"/>
  <c r="N947" i="3" s="1"/>
  <c r="L951" i="3"/>
  <c r="N951" i="3" s="1"/>
  <c r="L955" i="3"/>
  <c r="N955" i="3" s="1"/>
  <c r="L959" i="3"/>
  <c r="N959" i="3" s="1"/>
  <c r="L961" i="3"/>
  <c r="L963" i="3"/>
  <c r="L969" i="3"/>
  <c r="N969" i="3" s="1"/>
  <c r="L971" i="3"/>
  <c r="N971" i="3" s="1"/>
  <c r="L975" i="3"/>
  <c r="N975" i="3" s="1"/>
  <c r="L979" i="3"/>
  <c r="N979" i="3" s="1"/>
  <c r="L983" i="3"/>
  <c r="N983" i="3" s="1"/>
  <c r="L985" i="3"/>
  <c r="N985" i="3" s="1"/>
  <c r="L987" i="3"/>
  <c r="N987" i="3" s="1"/>
  <c r="L993" i="3"/>
  <c r="N993" i="3" s="1"/>
  <c r="L995" i="3"/>
  <c r="N995" i="3" s="1"/>
  <c r="L998" i="3"/>
  <c r="N998" i="3" s="1"/>
  <c r="N63" i="3"/>
  <c r="N95" i="3"/>
  <c r="N99" i="3"/>
  <c r="N101" i="3"/>
  <c r="N111" i="3"/>
  <c r="N115" i="3"/>
  <c r="N127" i="3"/>
  <c r="N128" i="3"/>
  <c r="N131" i="3"/>
  <c r="N141" i="3"/>
  <c r="N143" i="3"/>
  <c r="N161" i="3"/>
  <c r="N169" i="3"/>
  <c r="N191" i="3"/>
  <c r="N193" i="3"/>
  <c r="N201" i="3"/>
  <c r="N223" i="3"/>
  <c r="N247" i="3"/>
  <c r="N249" i="3"/>
  <c r="N265" i="3"/>
  <c r="N281" i="3"/>
  <c r="N297" i="3"/>
  <c r="N307" i="3"/>
  <c r="N319" i="3"/>
  <c r="N329" i="3"/>
  <c r="N345" i="3"/>
  <c r="N351" i="3"/>
  <c r="N377" i="3"/>
  <c r="N383" i="3"/>
  <c r="N393" i="3"/>
  <c r="N413" i="3"/>
  <c r="N427" i="3"/>
  <c r="N431" i="3"/>
  <c r="N439" i="3"/>
  <c r="N455" i="3"/>
  <c r="N471" i="3"/>
  <c r="N477" i="3"/>
  <c r="N479" i="3"/>
  <c r="N487" i="3"/>
  <c r="N499" i="3"/>
  <c r="N507" i="3"/>
  <c r="N519" i="3"/>
  <c r="N537" i="3"/>
  <c r="N541" i="3"/>
  <c r="N545" i="3"/>
  <c r="N551" i="3"/>
  <c r="N559" i="3"/>
  <c r="N563" i="3"/>
  <c r="N571" i="3"/>
  <c r="N583" i="3"/>
  <c r="N605" i="3"/>
  <c r="N615" i="3"/>
  <c r="N655" i="3"/>
  <c r="N673" i="3"/>
  <c r="N683" i="3"/>
  <c r="N687" i="3"/>
  <c r="N699" i="3"/>
  <c r="N719" i="3"/>
  <c r="N729" i="3"/>
  <c r="N737" i="3"/>
  <c r="N751" i="3"/>
  <c r="N753" i="3"/>
  <c r="N761" i="3"/>
  <c r="N779" i="3"/>
  <c r="N783" i="3"/>
  <c r="N787" i="3"/>
  <c r="N793" i="3"/>
  <c r="N801" i="3"/>
  <c r="N817" i="3"/>
  <c r="N825" i="3"/>
  <c r="N835" i="3"/>
  <c r="N881" i="3"/>
  <c r="N897" i="3"/>
  <c r="N913" i="3"/>
  <c r="N915" i="3"/>
  <c r="N919" i="3"/>
  <c r="N929" i="3"/>
  <c r="N945" i="3"/>
  <c r="N961" i="3"/>
  <c r="N963" i="3"/>
  <c r="I58" i="11"/>
  <c r="H58" i="11"/>
  <c r="I57" i="11"/>
  <c r="H57" i="11"/>
  <c r="I56" i="11"/>
  <c r="H56" i="11"/>
  <c r="H55" i="11"/>
  <c r="I55" i="11" s="1"/>
  <c r="I54" i="11"/>
  <c r="H54" i="11"/>
  <c r="H53" i="11"/>
  <c r="I53" i="11" s="1"/>
  <c r="L52" i="11"/>
  <c r="N52" i="11" s="1"/>
  <c r="I52" i="11"/>
  <c r="H52" i="11"/>
  <c r="H51" i="11"/>
  <c r="I51" i="11" s="1"/>
  <c r="H50" i="11"/>
  <c r="I50" i="11" s="1"/>
  <c r="I49" i="11"/>
  <c r="H49" i="11"/>
  <c r="I48" i="11"/>
  <c r="H48" i="11"/>
  <c r="H47" i="11"/>
  <c r="I47" i="11" s="1"/>
  <c r="I46" i="11"/>
  <c r="H46" i="11"/>
  <c r="H45" i="11"/>
  <c r="I45" i="11" s="1"/>
  <c r="L44" i="11"/>
  <c r="N44" i="11" s="1"/>
  <c r="I44" i="11"/>
  <c r="H44" i="11"/>
  <c r="H43" i="11"/>
  <c r="I43" i="11" s="1"/>
  <c r="H42" i="11"/>
  <c r="I42" i="11" s="1"/>
  <c r="I41" i="11"/>
  <c r="H41" i="11"/>
  <c r="I40" i="11"/>
  <c r="H40" i="11"/>
  <c r="H39" i="11"/>
  <c r="I39" i="11" s="1"/>
  <c r="I38" i="11"/>
  <c r="H38" i="11"/>
  <c r="H37" i="11"/>
  <c r="I37" i="11" s="1"/>
  <c r="L36" i="11"/>
  <c r="N36" i="11" s="1"/>
  <c r="I36" i="11"/>
  <c r="H36" i="11"/>
  <c r="H35" i="11"/>
  <c r="I35" i="11" s="1"/>
  <c r="H34" i="11"/>
  <c r="I34" i="11" s="1"/>
  <c r="H33" i="11"/>
  <c r="I33" i="11" s="1"/>
  <c r="H32" i="11"/>
  <c r="I32" i="11" s="1"/>
  <c r="H31" i="11"/>
  <c r="I31" i="11" s="1"/>
  <c r="H30" i="11"/>
  <c r="I30" i="11" s="1"/>
  <c r="H29" i="11"/>
  <c r="I29" i="11" s="1"/>
  <c r="H28" i="11"/>
  <c r="I28" i="11" s="1"/>
  <c r="H27" i="11"/>
  <c r="I27" i="11" s="1"/>
  <c r="H26" i="11"/>
  <c r="I26" i="11" s="1"/>
  <c r="H25" i="11"/>
  <c r="I25" i="11" s="1"/>
  <c r="I24" i="11"/>
  <c r="H24" i="11"/>
  <c r="H23" i="11"/>
  <c r="I23" i="11" s="1"/>
  <c r="H22" i="11"/>
  <c r="I22" i="11" s="1"/>
  <c r="H21" i="11"/>
  <c r="I21" i="11" s="1"/>
  <c r="H20" i="11"/>
  <c r="I20" i="11" s="1"/>
  <c r="H19" i="11"/>
  <c r="I19" i="11" s="1"/>
  <c r="H18" i="11"/>
  <c r="I18" i="11" s="1"/>
  <c r="H17" i="11"/>
  <c r="I17" i="11" s="1"/>
  <c r="H16" i="11"/>
  <c r="I16" i="11" s="1"/>
  <c r="H15" i="11"/>
  <c r="I15" i="11" s="1"/>
  <c r="H14" i="11"/>
  <c r="I14" i="11" s="1"/>
  <c r="H13" i="11"/>
  <c r="I13" i="11" s="1"/>
  <c r="H12" i="11"/>
  <c r="I12" i="11" s="1"/>
  <c r="H11" i="11"/>
  <c r="I11" i="11" s="1"/>
  <c r="H10" i="11"/>
  <c r="I10" i="11" s="1"/>
  <c r="L9" i="11"/>
  <c r="N9" i="11" s="1"/>
  <c r="H9" i="11"/>
  <c r="I9" i="11" s="1"/>
  <c r="B2" i="11"/>
  <c r="B2" i="6"/>
  <c r="B2" i="4"/>
  <c r="B2" i="3"/>
  <c r="B2" i="2"/>
  <c r="B2" i="7"/>
  <c r="B2" i="8"/>
  <c r="B2" i="1"/>
  <c r="G7" i="1"/>
  <c r="E307" i="26" s="1"/>
  <c r="E19" i="7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J9" i="3"/>
  <c r="J10" i="3"/>
  <c r="J11" i="3"/>
  <c r="L11" i="3" s="1"/>
  <c r="N11" i="3" s="1"/>
  <c r="J12" i="3"/>
  <c r="J13" i="3"/>
  <c r="J14" i="3"/>
  <c r="J15" i="3"/>
  <c r="J16" i="3"/>
  <c r="J17" i="3"/>
  <c r="J18" i="3"/>
  <c r="J19" i="3"/>
  <c r="L19" i="3" s="1"/>
  <c r="N19" i="3" s="1"/>
  <c r="J20" i="3"/>
  <c r="J21" i="3"/>
  <c r="J22" i="3"/>
  <c r="J23" i="3"/>
  <c r="J24" i="3"/>
  <c r="J25" i="3"/>
  <c r="J26" i="3"/>
  <c r="J27" i="3"/>
  <c r="L27" i="3" s="1"/>
  <c r="N27" i="3" s="1"/>
  <c r="J28" i="3"/>
  <c r="J29" i="3"/>
  <c r="J30" i="3"/>
  <c r="J31" i="3"/>
  <c r="J32" i="3"/>
  <c r="J33" i="3"/>
  <c r="J34" i="3"/>
  <c r="J35" i="3"/>
  <c r="L35" i="3" s="1"/>
  <c r="N35" i="3" s="1"/>
  <c r="J36" i="3"/>
  <c r="J37" i="3"/>
  <c r="J38" i="3"/>
  <c r="J39" i="3"/>
  <c r="J40" i="3"/>
  <c r="J41" i="3"/>
  <c r="J42" i="3"/>
  <c r="J43" i="3"/>
  <c r="L43" i="3" s="1"/>
  <c r="N43" i="3" s="1"/>
  <c r="J44" i="3"/>
  <c r="J45" i="3"/>
  <c r="J46" i="3"/>
  <c r="J47" i="3"/>
  <c r="J48" i="3"/>
  <c r="J49" i="3"/>
  <c r="J50" i="3"/>
  <c r="J51" i="3"/>
  <c r="L51" i="3" s="1"/>
  <c r="N51" i="3" s="1"/>
  <c r="J52" i="3"/>
  <c r="J53" i="3"/>
  <c r="J54" i="3"/>
  <c r="J55" i="3"/>
  <c r="J56" i="3"/>
  <c r="J57" i="3"/>
  <c r="J58" i="3"/>
  <c r="H9" i="3"/>
  <c r="I9" i="3" s="1"/>
  <c r="H10" i="3"/>
  <c r="I10" i="3" s="1"/>
  <c r="H11" i="3"/>
  <c r="I11" i="3" s="1"/>
  <c r="H12" i="3"/>
  <c r="I12" i="3" s="1"/>
  <c r="H13" i="3"/>
  <c r="I13" i="3" s="1"/>
  <c r="H14" i="3"/>
  <c r="I14" i="3" s="1"/>
  <c r="H15" i="3"/>
  <c r="I15" i="3" s="1"/>
  <c r="H16" i="3"/>
  <c r="I16" i="3" s="1"/>
  <c r="H17" i="3"/>
  <c r="I17" i="3" s="1"/>
  <c r="H18" i="3"/>
  <c r="I18" i="3" s="1"/>
  <c r="H19" i="3"/>
  <c r="I19" i="3" s="1"/>
  <c r="H20" i="3"/>
  <c r="I20" i="3" s="1"/>
  <c r="H21" i="3"/>
  <c r="I21" i="3" s="1"/>
  <c r="H22" i="3"/>
  <c r="I22" i="3" s="1"/>
  <c r="H23" i="3"/>
  <c r="I23" i="3" s="1"/>
  <c r="H24" i="3"/>
  <c r="I24" i="3" s="1"/>
  <c r="H25" i="3"/>
  <c r="I25" i="3" s="1"/>
  <c r="H26" i="3"/>
  <c r="I26" i="3" s="1"/>
  <c r="H27" i="3"/>
  <c r="I27" i="3" s="1"/>
  <c r="H28" i="3"/>
  <c r="I28" i="3" s="1"/>
  <c r="H29" i="3"/>
  <c r="I29" i="3" s="1"/>
  <c r="H30" i="3"/>
  <c r="I30" i="3" s="1"/>
  <c r="H31" i="3"/>
  <c r="I31" i="3" s="1"/>
  <c r="H32" i="3"/>
  <c r="I32" i="3" s="1"/>
  <c r="H33" i="3"/>
  <c r="I33" i="3" s="1"/>
  <c r="H34" i="3"/>
  <c r="I34" i="3" s="1"/>
  <c r="H35" i="3"/>
  <c r="I35" i="3" s="1"/>
  <c r="H36" i="3"/>
  <c r="I36" i="3" s="1"/>
  <c r="H37" i="3"/>
  <c r="I37" i="3" s="1"/>
  <c r="H38" i="3"/>
  <c r="I38" i="3" s="1"/>
  <c r="H39" i="3"/>
  <c r="I39" i="3" s="1"/>
  <c r="H40" i="3"/>
  <c r="I40" i="3" s="1"/>
  <c r="H41" i="3"/>
  <c r="I41" i="3" s="1"/>
  <c r="H42" i="3"/>
  <c r="I42" i="3" s="1"/>
  <c r="H43" i="3"/>
  <c r="I43" i="3" s="1"/>
  <c r="H44" i="3"/>
  <c r="I44" i="3" s="1"/>
  <c r="H45" i="3"/>
  <c r="I45" i="3" s="1"/>
  <c r="H46" i="3"/>
  <c r="I46" i="3" s="1"/>
  <c r="H47" i="3"/>
  <c r="I47" i="3" s="1"/>
  <c r="H48" i="3"/>
  <c r="I48" i="3" s="1"/>
  <c r="H49" i="3"/>
  <c r="I49" i="3" s="1"/>
  <c r="H50" i="3"/>
  <c r="I50" i="3" s="1"/>
  <c r="H51" i="3"/>
  <c r="I51" i="3" s="1"/>
  <c r="H52" i="3"/>
  <c r="I52" i="3" s="1"/>
  <c r="H53" i="3"/>
  <c r="I53" i="3" s="1"/>
  <c r="H54" i="3"/>
  <c r="I54" i="3" s="1"/>
  <c r="H55" i="3"/>
  <c r="I55" i="3" s="1"/>
  <c r="H56" i="3"/>
  <c r="I56" i="3" s="1"/>
  <c r="H57" i="3"/>
  <c r="I57" i="3" s="1"/>
  <c r="H58" i="3"/>
  <c r="I58" i="3" s="1"/>
  <c r="L959" i="11" l="1"/>
  <c r="N959" i="11" s="1"/>
  <c r="L855" i="11"/>
  <c r="N855" i="11" s="1"/>
  <c r="L815" i="11"/>
  <c r="N815" i="11" s="1"/>
  <c r="L767" i="11"/>
  <c r="N767" i="11" s="1"/>
  <c r="L727" i="11"/>
  <c r="N727" i="11" s="1"/>
  <c r="L687" i="11"/>
  <c r="N687" i="11" s="1"/>
  <c r="L639" i="11"/>
  <c r="N639" i="11" s="1"/>
  <c r="L575" i="11"/>
  <c r="N575" i="11" s="1"/>
  <c r="L535" i="11"/>
  <c r="N535" i="11" s="1"/>
  <c r="L479" i="11"/>
  <c r="N479" i="11" s="1"/>
  <c r="L431" i="11"/>
  <c r="N431" i="11" s="1"/>
  <c r="L367" i="11"/>
  <c r="N367" i="11" s="1"/>
  <c r="L343" i="11"/>
  <c r="N343" i="11" s="1"/>
  <c r="L303" i="11"/>
  <c r="N303" i="11" s="1"/>
  <c r="L279" i="11"/>
  <c r="N279" i="11" s="1"/>
  <c r="L255" i="11"/>
  <c r="N255" i="11" s="1"/>
  <c r="L207" i="11"/>
  <c r="N207" i="11" s="1"/>
  <c r="L183" i="11"/>
  <c r="N183" i="11" s="1"/>
  <c r="L159" i="11"/>
  <c r="N159" i="11" s="1"/>
  <c r="L119" i="11"/>
  <c r="N119" i="11" s="1"/>
  <c r="L95" i="11"/>
  <c r="N95" i="11" s="1"/>
  <c r="L63" i="11"/>
  <c r="N63" i="11" s="1"/>
  <c r="L983" i="11"/>
  <c r="N983" i="11" s="1"/>
  <c r="L943" i="11"/>
  <c r="N943" i="11" s="1"/>
  <c r="L895" i="11"/>
  <c r="N895" i="11" s="1"/>
  <c r="L791" i="11"/>
  <c r="N791" i="11" s="1"/>
  <c r="L751" i="11"/>
  <c r="N751" i="11" s="1"/>
  <c r="L663" i="11"/>
  <c r="N663" i="11" s="1"/>
  <c r="L623" i="11"/>
  <c r="N623" i="11" s="1"/>
  <c r="L567" i="11"/>
  <c r="N567" i="11" s="1"/>
  <c r="L527" i="11"/>
  <c r="N527" i="11" s="1"/>
  <c r="L447" i="11"/>
  <c r="N447" i="11" s="1"/>
  <c r="L415" i="11"/>
  <c r="N415" i="11" s="1"/>
  <c r="L383" i="11"/>
  <c r="N383" i="11" s="1"/>
  <c r="L351" i="11"/>
  <c r="N351" i="11" s="1"/>
  <c r="L319" i="11"/>
  <c r="N319" i="11" s="1"/>
  <c r="L271" i="11"/>
  <c r="N271" i="11" s="1"/>
  <c r="L247" i="11"/>
  <c r="N247" i="11" s="1"/>
  <c r="L223" i="11"/>
  <c r="N223" i="11" s="1"/>
  <c r="L191" i="11"/>
  <c r="N191" i="11" s="1"/>
  <c r="L151" i="11"/>
  <c r="N151" i="11" s="1"/>
  <c r="L111" i="11"/>
  <c r="N111" i="11" s="1"/>
  <c r="L87" i="11"/>
  <c r="N87" i="11" s="1"/>
  <c r="L991" i="11"/>
  <c r="N991" i="11" s="1"/>
  <c r="L951" i="11"/>
  <c r="N951" i="11" s="1"/>
  <c r="L911" i="11"/>
  <c r="N911" i="11" s="1"/>
  <c r="L863" i="11"/>
  <c r="N863" i="11" s="1"/>
  <c r="L823" i="11"/>
  <c r="N823" i="11" s="1"/>
  <c r="L783" i="11"/>
  <c r="N783" i="11" s="1"/>
  <c r="L735" i="11"/>
  <c r="N735" i="11" s="1"/>
  <c r="L695" i="11"/>
  <c r="N695" i="11" s="1"/>
  <c r="L655" i="11"/>
  <c r="N655" i="11" s="1"/>
  <c r="L599" i="11"/>
  <c r="N599" i="11" s="1"/>
  <c r="L559" i="11"/>
  <c r="N559" i="11" s="1"/>
  <c r="L511" i="11"/>
  <c r="N511" i="11" s="1"/>
  <c r="L463" i="11"/>
  <c r="N463" i="11" s="1"/>
  <c r="L439" i="11"/>
  <c r="N439" i="11" s="1"/>
  <c r="L399" i="11"/>
  <c r="N399" i="11" s="1"/>
  <c r="L375" i="11"/>
  <c r="N375" i="11" s="1"/>
  <c r="L335" i="11"/>
  <c r="N335" i="11" s="1"/>
  <c r="L311" i="11"/>
  <c r="N311" i="11" s="1"/>
  <c r="L287" i="11"/>
  <c r="N287" i="11" s="1"/>
  <c r="L239" i="11"/>
  <c r="N239" i="11" s="1"/>
  <c r="L215" i="11"/>
  <c r="N215" i="11" s="1"/>
  <c r="L175" i="11"/>
  <c r="N175" i="11" s="1"/>
  <c r="L127" i="11"/>
  <c r="N127" i="11" s="1"/>
  <c r="L79" i="11"/>
  <c r="N79" i="11" s="1"/>
  <c r="L975" i="11"/>
  <c r="N975" i="11" s="1"/>
  <c r="L927" i="11"/>
  <c r="N927" i="11" s="1"/>
  <c r="L887" i="11"/>
  <c r="N887" i="11" s="1"/>
  <c r="L847" i="11"/>
  <c r="N847" i="11" s="1"/>
  <c r="L799" i="11"/>
  <c r="N799" i="11" s="1"/>
  <c r="L703" i="11"/>
  <c r="N703" i="11" s="1"/>
  <c r="L607" i="11"/>
  <c r="N607" i="11" s="1"/>
  <c r="L471" i="11"/>
  <c r="N471" i="11" s="1"/>
  <c r="L143" i="11"/>
  <c r="N143" i="11" s="1"/>
  <c r="L503" i="11"/>
  <c r="N503" i="11" s="1"/>
  <c r="L919" i="11"/>
  <c r="N919" i="11" s="1"/>
  <c r="L879" i="11"/>
  <c r="N879" i="11" s="1"/>
  <c r="L831" i="11"/>
  <c r="N831" i="11" s="1"/>
  <c r="L759" i="11"/>
  <c r="N759" i="11" s="1"/>
  <c r="L719" i="11"/>
  <c r="N719" i="11" s="1"/>
  <c r="L671" i="11"/>
  <c r="N671" i="11" s="1"/>
  <c r="L631" i="11"/>
  <c r="N631" i="11" s="1"/>
  <c r="L591" i="11"/>
  <c r="N591" i="11" s="1"/>
  <c r="L543" i="11"/>
  <c r="N543" i="11" s="1"/>
  <c r="L495" i="11"/>
  <c r="N495" i="11" s="1"/>
  <c r="L407" i="11"/>
  <c r="N407" i="11" s="1"/>
  <c r="L990" i="11"/>
  <c r="N990" i="11" s="1"/>
  <c r="L974" i="11"/>
  <c r="N974" i="11" s="1"/>
  <c r="L966" i="11"/>
  <c r="N966" i="11" s="1"/>
  <c r="L958" i="11"/>
  <c r="N958" i="11" s="1"/>
  <c r="L950" i="11"/>
  <c r="N950" i="11" s="1"/>
  <c r="L942" i="11"/>
  <c r="N942" i="11" s="1"/>
  <c r="L926" i="11"/>
  <c r="N926" i="11" s="1"/>
  <c r="L918" i="11"/>
  <c r="N918" i="11" s="1"/>
  <c r="L902" i="11"/>
  <c r="N902" i="11" s="1"/>
  <c r="L894" i="11"/>
  <c r="N894" i="11" s="1"/>
  <c r="L886" i="11"/>
  <c r="N886" i="11" s="1"/>
  <c r="L878" i="11"/>
  <c r="N878" i="11" s="1"/>
  <c r="L862" i="11"/>
  <c r="N862" i="11" s="1"/>
  <c r="L854" i="11"/>
  <c r="N854" i="11" s="1"/>
  <c r="L846" i="11"/>
  <c r="N846" i="11" s="1"/>
  <c r="L830" i="11"/>
  <c r="N830" i="11" s="1"/>
  <c r="L822" i="11"/>
  <c r="N822" i="11" s="1"/>
  <c r="L814" i="11"/>
  <c r="N814" i="11" s="1"/>
  <c r="L798" i="11"/>
  <c r="N798" i="11" s="1"/>
  <c r="L790" i="11"/>
  <c r="N790" i="11" s="1"/>
  <c r="L782" i="11"/>
  <c r="N782" i="11" s="1"/>
  <c r="L774" i="11"/>
  <c r="N774" i="11" s="1"/>
  <c r="L758" i="11"/>
  <c r="N758" i="11" s="1"/>
  <c r="L750" i="11"/>
  <c r="N750" i="11" s="1"/>
  <c r="L734" i="11"/>
  <c r="N734" i="11" s="1"/>
  <c r="L726" i="11"/>
  <c r="N726" i="11" s="1"/>
  <c r="L718" i="11"/>
  <c r="N718" i="11" s="1"/>
  <c r="L710" i="11"/>
  <c r="N710" i="11" s="1"/>
  <c r="L702" i="11"/>
  <c r="N702" i="11" s="1"/>
  <c r="L686" i="11"/>
  <c r="N686" i="11" s="1"/>
  <c r="L670" i="11"/>
  <c r="N670" i="11" s="1"/>
  <c r="L662" i="11"/>
  <c r="N662" i="11" s="1"/>
  <c r="L654" i="11"/>
  <c r="N654" i="11" s="1"/>
  <c r="L646" i="11"/>
  <c r="N646" i="11" s="1"/>
  <c r="L638" i="11"/>
  <c r="N638" i="11" s="1"/>
  <c r="L630" i="11"/>
  <c r="N630" i="11" s="1"/>
  <c r="L606" i="11"/>
  <c r="N606" i="11" s="1"/>
  <c r="L598" i="11"/>
  <c r="N598" i="11" s="1"/>
  <c r="L590" i="11"/>
  <c r="N590" i="11" s="1"/>
  <c r="L582" i="11"/>
  <c r="N582" i="11" s="1"/>
  <c r="L574" i="11"/>
  <c r="N574" i="11" s="1"/>
  <c r="L566" i="11"/>
  <c r="N566" i="11" s="1"/>
  <c r="L558" i="11"/>
  <c r="N558" i="11" s="1"/>
  <c r="L534" i="11"/>
  <c r="N534" i="11" s="1"/>
  <c r="L526" i="11"/>
  <c r="N526" i="11" s="1"/>
  <c r="L518" i="11"/>
  <c r="N518" i="11" s="1"/>
  <c r="L510" i="11"/>
  <c r="N510" i="11" s="1"/>
  <c r="L502" i="11"/>
  <c r="N502" i="11" s="1"/>
  <c r="L494" i="11"/>
  <c r="N494" i="11" s="1"/>
  <c r="L478" i="11"/>
  <c r="N478" i="11" s="1"/>
  <c r="L462" i="11"/>
  <c r="N462" i="11" s="1"/>
  <c r="L454" i="11"/>
  <c r="N454" i="11" s="1"/>
  <c r="L446" i="11"/>
  <c r="N446" i="11" s="1"/>
  <c r="L430" i="11"/>
  <c r="N430" i="11" s="1"/>
  <c r="L414" i="11"/>
  <c r="N414" i="11" s="1"/>
  <c r="L406" i="11"/>
  <c r="N406" i="11" s="1"/>
  <c r="L390" i="11"/>
  <c r="N390" i="11" s="1"/>
  <c r="L382" i="11"/>
  <c r="N382" i="11" s="1"/>
  <c r="L374" i="11"/>
  <c r="N374" i="11" s="1"/>
  <c r="L350" i="11"/>
  <c r="N350" i="11" s="1"/>
  <c r="L342" i="11"/>
  <c r="N342" i="11" s="1"/>
  <c r="L334" i="11"/>
  <c r="N334" i="11" s="1"/>
  <c r="L318" i="11"/>
  <c r="N318" i="11" s="1"/>
  <c r="L310" i="11"/>
  <c r="N310" i="11" s="1"/>
  <c r="L302" i="11"/>
  <c r="N302" i="11" s="1"/>
  <c r="R983" i="14"/>
  <c r="T983" i="14" s="1"/>
  <c r="L994" i="3"/>
  <c r="N994" i="3" s="1"/>
  <c r="L978" i="3"/>
  <c r="N978" i="3" s="1"/>
  <c r="L970" i="3"/>
  <c r="N970" i="3" s="1"/>
  <c r="L954" i="3"/>
  <c r="N954" i="3" s="1"/>
  <c r="L938" i="3"/>
  <c r="N938" i="3" s="1"/>
  <c r="L930" i="3"/>
  <c r="N930" i="3" s="1"/>
  <c r="L906" i="3"/>
  <c r="N906" i="3" s="1"/>
  <c r="L898" i="3"/>
  <c r="N898" i="3" s="1"/>
  <c r="L890" i="3"/>
  <c r="N890" i="3" s="1"/>
  <c r="L882" i="3"/>
  <c r="N882" i="3" s="1"/>
  <c r="L874" i="3"/>
  <c r="N874" i="3" s="1"/>
  <c r="L866" i="3"/>
  <c r="N866" i="3" s="1"/>
  <c r="L850" i="3"/>
  <c r="N850" i="3" s="1"/>
  <c r="L834" i="3"/>
  <c r="N834" i="3" s="1"/>
  <c r="L802" i="3"/>
  <c r="N802" i="3" s="1"/>
  <c r="L770" i="3"/>
  <c r="N770" i="3" s="1"/>
  <c r="L738" i="3"/>
  <c r="N738" i="3" s="1"/>
  <c r="L730" i="3"/>
  <c r="N730" i="3" s="1"/>
  <c r="L706" i="3"/>
  <c r="N706" i="3" s="1"/>
  <c r="L674" i="3"/>
  <c r="N674" i="3" s="1"/>
  <c r="L634" i="3"/>
  <c r="N634" i="3" s="1"/>
  <c r="L602" i="3"/>
  <c r="N602" i="3" s="1"/>
  <c r="L530" i="3"/>
  <c r="N530" i="3" s="1"/>
  <c r="L498" i="3"/>
  <c r="N498" i="3" s="1"/>
  <c r="L990" i="3"/>
  <c r="N990" i="3" s="1"/>
  <c r="L982" i="3"/>
  <c r="N982" i="3" s="1"/>
  <c r="L974" i="3"/>
  <c r="N974" i="3" s="1"/>
  <c r="L966" i="3"/>
  <c r="N966" i="3" s="1"/>
  <c r="L958" i="3"/>
  <c r="N958" i="3" s="1"/>
  <c r="L950" i="3"/>
  <c r="N950" i="3" s="1"/>
  <c r="L942" i="3"/>
  <c r="N942" i="3" s="1"/>
  <c r="L934" i="3"/>
  <c r="N934" i="3" s="1"/>
  <c r="L926" i="3"/>
  <c r="N926" i="3" s="1"/>
  <c r="L918" i="3"/>
  <c r="N918" i="3" s="1"/>
  <c r="L910" i="3"/>
  <c r="N910" i="3" s="1"/>
  <c r="L894" i="3"/>
  <c r="N894" i="3" s="1"/>
  <c r="L886" i="3"/>
  <c r="N886" i="3" s="1"/>
  <c r="L870" i="3"/>
  <c r="N870" i="3" s="1"/>
  <c r="L862" i="3"/>
  <c r="N862" i="3" s="1"/>
  <c r="L854" i="3"/>
  <c r="N854" i="3" s="1"/>
  <c r="L846" i="3"/>
  <c r="N846" i="3" s="1"/>
  <c r="L838" i="3"/>
  <c r="N838" i="3" s="1"/>
  <c r="L830" i="3"/>
  <c r="N830" i="3" s="1"/>
  <c r="L822" i="3"/>
  <c r="N822" i="3" s="1"/>
  <c r="L814" i="3"/>
  <c r="N814" i="3" s="1"/>
  <c r="L806" i="3"/>
  <c r="N806" i="3" s="1"/>
  <c r="L45" i="3"/>
  <c r="N45" i="3" s="1"/>
  <c r="L29" i="3"/>
  <c r="N29" i="3" s="1"/>
  <c r="L21" i="3"/>
  <c r="N21" i="3" s="1"/>
  <c r="L53" i="3"/>
  <c r="N53" i="3" s="1"/>
  <c r="L37" i="3"/>
  <c r="N37" i="3" s="1"/>
  <c r="L13" i="3"/>
  <c r="N13" i="3" s="1"/>
  <c r="L790" i="3"/>
  <c r="N790" i="3" s="1"/>
  <c r="L782" i="3"/>
  <c r="N782" i="3" s="1"/>
  <c r="L774" i="3"/>
  <c r="N774" i="3" s="1"/>
  <c r="L766" i="3"/>
  <c r="N766" i="3" s="1"/>
  <c r="L758" i="3"/>
  <c r="N758" i="3" s="1"/>
  <c r="L750" i="3"/>
  <c r="N750" i="3" s="1"/>
  <c r="L742" i="3"/>
  <c r="N742" i="3" s="1"/>
  <c r="L726" i="3"/>
  <c r="N726" i="3" s="1"/>
  <c r="L710" i="3"/>
  <c r="N710" i="3" s="1"/>
  <c r="L702" i="3"/>
  <c r="N702" i="3" s="1"/>
  <c r="L686" i="3"/>
  <c r="N686" i="3" s="1"/>
  <c r="L678" i="3"/>
  <c r="N678" i="3" s="1"/>
  <c r="L670" i="3"/>
  <c r="N670" i="3" s="1"/>
  <c r="L662" i="3"/>
  <c r="N662" i="3" s="1"/>
  <c r="L654" i="3"/>
  <c r="N654" i="3" s="1"/>
  <c r="L646" i="3"/>
  <c r="N646" i="3" s="1"/>
  <c r="L638" i="3"/>
  <c r="N638" i="3" s="1"/>
  <c r="L630" i="3"/>
  <c r="N630" i="3" s="1"/>
  <c r="L622" i="3"/>
  <c r="N622" i="3" s="1"/>
  <c r="L614" i="3"/>
  <c r="N614" i="3" s="1"/>
  <c r="L598" i="3"/>
  <c r="N598" i="3" s="1"/>
  <c r="L590" i="3"/>
  <c r="N590" i="3" s="1"/>
  <c r="L582" i="3"/>
  <c r="N582" i="3" s="1"/>
  <c r="L574" i="3"/>
  <c r="N574" i="3" s="1"/>
  <c r="L566" i="3"/>
  <c r="N566" i="3" s="1"/>
  <c r="L558" i="3"/>
  <c r="N558" i="3" s="1"/>
  <c r="L550" i="3"/>
  <c r="N550" i="3" s="1"/>
  <c r="L542" i="3"/>
  <c r="N542" i="3" s="1"/>
  <c r="L534" i="3"/>
  <c r="N534" i="3" s="1"/>
  <c r="L526" i="3"/>
  <c r="N526" i="3" s="1"/>
  <c r="L518" i="3"/>
  <c r="N518" i="3" s="1"/>
  <c r="L510" i="3"/>
  <c r="N510" i="3" s="1"/>
  <c r="L502" i="3"/>
  <c r="N502" i="3" s="1"/>
  <c r="L494" i="3"/>
  <c r="N494" i="3" s="1"/>
  <c r="L486" i="3"/>
  <c r="N486" i="3" s="1"/>
  <c r="L478" i="3"/>
  <c r="N478" i="3" s="1"/>
  <c r="L470" i="3"/>
  <c r="N470" i="3" s="1"/>
  <c r="L462" i="3"/>
  <c r="N462" i="3" s="1"/>
  <c r="L454" i="3"/>
  <c r="N454" i="3" s="1"/>
  <c r="L446" i="3"/>
  <c r="N446" i="3" s="1"/>
  <c r="L438" i="3"/>
  <c r="N438" i="3" s="1"/>
  <c r="L430" i="3"/>
  <c r="N430" i="3" s="1"/>
  <c r="L422" i="3"/>
  <c r="N422" i="3" s="1"/>
  <c r="L414" i="3"/>
  <c r="N414" i="3" s="1"/>
  <c r="L406" i="3"/>
  <c r="N406" i="3" s="1"/>
  <c r="L398" i="3"/>
  <c r="N398" i="3" s="1"/>
  <c r="L382" i="3"/>
  <c r="N382" i="3" s="1"/>
  <c r="L374" i="3"/>
  <c r="N374" i="3" s="1"/>
  <c r="L366" i="3"/>
  <c r="N366" i="3" s="1"/>
  <c r="L358" i="3"/>
  <c r="N358" i="3" s="1"/>
  <c r="L350" i="3"/>
  <c r="N350" i="3" s="1"/>
  <c r="L342" i="3"/>
  <c r="N342" i="3" s="1"/>
  <c r="L334" i="3"/>
  <c r="N334" i="3" s="1"/>
  <c r="L326" i="3"/>
  <c r="N326" i="3" s="1"/>
  <c r="L318" i="3"/>
  <c r="N318" i="3" s="1"/>
  <c r="L310" i="3"/>
  <c r="N310" i="3" s="1"/>
  <c r="L302" i="3"/>
  <c r="N302" i="3" s="1"/>
  <c r="L294" i="3"/>
  <c r="N294" i="3" s="1"/>
  <c r="L286" i="3"/>
  <c r="N286" i="3" s="1"/>
  <c r="L278" i="3"/>
  <c r="N278" i="3" s="1"/>
  <c r="L270" i="3"/>
  <c r="N270" i="3" s="1"/>
  <c r="L262" i="3"/>
  <c r="N262" i="3" s="1"/>
  <c r="L254" i="3"/>
  <c r="N254" i="3" s="1"/>
  <c r="L246" i="3"/>
  <c r="N246" i="3" s="1"/>
  <c r="L238" i="3"/>
  <c r="N238" i="3" s="1"/>
  <c r="L230" i="3"/>
  <c r="N230" i="3" s="1"/>
  <c r="L214" i="3"/>
  <c r="N214" i="3" s="1"/>
  <c r="L206" i="3"/>
  <c r="N206" i="3" s="1"/>
  <c r="L198" i="3"/>
  <c r="N198" i="3" s="1"/>
  <c r="L190" i="3"/>
  <c r="N190" i="3" s="1"/>
  <c r="L182" i="3"/>
  <c r="N182" i="3" s="1"/>
  <c r="L174" i="3"/>
  <c r="N174" i="3" s="1"/>
  <c r="L166" i="3"/>
  <c r="N166" i="3" s="1"/>
  <c r="L158" i="3"/>
  <c r="N158" i="3" s="1"/>
  <c r="L150" i="3"/>
  <c r="N150" i="3" s="1"/>
  <c r="L142" i="3"/>
  <c r="N142" i="3" s="1"/>
  <c r="L134" i="3"/>
  <c r="N134" i="3" s="1"/>
  <c r="L126" i="3"/>
  <c r="N126" i="3" s="1"/>
  <c r="L118" i="3"/>
  <c r="N118" i="3" s="1"/>
  <c r="L110" i="3"/>
  <c r="N110" i="3" s="1"/>
  <c r="L102" i="3"/>
  <c r="N102" i="3" s="1"/>
  <c r="L86" i="3"/>
  <c r="N86" i="3" s="1"/>
  <c r="L78" i="3"/>
  <c r="N78" i="3" s="1"/>
  <c r="L70" i="3"/>
  <c r="N70" i="3" s="1"/>
  <c r="L62" i="3"/>
  <c r="N62" i="3" s="1"/>
  <c r="D84" i="22"/>
  <c r="G84" i="22" s="1"/>
  <c r="H84" i="22" s="1"/>
  <c r="G85" i="22"/>
  <c r="H85" i="22" s="1"/>
  <c r="G77" i="22"/>
  <c r="H77" i="22" s="1"/>
  <c r="D106" i="26"/>
  <c r="D99" i="26"/>
  <c r="D107" i="26"/>
  <c r="D100" i="26"/>
  <c r="D108" i="26"/>
  <c r="D101" i="26"/>
  <c r="D109" i="26"/>
  <c r="D104" i="26"/>
  <c r="D102" i="26"/>
  <c r="D103" i="26"/>
  <c r="D105" i="26"/>
  <c r="D110" i="26"/>
  <c r="D111" i="26"/>
  <c r="I8" i="8"/>
  <c r="E437" i="26"/>
  <c r="E398" i="26"/>
  <c r="E346" i="26"/>
  <c r="E281" i="26"/>
  <c r="E177" i="26"/>
  <c r="E125" i="26"/>
  <c r="E73" i="26"/>
  <c r="E34" i="26"/>
  <c r="E359" i="26"/>
  <c r="E333" i="26"/>
  <c r="E216" i="26"/>
  <c r="E8" i="26"/>
  <c r="E138" i="26"/>
  <c r="E450" i="26"/>
  <c r="E255" i="26"/>
  <c r="E151" i="26"/>
  <c r="E99" i="26"/>
  <c r="E47" i="26"/>
  <c r="E242" i="26"/>
  <c r="E411" i="26"/>
  <c r="E294" i="26"/>
  <c r="E190" i="26"/>
  <c r="E86" i="26"/>
  <c r="E21" i="26"/>
  <c r="E372" i="26"/>
  <c r="E229" i="26"/>
  <c r="E268" i="26"/>
  <c r="E164" i="26"/>
  <c r="E112" i="26"/>
  <c r="E60" i="26"/>
  <c r="E424" i="26"/>
  <c r="E320" i="26"/>
  <c r="E203" i="26"/>
  <c r="E385" i="26"/>
  <c r="T314" i="1"/>
  <c r="R23" i="16"/>
  <c r="T23" i="16" s="1"/>
  <c r="R254" i="16"/>
  <c r="T254" i="16" s="1"/>
  <c r="R262" i="16"/>
  <c r="T262" i="16" s="1"/>
  <c r="R270" i="16"/>
  <c r="T270" i="16" s="1"/>
  <c r="R278" i="16"/>
  <c r="T278" i="16" s="1"/>
  <c r="R313" i="16"/>
  <c r="T313" i="16" s="1"/>
  <c r="R318" i="16"/>
  <c r="T318" i="16" s="1"/>
  <c r="R326" i="16"/>
  <c r="T326" i="16" s="1"/>
  <c r="R342" i="16"/>
  <c r="T342" i="16" s="1"/>
  <c r="R12" i="16"/>
  <c r="T12" i="16" s="1"/>
  <c r="R24" i="16"/>
  <c r="T24" i="16" s="1"/>
  <c r="R28" i="16"/>
  <c r="T28" i="16" s="1"/>
  <c r="R320" i="16"/>
  <c r="T320" i="16" s="1"/>
  <c r="R325" i="16"/>
  <c r="T325" i="16" s="1"/>
  <c r="R349" i="16"/>
  <c r="T349" i="16" s="1"/>
  <c r="R381" i="16"/>
  <c r="T381" i="16" s="1"/>
  <c r="R421" i="16"/>
  <c r="T421" i="16" s="1"/>
  <c r="R437" i="16"/>
  <c r="T437" i="16" s="1"/>
  <c r="R445" i="16"/>
  <c r="T445" i="16" s="1"/>
  <c r="R453" i="16"/>
  <c r="T453" i="16" s="1"/>
  <c r="R477" i="16"/>
  <c r="T477" i="16" s="1"/>
  <c r="R533" i="16"/>
  <c r="T533" i="16" s="1"/>
  <c r="R629" i="16"/>
  <c r="T629" i="16" s="1"/>
  <c r="R645" i="16"/>
  <c r="T645" i="16" s="1"/>
  <c r="R653" i="16"/>
  <c r="T653" i="16" s="1"/>
  <c r="R661" i="16"/>
  <c r="T661" i="16" s="1"/>
  <c r="R669" i="16"/>
  <c r="T669" i="16" s="1"/>
  <c r="R677" i="16"/>
  <c r="T677" i="16" s="1"/>
  <c r="R162" i="16"/>
  <c r="T162" i="16" s="1"/>
  <c r="R186" i="16"/>
  <c r="T186" i="16" s="1"/>
  <c r="R194" i="16"/>
  <c r="T194" i="16" s="1"/>
  <c r="R202" i="16"/>
  <c r="T202" i="16" s="1"/>
  <c r="R226" i="16"/>
  <c r="T226" i="16" s="1"/>
  <c r="R234" i="16"/>
  <c r="T234" i="16" s="1"/>
  <c r="R242" i="16"/>
  <c r="T242" i="16" s="1"/>
  <c r="R986" i="16"/>
  <c r="T986" i="16" s="1"/>
  <c r="R51" i="16"/>
  <c r="T51" i="16" s="1"/>
  <c r="R147" i="16"/>
  <c r="T147" i="16" s="1"/>
  <c r="R187" i="16"/>
  <c r="T187" i="16" s="1"/>
  <c r="R40" i="16"/>
  <c r="T40" i="16" s="1"/>
  <c r="R64" i="16"/>
  <c r="T64" i="16" s="1"/>
  <c r="R72" i="16"/>
  <c r="T72" i="16" s="1"/>
  <c r="R88" i="16"/>
  <c r="T88" i="16" s="1"/>
  <c r="R96" i="16"/>
  <c r="T96" i="16" s="1"/>
  <c r="R104" i="16"/>
  <c r="T104" i="16" s="1"/>
  <c r="R112" i="16"/>
  <c r="T112" i="16" s="1"/>
  <c r="R120" i="16"/>
  <c r="T120" i="16" s="1"/>
  <c r="R128" i="16"/>
  <c r="T128" i="16" s="1"/>
  <c r="R136" i="16"/>
  <c r="T136" i="16" s="1"/>
  <c r="R280" i="16"/>
  <c r="T280" i="16" s="1"/>
  <c r="R579" i="16"/>
  <c r="T579" i="16" s="1"/>
  <c r="R587" i="16"/>
  <c r="T587" i="16" s="1"/>
  <c r="R606" i="16"/>
  <c r="T606" i="16" s="1"/>
  <c r="R611" i="16"/>
  <c r="T611" i="16" s="1"/>
  <c r="R638" i="16"/>
  <c r="T638" i="16" s="1"/>
  <c r="R685" i="16"/>
  <c r="T685" i="16" s="1"/>
  <c r="R725" i="16"/>
  <c r="T725" i="16" s="1"/>
  <c r="R733" i="16"/>
  <c r="T733" i="16" s="1"/>
  <c r="R749" i="16"/>
  <c r="T749" i="16" s="1"/>
  <c r="R765" i="16"/>
  <c r="T765" i="16" s="1"/>
  <c r="R781" i="16"/>
  <c r="T781" i="16" s="1"/>
  <c r="R789" i="16"/>
  <c r="T789" i="16" s="1"/>
  <c r="R797" i="16"/>
  <c r="T797" i="16" s="1"/>
  <c r="R805" i="16"/>
  <c r="T805" i="16" s="1"/>
  <c r="R813" i="16"/>
  <c r="T813" i="16" s="1"/>
  <c r="R869" i="16"/>
  <c r="T869" i="16" s="1"/>
  <c r="R63" i="16"/>
  <c r="T63" i="16" s="1"/>
  <c r="R87" i="16"/>
  <c r="T87" i="16" s="1"/>
  <c r="R95" i="16"/>
  <c r="T95" i="16" s="1"/>
  <c r="R103" i="16"/>
  <c r="T103" i="16" s="1"/>
  <c r="R119" i="16"/>
  <c r="T119" i="16" s="1"/>
  <c r="R127" i="16"/>
  <c r="T127" i="16" s="1"/>
  <c r="R354" i="16"/>
  <c r="T354" i="16" s="1"/>
  <c r="R378" i="16"/>
  <c r="T378" i="16" s="1"/>
  <c r="R474" i="16"/>
  <c r="T474" i="16" s="1"/>
  <c r="R506" i="16"/>
  <c r="T506" i="16" s="1"/>
  <c r="R514" i="16"/>
  <c r="T514" i="16" s="1"/>
  <c r="R530" i="16"/>
  <c r="T530" i="16" s="1"/>
  <c r="R565" i="16"/>
  <c r="T565" i="16" s="1"/>
  <c r="R76" i="16"/>
  <c r="T76" i="16" s="1"/>
  <c r="R329" i="16"/>
  <c r="T329" i="16" s="1"/>
  <c r="R353" i="16"/>
  <c r="T353" i="16" s="1"/>
  <c r="R441" i="16"/>
  <c r="T441" i="16" s="1"/>
  <c r="R449" i="16"/>
  <c r="T449" i="16" s="1"/>
  <c r="R457" i="16"/>
  <c r="T457" i="16" s="1"/>
  <c r="R465" i="16"/>
  <c r="T465" i="16" s="1"/>
  <c r="R481" i="16"/>
  <c r="T481" i="16" s="1"/>
  <c r="R505" i="16"/>
  <c r="T505" i="16" s="1"/>
  <c r="R612" i="16"/>
  <c r="T612" i="16" s="1"/>
  <c r="R644" i="16"/>
  <c r="T644" i="16" s="1"/>
  <c r="R684" i="16"/>
  <c r="T684" i="16" s="1"/>
  <c r="R748" i="16"/>
  <c r="T748" i="16" s="1"/>
  <c r="R812" i="16"/>
  <c r="T812" i="16" s="1"/>
  <c r="R876" i="16"/>
  <c r="T876" i="16" s="1"/>
  <c r="L992" i="11"/>
  <c r="N992" i="11" s="1"/>
  <c r="L984" i="11"/>
  <c r="N984" i="11" s="1"/>
  <c r="L976" i="11"/>
  <c r="N976" i="11" s="1"/>
  <c r="L968" i="11"/>
  <c r="N968" i="11" s="1"/>
  <c r="L960" i="11"/>
  <c r="N960" i="11" s="1"/>
  <c r="L952" i="11"/>
  <c r="N952" i="11" s="1"/>
  <c r="L944" i="11"/>
  <c r="N944" i="11" s="1"/>
  <c r="L928" i="11"/>
  <c r="N928" i="11" s="1"/>
  <c r="L920" i="11"/>
  <c r="N920" i="11" s="1"/>
  <c r="L912" i="11"/>
  <c r="N912" i="11" s="1"/>
  <c r="L904" i="11"/>
  <c r="N904" i="11" s="1"/>
  <c r="L896" i="11"/>
  <c r="N896" i="11" s="1"/>
  <c r="L888" i="11"/>
  <c r="N888" i="11" s="1"/>
  <c r="L880" i="11"/>
  <c r="N880" i="11" s="1"/>
  <c r="L864" i="11"/>
  <c r="N864" i="11" s="1"/>
  <c r="L856" i="11"/>
  <c r="N856" i="11" s="1"/>
  <c r="L848" i="11"/>
  <c r="N848" i="11" s="1"/>
  <c r="L840" i="11"/>
  <c r="N840" i="11" s="1"/>
  <c r="L832" i="11"/>
  <c r="N832" i="11" s="1"/>
  <c r="L824" i="11"/>
  <c r="N824" i="11" s="1"/>
  <c r="L816" i="11"/>
  <c r="N816" i="11" s="1"/>
  <c r="L800" i="11"/>
  <c r="N800" i="11" s="1"/>
  <c r="L792" i="11"/>
  <c r="N792" i="11" s="1"/>
  <c r="L784" i="11"/>
  <c r="N784" i="11" s="1"/>
  <c r="L776" i="11"/>
  <c r="N776" i="11" s="1"/>
  <c r="L768" i="11"/>
  <c r="N768" i="11" s="1"/>
  <c r="L760" i="11"/>
  <c r="N760" i="11" s="1"/>
  <c r="L752" i="11"/>
  <c r="N752" i="11" s="1"/>
  <c r="L736" i="11"/>
  <c r="N736" i="11" s="1"/>
  <c r="L728" i="11"/>
  <c r="N728" i="11" s="1"/>
  <c r="L720" i="11"/>
  <c r="N720" i="11" s="1"/>
  <c r="L712" i="11"/>
  <c r="N712" i="11" s="1"/>
  <c r="L704" i="11"/>
  <c r="N704" i="11" s="1"/>
  <c r="L696" i="11"/>
  <c r="N696" i="11" s="1"/>
  <c r="L688" i="11"/>
  <c r="N688" i="11" s="1"/>
  <c r="L680" i="11"/>
  <c r="N680" i="11" s="1"/>
  <c r="L672" i="11"/>
  <c r="N672" i="11" s="1"/>
  <c r="L664" i="11"/>
  <c r="N664" i="11" s="1"/>
  <c r="L648" i="11"/>
  <c r="N648" i="11" s="1"/>
  <c r="L640" i="11"/>
  <c r="N640" i="11" s="1"/>
  <c r="L632" i="11"/>
  <c r="N632" i="11" s="1"/>
  <c r="L624" i="11"/>
  <c r="N624" i="11" s="1"/>
  <c r="L608" i="11"/>
  <c r="N608" i="11" s="1"/>
  <c r="L600" i="11"/>
  <c r="N600" i="11" s="1"/>
  <c r="L592" i="11"/>
  <c r="N592" i="11" s="1"/>
  <c r="L584" i="11"/>
  <c r="N584" i="11" s="1"/>
  <c r="L576" i="11"/>
  <c r="N576" i="11" s="1"/>
  <c r="L568" i="11"/>
  <c r="N568" i="11" s="1"/>
  <c r="L560" i="11"/>
  <c r="N560" i="11" s="1"/>
  <c r="L552" i="11"/>
  <c r="N552" i="11" s="1"/>
  <c r="L544" i="11"/>
  <c r="N544" i="11" s="1"/>
  <c r="L536" i="11"/>
  <c r="N536" i="11" s="1"/>
  <c r="L520" i="11"/>
  <c r="N520" i="11" s="1"/>
  <c r="L512" i="11"/>
  <c r="N512" i="11" s="1"/>
  <c r="L504" i="11"/>
  <c r="N504" i="11" s="1"/>
  <c r="L496" i="11"/>
  <c r="N496" i="11" s="1"/>
  <c r="L480" i="11"/>
  <c r="N480" i="11" s="1"/>
  <c r="L472" i="11"/>
  <c r="N472" i="11" s="1"/>
  <c r="L464" i="11"/>
  <c r="N464" i="11" s="1"/>
  <c r="L456" i="11"/>
  <c r="N456" i="11" s="1"/>
  <c r="L448" i="11"/>
  <c r="N448" i="11" s="1"/>
  <c r="L440" i="11"/>
  <c r="N440" i="11" s="1"/>
  <c r="L432" i="11"/>
  <c r="N432" i="11" s="1"/>
  <c r="L424" i="11"/>
  <c r="N424" i="11" s="1"/>
  <c r="L416" i="11"/>
  <c r="N416" i="11" s="1"/>
  <c r="L408" i="11"/>
  <c r="N408" i="11" s="1"/>
  <c r="L400" i="11"/>
  <c r="N400" i="11" s="1"/>
  <c r="L392" i="11"/>
  <c r="N392" i="11" s="1"/>
  <c r="L384" i="11"/>
  <c r="N384" i="11" s="1"/>
  <c r="L368" i="11"/>
  <c r="N368" i="11" s="1"/>
  <c r="L360" i="11"/>
  <c r="N360" i="11" s="1"/>
  <c r="L352" i="11"/>
  <c r="N352" i="11" s="1"/>
  <c r="L344" i="11"/>
  <c r="N344" i="11" s="1"/>
  <c r="L336" i="11"/>
  <c r="N336" i="11" s="1"/>
  <c r="L328" i="11"/>
  <c r="N328" i="11" s="1"/>
  <c r="L320" i="11"/>
  <c r="N320" i="11" s="1"/>
  <c r="L312" i="11"/>
  <c r="N312" i="11" s="1"/>
  <c r="L304" i="11"/>
  <c r="N304" i="11" s="1"/>
  <c r="L296" i="11"/>
  <c r="N296" i="11" s="1"/>
  <c r="L288" i="11"/>
  <c r="N288" i="11" s="1"/>
  <c r="L280" i="11"/>
  <c r="N280" i="11" s="1"/>
  <c r="L272" i="11"/>
  <c r="N272" i="11" s="1"/>
  <c r="L264" i="11"/>
  <c r="N264" i="11" s="1"/>
  <c r="L256" i="11"/>
  <c r="N256" i="11" s="1"/>
  <c r="L248" i="11"/>
  <c r="N248" i="11" s="1"/>
  <c r="L240" i="11"/>
  <c r="N240" i="11" s="1"/>
  <c r="L232" i="11"/>
  <c r="N232" i="11" s="1"/>
  <c r="L224" i="11"/>
  <c r="N224" i="11" s="1"/>
  <c r="L216" i="11"/>
  <c r="N216" i="11" s="1"/>
  <c r="L208" i="11"/>
  <c r="N208" i="11" s="1"/>
  <c r="L200" i="11"/>
  <c r="N200" i="11" s="1"/>
  <c r="L192" i="11"/>
  <c r="N192" i="11" s="1"/>
  <c r="L184" i="11"/>
  <c r="N184" i="11" s="1"/>
  <c r="L176" i="11"/>
  <c r="N176" i="11" s="1"/>
  <c r="L168" i="11"/>
  <c r="N168" i="11" s="1"/>
  <c r="L160" i="11"/>
  <c r="N160" i="11" s="1"/>
  <c r="L152" i="11"/>
  <c r="N152" i="11" s="1"/>
  <c r="L144" i="11"/>
  <c r="N144" i="11" s="1"/>
  <c r="L136" i="11"/>
  <c r="N136" i="11" s="1"/>
  <c r="L128" i="11"/>
  <c r="N128" i="11" s="1"/>
  <c r="L112" i="11"/>
  <c r="N112" i="11" s="1"/>
  <c r="L104" i="11"/>
  <c r="N104" i="11" s="1"/>
  <c r="L96" i="11"/>
  <c r="N96" i="11" s="1"/>
  <c r="L88" i="11"/>
  <c r="N88" i="11" s="1"/>
  <c r="L80" i="11"/>
  <c r="N80" i="11" s="1"/>
  <c r="L72" i="11"/>
  <c r="N72" i="11" s="1"/>
  <c r="L64" i="11"/>
  <c r="N64" i="11" s="1"/>
  <c r="R321" i="16"/>
  <c r="T321" i="16" s="1"/>
  <c r="R251" i="16"/>
  <c r="T251" i="16" s="1"/>
  <c r="R502" i="16"/>
  <c r="T502" i="16" s="1"/>
  <c r="R513" i="16"/>
  <c r="T513" i="16" s="1"/>
  <c r="R152" i="16"/>
  <c r="T152" i="16" s="1"/>
  <c r="R248" i="16"/>
  <c r="T248" i="16" s="1"/>
  <c r="R269" i="16"/>
  <c r="T269" i="16" s="1"/>
  <c r="R272" i="16"/>
  <c r="T272" i="16" s="1"/>
  <c r="R323" i="16"/>
  <c r="T323" i="16" s="1"/>
  <c r="R328" i="16"/>
  <c r="T328" i="16" s="1"/>
  <c r="R336" i="16"/>
  <c r="T336" i="16" s="1"/>
  <c r="R395" i="16"/>
  <c r="T395" i="16" s="1"/>
  <c r="R411" i="16"/>
  <c r="T411" i="16" s="1"/>
  <c r="R464" i="16"/>
  <c r="T464" i="16" s="1"/>
  <c r="R488" i="16"/>
  <c r="T488" i="16" s="1"/>
  <c r="R496" i="16"/>
  <c r="T496" i="16" s="1"/>
  <c r="R515" i="16"/>
  <c r="T515" i="16" s="1"/>
  <c r="R523" i="16"/>
  <c r="T523" i="16" s="1"/>
  <c r="R678" i="16"/>
  <c r="T678" i="16" s="1"/>
  <c r="R718" i="16"/>
  <c r="T718" i="16" s="1"/>
  <c r="R47" i="16"/>
  <c r="T47" i="16" s="1"/>
  <c r="R52" i="16"/>
  <c r="T52" i="16" s="1"/>
  <c r="R60" i="16"/>
  <c r="T60" i="16" s="1"/>
  <c r="R255" i="16"/>
  <c r="T255" i="16" s="1"/>
  <c r="R271" i="16"/>
  <c r="T271" i="16" s="1"/>
  <c r="R287" i="16"/>
  <c r="T287" i="16" s="1"/>
  <c r="R311" i="16"/>
  <c r="T311" i="16" s="1"/>
  <c r="R314" i="16"/>
  <c r="T314" i="16" s="1"/>
  <c r="R501" i="16"/>
  <c r="T501" i="16" s="1"/>
  <c r="R509" i="16"/>
  <c r="T509" i="16" s="1"/>
  <c r="R552" i="16"/>
  <c r="T552" i="16" s="1"/>
  <c r="R667" i="16"/>
  <c r="T667" i="16" s="1"/>
  <c r="R81" i="16"/>
  <c r="T81" i="16" s="1"/>
  <c r="R113" i="16"/>
  <c r="T113" i="16" s="1"/>
  <c r="R129" i="16"/>
  <c r="T129" i="16" s="1"/>
  <c r="R148" i="16"/>
  <c r="T148" i="16" s="1"/>
  <c r="R172" i="16"/>
  <c r="T172" i="16" s="1"/>
  <c r="R180" i="16"/>
  <c r="T180" i="16" s="1"/>
  <c r="R196" i="16"/>
  <c r="T196" i="16" s="1"/>
  <c r="R204" i="16"/>
  <c r="T204" i="16" s="1"/>
  <c r="R276" i="16"/>
  <c r="T276" i="16" s="1"/>
  <c r="R327" i="16"/>
  <c r="T327" i="16" s="1"/>
  <c r="R335" i="16"/>
  <c r="T335" i="16" s="1"/>
  <c r="R351" i="16"/>
  <c r="T351" i="16" s="1"/>
  <c r="R375" i="16"/>
  <c r="T375" i="16" s="1"/>
  <c r="R383" i="16"/>
  <c r="T383" i="16" s="1"/>
  <c r="R391" i="16"/>
  <c r="T391" i="16" s="1"/>
  <c r="R399" i="16"/>
  <c r="T399" i="16" s="1"/>
  <c r="R407" i="16"/>
  <c r="T407" i="16" s="1"/>
  <c r="R423" i="16"/>
  <c r="T423" i="16" s="1"/>
  <c r="R439" i="16"/>
  <c r="T439" i="16" s="1"/>
  <c r="R447" i="16"/>
  <c r="T447" i="16" s="1"/>
  <c r="R455" i="16"/>
  <c r="T455" i="16" s="1"/>
  <c r="R581" i="16"/>
  <c r="T581" i="16" s="1"/>
  <c r="R589" i="16"/>
  <c r="T589" i="16" s="1"/>
  <c r="R597" i="16"/>
  <c r="T597" i="16" s="1"/>
  <c r="R38" i="16"/>
  <c r="T38" i="16" s="1"/>
  <c r="R70" i="16"/>
  <c r="T70" i="16" s="1"/>
  <c r="R86" i="16"/>
  <c r="T86" i="16" s="1"/>
  <c r="R102" i="16"/>
  <c r="T102" i="16" s="1"/>
  <c r="R134" i="16"/>
  <c r="T134" i="16" s="1"/>
  <c r="R137" i="16"/>
  <c r="T137" i="16" s="1"/>
  <c r="R145" i="16"/>
  <c r="T145" i="16" s="1"/>
  <c r="R185" i="16"/>
  <c r="T185" i="16" s="1"/>
  <c r="R209" i="16"/>
  <c r="T209" i="16" s="1"/>
  <c r="R217" i="16"/>
  <c r="T217" i="16" s="1"/>
  <c r="R241" i="16"/>
  <c r="T241" i="16" s="1"/>
  <c r="R249" i="16"/>
  <c r="T249" i="16" s="1"/>
  <c r="R281" i="16"/>
  <c r="T281" i="16" s="1"/>
  <c r="R305" i="16"/>
  <c r="T305" i="16" s="1"/>
  <c r="R519" i="16"/>
  <c r="T519" i="16" s="1"/>
  <c r="R666" i="16"/>
  <c r="T666" i="16" s="1"/>
  <c r="R56" i="16"/>
  <c r="T56" i="16" s="1"/>
  <c r="R83" i="16"/>
  <c r="T83" i="16" s="1"/>
  <c r="R115" i="16"/>
  <c r="T115" i="16" s="1"/>
  <c r="R169" i="16"/>
  <c r="T169" i="16" s="1"/>
  <c r="R182" i="16"/>
  <c r="T182" i="16" s="1"/>
  <c r="R190" i="16"/>
  <c r="T190" i="16" s="1"/>
  <c r="R198" i="16"/>
  <c r="T198" i="16" s="1"/>
  <c r="R206" i="16"/>
  <c r="T206" i="16" s="1"/>
  <c r="R257" i="16"/>
  <c r="T257" i="16" s="1"/>
  <c r="R265" i="16"/>
  <c r="T265" i="16" s="1"/>
  <c r="R273" i="16"/>
  <c r="T273" i="16" s="1"/>
  <c r="R284" i="16"/>
  <c r="T284" i="16" s="1"/>
  <c r="R292" i="16"/>
  <c r="T292" i="16" s="1"/>
  <c r="R300" i="16"/>
  <c r="T300" i="16" s="1"/>
  <c r="R319" i="16"/>
  <c r="T319" i="16" s="1"/>
  <c r="R469" i="16"/>
  <c r="T469" i="16" s="1"/>
  <c r="R512" i="16"/>
  <c r="T512" i="16" s="1"/>
  <c r="R520" i="16"/>
  <c r="T520" i="16" s="1"/>
  <c r="R566" i="16"/>
  <c r="T566" i="16" s="1"/>
  <c r="R601" i="16"/>
  <c r="T601" i="16" s="1"/>
  <c r="R619" i="16"/>
  <c r="T619" i="16" s="1"/>
  <c r="R643" i="16"/>
  <c r="T643" i="16" s="1"/>
  <c r="R651" i="16"/>
  <c r="T651" i="16" s="1"/>
  <c r="R723" i="16"/>
  <c r="T723" i="16" s="1"/>
  <c r="R787" i="16"/>
  <c r="T787" i="16" s="1"/>
  <c r="R795" i="16"/>
  <c r="T795" i="16" s="1"/>
  <c r="R803" i="16"/>
  <c r="T803" i="16" s="1"/>
  <c r="R851" i="16"/>
  <c r="T851" i="16" s="1"/>
  <c r="R859" i="16"/>
  <c r="T859" i="16" s="1"/>
  <c r="R867" i="16"/>
  <c r="T867" i="16" s="1"/>
  <c r="R894" i="16"/>
  <c r="T894" i="16" s="1"/>
  <c r="R902" i="16"/>
  <c r="T902" i="16" s="1"/>
  <c r="R910" i="16"/>
  <c r="T910" i="16" s="1"/>
  <c r="R926" i="16"/>
  <c r="T926" i="16" s="1"/>
  <c r="R934" i="16"/>
  <c r="T934" i="16" s="1"/>
  <c r="R942" i="16"/>
  <c r="T942" i="16" s="1"/>
  <c r="R537" i="16"/>
  <c r="T537" i="16" s="1"/>
  <c r="R36" i="16"/>
  <c r="T36" i="16" s="1"/>
  <c r="R55" i="16"/>
  <c r="T55" i="16" s="1"/>
  <c r="R117" i="16"/>
  <c r="T117" i="16" s="1"/>
  <c r="R160" i="16"/>
  <c r="T160" i="16" s="1"/>
  <c r="R163" i="16"/>
  <c r="T163" i="16" s="1"/>
  <c r="R171" i="16"/>
  <c r="T171" i="16" s="1"/>
  <c r="R179" i="16"/>
  <c r="T179" i="16" s="1"/>
  <c r="R192" i="16"/>
  <c r="T192" i="16" s="1"/>
  <c r="R208" i="16"/>
  <c r="T208" i="16" s="1"/>
  <c r="R340" i="16"/>
  <c r="T340" i="16" s="1"/>
  <c r="R343" i="16"/>
  <c r="T343" i="16" s="1"/>
  <c r="R367" i="16"/>
  <c r="T367" i="16" s="1"/>
  <c r="R487" i="16"/>
  <c r="T487" i="16" s="1"/>
  <c r="R541" i="16"/>
  <c r="T541" i="16" s="1"/>
  <c r="R576" i="16"/>
  <c r="T576" i="16" s="1"/>
  <c r="R608" i="16"/>
  <c r="T608" i="16" s="1"/>
  <c r="R640" i="16"/>
  <c r="T640" i="16" s="1"/>
  <c r="R696" i="16"/>
  <c r="T696" i="16" s="1"/>
  <c r="R704" i="16"/>
  <c r="T704" i="16" s="1"/>
  <c r="R760" i="16"/>
  <c r="T760" i="16" s="1"/>
  <c r="R840" i="16"/>
  <c r="T840" i="16" s="1"/>
  <c r="R98" i="16"/>
  <c r="T98" i="16" s="1"/>
  <c r="R130" i="16"/>
  <c r="T130" i="16" s="1"/>
  <c r="R149" i="16"/>
  <c r="T149" i="16" s="1"/>
  <c r="R165" i="16"/>
  <c r="T165" i="16" s="1"/>
  <c r="R189" i="16"/>
  <c r="T189" i="16" s="1"/>
  <c r="R221" i="16"/>
  <c r="T221" i="16" s="1"/>
  <c r="R229" i="16"/>
  <c r="T229" i="16" s="1"/>
  <c r="R263" i="16"/>
  <c r="T263" i="16" s="1"/>
  <c r="R44" i="16"/>
  <c r="T44" i="16" s="1"/>
  <c r="R473" i="16"/>
  <c r="T473" i="16" s="1"/>
  <c r="R538" i="16"/>
  <c r="T538" i="16" s="1"/>
  <c r="R701" i="16"/>
  <c r="T701" i="16" s="1"/>
  <c r="R741" i="16"/>
  <c r="T741" i="16" s="1"/>
  <c r="R877" i="16"/>
  <c r="T877" i="16" s="1"/>
  <c r="R885" i="16"/>
  <c r="T885" i="16" s="1"/>
  <c r="R893" i="16"/>
  <c r="T893" i="16" s="1"/>
  <c r="R909" i="16"/>
  <c r="T909" i="16" s="1"/>
  <c r="R917" i="16"/>
  <c r="T917" i="16" s="1"/>
  <c r="R933" i="16"/>
  <c r="T933" i="16" s="1"/>
  <c r="R941" i="16"/>
  <c r="T941" i="16" s="1"/>
  <c r="R949" i="16"/>
  <c r="T949" i="16" s="1"/>
  <c r="R957" i="16"/>
  <c r="T957" i="16" s="1"/>
  <c r="R965" i="16"/>
  <c r="T965" i="16" s="1"/>
  <c r="R981" i="16"/>
  <c r="T981" i="16" s="1"/>
  <c r="R989" i="16"/>
  <c r="T989" i="16" s="1"/>
  <c r="R997" i="16"/>
  <c r="T997" i="16" s="1"/>
  <c r="R35" i="16"/>
  <c r="T35" i="16" s="1"/>
  <c r="R68" i="16"/>
  <c r="T68" i="16" s="1"/>
  <c r="R79" i="16"/>
  <c r="T79" i="16" s="1"/>
  <c r="R92" i="16"/>
  <c r="T92" i="16" s="1"/>
  <c r="R100" i="16"/>
  <c r="T100" i="16" s="1"/>
  <c r="R108" i="16"/>
  <c r="T108" i="16" s="1"/>
  <c r="R111" i="16"/>
  <c r="T111" i="16" s="1"/>
  <c r="R124" i="16"/>
  <c r="T124" i="16" s="1"/>
  <c r="R132" i="16"/>
  <c r="T132" i="16" s="1"/>
  <c r="R151" i="16"/>
  <c r="T151" i="16" s="1"/>
  <c r="R183" i="16"/>
  <c r="T183" i="16" s="1"/>
  <c r="R215" i="16"/>
  <c r="T215" i="16" s="1"/>
  <c r="R247" i="16"/>
  <c r="T247" i="16" s="1"/>
  <c r="R250" i="16"/>
  <c r="T250" i="16" s="1"/>
  <c r="R285" i="16"/>
  <c r="T285" i="16" s="1"/>
  <c r="R293" i="16"/>
  <c r="T293" i="16" s="1"/>
  <c r="R312" i="16"/>
  <c r="T312" i="16" s="1"/>
  <c r="R315" i="16"/>
  <c r="T315" i="16" s="1"/>
  <c r="R371" i="16"/>
  <c r="T371" i="16" s="1"/>
  <c r="R379" i="16"/>
  <c r="T379" i="16" s="1"/>
  <c r="R414" i="16"/>
  <c r="T414" i="16" s="1"/>
  <c r="R427" i="16"/>
  <c r="T427" i="16" s="1"/>
  <c r="R478" i="16"/>
  <c r="T478" i="16" s="1"/>
  <c r="R521" i="16"/>
  <c r="T521" i="16" s="1"/>
  <c r="R529" i="16"/>
  <c r="T529" i="16" s="1"/>
  <c r="R548" i="16"/>
  <c r="T548" i="16" s="1"/>
  <c r="R602" i="16"/>
  <c r="T602" i="16" s="1"/>
  <c r="R642" i="16"/>
  <c r="T642" i="16" s="1"/>
  <c r="R647" i="16"/>
  <c r="T647" i="16" s="1"/>
  <c r="R658" i="16"/>
  <c r="T658" i="16" s="1"/>
  <c r="R674" i="16"/>
  <c r="T674" i="16" s="1"/>
  <c r="R682" i="16"/>
  <c r="T682" i="16" s="1"/>
  <c r="R687" i="16"/>
  <c r="T687" i="16" s="1"/>
  <c r="R690" i="16"/>
  <c r="T690" i="16" s="1"/>
  <c r="R695" i="16"/>
  <c r="T695" i="16" s="1"/>
  <c r="R698" i="16"/>
  <c r="T698" i="16" s="1"/>
  <c r="R703" i="16"/>
  <c r="T703" i="16" s="1"/>
  <c r="R706" i="16"/>
  <c r="T706" i="16" s="1"/>
  <c r="R751" i="16"/>
  <c r="T751" i="16" s="1"/>
  <c r="R759" i="16"/>
  <c r="T759" i="16" s="1"/>
  <c r="R815" i="16"/>
  <c r="T815" i="16" s="1"/>
  <c r="R823" i="16"/>
  <c r="T823" i="16" s="1"/>
  <c r="R831" i="16"/>
  <c r="T831" i="16" s="1"/>
  <c r="R33" i="16"/>
  <c r="T33" i="16" s="1"/>
  <c r="R67" i="16"/>
  <c r="T67" i="16" s="1"/>
  <c r="R84" i="16"/>
  <c r="T84" i="16" s="1"/>
  <c r="R101" i="16"/>
  <c r="T101" i="16" s="1"/>
  <c r="R118" i="16"/>
  <c r="T118" i="16" s="1"/>
  <c r="R135" i="16"/>
  <c r="T135" i="16" s="1"/>
  <c r="R146" i="16"/>
  <c r="T146" i="16" s="1"/>
  <c r="R166" i="16"/>
  <c r="T166" i="16" s="1"/>
  <c r="R174" i="16"/>
  <c r="T174" i="16" s="1"/>
  <c r="R199" i="16"/>
  <c r="T199" i="16" s="1"/>
  <c r="R207" i="16"/>
  <c r="T207" i="16" s="1"/>
  <c r="R210" i="16"/>
  <c r="T210" i="16" s="1"/>
  <c r="R216" i="16"/>
  <c r="T216" i="16" s="1"/>
  <c r="R219" i="16"/>
  <c r="T219" i="16" s="1"/>
  <c r="R224" i="16"/>
  <c r="T224" i="16" s="1"/>
  <c r="R232" i="16"/>
  <c r="T232" i="16" s="1"/>
  <c r="R240" i="16"/>
  <c r="T240" i="16" s="1"/>
  <c r="R268" i="16"/>
  <c r="T268" i="16" s="1"/>
  <c r="R279" i="16"/>
  <c r="T279" i="16" s="1"/>
  <c r="R282" i="16"/>
  <c r="T282" i="16" s="1"/>
  <c r="R290" i="16"/>
  <c r="T290" i="16" s="1"/>
  <c r="R298" i="16"/>
  <c r="T298" i="16" s="1"/>
  <c r="R306" i="16"/>
  <c r="T306" i="16" s="1"/>
  <c r="R334" i="16"/>
  <c r="T334" i="16" s="1"/>
  <c r="R337" i="16"/>
  <c r="T337" i="16" s="1"/>
  <c r="R359" i="16"/>
  <c r="T359" i="16" s="1"/>
  <c r="R362" i="16"/>
  <c r="T362" i="16" s="1"/>
  <c r="R389" i="16"/>
  <c r="T389" i="16" s="1"/>
  <c r="R397" i="16"/>
  <c r="T397" i="16" s="1"/>
  <c r="R405" i="16"/>
  <c r="T405" i="16" s="1"/>
  <c r="R419" i="16"/>
  <c r="T419" i="16" s="1"/>
  <c r="R433" i="16"/>
  <c r="T433" i="16" s="1"/>
  <c r="R444" i="16"/>
  <c r="T444" i="16" s="1"/>
  <c r="R452" i="16"/>
  <c r="T452" i="16" s="1"/>
  <c r="R466" i="16"/>
  <c r="T466" i="16" s="1"/>
  <c r="R485" i="16"/>
  <c r="T485" i="16" s="1"/>
  <c r="R493" i="16"/>
  <c r="T493" i="16" s="1"/>
  <c r="R510" i="16"/>
  <c r="T510" i="16" s="1"/>
  <c r="R546" i="16"/>
  <c r="T546" i="16" s="1"/>
  <c r="R551" i="16"/>
  <c r="T551" i="16" s="1"/>
  <c r="R562" i="16"/>
  <c r="T562" i="16" s="1"/>
  <c r="R573" i="16"/>
  <c r="T573" i="16" s="1"/>
  <c r="R584" i="16"/>
  <c r="T584" i="16" s="1"/>
  <c r="R598" i="16"/>
  <c r="T598" i="16" s="1"/>
  <c r="R617" i="16"/>
  <c r="T617" i="16" s="1"/>
  <c r="R625" i="16"/>
  <c r="T625" i="16" s="1"/>
  <c r="R634" i="16"/>
  <c r="T634" i="16" s="1"/>
  <c r="R675" i="16"/>
  <c r="T675" i="16" s="1"/>
  <c r="R702" i="16"/>
  <c r="T702" i="16" s="1"/>
  <c r="R710" i="16"/>
  <c r="T710" i="16" s="1"/>
  <c r="R713" i="16"/>
  <c r="T713" i="16" s="1"/>
  <c r="R721" i="16"/>
  <c r="T721" i="16" s="1"/>
  <c r="R732" i="16"/>
  <c r="T732" i="16" s="1"/>
  <c r="R740" i="16"/>
  <c r="T740" i="16" s="1"/>
  <c r="R757" i="16"/>
  <c r="T757" i="16" s="1"/>
  <c r="R768" i="16"/>
  <c r="T768" i="16" s="1"/>
  <c r="R776" i="16"/>
  <c r="T776" i="16" s="1"/>
  <c r="R830" i="16"/>
  <c r="T830" i="16" s="1"/>
  <c r="R838" i="16"/>
  <c r="T838" i="16" s="1"/>
  <c r="R846" i="16"/>
  <c r="T846" i="16" s="1"/>
  <c r="R932" i="16"/>
  <c r="T932" i="16" s="1"/>
  <c r="R143" i="16"/>
  <c r="T143" i="16" s="1"/>
  <c r="R168" i="16"/>
  <c r="T168" i="16" s="1"/>
  <c r="R176" i="16"/>
  <c r="T176" i="16" s="1"/>
  <c r="R295" i="16"/>
  <c r="T295" i="16" s="1"/>
  <c r="R303" i="16"/>
  <c r="T303" i="16" s="1"/>
  <c r="R331" i="16"/>
  <c r="T331" i="16" s="1"/>
  <c r="R394" i="16"/>
  <c r="T394" i="16" s="1"/>
  <c r="R402" i="16"/>
  <c r="T402" i="16" s="1"/>
  <c r="R430" i="16"/>
  <c r="T430" i="16" s="1"/>
  <c r="R482" i="16"/>
  <c r="T482" i="16" s="1"/>
  <c r="R498" i="16"/>
  <c r="T498" i="16" s="1"/>
  <c r="R534" i="16"/>
  <c r="T534" i="16" s="1"/>
  <c r="R570" i="16"/>
  <c r="T570" i="16" s="1"/>
  <c r="R754" i="16"/>
  <c r="T754" i="16" s="1"/>
  <c r="R762" i="16"/>
  <c r="T762" i="16" s="1"/>
  <c r="R49" i="16"/>
  <c r="T49" i="16" s="1"/>
  <c r="R140" i="16"/>
  <c r="T140" i="16" s="1"/>
  <c r="R159" i="16"/>
  <c r="T159" i="16" s="1"/>
  <c r="R193" i="16"/>
  <c r="T193" i="16" s="1"/>
  <c r="R201" i="16"/>
  <c r="T201" i="16" s="1"/>
  <c r="R256" i="16"/>
  <c r="T256" i="16" s="1"/>
  <c r="R259" i="16"/>
  <c r="T259" i="16" s="1"/>
  <c r="R333" i="16"/>
  <c r="T333" i="16" s="1"/>
  <c r="R347" i="16"/>
  <c r="T347" i="16" s="1"/>
  <c r="R369" i="16"/>
  <c r="T369" i="16" s="1"/>
  <c r="R432" i="16"/>
  <c r="T432" i="16" s="1"/>
  <c r="R438" i="16"/>
  <c r="T438" i="16" s="1"/>
  <c r="R443" i="16"/>
  <c r="T443" i="16" s="1"/>
  <c r="R454" i="16"/>
  <c r="T454" i="16" s="1"/>
  <c r="R484" i="16"/>
  <c r="T484" i="16" s="1"/>
  <c r="R517" i="16"/>
  <c r="T517" i="16" s="1"/>
  <c r="R525" i="16"/>
  <c r="T525" i="16" s="1"/>
  <c r="R542" i="16"/>
  <c r="T542" i="16" s="1"/>
  <c r="R578" i="16"/>
  <c r="T578" i="16" s="1"/>
  <c r="R583" i="16"/>
  <c r="T583" i="16" s="1"/>
  <c r="R594" i="16"/>
  <c r="T594" i="16" s="1"/>
  <c r="R605" i="16"/>
  <c r="T605" i="16" s="1"/>
  <c r="R616" i="16"/>
  <c r="T616" i="16" s="1"/>
  <c r="R630" i="16"/>
  <c r="T630" i="16" s="1"/>
  <c r="R657" i="16"/>
  <c r="T657" i="16" s="1"/>
  <c r="R693" i="16"/>
  <c r="T693" i="16" s="1"/>
  <c r="R709" i="16"/>
  <c r="T709" i="16" s="1"/>
  <c r="R712" i="16"/>
  <c r="T712" i="16" s="1"/>
  <c r="R731" i="16"/>
  <c r="T731" i="16" s="1"/>
  <c r="R739" i="16"/>
  <c r="T739" i="16" s="1"/>
  <c r="R764" i="16"/>
  <c r="T764" i="16" s="1"/>
  <c r="R767" i="16"/>
  <c r="T767" i="16" s="1"/>
  <c r="R770" i="16"/>
  <c r="T770" i="16" s="1"/>
  <c r="R783" i="16"/>
  <c r="T783" i="16" s="1"/>
  <c r="R802" i="16"/>
  <c r="T802" i="16" s="1"/>
  <c r="R821" i="16"/>
  <c r="T821" i="16" s="1"/>
  <c r="R829" i="16"/>
  <c r="T829" i="16" s="1"/>
  <c r="R837" i="16"/>
  <c r="T837" i="16" s="1"/>
  <c r="R845" i="16"/>
  <c r="T845" i="16" s="1"/>
  <c r="R853" i="16"/>
  <c r="T853" i="16" s="1"/>
  <c r="R861" i="16"/>
  <c r="T861" i="16" s="1"/>
  <c r="R915" i="16"/>
  <c r="T915" i="16" s="1"/>
  <c r="R947" i="16"/>
  <c r="T947" i="16" s="1"/>
  <c r="R971" i="16"/>
  <c r="T971" i="16" s="1"/>
  <c r="R987" i="16"/>
  <c r="T987" i="16" s="1"/>
  <c r="R54" i="16"/>
  <c r="T54" i="16" s="1"/>
  <c r="R71" i="16"/>
  <c r="T71" i="16" s="1"/>
  <c r="R80" i="16"/>
  <c r="T80" i="16" s="1"/>
  <c r="R97" i="16"/>
  <c r="T97" i="16" s="1"/>
  <c r="R114" i="16"/>
  <c r="T114" i="16" s="1"/>
  <c r="R131" i="16"/>
  <c r="T131" i="16" s="1"/>
  <c r="R150" i="16"/>
  <c r="T150" i="16" s="1"/>
  <c r="R153" i="16"/>
  <c r="T153" i="16" s="1"/>
  <c r="R156" i="16"/>
  <c r="T156" i="16" s="1"/>
  <c r="R161" i="16"/>
  <c r="T161" i="16" s="1"/>
  <c r="R164" i="16"/>
  <c r="T164" i="16" s="1"/>
  <c r="R175" i="16"/>
  <c r="T175" i="16" s="1"/>
  <c r="R203" i="16"/>
  <c r="T203" i="16" s="1"/>
  <c r="R214" i="16"/>
  <c r="T214" i="16" s="1"/>
  <c r="R228" i="16"/>
  <c r="T228" i="16" s="1"/>
  <c r="R231" i="16"/>
  <c r="T231" i="16" s="1"/>
  <c r="R236" i="16"/>
  <c r="T236" i="16" s="1"/>
  <c r="R239" i="16"/>
  <c r="T239" i="16" s="1"/>
  <c r="R261" i="16"/>
  <c r="T261" i="16" s="1"/>
  <c r="R264" i="16"/>
  <c r="T264" i="16" s="1"/>
  <c r="R267" i="16"/>
  <c r="T267" i="16" s="1"/>
  <c r="R286" i="16"/>
  <c r="T286" i="16" s="1"/>
  <c r="R289" i="16"/>
  <c r="T289" i="16" s="1"/>
  <c r="R297" i="16"/>
  <c r="T297" i="16" s="1"/>
  <c r="R341" i="16"/>
  <c r="T341" i="16" s="1"/>
  <c r="R344" i="16"/>
  <c r="T344" i="16" s="1"/>
  <c r="R352" i="16"/>
  <c r="T352" i="16" s="1"/>
  <c r="R363" i="16"/>
  <c r="T363" i="16" s="1"/>
  <c r="R385" i="16"/>
  <c r="T385" i="16" s="1"/>
  <c r="R401" i="16"/>
  <c r="T401" i="16" s="1"/>
  <c r="R415" i="16"/>
  <c r="T415" i="16" s="1"/>
  <c r="R459" i="16"/>
  <c r="T459" i="16" s="1"/>
  <c r="R467" i="16"/>
  <c r="T467" i="16" s="1"/>
  <c r="R497" i="16"/>
  <c r="T497" i="16" s="1"/>
  <c r="R544" i="16"/>
  <c r="T544" i="16" s="1"/>
  <c r="R547" i="16"/>
  <c r="T547" i="16" s="1"/>
  <c r="R555" i="16"/>
  <c r="T555" i="16" s="1"/>
  <c r="R580" i="16"/>
  <c r="T580" i="16" s="1"/>
  <c r="R613" i="16"/>
  <c r="T613" i="16" s="1"/>
  <c r="R621" i="16"/>
  <c r="T621" i="16" s="1"/>
  <c r="R717" i="16"/>
  <c r="T717" i="16" s="1"/>
  <c r="R796" i="16"/>
  <c r="T796" i="16" s="1"/>
  <c r="R804" i="16"/>
  <c r="T804" i="16" s="1"/>
  <c r="R888" i="16"/>
  <c r="T888" i="16" s="1"/>
  <c r="R896" i="16"/>
  <c r="T896" i="16" s="1"/>
  <c r="R904" i="16"/>
  <c r="T904" i="16" s="1"/>
  <c r="R920" i="16"/>
  <c r="T920" i="16" s="1"/>
  <c r="R928" i="16"/>
  <c r="T928" i="16" s="1"/>
  <c r="R936" i="16"/>
  <c r="T936" i="16" s="1"/>
  <c r="R960" i="16"/>
  <c r="T960" i="16" s="1"/>
  <c r="R39" i="16"/>
  <c r="T39" i="16" s="1"/>
  <c r="R48" i="16"/>
  <c r="T48" i="16" s="1"/>
  <c r="R65" i="16"/>
  <c r="T65" i="16" s="1"/>
  <c r="R82" i="16"/>
  <c r="T82" i="16" s="1"/>
  <c r="R99" i="16"/>
  <c r="T99" i="16" s="1"/>
  <c r="R116" i="16"/>
  <c r="T116" i="16" s="1"/>
  <c r="R133" i="16"/>
  <c r="T133" i="16" s="1"/>
  <c r="R144" i="16"/>
  <c r="T144" i="16" s="1"/>
  <c r="R177" i="16"/>
  <c r="T177" i="16" s="1"/>
  <c r="R205" i="16"/>
  <c r="T205" i="16" s="1"/>
  <c r="R211" i="16"/>
  <c r="T211" i="16" s="1"/>
  <c r="R225" i="16"/>
  <c r="T225" i="16" s="1"/>
  <c r="R233" i="16"/>
  <c r="T233" i="16" s="1"/>
  <c r="R277" i="16"/>
  <c r="T277" i="16" s="1"/>
  <c r="R288" i="16"/>
  <c r="T288" i="16" s="1"/>
  <c r="R296" i="16"/>
  <c r="T296" i="16" s="1"/>
  <c r="R304" i="16"/>
  <c r="T304" i="16" s="1"/>
  <c r="R332" i="16"/>
  <c r="T332" i="16" s="1"/>
  <c r="R365" i="16"/>
  <c r="T365" i="16" s="1"/>
  <c r="R387" i="16"/>
  <c r="T387" i="16" s="1"/>
  <c r="R398" i="16"/>
  <c r="T398" i="16" s="1"/>
  <c r="R403" i="16"/>
  <c r="T403" i="16" s="1"/>
  <c r="R417" i="16"/>
  <c r="T417" i="16" s="1"/>
  <c r="R431" i="16"/>
  <c r="T431" i="16" s="1"/>
  <c r="R461" i="16"/>
  <c r="T461" i="16" s="1"/>
  <c r="R480" i="16"/>
  <c r="T480" i="16" s="1"/>
  <c r="R483" i="16"/>
  <c r="T483" i="16" s="1"/>
  <c r="R491" i="16"/>
  <c r="T491" i="16" s="1"/>
  <c r="R499" i="16"/>
  <c r="T499" i="16" s="1"/>
  <c r="R516" i="16"/>
  <c r="T516" i="16" s="1"/>
  <c r="R549" i="16"/>
  <c r="T549" i="16" s="1"/>
  <c r="R557" i="16"/>
  <c r="T557" i="16" s="1"/>
  <c r="R574" i="16"/>
  <c r="T574" i="16" s="1"/>
  <c r="R610" i="16"/>
  <c r="T610" i="16" s="1"/>
  <c r="R615" i="16"/>
  <c r="T615" i="16" s="1"/>
  <c r="R626" i="16"/>
  <c r="T626" i="16" s="1"/>
  <c r="R637" i="16"/>
  <c r="T637" i="16" s="1"/>
  <c r="R648" i="16"/>
  <c r="T648" i="16" s="1"/>
  <c r="R662" i="16"/>
  <c r="T662" i="16" s="1"/>
  <c r="R755" i="16"/>
  <c r="T755" i="16" s="1"/>
  <c r="R766" i="16"/>
  <c r="T766" i="16" s="1"/>
  <c r="R774" i="16"/>
  <c r="T774" i="16" s="1"/>
  <c r="R782" i="16"/>
  <c r="T782" i="16" s="1"/>
  <c r="R855" i="16"/>
  <c r="T855" i="16" s="1"/>
  <c r="R860" i="16"/>
  <c r="T860" i="16" s="1"/>
  <c r="R863" i="16"/>
  <c r="T863" i="16" s="1"/>
  <c r="R868" i="16"/>
  <c r="T868" i="16" s="1"/>
  <c r="R874" i="16"/>
  <c r="T874" i="16" s="1"/>
  <c r="R973" i="16"/>
  <c r="T973" i="16" s="1"/>
  <c r="R15" i="16"/>
  <c r="T15" i="16" s="1"/>
  <c r="R31" i="16"/>
  <c r="T31" i="16" s="1"/>
  <c r="R235" i="16"/>
  <c r="T235" i="16" s="1"/>
  <c r="R299" i="16"/>
  <c r="T299" i="16" s="1"/>
  <c r="R346" i="16"/>
  <c r="T346" i="16" s="1"/>
  <c r="R418" i="16"/>
  <c r="T418" i="16" s="1"/>
  <c r="R10" i="16"/>
  <c r="T10" i="16" s="1"/>
  <c r="R19" i="16"/>
  <c r="T19" i="16" s="1"/>
  <c r="R26" i="16"/>
  <c r="T26" i="16" s="1"/>
  <c r="R42" i="16"/>
  <c r="T42" i="16" s="1"/>
  <c r="R45" i="16"/>
  <c r="T45" i="16" s="1"/>
  <c r="R58" i="16"/>
  <c r="T58" i="16" s="1"/>
  <c r="R61" i="16"/>
  <c r="T61" i="16" s="1"/>
  <c r="R74" i="16"/>
  <c r="T74" i="16" s="1"/>
  <c r="R77" i="16"/>
  <c r="T77" i="16" s="1"/>
  <c r="R90" i="16"/>
  <c r="T90" i="16" s="1"/>
  <c r="R93" i="16"/>
  <c r="T93" i="16" s="1"/>
  <c r="R106" i="16"/>
  <c r="T106" i="16" s="1"/>
  <c r="R109" i="16"/>
  <c r="T109" i="16" s="1"/>
  <c r="R122" i="16"/>
  <c r="T122" i="16" s="1"/>
  <c r="R125" i="16"/>
  <c r="T125" i="16" s="1"/>
  <c r="R138" i="16"/>
  <c r="T138" i="16" s="1"/>
  <c r="R141" i="16"/>
  <c r="T141" i="16" s="1"/>
  <c r="R154" i="16"/>
  <c r="T154" i="16" s="1"/>
  <c r="R157" i="16"/>
  <c r="T157" i="16" s="1"/>
  <c r="R167" i="16"/>
  <c r="T167" i="16" s="1"/>
  <c r="R170" i="16"/>
  <c r="T170" i="16" s="1"/>
  <c r="R173" i="16"/>
  <c r="T173" i="16" s="1"/>
  <c r="R218" i="16"/>
  <c r="T218" i="16" s="1"/>
  <c r="R237" i="16"/>
  <c r="T237" i="16" s="1"/>
  <c r="R244" i="16"/>
  <c r="T244" i="16" s="1"/>
  <c r="R258" i="16"/>
  <c r="T258" i="16" s="1"/>
  <c r="R275" i="16"/>
  <c r="T275" i="16" s="1"/>
  <c r="R294" i="16"/>
  <c r="T294" i="16" s="1"/>
  <c r="R301" i="16"/>
  <c r="T301" i="16" s="1"/>
  <c r="R308" i="16"/>
  <c r="T308" i="16" s="1"/>
  <c r="R322" i="16"/>
  <c r="T322" i="16" s="1"/>
  <c r="R339" i="16"/>
  <c r="T339" i="16" s="1"/>
  <c r="R355" i="16"/>
  <c r="T355" i="16" s="1"/>
  <c r="R358" i="16"/>
  <c r="T358" i="16" s="1"/>
  <c r="R361" i="16"/>
  <c r="T361" i="16" s="1"/>
  <c r="R374" i="16"/>
  <c r="T374" i="16" s="1"/>
  <c r="R377" i="16"/>
  <c r="T377" i="16" s="1"/>
  <c r="R390" i="16"/>
  <c r="T390" i="16" s="1"/>
  <c r="R16" i="16"/>
  <c r="T16" i="16" s="1"/>
  <c r="R32" i="16"/>
  <c r="T32" i="16" s="1"/>
  <c r="R188" i="16"/>
  <c r="T188" i="16" s="1"/>
  <c r="R191" i="16"/>
  <c r="T191" i="16" s="1"/>
  <c r="R195" i="16"/>
  <c r="T195" i="16" s="1"/>
  <c r="R213" i="16"/>
  <c r="T213" i="16" s="1"/>
  <c r="R220" i="16"/>
  <c r="T220" i="16" s="1"/>
  <c r="R223" i="16"/>
  <c r="T223" i="16" s="1"/>
  <c r="R227" i="16"/>
  <c r="T227" i="16" s="1"/>
  <c r="R246" i="16"/>
  <c r="T246" i="16" s="1"/>
  <c r="R253" i="16"/>
  <c r="T253" i="16" s="1"/>
  <c r="R260" i="16"/>
  <c r="T260" i="16" s="1"/>
  <c r="R274" i="16"/>
  <c r="T274" i="16" s="1"/>
  <c r="R291" i="16"/>
  <c r="T291" i="16" s="1"/>
  <c r="R310" i="16"/>
  <c r="T310" i="16" s="1"/>
  <c r="R317" i="16"/>
  <c r="T317" i="16" s="1"/>
  <c r="R324" i="16"/>
  <c r="T324" i="16" s="1"/>
  <c r="R338" i="16"/>
  <c r="T338" i="16" s="1"/>
  <c r="R345" i="16"/>
  <c r="T345" i="16" s="1"/>
  <c r="R357" i="16"/>
  <c r="T357" i="16" s="1"/>
  <c r="R370" i="16"/>
  <c r="T370" i="16" s="1"/>
  <c r="R373" i="16"/>
  <c r="T373" i="16" s="1"/>
  <c r="R386" i="16"/>
  <c r="T386" i="16" s="1"/>
  <c r="R429" i="16"/>
  <c r="T429" i="16" s="1"/>
  <c r="R649" i="16"/>
  <c r="T649" i="16" s="1"/>
  <c r="R773" i="16"/>
  <c r="T773" i="16" s="1"/>
  <c r="R901" i="16"/>
  <c r="T901" i="16" s="1"/>
  <c r="R925" i="16"/>
  <c r="T925" i="16" s="1"/>
  <c r="R41" i="16"/>
  <c r="T41" i="16" s="1"/>
  <c r="R57" i="16"/>
  <c r="T57" i="16" s="1"/>
  <c r="R73" i="16"/>
  <c r="T73" i="16" s="1"/>
  <c r="R89" i="16"/>
  <c r="T89" i="16" s="1"/>
  <c r="R105" i="16"/>
  <c r="T105" i="16" s="1"/>
  <c r="R121" i="16"/>
  <c r="T121" i="16" s="1"/>
  <c r="R489" i="16"/>
  <c r="T489" i="16" s="1"/>
  <c r="R11" i="16"/>
  <c r="T11" i="16" s="1"/>
  <c r="R18" i="16"/>
  <c r="T18" i="16" s="1"/>
  <c r="R27" i="16"/>
  <c r="T27" i="16" s="1"/>
  <c r="R34" i="16"/>
  <c r="T34" i="16" s="1"/>
  <c r="R37" i="16"/>
  <c r="T37" i="16" s="1"/>
  <c r="R50" i="16"/>
  <c r="T50" i="16" s="1"/>
  <c r="R53" i="16"/>
  <c r="T53" i="16" s="1"/>
  <c r="R66" i="16"/>
  <c r="T66" i="16" s="1"/>
  <c r="R69" i="16"/>
  <c r="T69" i="16" s="1"/>
  <c r="R85" i="16"/>
  <c r="T85" i="16" s="1"/>
  <c r="R200" i="16"/>
  <c r="T200" i="16" s="1"/>
  <c r="R243" i="16"/>
  <c r="T243" i="16" s="1"/>
  <c r="R307" i="16"/>
  <c r="T307" i="16" s="1"/>
  <c r="R350" i="16"/>
  <c r="T350" i="16" s="1"/>
  <c r="R366" i="16"/>
  <c r="T366" i="16" s="1"/>
  <c r="R382" i="16"/>
  <c r="T382" i="16" s="1"/>
  <c r="R20" i="16"/>
  <c r="T20" i="16" s="1"/>
  <c r="R43" i="16"/>
  <c r="T43" i="16" s="1"/>
  <c r="R46" i="16"/>
  <c r="T46" i="16" s="1"/>
  <c r="R59" i="16"/>
  <c r="T59" i="16" s="1"/>
  <c r="R62" i="16"/>
  <c r="T62" i="16" s="1"/>
  <c r="R75" i="16"/>
  <c r="T75" i="16" s="1"/>
  <c r="R78" i="16"/>
  <c r="T78" i="16" s="1"/>
  <c r="R91" i="16"/>
  <c r="T91" i="16" s="1"/>
  <c r="R94" i="16"/>
  <c r="T94" i="16" s="1"/>
  <c r="R107" i="16"/>
  <c r="T107" i="16" s="1"/>
  <c r="R110" i="16"/>
  <c r="T110" i="16" s="1"/>
  <c r="R123" i="16"/>
  <c r="T123" i="16" s="1"/>
  <c r="R126" i="16"/>
  <c r="T126" i="16" s="1"/>
  <c r="R139" i="16"/>
  <c r="T139" i="16" s="1"/>
  <c r="R142" i="16"/>
  <c r="T142" i="16" s="1"/>
  <c r="R155" i="16"/>
  <c r="T155" i="16" s="1"/>
  <c r="R158" i="16"/>
  <c r="T158" i="16" s="1"/>
  <c r="R178" i="16"/>
  <c r="T178" i="16" s="1"/>
  <c r="R184" i="16"/>
  <c r="T184" i="16" s="1"/>
  <c r="R212" i="16"/>
  <c r="T212" i="16" s="1"/>
  <c r="R238" i="16"/>
  <c r="T238" i="16" s="1"/>
  <c r="R245" i="16"/>
  <c r="T245" i="16" s="1"/>
  <c r="R252" i="16"/>
  <c r="T252" i="16" s="1"/>
  <c r="R266" i="16"/>
  <c r="T266" i="16" s="1"/>
  <c r="R283" i="16"/>
  <c r="T283" i="16" s="1"/>
  <c r="R302" i="16"/>
  <c r="T302" i="16" s="1"/>
  <c r="R309" i="16"/>
  <c r="T309" i="16" s="1"/>
  <c r="R316" i="16"/>
  <c r="T316" i="16" s="1"/>
  <c r="R330" i="16"/>
  <c r="T330" i="16" s="1"/>
  <c r="R451" i="16"/>
  <c r="T451" i="16" s="1"/>
  <c r="R460" i="16"/>
  <c r="T460" i="16" s="1"/>
  <c r="R463" i="16"/>
  <c r="T463" i="16" s="1"/>
  <c r="R492" i="16"/>
  <c r="T492" i="16" s="1"/>
  <c r="R495" i="16"/>
  <c r="T495" i="16" s="1"/>
  <c r="R524" i="16"/>
  <c r="T524" i="16" s="1"/>
  <c r="R527" i="16"/>
  <c r="T527" i="16" s="1"/>
  <c r="R556" i="16"/>
  <c r="T556" i="16" s="1"/>
  <c r="R559" i="16"/>
  <c r="T559" i="16" s="1"/>
  <c r="R588" i="16"/>
  <c r="T588" i="16" s="1"/>
  <c r="R591" i="16"/>
  <c r="T591" i="16" s="1"/>
  <c r="R620" i="16"/>
  <c r="T620" i="16" s="1"/>
  <c r="R623" i="16"/>
  <c r="T623" i="16" s="1"/>
  <c r="R652" i="16"/>
  <c r="T652" i="16" s="1"/>
  <c r="R655" i="16"/>
  <c r="T655" i="16" s="1"/>
  <c r="R670" i="16"/>
  <c r="T670" i="16" s="1"/>
  <c r="R676" i="16"/>
  <c r="T676" i="16" s="1"/>
  <c r="R679" i="16"/>
  <c r="T679" i="16" s="1"/>
  <c r="R688" i="16"/>
  <c r="T688" i="16" s="1"/>
  <c r="R694" i="16"/>
  <c r="T694" i="16" s="1"/>
  <c r="R697" i="16"/>
  <c r="T697" i="16" s="1"/>
  <c r="R715" i="16"/>
  <c r="T715" i="16" s="1"/>
  <c r="R724" i="16"/>
  <c r="T724" i="16" s="1"/>
  <c r="R743" i="16"/>
  <c r="T743" i="16" s="1"/>
  <c r="R752" i="16"/>
  <c r="T752" i="16" s="1"/>
  <c r="R758" i="16"/>
  <c r="T758" i="16" s="1"/>
  <c r="R761" i="16"/>
  <c r="T761" i="16" s="1"/>
  <c r="R779" i="16"/>
  <c r="T779" i="16" s="1"/>
  <c r="R788" i="16"/>
  <c r="T788" i="16" s="1"/>
  <c r="R807" i="16"/>
  <c r="T807" i="16" s="1"/>
  <c r="R816" i="16"/>
  <c r="T816" i="16" s="1"/>
  <c r="R822" i="16"/>
  <c r="T822" i="16" s="1"/>
  <c r="R825" i="16"/>
  <c r="T825" i="16" s="1"/>
  <c r="R843" i="16"/>
  <c r="T843" i="16" s="1"/>
  <c r="R847" i="16"/>
  <c r="T847" i="16" s="1"/>
  <c r="R852" i="16"/>
  <c r="T852" i="16" s="1"/>
  <c r="R871" i="16"/>
  <c r="T871" i="16" s="1"/>
  <c r="R880" i="16"/>
  <c r="T880" i="16" s="1"/>
  <c r="R886" i="16"/>
  <c r="T886" i="16" s="1"/>
  <c r="R889" i="16"/>
  <c r="T889" i="16" s="1"/>
  <c r="R907" i="16"/>
  <c r="T907" i="16" s="1"/>
  <c r="R916" i="16"/>
  <c r="T916" i="16" s="1"/>
  <c r="R931" i="16"/>
  <c r="T931" i="16" s="1"/>
  <c r="R937" i="16"/>
  <c r="T937" i="16" s="1"/>
  <c r="R952" i="16"/>
  <c r="T952" i="16" s="1"/>
  <c r="R958" i="16"/>
  <c r="T958" i="16" s="1"/>
  <c r="R961" i="16"/>
  <c r="T961" i="16" s="1"/>
  <c r="R972" i="16"/>
  <c r="T972" i="16" s="1"/>
  <c r="R984" i="16"/>
  <c r="T984" i="16" s="1"/>
  <c r="R993" i="16"/>
  <c r="T993" i="16" s="1"/>
  <c r="R410" i="16"/>
  <c r="T410" i="16" s="1"/>
  <c r="R413" i="16"/>
  <c r="T413" i="16" s="1"/>
  <c r="R426" i="16"/>
  <c r="T426" i="16" s="1"/>
  <c r="R442" i="16"/>
  <c r="T442" i="16" s="1"/>
  <c r="R468" i="16"/>
  <c r="T468" i="16" s="1"/>
  <c r="R471" i="16"/>
  <c r="T471" i="16" s="1"/>
  <c r="R486" i="16"/>
  <c r="T486" i="16" s="1"/>
  <c r="R500" i="16"/>
  <c r="T500" i="16" s="1"/>
  <c r="R503" i="16"/>
  <c r="T503" i="16" s="1"/>
  <c r="R518" i="16"/>
  <c r="T518" i="16" s="1"/>
  <c r="R532" i="16"/>
  <c r="T532" i="16" s="1"/>
  <c r="R535" i="16"/>
  <c r="T535" i="16" s="1"/>
  <c r="R550" i="16"/>
  <c r="T550" i="16" s="1"/>
  <c r="R564" i="16"/>
  <c r="T564" i="16" s="1"/>
  <c r="R567" i="16"/>
  <c r="T567" i="16" s="1"/>
  <c r="R582" i="16"/>
  <c r="T582" i="16" s="1"/>
  <c r="R596" i="16"/>
  <c r="T596" i="16" s="1"/>
  <c r="R599" i="16"/>
  <c r="T599" i="16" s="1"/>
  <c r="R614" i="16"/>
  <c r="T614" i="16" s="1"/>
  <c r="R628" i="16"/>
  <c r="T628" i="16" s="1"/>
  <c r="R631" i="16"/>
  <c r="T631" i="16" s="1"/>
  <c r="R646" i="16"/>
  <c r="T646" i="16" s="1"/>
  <c r="R660" i="16"/>
  <c r="T660" i="16" s="1"/>
  <c r="R663" i="16"/>
  <c r="T663" i="16" s="1"/>
  <c r="R672" i="16"/>
  <c r="T672" i="16" s="1"/>
  <c r="R681" i="16"/>
  <c r="T681" i="16" s="1"/>
  <c r="R699" i="16"/>
  <c r="T699" i="16" s="1"/>
  <c r="R708" i="16"/>
  <c r="T708" i="16" s="1"/>
  <c r="R727" i="16"/>
  <c r="T727" i="16" s="1"/>
  <c r="R730" i="16"/>
  <c r="T730" i="16" s="1"/>
  <c r="R736" i="16"/>
  <c r="T736" i="16" s="1"/>
  <c r="R742" i="16"/>
  <c r="T742" i="16" s="1"/>
  <c r="R745" i="16"/>
  <c r="T745" i="16" s="1"/>
  <c r="R763" i="16"/>
  <c r="T763" i="16" s="1"/>
  <c r="R772" i="16"/>
  <c r="T772" i="16" s="1"/>
  <c r="R791" i="16"/>
  <c r="T791" i="16" s="1"/>
  <c r="R794" i="16"/>
  <c r="T794" i="16" s="1"/>
  <c r="R800" i="16"/>
  <c r="T800" i="16" s="1"/>
  <c r="R806" i="16"/>
  <c r="T806" i="16" s="1"/>
  <c r="R809" i="16"/>
  <c r="T809" i="16" s="1"/>
  <c r="R827" i="16"/>
  <c r="T827" i="16" s="1"/>
  <c r="R836" i="16"/>
  <c r="T836" i="16" s="1"/>
  <c r="R858" i="16"/>
  <c r="T858" i="16" s="1"/>
  <c r="R864" i="16"/>
  <c r="T864" i="16" s="1"/>
  <c r="R870" i="16"/>
  <c r="T870" i="16" s="1"/>
  <c r="R873" i="16"/>
  <c r="T873" i="16" s="1"/>
  <c r="R891" i="16"/>
  <c r="T891" i="16" s="1"/>
  <c r="R900" i="16"/>
  <c r="T900" i="16" s="1"/>
  <c r="R924" i="16"/>
  <c r="T924" i="16" s="1"/>
  <c r="R939" i="16"/>
  <c r="T939" i="16" s="1"/>
  <c r="R948" i="16"/>
  <c r="T948" i="16" s="1"/>
  <c r="R963" i="16"/>
  <c r="T963" i="16" s="1"/>
  <c r="R966" i="16"/>
  <c r="T966" i="16" s="1"/>
  <c r="R975" i="16"/>
  <c r="T975" i="16" s="1"/>
  <c r="R978" i="16"/>
  <c r="T978" i="16" s="1"/>
  <c r="R995" i="16"/>
  <c r="T995" i="16" s="1"/>
  <c r="R998" i="16"/>
  <c r="T998" i="16" s="1"/>
  <c r="R393" i="16"/>
  <c r="T393" i="16" s="1"/>
  <c r="R406" i="16"/>
  <c r="T406" i="16" s="1"/>
  <c r="R409" i="16"/>
  <c r="T409" i="16" s="1"/>
  <c r="R422" i="16"/>
  <c r="T422" i="16" s="1"/>
  <c r="R425" i="16"/>
  <c r="T425" i="16" s="1"/>
  <c r="R435" i="16"/>
  <c r="T435" i="16" s="1"/>
  <c r="R450" i="16"/>
  <c r="T450" i="16" s="1"/>
  <c r="R462" i="16"/>
  <c r="T462" i="16" s="1"/>
  <c r="R476" i="16"/>
  <c r="T476" i="16" s="1"/>
  <c r="R479" i="16"/>
  <c r="T479" i="16" s="1"/>
  <c r="R494" i="16"/>
  <c r="T494" i="16" s="1"/>
  <c r="R508" i="16"/>
  <c r="T508" i="16" s="1"/>
  <c r="R511" i="16"/>
  <c r="T511" i="16" s="1"/>
  <c r="R526" i="16"/>
  <c r="T526" i="16" s="1"/>
  <c r="R540" i="16"/>
  <c r="T540" i="16" s="1"/>
  <c r="R543" i="16"/>
  <c r="T543" i="16" s="1"/>
  <c r="R558" i="16"/>
  <c r="T558" i="16" s="1"/>
  <c r="R572" i="16"/>
  <c r="T572" i="16" s="1"/>
  <c r="R575" i="16"/>
  <c r="T575" i="16" s="1"/>
  <c r="R590" i="16"/>
  <c r="T590" i="16" s="1"/>
  <c r="R604" i="16"/>
  <c r="T604" i="16" s="1"/>
  <c r="R607" i="16"/>
  <c r="T607" i="16" s="1"/>
  <c r="R622" i="16"/>
  <c r="T622" i="16" s="1"/>
  <c r="R636" i="16"/>
  <c r="T636" i="16" s="1"/>
  <c r="R639" i="16"/>
  <c r="T639" i="16" s="1"/>
  <c r="R654" i="16"/>
  <c r="T654" i="16" s="1"/>
  <c r="R683" i="16"/>
  <c r="T683" i="16" s="1"/>
  <c r="R692" i="16"/>
  <c r="T692" i="16" s="1"/>
  <c r="R711" i="16"/>
  <c r="T711" i="16" s="1"/>
  <c r="R714" i="16"/>
  <c r="T714" i="16" s="1"/>
  <c r="R720" i="16"/>
  <c r="T720" i="16" s="1"/>
  <c r="R726" i="16"/>
  <c r="T726" i="16" s="1"/>
  <c r="R729" i="16"/>
  <c r="T729" i="16" s="1"/>
  <c r="R747" i="16"/>
  <c r="T747" i="16" s="1"/>
  <c r="R756" i="16"/>
  <c r="T756" i="16" s="1"/>
  <c r="R775" i="16"/>
  <c r="T775" i="16" s="1"/>
  <c r="R778" i="16"/>
  <c r="T778" i="16" s="1"/>
  <c r="R784" i="16"/>
  <c r="T784" i="16" s="1"/>
  <c r="R790" i="16"/>
  <c r="T790" i="16" s="1"/>
  <c r="R793" i="16"/>
  <c r="T793" i="16" s="1"/>
  <c r="R811" i="16"/>
  <c r="T811" i="16" s="1"/>
  <c r="R820" i="16"/>
  <c r="T820" i="16" s="1"/>
  <c r="R839" i="16"/>
  <c r="T839" i="16" s="1"/>
  <c r="R842" i="16"/>
  <c r="T842" i="16" s="1"/>
  <c r="R848" i="16"/>
  <c r="T848" i="16" s="1"/>
  <c r="R854" i="16"/>
  <c r="T854" i="16" s="1"/>
  <c r="R857" i="16"/>
  <c r="T857" i="16" s="1"/>
  <c r="R875" i="16"/>
  <c r="T875" i="16" s="1"/>
  <c r="R884" i="16"/>
  <c r="T884" i="16" s="1"/>
  <c r="R903" i="16"/>
  <c r="T903" i="16" s="1"/>
  <c r="R906" i="16"/>
  <c r="T906" i="16" s="1"/>
  <c r="R912" i="16"/>
  <c r="T912" i="16" s="1"/>
  <c r="R918" i="16"/>
  <c r="T918" i="16" s="1"/>
  <c r="R927" i="16"/>
  <c r="T927" i="16" s="1"/>
  <c r="R930" i="16"/>
  <c r="T930" i="16" s="1"/>
  <c r="R956" i="16"/>
  <c r="T956" i="16" s="1"/>
  <c r="R968" i="16"/>
  <c r="T968" i="16" s="1"/>
  <c r="R974" i="16"/>
  <c r="T974" i="16" s="1"/>
  <c r="R977" i="16"/>
  <c r="T977" i="16" s="1"/>
  <c r="R528" i="16"/>
  <c r="T528" i="16" s="1"/>
  <c r="R531" i="16"/>
  <c r="T531" i="16" s="1"/>
  <c r="R560" i="16"/>
  <c r="T560" i="16" s="1"/>
  <c r="R563" i="16"/>
  <c r="T563" i="16" s="1"/>
  <c r="R592" i="16"/>
  <c r="T592" i="16" s="1"/>
  <c r="R595" i="16"/>
  <c r="T595" i="16" s="1"/>
  <c r="R624" i="16"/>
  <c r="T624" i="16" s="1"/>
  <c r="R627" i="16"/>
  <c r="T627" i="16" s="1"/>
  <c r="R656" i="16"/>
  <c r="T656" i="16" s="1"/>
  <c r="R659" i="16"/>
  <c r="T659" i="16" s="1"/>
  <c r="R668" i="16"/>
  <c r="T668" i="16" s="1"/>
  <c r="R680" i="16"/>
  <c r="T680" i="16" s="1"/>
  <c r="R686" i="16"/>
  <c r="T686" i="16" s="1"/>
  <c r="R689" i="16"/>
  <c r="T689" i="16" s="1"/>
  <c r="R707" i="16"/>
  <c r="T707" i="16" s="1"/>
  <c r="R716" i="16"/>
  <c r="T716" i="16" s="1"/>
  <c r="R735" i="16"/>
  <c r="T735" i="16" s="1"/>
  <c r="R744" i="16"/>
  <c r="T744" i="16" s="1"/>
  <c r="R750" i="16"/>
  <c r="T750" i="16" s="1"/>
  <c r="R753" i="16"/>
  <c r="T753" i="16" s="1"/>
  <c r="R771" i="16"/>
  <c r="T771" i="16" s="1"/>
  <c r="R780" i="16"/>
  <c r="T780" i="16" s="1"/>
  <c r="R799" i="16"/>
  <c r="T799" i="16" s="1"/>
  <c r="R808" i="16"/>
  <c r="T808" i="16" s="1"/>
  <c r="R814" i="16"/>
  <c r="T814" i="16" s="1"/>
  <c r="R817" i="16"/>
  <c r="T817" i="16" s="1"/>
  <c r="R835" i="16"/>
  <c r="T835" i="16" s="1"/>
  <c r="R844" i="16"/>
  <c r="T844" i="16" s="1"/>
  <c r="R872" i="16"/>
  <c r="T872" i="16" s="1"/>
  <c r="R878" i="16"/>
  <c r="T878" i="16" s="1"/>
  <c r="R881" i="16"/>
  <c r="T881" i="16" s="1"/>
  <c r="R899" i="16"/>
  <c r="T899" i="16" s="1"/>
  <c r="R908" i="16"/>
  <c r="T908" i="16" s="1"/>
  <c r="R923" i="16"/>
  <c r="T923" i="16" s="1"/>
  <c r="R458" i="16"/>
  <c r="T458" i="16" s="1"/>
  <c r="R470" i="16"/>
  <c r="T470" i="16" s="1"/>
  <c r="R935" i="16"/>
  <c r="T935" i="16" s="1"/>
  <c r="R938" i="16"/>
  <c r="T938" i="16" s="1"/>
  <c r="R944" i="16"/>
  <c r="T944" i="16" s="1"/>
  <c r="R950" i="16"/>
  <c r="T950" i="16" s="1"/>
  <c r="R959" i="16"/>
  <c r="T959" i="16" s="1"/>
  <c r="R962" i="16"/>
  <c r="T962" i="16" s="1"/>
  <c r="R979" i="16"/>
  <c r="T979" i="16" s="1"/>
  <c r="R982" i="16"/>
  <c r="T982" i="16" s="1"/>
  <c r="R434" i="16"/>
  <c r="T434" i="16" s="1"/>
  <c r="R446" i="16"/>
  <c r="T446" i="16" s="1"/>
  <c r="R472" i="16"/>
  <c r="T472" i="16" s="1"/>
  <c r="R475" i="16"/>
  <c r="T475" i="16" s="1"/>
  <c r="R490" i="16"/>
  <c r="T490" i="16" s="1"/>
  <c r="R504" i="16"/>
  <c r="T504" i="16" s="1"/>
  <c r="R507" i="16"/>
  <c r="T507" i="16" s="1"/>
  <c r="R522" i="16"/>
  <c r="T522" i="16" s="1"/>
  <c r="R536" i="16"/>
  <c r="T536" i="16" s="1"/>
  <c r="R539" i="16"/>
  <c r="T539" i="16" s="1"/>
  <c r="R554" i="16"/>
  <c r="T554" i="16" s="1"/>
  <c r="R568" i="16"/>
  <c r="T568" i="16" s="1"/>
  <c r="R571" i="16"/>
  <c r="T571" i="16" s="1"/>
  <c r="R586" i="16"/>
  <c r="T586" i="16" s="1"/>
  <c r="R600" i="16"/>
  <c r="T600" i="16" s="1"/>
  <c r="R603" i="16"/>
  <c r="T603" i="16" s="1"/>
  <c r="R618" i="16"/>
  <c r="T618" i="16" s="1"/>
  <c r="R632" i="16"/>
  <c r="T632" i="16" s="1"/>
  <c r="R635" i="16"/>
  <c r="T635" i="16" s="1"/>
  <c r="R650" i="16"/>
  <c r="T650" i="16" s="1"/>
  <c r="R664" i="16"/>
  <c r="T664" i="16" s="1"/>
  <c r="R673" i="16"/>
  <c r="T673" i="16" s="1"/>
  <c r="R691" i="16"/>
  <c r="T691" i="16" s="1"/>
  <c r="R700" i="16"/>
  <c r="T700" i="16" s="1"/>
  <c r="R719" i="16"/>
  <c r="T719" i="16" s="1"/>
  <c r="R722" i="16"/>
  <c r="T722" i="16" s="1"/>
  <c r="R728" i="16"/>
  <c r="T728" i="16" s="1"/>
  <c r="R734" i="16"/>
  <c r="T734" i="16" s="1"/>
  <c r="R737" i="16"/>
  <c r="T737" i="16" s="1"/>
  <c r="R786" i="16"/>
  <c r="T786" i="16" s="1"/>
  <c r="R792" i="16"/>
  <c r="T792" i="16" s="1"/>
  <c r="R798" i="16"/>
  <c r="T798" i="16" s="1"/>
  <c r="R801" i="16"/>
  <c r="T801" i="16" s="1"/>
  <c r="R819" i="16"/>
  <c r="T819" i="16" s="1"/>
  <c r="R828" i="16"/>
  <c r="T828" i="16" s="1"/>
  <c r="R850" i="16"/>
  <c r="T850" i="16" s="1"/>
  <c r="R856" i="16"/>
  <c r="T856" i="16" s="1"/>
  <c r="R862" i="16"/>
  <c r="T862" i="16" s="1"/>
  <c r="R865" i="16"/>
  <c r="T865" i="16" s="1"/>
  <c r="R883" i="16"/>
  <c r="T883" i="16" s="1"/>
  <c r="R892" i="16"/>
  <c r="T892" i="16" s="1"/>
  <c r="R911" i="16"/>
  <c r="T911" i="16" s="1"/>
  <c r="R914" i="16"/>
  <c r="T914" i="16" s="1"/>
  <c r="R940" i="16"/>
  <c r="T940" i="16" s="1"/>
  <c r="R955" i="16"/>
  <c r="T955" i="16" s="1"/>
  <c r="R967" i="16"/>
  <c r="T967" i="16" s="1"/>
  <c r="R976" i="16"/>
  <c r="T976" i="16" s="1"/>
  <c r="R990" i="16"/>
  <c r="T990" i="16" s="1"/>
  <c r="R9" i="16"/>
  <c r="T9" i="16" s="1"/>
  <c r="R14" i="16"/>
  <c r="T14" i="16" s="1"/>
  <c r="R17" i="16"/>
  <c r="T17" i="16" s="1"/>
  <c r="R22" i="16"/>
  <c r="T22" i="16" s="1"/>
  <c r="R25" i="16"/>
  <c r="T25" i="16" s="1"/>
  <c r="R30" i="16"/>
  <c r="T30" i="16" s="1"/>
  <c r="R13" i="16"/>
  <c r="T13" i="16" s="1"/>
  <c r="R21" i="16"/>
  <c r="T21" i="16" s="1"/>
  <c r="R29" i="16"/>
  <c r="T29" i="16" s="1"/>
  <c r="R181" i="16"/>
  <c r="T181" i="16" s="1"/>
  <c r="R197" i="16"/>
  <c r="T197" i="16" s="1"/>
  <c r="R230" i="16"/>
  <c r="T230" i="16" s="1"/>
  <c r="R222" i="16"/>
  <c r="T222" i="16" s="1"/>
  <c r="R356" i="16"/>
  <c r="T356" i="16" s="1"/>
  <c r="R360" i="16"/>
  <c r="T360" i="16" s="1"/>
  <c r="R364" i="16"/>
  <c r="T364" i="16" s="1"/>
  <c r="R368" i="16"/>
  <c r="T368" i="16" s="1"/>
  <c r="R372" i="16"/>
  <c r="T372" i="16" s="1"/>
  <c r="R376" i="16"/>
  <c r="T376" i="16" s="1"/>
  <c r="R380" i="16"/>
  <c r="T380" i="16" s="1"/>
  <c r="R384" i="16"/>
  <c r="T384" i="16" s="1"/>
  <c r="R388" i="16"/>
  <c r="T388" i="16" s="1"/>
  <c r="R392" i="16"/>
  <c r="T392" i="16" s="1"/>
  <c r="R396" i="16"/>
  <c r="T396" i="16" s="1"/>
  <c r="R400" i="16"/>
  <c r="T400" i="16" s="1"/>
  <c r="R404" i="16"/>
  <c r="T404" i="16" s="1"/>
  <c r="R408" i="16"/>
  <c r="T408" i="16" s="1"/>
  <c r="R412" i="16"/>
  <c r="T412" i="16" s="1"/>
  <c r="R416" i="16"/>
  <c r="T416" i="16" s="1"/>
  <c r="R420" i="16"/>
  <c r="T420" i="16" s="1"/>
  <c r="R424" i="16"/>
  <c r="T424" i="16" s="1"/>
  <c r="R428" i="16"/>
  <c r="T428" i="16" s="1"/>
  <c r="R456" i="16"/>
  <c r="T456" i="16" s="1"/>
  <c r="R440" i="16"/>
  <c r="T440" i="16" s="1"/>
  <c r="R348" i="16"/>
  <c r="T348" i="16" s="1"/>
  <c r="R436" i="16"/>
  <c r="T436" i="16" s="1"/>
  <c r="R448" i="16"/>
  <c r="T448" i="16" s="1"/>
  <c r="R988" i="16"/>
  <c r="T988" i="16" s="1"/>
  <c r="R994" i="16"/>
  <c r="T994" i="16" s="1"/>
  <c r="R964" i="16"/>
  <c r="T964" i="16" s="1"/>
  <c r="R980" i="16"/>
  <c r="T980" i="16" s="1"/>
  <c r="R671" i="16"/>
  <c r="T671" i="16" s="1"/>
  <c r="R996" i="16"/>
  <c r="T996" i="16" s="1"/>
  <c r="R665" i="16"/>
  <c r="T665" i="16" s="1"/>
  <c r="R408" i="14"/>
  <c r="T408" i="14" s="1"/>
  <c r="R157" i="14"/>
  <c r="T157" i="14" s="1"/>
  <c r="R165" i="14"/>
  <c r="T165" i="14" s="1"/>
  <c r="R981" i="14"/>
  <c r="T981" i="14" s="1"/>
  <c r="R989" i="14"/>
  <c r="T989" i="14" s="1"/>
  <c r="R997" i="14"/>
  <c r="T997" i="14" s="1"/>
  <c r="R252" i="14"/>
  <c r="T252" i="14" s="1"/>
  <c r="R247" i="14"/>
  <c r="T247" i="14" s="1"/>
  <c r="R84" i="14"/>
  <c r="T84" i="14" s="1"/>
  <c r="R92" i="14"/>
  <c r="T92" i="14" s="1"/>
  <c r="R100" i="14"/>
  <c r="T100" i="14" s="1"/>
  <c r="R612" i="14"/>
  <c r="T612" i="14" s="1"/>
  <c r="R652" i="14"/>
  <c r="T652" i="14" s="1"/>
  <c r="R660" i="14"/>
  <c r="T660" i="14" s="1"/>
  <c r="R633" i="14"/>
  <c r="T633" i="14" s="1"/>
  <c r="R641" i="14"/>
  <c r="T641" i="14" s="1"/>
  <c r="R891" i="14"/>
  <c r="T891" i="14" s="1"/>
  <c r="R272" i="14"/>
  <c r="T272" i="14" s="1"/>
  <c r="R280" i="14"/>
  <c r="T280" i="14" s="1"/>
  <c r="R1000" i="14"/>
  <c r="T1000" i="14" s="1"/>
  <c r="R540" i="14"/>
  <c r="T540" i="14" s="1"/>
  <c r="R556" i="14"/>
  <c r="T556" i="14" s="1"/>
  <c r="R809" i="14"/>
  <c r="T809" i="14" s="1"/>
  <c r="R857" i="14"/>
  <c r="T857" i="14" s="1"/>
  <c r="R865" i="14"/>
  <c r="T865" i="14" s="1"/>
  <c r="R873" i="14"/>
  <c r="T873" i="14" s="1"/>
  <c r="R881" i="14"/>
  <c r="T881" i="14" s="1"/>
  <c r="R209" i="14"/>
  <c r="T209" i="14" s="1"/>
  <c r="R241" i="14"/>
  <c r="T241" i="14" s="1"/>
  <c r="R371" i="14"/>
  <c r="T371" i="14" s="1"/>
  <c r="R379" i="14"/>
  <c r="T379" i="14" s="1"/>
  <c r="R387" i="14"/>
  <c r="T387" i="14" s="1"/>
  <c r="R395" i="14"/>
  <c r="T395" i="14" s="1"/>
  <c r="R443" i="14"/>
  <c r="T443" i="14" s="1"/>
  <c r="R459" i="14"/>
  <c r="T459" i="14" s="1"/>
  <c r="R467" i="14"/>
  <c r="T467" i="14" s="1"/>
  <c r="R507" i="14"/>
  <c r="T507" i="14" s="1"/>
  <c r="R523" i="14"/>
  <c r="T523" i="14" s="1"/>
  <c r="R74" i="14"/>
  <c r="T74" i="14" s="1"/>
  <c r="R82" i="14"/>
  <c r="T82" i="14" s="1"/>
  <c r="R90" i="14"/>
  <c r="T90" i="14" s="1"/>
  <c r="R98" i="14"/>
  <c r="T98" i="14" s="1"/>
  <c r="R106" i="14"/>
  <c r="T106" i="14" s="1"/>
  <c r="R114" i="14"/>
  <c r="T114" i="14" s="1"/>
  <c r="R122" i="14"/>
  <c r="T122" i="14" s="1"/>
  <c r="R357" i="14"/>
  <c r="T357" i="14" s="1"/>
  <c r="R530" i="14"/>
  <c r="T530" i="14" s="1"/>
  <c r="R546" i="14"/>
  <c r="T546" i="14" s="1"/>
  <c r="R288" i="14"/>
  <c r="T288" i="14" s="1"/>
  <c r="R446" i="14"/>
  <c r="T446" i="14" s="1"/>
  <c r="R569" i="14"/>
  <c r="T569" i="14" s="1"/>
  <c r="R585" i="14"/>
  <c r="T585" i="14" s="1"/>
  <c r="R593" i="14"/>
  <c r="T593" i="14" s="1"/>
  <c r="R601" i="14"/>
  <c r="T601" i="14" s="1"/>
  <c r="R609" i="14"/>
  <c r="T609" i="14" s="1"/>
  <c r="R745" i="14"/>
  <c r="T745" i="14" s="1"/>
  <c r="R135" i="14"/>
  <c r="T135" i="14" s="1"/>
  <c r="R143" i="14"/>
  <c r="T143" i="14" s="1"/>
  <c r="R250" i="14"/>
  <c r="T250" i="14" s="1"/>
  <c r="R253" i="14"/>
  <c r="T253" i="14" s="1"/>
  <c r="R277" i="14"/>
  <c r="T277" i="14" s="1"/>
  <c r="R301" i="14"/>
  <c r="T301" i="14" s="1"/>
  <c r="R312" i="14"/>
  <c r="T312" i="14" s="1"/>
  <c r="R782" i="14"/>
  <c r="T782" i="14" s="1"/>
  <c r="R392" i="14"/>
  <c r="T392" i="14" s="1"/>
  <c r="R667" i="14"/>
  <c r="T667" i="14" s="1"/>
  <c r="R707" i="14"/>
  <c r="T707" i="14" s="1"/>
  <c r="R747" i="14"/>
  <c r="T747" i="14" s="1"/>
  <c r="R811" i="14"/>
  <c r="T811" i="14" s="1"/>
  <c r="R827" i="14"/>
  <c r="T827" i="14" s="1"/>
  <c r="R132" i="14"/>
  <c r="T132" i="14" s="1"/>
  <c r="R140" i="14"/>
  <c r="T140" i="14" s="1"/>
  <c r="R148" i="14"/>
  <c r="T148" i="14" s="1"/>
  <c r="R156" i="14"/>
  <c r="T156" i="14" s="1"/>
  <c r="R330" i="14"/>
  <c r="T330" i="14" s="1"/>
  <c r="R402" i="14"/>
  <c r="T402" i="14" s="1"/>
  <c r="R418" i="14"/>
  <c r="T418" i="14" s="1"/>
  <c r="R426" i="14"/>
  <c r="T426" i="14" s="1"/>
  <c r="R434" i="14"/>
  <c r="T434" i="14" s="1"/>
  <c r="R544" i="14"/>
  <c r="T544" i="14" s="1"/>
  <c r="R688" i="14"/>
  <c r="T688" i="14" s="1"/>
  <c r="R899" i="14"/>
  <c r="T899" i="14" s="1"/>
  <c r="R907" i="14"/>
  <c r="T907" i="14" s="1"/>
  <c r="R923" i="14"/>
  <c r="T923" i="14" s="1"/>
  <c r="R931" i="14"/>
  <c r="T931" i="14" s="1"/>
  <c r="R939" i="14"/>
  <c r="T939" i="14" s="1"/>
  <c r="R955" i="14"/>
  <c r="T955" i="14" s="1"/>
  <c r="R963" i="14"/>
  <c r="T963" i="14" s="1"/>
  <c r="R971" i="14"/>
  <c r="T971" i="14" s="1"/>
  <c r="R979" i="14"/>
  <c r="T979" i="14" s="1"/>
  <c r="R62" i="14"/>
  <c r="T62" i="14" s="1"/>
  <c r="R70" i="14"/>
  <c r="T70" i="14" s="1"/>
  <c r="R73" i="14"/>
  <c r="T73" i="14" s="1"/>
  <c r="R86" i="14"/>
  <c r="T86" i="14" s="1"/>
  <c r="R94" i="14"/>
  <c r="T94" i="14" s="1"/>
  <c r="R102" i="14"/>
  <c r="T102" i="14" s="1"/>
  <c r="R105" i="14"/>
  <c r="T105" i="14" s="1"/>
  <c r="R110" i="14"/>
  <c r="T110" i="14" s="1"/>
  <c r="R113" i="14"/>
  <c r="T113" i="14" s="1"/>
  <c r="R118" i="14"/>
  <c r="T118" i="14" s="1"/>
  <c r="R249" i="14"/>
  <c r="T249" i="14" s="1"/>
  <c r="R431" i="14"/>
  <c r="T431" i="14" s="1"/>
  <c r="R447" i="14"/>
  <c r="T447" i="14" s="1"/>
  <c r="R637" i="14"/>
  <c r="T637" i="14" s="1"/>
  <c r="R685" i="14"/>
  <c r="T685" i="14" s="1"/>
  <c r="R821" i="14"/>
  <c r="T821" i="14" s="1"/>
  <c r="R273" i="14"/>
  <c r="T273" i="14" s="1"/>
  <c r="R297" i="14"/>
  <c r="T297" i="14" s="1"/>
  <c r="R313" i="14"/>
  <c r="T313" i="14" s="1"/>
  <c r="R321" i="14"/>
  <c r="T321" i="14" s="1"/>
  <c r="R329" i="14"/>
  <c r="T329" i="14" s="1"/>
  <c r="R345" i="14"/>
  <c r="T345" i="14" s="1"/>
  <c r="R353" i="14"/>
  <c r="T353" i="14" s="1"/>
  <c r="R409" i="14"/>
  <c r="T409" i="14" s="1"/>
  <c r="R417" i="14"/>
  <c r="T417" i="14" s="1"/>
  <c r="R425" i="14"/>
  <c r="T425" i="14" s="1"/>
  <c r="R441" i="14"/>
  <c r="T441" i="14" s="1"/>
  <c r="R452" i="14"/>
  <c r="T452" i="14" s="1"/>
  <c r="R492" i="14"/>
  <c r="T492" i="14" s="1"/>
  <c r="R500" i="14"/>
  <c r="T500" i="14" s="1"/>
  <c r="R615" i="14"/>
  <c r="T615" i="14" s="1"/>
  <c r="R663" i="14"/>
  <c r="T663" i="14" s="1"/>
  <c r="R666" i="14"/>
  <c r="T666" i="14" s="1"/>
  <c r="R703" i="14"/>
  <c r="T703" i="14" s="1"/>
  <c r="R767" i="14"/>
  <c r="T767" i="14" s="1"/>
  <c r="R770" i="14"/>
  <c r="T770" i="14" s="1"/>
  <c r="R775" i="14"/>
  <c r="T775" i="14" s="1"/>
  <c r="R778" i="14"/>
  <c r="T778" i="14" s="1"/>
  <c r="R791" i="14"/>
  <c r="T791" i="14" s="1"/>
  <c r="R855" i="14"/>
  <c r="T855" i="14" s="1"/>
  <c r="R858" i="14"/>
  <c r="T858" i="14" s="1"/>
  <c r="R863" i="14"/>
  <c r="T863" i="14" s="1"/>
  <c r="R866" i="14"/>
  <c r="T866" i="14" s="1"/>
  <c r="R871" i="14"/>
  <c r="T871" i="14" s="1"/>
  <c r="R874" i="14"/>
  <c r="T874" i="14" s="1"/>
  <c r="R949" i="14"/>
  <c r="T949" i="14" s="1"/>
  <c r="R64" i="14"/>
  <c r="T64" i="14" s="1"/>
  <c r="R75" i="14"/>
  <c r="T75" i="14" s="1"/>
  <c r="R83" i="14"/>
  <c r="T83" i="14" s="1"/>
  <c r="R91" i="14"/>
  <c r="T91" i="14" s="1"/>
  <c r="R142" i="14"/>
  <c r="T142" i="14" s="1"/>
  <c r="R166" i="14"/>
  <c r="T166" i="14" s="1"/>
  <c r="R174" i="14"/>
  <c r="T174" i="14" s="1"/>
  <c r="R185" i="14"/>
  <c r="T185" i="14" s="1"/>
  <c r="R188" i="14"/>
  <c r="T188" i="14" s="1"/>
  <c r="R193" i="14"/>
  <c r="T193" i="14" s="1"/>
  <c r="R201" i="14"/>
  <c r="T201" i="14" s="1"/>
  <c r="R212" i="14"/>
  <c r="T212" i="14" s="1"/>
  <c r="R320" i="14"/>
  <c r="T320" i="14" s="1"/>
  <c r="R336" i="14"/>
  <c r="T336" i="14" s="1"/>
  <c r="R344" i="14"/>
  <c r="T344" i="14" s="1"/>
  <c r="R352" i="14"/>
  <c r="T352" i="14" s="1"/>
  <c r="R424" i="14"/>
  <c r="T424" i="14" s="1"/>
  <c r="R518" i="14"/>
  <c r="T518" i="14" s="1"/>
  <c r="R529" i="14"/>
  <c r="T529" i="14" s="1"/>
  <c r="R561" i="14"/>
  <c r="T561" i="14" s="1"/>
  <c r="R706" i="14"/>
  <c r="T706" i="14" s="1"/>
  <c r="R717" i="14"/>
  <c r="T717" i="14" s="1"/>
  <c r="R784" i="14"/>
  <c r="T784" i="14" s="1"/>
  <c r="R800" i="14"/>
  <c r="T800" i="14" s="1"/>
  <c r="R835" i="14"/>
  <c r="T835" i="14" s="1"/>
  <c r="R843" i="14"/>
  <c r="T843" i="14" s="1"/>
  <c r="R921" i="14"/>
  <c r="T921" i="14" s="1"/>
  <c r="R929" i="14"/>
  <c r="T929" i="14" s="1"/>
  <c r="R937" i="14"/>
  <c r="T937" i="14" s="1"/>
  <c r="R217" i="14"/>
  <c r="T217" i="14" s="1"/>
  <c r="R365" i="14"/>
  <c r="T365" i="14" s="1"/>
  <c r="R373" i="14"/>
  <c r="T373" i="14" s="1"/>
  <c r="R381" i="14"/>
  <c r="T381" i="14" s="1"/>
  <c r="R405" i="14"/>
  <c r="T405" i="14" s="1"/>
  <c r="R421" i="14"/>
  <c r="T421" i="14" s="1"/>
  <c r="R542" i="14"/>
  <c r="T542" i="14" s="1"/>
  <c r="R550" i="14"/>
  <c r="T550" i="14" s="1"/>
  <c r="R558" i="14"/>
  <c r="T558" i="14" s="1"/>
  <c r="R566" i="14"/>
  <c r="T566" i="14" s="1"/>
  <c r="R574" i="14"/>
  <c r="T574" i="14" s="1"/>
  <c r="R582" i="14"/>
  <c r="T582" i="14" s="1"/>
  <c r="R590" i="14"/>
  <c r="T590" i="14" s="1"/>
  <c r="R598" i="14"/>
  <c r="T598" i="14" s="1"/>
  <c r="R606" i="14"/>
  <c r="T606" i="14" s="1"/>
  <c r="R692" i="14"/>
  <c r="T692" i="14" s="1"/>
  <c r="R743" i="14"/>
  <c r="T743" i="14" s="1"/>
  <c r="R746" i="14"/>
  <c r="T746" i="14" s="1"/>
  <c r="R789" i="14"/>
  <c r="T789" i="14" s="1"/>
  <c r="R805" i="14"/>
  <c r="T805" i="14" s="1"/>
  <c r="R813" i="14"/>
  <c r="T813" i="14" s="1"/>
  <c r="R851" i="14"/>
  <c r="T851" i="14" s="1"/>
  <c r="R953" i="14"/>
  <c r="T953" i="14" s="1"/>
  <c r="R961" i="14"/>
  <c r="T961" i="14" s="1"/>
  <c r="R969" i="14"/>
  <c r="T969" i="14" s="1"/>
  <c r="R985" i="14"/>
  <c r="T985" i="14" s="1"/>
  <c r="R993" i="14"/>
  <c r="T993" i="14" s="1"/>
  <c r="R262" i="14"/>
  <c r="T262" i="14" s="1"/>
  <c r="R359" i="14"/>
  <c r="T359" i="14" s="1"/>
  <c r="R391" i="14"/>
  <c r="T391" i="14" s="1"/>
  <c r="R399" i="14"/>
  <c r="T399" i="14" s="1"/>
  <c r="R450" i="14"/>
  <c r="T450" i="14" s="1"/>
  <c r="R453" i="14"/>
  <c r="T453" i="14" s="1"/>
  <c r="R474" i="14"/>
  <c r="T474" i="14" s="1"/>
  <c r="R482" i="14"/>
  <c r="T482" i="14" s="1"/>
  <c r="R498" i="14"/>
  <c r="T498" i="14" s="1"/>
  <c r="R539" i="14"/>
  <c r="T539" i="14" s="1"/>
  <c r="R563" i="14"/>
  <c r="T563" i="14" s="1"/>
  <c r="R571" i="14"/>
  <c r="T571" i="14" s="1"/>
  <c r="R587" i="14"/>
  <c r="T587" i="14" s="1"/>
  <c r="R595" i="14"/>
  <c r="T595" i="14" s="1"/>
  <c r="R603" i="14"/>
  <c r="T603" i="14" s="1"/>
  <c r="R611" i="14"/>
  <c r="T611" i="14" s="1"/>
  <c r="R818" i="14"/>
  <c r="T818" i="14" s="1"/>
  <c r="R138" i="14"/>
  <c r="T138" i="14" s="1"/>
  <c r="R146" i="14"/>
  <c r="T146" i="14" s="1"/>
  <c r="R281" i="14"/>
  <c r="T281" i="14" s="1"/>
  <c r="R289" i="14"/>
  <c r="T289" i="14" s="1"/>
  <c r="R388" i="14"/>
  <c r="T388" i="14" s="1"/>
  <c r="R428" i="14"/>
  <c r="T428" i="14" s="1"/>
  <c r="R503" i="14"/>
  <c r="T503" i="14" s="1"/>
  <c r="R616" i="14"/>
  <c r="T616" i="14" s="1"/>
  <c r="R632" i="14"/>
  <c r="T632" i="14" s="1"/>
  <c r="R640" i="14"/>
  <c r="T640" i="14" s="1"/>
  <c r="R651" i="14"/>
  <c r="T651" i="14" s="1"/>
  <c r="R659" i="14"/>
  <c r="T659" i="14" s="1"/>
  <c r="R702" i="14"/>
  <c r="T702" i="14" s="1"/>
  <c r="R710" i="14"/>
  <c r="T710" i="14" s="1"/>
  <c r="R769" i="14"/>
  <c r="T769" i="14" s="1"/>
  <c r="R777" i="14"/>
  <c r="T777" i="14" s="1"/>
  <c r="R788" i="14"/>
  <c r="T788" i="14" s="1"/>
  <c r="R823" i="14"/>
  <c r="T823" i="14" s="1"/>
  <c r="R826" i="14"/>
  <c r="T826" i="14" s="1"/>
  <c r="R831" i="14"/>
  <c r="T831" i="14" s="1"/>
  <c r="R834" i="14"/>
  <c r="T834" i="14" s="1"/>
  <c r="R839" i="14"/>
  <c r="T839" i="14" s="1"/>
  <c r="R842" i="14"/>
  <c r="T842" i="14" s="1"/>
  <c r="R885" i="14"/>
  <c r="T885" i="14" s="1"/>
  <c r="R893" i="14"/>
  <c r="T893" i="14" s="1"/>
  <c r="R901" i="14"/>
  <c r="T901" i="14" s="1"/>
  <c r="R909" i="14"/>
  <c r="T909" i="14" s="1"/>
  <c r="R917" i="14"/>
  <c r="T917" i="14" s="1"/>
  <c r="R925" i="14"/>
  <c r="T925" i="14" s="1"/>
  <c r="R933" i="14"/>
  <c r="T933" i="14" s="1"/>
  <c r="R941" i="14"/>
  <c r="T941" i="14" s="1"/>
  <c r="R65" i="14"/>
  <c r="T65" i="14" s="1"/>
  <c r="R183" i="14"/>
  <c r="T183" i="14" s="1"/>
  <c r="R191" i="14"/>
  <c r="T191" i="14" s="1"/>
  <c r="R283" i="14"/>
  <c r="T283" i="14" s="1"/>
  <c r="R291" i="14"/>
  <c r="T291" i="14" s="1"/>
  <c r="R398" i="14"/>
  <c r="T398" i="14" s="1"/>
  <c r="R406" i="14"/>
  <c r="T406" i="14" s="1"/>
  <c r="R422" i="14"/>
  <c r="T422" i="14" s="1"/>
  <c r="R438" i="14"/>
  <c r="T438" i="14" s="1"/>
  <c r="R505" i="14"/>
  <c r="T505" i="14" s="1"/>
  <c r="R559" i="14"/>
  <c r="T559" i="14" s="1"/>
  <c r="R567" i="14"/>
  <c r="T567" i="14" s="1"/>
  <c r="R575" i="14"/>
  <c r="T575" i="14" s="1"/>
  <c r="R586" i="14"/>
  <c r="T586" i="14" s="1"/>
  <c r="R591" i="14"/>
  <c r="T591" i="14" s="1"/>
  <c r="R599" i="14"/>
  <c r="T599" i="14" s="1"/>
  <c r="R618" i="14"/>
  <c r="T618" i="14" s="1"/>
  <c r="R626" i="14"/>
  <c r="T626" i="14" s="1"/>
  <c r="R669" i="14"/>
  <c r="T669" i="14" s="1"/>
  <c r="R677" i="14"/>
  <c r="T677" i="14" s="1"/>
  <c r="R693" i="14"/>
  <c r="T693" i="14" s="1"/>
  <c r="R701" i="14"/>
  <c r="T701" i="14" s="1"/>
  <c r="R728" i="14"/>
  <c r="T728" i="14" s="1"/>
  <c r="R736" i="14"/>
  <c r="T736" i="14" s="1"/>
  <c r="R752" i="14"/>
  <c r="T752" i="14" s="1"/>
  <c r="R825" i="14"/>
  <c r="T825" i="14" s="1"/>
  <c r="R833" i="14"/>
  <c r="T833" i="14" s="1"/>
  <c r="R841" i="14"/>
  <c r="T841" i="14" s="1"/>
  <c r="R887" i="14"/>
  <c r="T887" i="14" s="1"/>
  <c r="R890" i="14"/>
  <c r="T890" i="14" s="1"/>
  <c r="R895" i="14"/>
  <c r="T895" i="14" s="1"/>
  <c r="R898" i="14"/>
  <c r="T898" i="14" s="1"/>
  <c r="R903" i="14"/>
  <c r="T903" i="14" s="1"/>
  <c r="R906" i="14"/>
  <c r="T906" i="14" s="1"/>
  <c r="R911" i="14"/>
  <c r="T911" i="14" s="1"/>
  <c r="R946" i="14"/>
  <c r="T946" i="14" s="1"/>
  <c r="R973" i="14"/>
  <c r="T973" i="14" s="1"/>
  <c r="R17" i="14"/>
  <c r="T17" i="14" s="1"/>
  <c r="R49" i="14"/>
  <c r="T49" i="14" s="1"/>
  <c r="R66" i="14"/>
  <c r="T66" i="14" s="1"/>
  <c r="R93" i="14"/>
  <c r="T93" i="14" s="1"/>
  <c r="R101" i="14"/>
  <c r="T101" i="14" s="1"/>
  <c r="R109" i="14"/>
  <c r="T109" i="14" s="1"/>
  <c r="R120" i="14"/>
  <c r="T120" i="14" s="1"/>
  <c r="R534" i="14"/>
  <c r="T534" i="14" s="1"/>
  <c r="R726" i="14"/>
  <c r="T726" i="14" s="1"/>
  <c r="R78" i="14"/>
  <c r="T78" i="14" s="1"/>
  <c r="R133" i="14"/>
  <c r="T133" i="14" s="1"/>
  <c r="R141" i="14"/>
  <c r="T141" i="14" s="1"/>
  <c r="R149" i="14"/>
  <c r="T149" i="14" s="1"/>
  <c r="R163" i="14"/>
  <c r="T163" i="14" s="1"/>
  <c r="R171" i="14"/>
  <c r="T171" i="14" s="1"/>
  <c r="R204" i="14"/>
  <c r="T204" i="14" s="1"/>
  <c r="R234" i="14"/>
  <c r="T234" i="14" s="1"/>
  <c r="R237" i="14"/>
  <c r="T237" i="14" s="1"/>
  <c r="R242" i="14"/>
  <c r="T242" i="14" s="1"/>
  <c r="R261" i="14"/>
  <c r="T261" i="14" s="1"/>
  <c r="R275" i="14"/>
  <c r="T275" i="14" s="1"/>
  <c r="R278" i="14"/>
  <c r="T278" i="14" s="1"/>
  <c r="R286" i="14"/>
  <c r="T286" i="14" s="1"/>
  <c r="R294" i="14"/>
  <c r="T294" i="14" s="1"/>
  <c r="R327" i="14"/>
  <c r="T327" i="14" s="1"/>
  <c r="R362" i="14"/>
  <c r="T362" i="14" s="1"/>
  <c r="R389" i="14"/>
  <c r="T389" i="14" s="1"/>
  <c r="R394" i="14"/>
  <c r="T394" i="14" s="1"/>
  <c r="R397" i="14"/>
  <c r="T397" i="14" s="1"/>
  <c r="R400" i="14"/>
  <c r="T400" i="14" s="1"/>
  <c r="R414" i="14"/>
  <c r="T414" i="14" s="1"/>
  <c r="R432" i="14"/>
  <c r="T432" i="14" s="1"/>
  <c r="R435" i="14"/>
  <c r="T435" i="14" s="1"/>
  <c r="R457" i="14"/>
  <c r="T457" i="14" s="1"/>
  <c r="R465" i="14"/>
  <c r="T465" i="14" s="1"/>
  <c r="R489" i="14"/>
  <c r="T489" i="14" s="1"/>
  <c r="R497" i="14"/>
  <c r="T497" i="14" s="1"/>
  <c r="R508" i="14"/>
  <c r="T508" i="14" s="1"/>
  <c r="R511" i="14"/>
  <c r="T511" i="14" s="1"/>
  <c r="R531" i="14"/>
  <c r="T531" i="14" s="1"/>
  <c r="R553" i="14"/>
  <c r="T553" i="14" s="1"/>
  <c r="R564" i="14"/>
  <c r="T564" i="14" s="1"/>
  <c r="R572" i="14"/>
  <c r="T572" i="14" s="1"/>
  <c r="R588" i="14"/>
  <c r="T588" i="14" s="1"/>
  <c r="R596" i="14"/>
  <c r="T596" i="14" s="1"/>
  <c r="R604" i="14"/>
  <c r="T604" i="14" s="1"/>
  <c r="R607" i="14"/>
  <c r="T607" i="14" s="1"/>
  <c r="R610" i="14"/>
  <c r="T610" i="14" s="1"/>
  <c r="R624" i="14"/>
  <c r="T624" i="14" s="1"/>
  <c r="R673" i="14"/>
  <c r="T673" i="14" s="1"/>
  <c r="R681" i="14"/>
  <c r="T681" i="14" s="1"/>
  <c r="R709" i="14"/>
  <c r="T709" i="14" s="1"/>
  <c r="R720" i="14"/>
  <c r="T720" i="14" s="1"/>
  <c r="R731" i="14"/>
  <c r="T731" i="14" s="1"/>
  <c r="R734" i="14"/>
  <c r="T734" i="14" s="1"/>
  <c r="R742" i="14"/>
  <c r="T742" i="14" s="1"/>
  <c r="R750" i="14"/>
  <c r="T750" i="14" s="1"/>
  <c r="R772" i="14"/>
  <c r="T772" i="14" s="1"/>
  <c r="R819" i="14"/>
  <c r="T819" i="14" s="1"/>
  <c r="R849" i="14"/>
  <c r="T849" i="14" s="1"/>
  <c r="R879" i="14"/>
  <c r="T879" i="14" s="1"/>
  <c r="R882" i="14"/>
  <c r="T882" i="14" s="1"/>
  <c r="R947" i="14"/>
  <c r="T947" i="14" s="1"/>
  <c r="R977" i="14"/>
  <c r="T977" i="14" s="1"/>
  <c r="R220" i="14"/>
  <c r="T220" i="14" s="1"/>
  <c r="R462" i="14"/>
  <c r="T462" i="14" s="1"/>
  <c r="R675" i="14"/>
  <c r="T675" i="14" s="1"/>
  <c r="R683" i="14"/>
  <c r="T683" i="14" s="1"/>
  <c r="R711" i="14"/>
  <c r="T711" i="14" s="1"/>
  <c r="R714" i="14"/>
  <c r="T714" i="14" s="1"/>
  <c r="R794" i="14"/>
  <c r="T794" i="14" s="1"/>
  <c r="R914" i="14"/>
  <c r="T914" i="14" s="1"/>
  <c r="R72" i="14"/>
  <c r="T72" i="14" s="1"/>
  <c r="R80" i="14"/>
  <c r="T80" i="14" s="1"/>
  <c r="R88" i="14"/>
  <c r="T88" i="14" s="1"/>
  <c r="R96" i="14"/>
  <c r="T96" i="14" s="1"/>
  <c r="R104" i="14"/>
  <c r="T104" i="14" s="1"/>
  <c r="R112" i="14"/>
  <c r="T112" i="14" s="1"/>
  <c r="R121" i="14"/>
  <c r="T121" i="14" s="1"/>
  <c r="R189" i="14"/>
  <c r="T189" i="14" s="1"/>
  <c r="R197" i="14"/>
  <c r="T197" i="14" s="1"/>
  <c r="R225" i="14"/>
  <c r="T225" i="14" s="1"/>
  <c r="R228" i="14"/>
  <c r="T228" i="14" s="1"/>
  <c r="R233" i="14"/>
  <c r="T233" i="14" s="1"/>
  <c r="R236" i="14"/>
  <c r="T236" i="14" s="1"/>
  <c r="R244" i="14"/>
  <c r="T244" i="14" s="1"/>
  <c r="R263" i="14"/>
  <c r="T263" i="14" s="1"/>
  <c r="R266" i="14"/>
  <c r="T266" i="14" s="1"/>
  <c r="R285" i="14"/>
  <c r="T285" i="14" s="1"/>
  <c r="R293" i="14"/>
  <c r="T293" i="14" s="1"/>
  <c r="R307" i="14"/>
  <c r="T307" i="14" s="1"/>
  <c r="R310" i="14"/>
  <c r="T310" i="14" s="1"/>
  <c r="R318" i="14"/>
  <c r="T318" i="14" s="1"/>
  <c r="R326" i="14"/>
  <c r="T326" i="14" s="1"/>
  <c r="R337" i="14"/>
  <c r="T337" i="14" s="1"/>
  <c r="R342" i="14"/>
  <c r="T342" i="14" s="1"/>
  <c r="R350" i="14"/>
  <c r="T350" i="14" s="1"/>
  <c r="R361" i="14"/>
  <c r="T361" i="14" s="1"/>
  <c r="R369" i="14"/>
  <c r="T369" i="14" s="1"/>
  <c r="R377" i="14"/>
  <c r="T377" i="14" s="1"/>
  <c r="R396" i="14"/>
  <c r="T396" i="14" s="1"/>
  <c r="R413" i="14"/>
  <c r="T413" i="14" s="1"/>
  <c r="R437" i="14"/>
  <c r="T437" i="14" s="1"/>
  <c r="R448" i="14"/>
  <c r="T448" i="14" s="1"/>
  <c r="R472" i="14"/>
  <c r="T472" i="14" s="1"/>
  <c r="R480" i="14"/>
  <c r="T480" i="14" s="1"/>
  <c r="R491" i="14"/>
  <c r="T491" i="14" s="1"/>
  <c r="R499" i="14"/>
  <c r="T499" i="14" s="1"/>
  <c r="R524" i="14"/>
  <c r="T524" i="14" s="1"/>
  <c r="R527" i="14"/>
  <c r="T527" i="14" s="1"/>
  <c r="R538" i="14"/>
  <c r="T538" i="14" s="1"/>
  <c r="R555" i="14"/>
  <c r="T555" i="14" s="1"/>
  <c r="R634" i="14"/>
  <c r="T634" i="14" s="1"/>
  <c r="R642" i="14"/>
  <c r="T642" i="14" s="1"/>
  <c r="R650" i="14"/>
  <c r="T650" i="14" s="1"/>
  <c r="R705" i="14"/>
  <c r="T705" i="14" s="1"/>
  <c r="R708" i="14"/>
  <c r="T708" i="14" s="1"/>
  <c r="R741" i="14"/>
  <c r="T741" i="14" s="1"/>
  <c r="R749" i="14"/>
  <c r="T749" i="14" s="1"/>
  <c r="R771" i="14"/>
  <c r="T771" i="14" s="1"/>
  <c r="R774" i="14"/>
  <c r="T774" i="14" s="1"/>
  <c r="R779" i="14"/>
  <c r="T779" i="14" s="1"/>
  <c r="R804" i="14"/>
  <c r="T804" i="14" s="1"/>
  <c r="R807" i="14"/>
  <c r="T807" i="14" s="1"/>
  <c r="R810" i="14"/>
  <c r="T810" i="14" s="1"/>
  <c r="R829" i="14"/>
  <c r="T829" i="14" s="1"/>
  <c r="R837" i="14"/>
  <c r="T837" i="14" s="1"/>
  <c r="R859" i="14"/>
  <c r="T859" i="14" s="1"/>
  <c r="R867" i="14"/>
  <c r="T867" i="14" s="1"/>
  <c r="R875" i="14"/>
  <c r="T875" i="14" s="1"/>
  <c r="R889" i="14"/>
  <c r="T889" i="14" s="1"/>
  <c r="R897" i="14"/>
  <c r="T897" i="14" s="1"/>
  <c r="R905" i="14"/>
  <c r="T905" i="14" s="1"/>
  <c r="R919" i="14"/>
  <c r="T919" i="14" s="1"/>
  <c r="R922" i="14"/>
  <c r="T922" i="14" s="1"/>
  <c r="R927" i="14"/>
  <c r="T927" i="14" s="1"/>
  <c r="R930" i="14"/>
  <c r="T930" i="14" s="1"/>
  <c r="R935" i="14"/>
  <c r="T935" i="14" s="1"/>
  <c r="R938" i="14"/>
  <c r="T938" i="14" s="1"/>
  <c r="R957" i="14"/>
  <c r="T957" i="14" s="1"/>
  <c r="R965" i="14"/>
  <c r="T965" i="14" s="1"/>
  <c r="R987" i="14"/>
  <c r="T987" i="14" s="1"/>
  <c r="R995" i="14"/>
  <c r="T995" i="14" s="1"/>
  <c r="R137" i="14"/>
  <c r="T137" i="14" s="1"/>
  <c r="R145" i="14"/>
  <c r="T145" i="14" s="1"/>
  <c r="R186" i="14"/>
  <c r="T186" i="14" s="1"/>
  <c r="R194" i="14"/>
  <c r="T194" i="14" s="1"/>
  <c r="R205" i="14"/>
  <c r="T205" i="14" s="1"/>
  <c r="R304" i="14"/>
  <c r="T304" i="14" s="1"/>
  <c r="R315" i="14"/>
  <c r="T315" i="14" s="1"/>
  <c r="R323" i="14"/>
  <c r="T323" i="14" s="1"/>
  <c r="R339" i="14"/>
  <c r="T339" i="14" s="1"/>
  <c r="R347" i="14"/>
  <c r="T347" i="14" s="1"/>
  <c r="R355" i="14"/>
  <c r="T355" i="14" s="1"/>
  <c r="R358" i="14"/>
  <c r="T358" i="14" s="1"/>
  <c r="R374" i="14"/>
  <c r="T374" i="14" s="1"/>
  <c r="R382" i="14"/>
  <c r="T382" i="14" s="1"/>
  <c r="R430" i="14"/>
  <c r="T430" i="14" s="1"/>
  <c r="R477" i="14"/>
  <c r="T477" i="14" s="1"/>
  <c r="R521" i="14"/>
  <c r="T521" i="14" s="1"/>
  <c r="R532" i="14"/>
  <c r="T532" i="14" s="1"/>
  <c r="R535" i="14"/>
  <c r="T535" i="14" s="1"/>
  <c r="R543" i="14"/>
  <c r="T543" i="14" s="1"/>
  <c r="R576" i="14"/>
  <c r="T576" i="14" s="1"/>
  <c r="R655" i="14"/>
  <c r="T655" i="14" s="1"/>
  <c r="R694" i="14"/>
  <c r="T694" i="14" s="1"/>
  <c r="R713" i="14"/>
  <c r="T713" i="14" s="1"/>
  <c r="R724" i="14"/>
  <c r="T724" i="14" s="1"/>
  <c r="R760" i="14"/>
  <c r="T760" i="14" s="1"/>
  <c r="R793" i="14"/>
  <c r="T793" i="14" s="1"/>
  <c r="R815" i="14"/>
  <c r="T815" i="14" s="1"/>
  <c r="R883" i="14"/>
  <c r="T883" i="14" s="1"/>
  <c r="R913" i="14"/>
  <c r="T913" i="14" s="1"/>
  <c r="R943" i="14"/>
  <c r="T943" i="14" s="1"/>
  <c r="R970" i="14"/>
  <c r="T970" i="14" s="1"/>
  <c r="R87" i="14"/>
  <c r="T87" i="14" s="1"/>
  <c r="R95" i="14"/>
  <c r="T95" i="14" s="1"/>
  <c r="R103" i="14"/>
  <c r="T103" i="14" s="1"/>
  <c r="R139" i="14"/>
  <c r="T139" i="14" s="1"/>
  <c r="R161" i="14"/>
  <c r="T161" i="14" s="1"/>
  <c r="R169" i="14"/>
  <c r="T169" i="14" s="1"/>
  <c r="R177" i="14"/>
  <c r="T177" i="14" s="1"/>
  <c r="R180" i="14"/>
  <c r="T180" i="14" s="1"/>
  <c r="R251" i="14"/>
  <c r="T251" i="14" s="1"/>
  <c r="R259" i="14"/>
  <c r="T259" i="14" s="1"/>
  <c r="R295" i="14"/>
  <c r="T295" i="14" s="1"/>
  <c r="R298" i="14"/>
  <c r="T298" i="14" s="1"/>
  <c r="R317" i="14"/>
  <c r="T317" i="14" s="1"/>
  <c r="R325" i="14"/>
  <c r="T325" i="14" s="1"/>
  <c r="R333" i="14"/>
  <c r="T333" i="14" s="1"/>
  <c r="R341" i="14"/>
  <c r="T341" i="14" s="1"/>
  <c r="R349" i="14"/>
  <c r="T349" i="14" s="1"/>
  <c r="R368" i="14"/>
  <c r="T368" i="14" s="1"/>
  <c r="R376" i="14"/>
  <c r="T376" i="14" s="1"/>
  <c r="R384" i="14"/>
  <c r="T384" i="14" s="1"/>
  <c r="R412" i="14"/>
  <c r="T412" i="14" s="1"/>
  <c r="R455" i="14"/>
  <c r="T455" i="14" s="1"/>
  <c r="R490" i="14"/>
  <c r="T490" i="14" s="1"/>
  <c r="R495" i="14"/>
  <c r="T495" i="14" s="1"/>
  <c r="R506" i="14"/>
  <c r="T506" i="14" s="1"/>
  <c r="R512" i="14"/>
  <c r="T512" i="14" s="1"/>
  <c r="R537" i="14"/>
  <c r="T537" i="14" s="1"/>
  <c r="R554" i="14"/>
  <c r="T554" i="14" s="1"/>
  <c r="R562" i="14"/>
  <c r="T562" i="14" s="1"/>
  <c r="R570" i="14"/>
  <c r="T570" i="14" s="1"/>
  <c r="R578" i="14"/>
  <c r="T578" i="14" s="1"/>
  <c r="R594" i="14"/>
  <c r="T594" i="14" s="1"/>
  <c r="R602" i="14"/>
  <c r="T602" i="14" s="1"/>
  <c r="R622" i="14"/>
  <c r="T622" i="14" s="1"/>
  <c r="R674" i="14"/>
  <c r="T674" i="14" s="1"/>
  <c r="R682" i="14"/>
  <c r="T682" i="14" s="1"/>
  <c r="R696" i="14"/>
  <c r="T696" i="14" s="1"/>
  <c r="R715" i="14"/>
  <c r="T715" i="14" s="1"/>
  <c r="R718" i="14"/>
  <c r="T718" i="14" s="1"/>
  <c r="R740" i="14"/>
  <c r="T740" i="14" s="1"/>
  <c r="R756" i="14"/>
  <c r="T756" i="14" s="1"/>
  <c r="R765" i="14"/>
  <c r="T765" i="14" s="1"/>
  <c r="R795" i="14"/>
  <c r="T795" i="14" s="1"/>
  <c r="R798" i="14"/>
  <c r="T798" i="14" s="1"/>
  <c r="R817" i="14"/>
  <c r="T817" i="14" s="1"/>
  <c r="R847" i="14"/>
  <c r="T847" i="14" s="1"/>
  <c r="R850" i="14"/>
  <c r="T850" i="14" s="1"/>
  <c r="R915" i="14"/>
  <c r="T915" i="14" s="1"/>
  <c r="R945" i="14"/>
  <c r="T945" i="14" s="1"/>
  <c r="R975" i="14"/>
  <c r="T975" i="14" s="1"/>
  <c r="R978" i="14"/>
  <c r="T978" i="14" s="1"/>
  <c r="R16" i="14"/>
  <c r="T16" i="14" s="1"/>
  <c r="R22" i="14"/>
  <c r="T22" i="14" s="1"/>
  <c r="R29" i="14"/>
  <c r="T29" i="14" s="1"/>
  <c r="R54" i="14"/>
  <c r="T54" i="14" s="1"/>
  <c r="R60" i="14"/>
  <c r="T60" i="14" s="1"/>
  <c r="R63" i="14"/>
  <c r="T63" i="14" s="1"/>
  <c r="R69" i="14"/>
  <c r="T69" i="14" s="1"/>
  <c r="R97" i="14"/>
  <c r="T97" i="14" s="1"/>
  <c r="R115" i="14"/>
  <c r="T115" i="14" s="1"/>
  <c r="R124" i="14"/>
  <c r="T124" i="14" s="1"/>
  <c r="R127" i="14"/>
  <c r="T127" i="14" s="1"/>
  <c r="R130" i="14"/>
  <c r="T130" i="14" s="1"/>
  <c r="R155" i="14"/>
  <c r="T155" i="14" s="1"/>
  <c r="R158" i="14"/>
  <c r="T158" i="14" s="1"/>
  <c r="R196" i="14"/>
  <c r="T196" i="14" s="1"/>
  <c r="R199" i="14"/>
  <c r="T199" i="14" s="1"/>
  <c r="R202" i="14"/>
  <c r="T202" i="14" s="1"/>
  <c r="R211" i="14"/>
  <c r="T211" i="14" s="1"/>
  <c r="R214" i="14"/>
  <c r="T214" i="14" s="1"/>
  <c r="R486" i="14"/>
  <c r="T486" i="14" s="1"/>
  <c r="R522" i="14"/>
  <c r="T522" i="14" s="1"/>
  <c r="R797" i="14"/>
  <c r="T797" i="14" s="1"/>
  <c r="R32" i="14"/>
  <c r="T32" i="14" s="1"/>
  <c r="R34" i="14"/>
  <c r="T34" i="14" s="1"/>
  <c r="R50" i="14"/>
  <c r="T50" i="14" s="1"/>
  <c r="R81" i="14"/>
  <c r="T81" i="14" s="1"/>
  <c r="R99" i="14"/>
  <c r="T99" i="14" s="1"/>
  <c r="R108" i="14"/>
  <c r="T108" i="14" s="1"/>
  <c r="R111" i="14"/>
  <c r="T111" i="14" s="1"/>
  <c r="R117" i="14"/>
  <c r="T117" i="14" s="1"/>
  <c r="R126" i="14"/>
  <c r="T126" i="14" s="1"/>
  <c r="R164" i="14"/>
  <c r="T164" i="14" s="1"/>
  <c r="R167" i="14"/>
  <c r="T167" i="14" s="1"/>
  <c r="R170" i="14"/>
  <c r="T170" i="14" s="1"/>
  <c r="R195" i="14"/>
  <c r="T195" i="14" s="1"/>
  <c r="R198" i="14"/>
  <c r="T198" i="14" s="1"/>
  <c r="R243" i="14"/>
  <c r="T243" i="14" s="1"/>
  <c r="R246" i="14"/>
  <c r="T246" i="14" s="1"/>
  <c r="R269" i="14"/>
  <c r="T269" i="14" s="1"/>
  <c r="R410" i="14"/>
  <c r="T410" i="14" s="1"/>
  <c r="R658" i="14"/>
  <c r="T658" i="14" s="1"/>
  <c r="R13" i="14"/>
  <c r="T13" i="14" s="1"/>
  <c r="R20" i="14"/>
  <c r="T20" i="14" s="1"/>
  <c r="R36" i="14"/>
  <c r="T36" i="14" s="1"/>
  <c r="R59" i="14"/>
  <c r="T59" i="14" s="1"/>
  <c r="R68" i="14"/>
  <c r="T68" i="14" s="1"/>
  <c r="R71" i="14"/>
  <c r="T71" i="14" s="1"/>
  <c r="R77" i="14"/>
  <c r="T77" i="14" s="1"/>
  <c r="R123" i="14"/>
  <c r="T123" i="14" s="1"/>
  <c r="R151" i="14"/>
  <c r="T151" i="14" s="1"/>
  <c r="R154" i="14"/>
  <c r="T154" i="14" s="1"/>
  <c r="R179" i="14"/>
  <c r="T179" i="14" s="1"/>
  <c r="R182" i="14"/>
  <c r="T182" i="14" s="1"/>
  <c r="R207" i="14"/>
  <c r="T207" i="14" s="1"/>
  <c r="R210" i="14"/>
  <c r="T210" i="14" s="1"/>
  <c r="R216" i="14"/>
  <c r="T216" i="14" s="1"/>
  <c r="R219" i="14"/>
  <c r="T219" i="14" s="1"/>
  <c r="R222" i="14"/>
  <c r="T222" i="14" s="1"/>
  <c r="R257" i="14"/>
  <c r="T257" i="14" s="1"/>
  <c r="R305" i="14"/>
  <c r="T305" i="14" s="1"/>
  <c r="R436" i="14"/>
  <c r="T436" i="14" s="1"/>
  <c r="R61" i="14"/>
  <c r="T61" i="14" s="1"/>
  <c r="R89" i="14"/>
  <c r="T89" i="14" s="1"/>
  <c r="R107" i="14"/>
  <c r="T107" i="14" s="1"/>
  <c r="R116" i="14"/>
  <c r="T116" i="14" s="1"/>
  <c r="R119" i="14"/>
  <c r="T119" i="14" s="1"/>
  <c r="R125" i="14"/>
  <c r="T125" i="14" s="1"/>
  <c r="R147" i="14"/>
  <c r="T147" i="14" s="1"/>
  <c r="R150" i="14"/>
  <c r="T150" i="14" s="1"/>
  <c r="R172" i="14"/>
  <c r="T172" i="14" s="1"/>
  <c r="R175" i="14"/>
  <c r="T175" i="14" s="1"/>
  <c r="R178" i="14"/>
  <c r="T178" i="14" s="1"/>
  <c r="R203" i="14"/>
  <c r="T203" i="14" s="1"/>
  <c r="R206" i="14"/>
  <c r="T206" i="14" s="1"/>
  <c r="R26" i="14"/>
  <c r="T26" i="14" s="1"/>
  <c r="R58" i="14"/>
  <c r="T58" i="14" s="1"/>
  <c r="R67" i="14"/>
  <c r="T67" i="14" s="1"/>
  <c r="R76" i="14"/>
  <c r="T76" i="14" s="1"/>
  <c r="R79" i="14"/>
  <c r="T79" i="14" s="1"/>
  <c r="R85" i="14"/>
  <c r="T85" i="14" s="1"/>
  <c r="R131" i="14"/>
  <c r="T131" i="14" s="1"/>
  <c r="R134" i="14"/>
  <c r="T134" i="14" s="1"/>
  <c r="R159" i="14"/>
  <c r="T159" i="14" s="1"/>
  <c r="R162" i="14"/>
  <c r="T162" i="14" s="1"/>
  <c r="R187" i="14"/>
  <c r="T187" i="14" s="1"/>
  <c r="R190" i="14"/>
  <c r="T190" i="14" s="1"/>
  <c r="R215" i="14"/>
  <c r="T215" i="14" s="1"/>
  <c r="R218" i="14"/>
  <c r="T218" i="14" s="1"/>
  <c r="R227" i="14"/>
  <c r="T227" i="14" s="1"/>
  <c r="R230" i="14"/>
  <c r="T230" i="14" s="1"/>
  <c r="R239" i="14"/>
  <c r="T239" i="14" s="1"/>
  <c r="R646" i="14"/>
  <c r="T646" i="14" s="1"/>
  <c r="R226" i="14"/>
  <c r="T226" i="14" s="1"/>
  <c r="R235" i="14"/>
  <c r="T235" i="14" s="1"/>
  <c r="R238" i="14"/>
  <c r="T238" i="14" s="1"/>
  <c r="R319" i="14"/>
  <c r="T319" i="14" s="1"/>
  <c r="R322" i="14"/>
  <c r="T322" i="14" s="1"/>
  <c r="R328" i="14"/>
  <c r="T328" i="14" s="1"/>
  <c r="R331" i="14"/>
  <c r="T331" i="14" s="1"/>
  <c r="R334" i="14"/>
  <c r="T334" i="14" s="1"/>
  <c r="R343" i="14"/>
  <c r="T343" i="14" s="1"/>
  <c r="R346" i="14"/>
  <c r="T346" i="14" s="1"/>
  <c r="R367" i="14"/>
  <c r="T367" i="14" s="1"/>
  <c r="R370" i="14"/>
  <c r="T370" i="14" s="1"/>
  <c r="R403" i="14"/>
  <c r="T403" i="14" s="1"/>
  <c r="R416" i="14"/>
  <c r="T416" i="14" s="1"/>
  <c r="R419" i="14"/>
  <c r="T419" i="14" s="1"/>
  <c r="R429" i="14"/>
  <c r="T429" i="14" s="1"/>
  <c r="R439" i="14"/>
  <c r="T439" i="14" s="1"/>
  <c r="R442" i="14"/>
  <c r="T442" i="14" s="1"/>
  <c r="R445" i="14"/>
  <c r="T445" i="14" s="1"/>
  <c r="R451" i="14"/>
  <c r="T451" i="14" s="1"/>
  <c r="R468" i="14"/>
  <c r="T468" i="14" s="1"/>
  <c r="R471" i="14"/>
  <c r="T471" i="14" s="1"/>
  <c r="R483" i="14"/>
  <c r="T483" i="14" s="1"/>
  <c r="R509" i="14"/>
  <c r="T509" i="14" s="1"/>
  <c r="R536" i="14"/>
  <c r="T536" i="14" s="1"/>
  <c r="R545" i="14"/>
  <c r="T545" i="14" s="1"/>
  <c r="R548" i="14"/>
  <c r="T548" i="14" s="1"/>
  <c r="R551" i="14"/>
  <c r="T551" i="14" s="1"/>
  <c r="R560" i="14"/>
  <c r="T560" i="14" s="1"/>
  <c r="R584" i="14"/>
  <c r="T584" i="14" s="1"/>
  <c r="R625" i="14"/>
  <c r="T625" i="14" s="1"/>
  <c r="R628" i="14"/>
  <c r="T628" i="14" s="1"/>
  <c r="R631" i="14"/>
  <c r="T631" i="14" s="1"/>
  <c r="R643" i="14"/>
  <c r="T643" i="14" s="1"/>
  <c r="R649" i="14"/>
  <c r="T649" i="14" s="1"/>
  <c r="R697" i="14"/>
  <c r="T697" i="14" s="1"/>
  <c r="R719" i="14"/>
  <c r="T719" i="14" s="1"/>
  <c r="R722" i="14"/>
  <c r="T722" i="14" s="1"/>
  <c r="R735" i="14"/>
  <c r="T735" i="14" s="1"/>
  <c r="R738" i="14"/>
  <c r="T738" i="14" s="1"/>
  <c r="R744" i="14"/>
  <c r="T744" i="14" s="1"/>
  <c r="R753" i="14"/>
  <c r="T753" i="14" s="1"/>
  <c r="R787" i="14"/>
  <c r="T787" i="14" s="1"/>
  <c r="R796" i="14"/>
  <c r="T796" i="14" s="1"/>
  <c r="R806" i="14"/>
  <c r="T806" i="14" s="1"/>
  <c r="R832" i="14"/>
  <c r="T832" i="14" s="1"/>
  <c r="R838" i="14"/>
  <c r="T838" i="14" s="1"/>
  <c r="R864" i="14"/>
  <c r="T864" i="14" s="1"/>
  <c r="R870" i="14"/>
  <c r="T870" i="14" s="1"/>
  <c r="R896" i="14"/>
  <c r="T896" i="14" s="1"/>
  <c r="R902" i="14"/>
  <c r="T902" i="14" s="1"/>
  <c r="R928" i="14"/>
  <c r="T928" i="14" s="1"/>
  <c r="R934" i="14"/>
  <c r="T934" i="14" s="1"/>
  <c r="R960" i="14"/>
  <c r="T960" i="14" s="1"/>
  <c r="R966" i="14"/>
  <c r="T966" i="14" s="1"/>
  <c r="R992" i="14"/>
  <c r="T992" i="14" s="1"/>
  <c r="R998" i="14"/>
  <c r="T998" i="14" s="1"/>
  <c r="R271" i="14"/>
  <c r="T271" i="14" s="1"/>
  <c r="R274" i="14"/>
  <c r="T274" i="14" s="1"/>
  <c r="R348" i="14"/>
  <c r="T348" i="14" s="1"/>
  <c r="R351" i="14"/>
  <c r="T351" i="14" s="1"/>
  <c r="R354" i="14"/>
  <c r="T354" i="14" s="1"/>
  <c r="R360" i="14"/>
  <c r="T360" i="14" s="1"/>
  <c r="R363" i="14"/>
  <c r="T363" i="14" s="1"/>
  <c r="R366" i="14"/>
  <c r="T366" i="14" s="1"/>
  <c r="R375" i="14"/>
  <c r="T375" i="14" s="1"/>
  <c r="R378" i="14"/>
  <c r="T378" i="14" s="1"/>
  <c r="R390" i="14"/>
  <c r="T390" i="14" s="1"/>
  <c r="R393" i="14"/>
  <c r="T393" i="14" s="1"/>
  <c r="R415" i="14"/>
  <c r="T415" i="14" s="1"/>
  <c r="R444" i="14"/>
  <c r="T444" i="14" s="1"/>
  <c r="R456" i="14"/>
  <c r="T456" i="14" s="1"/>
  <c r="R473" i="14"/>
  <c r="T473" i="14" s="1"/>
  <c r="R476" i="14"/>
  <c r="T476" i="14" s="1"/>
  <c r="R479" i="14"/>
  <c r="T479" i="14" s="1"/>
  <c r="R488" i="14"/>
  <c r="T488" i="14" s="1"/>
  <c r="R515" i="14"/>
  <c r="T515" i="14" s="1"/>
  <c r="R541" i="14"/>
  <c r="T541" i="14" s="1"/>
  <c r="R568" i="14"/>
  <c r="T568" i="14" s="1"/>
  <c r="R577" i="14"/>
  <c r="T577" i="14" s="1"/>
  <c r="R580" i="14"/>
  <c r="T580" i="14" s="1"/>
  <c r="R583" i="14"/>
  <c r="T583" i="14" s="1"/>
  <c r="R592" i="14"/>
  <c r="T592" i="14" s="1"/>
  <c r="R619" i="14"/>
  <c r="T619" i="14" s="1"/>
  <c r="R636" i="14"/>
  <c r="T636" i="14" s="1"/>
  <c r="R639" i="14"/>
  <c r="T639" i="14" s="1"/>
  <c r="R648" i="14"/>
  <c r="T648" i="14" s="1"/>
  <c r="R657" i="14"/>
  <c r="T657" i="14" s="1"/>
  <c r="R671" i="14"/>
  <c r="T671" i="14" s="1"/>
  <c r="R687" i="14"/>
  <c r="T687" i="14" s="1"/>
  <c r="R690" i="14"/>
  <c r="T690" i="14" s="1"/>
  <c r="R699" i="14"/>
  <c r="T699" i="14" s="1"/>
  <c r="R712" i="14"/>
  <c r="T712" i="14" s="1"/>
  <c r="R721" i="14"/>
  <c r="T721" i="14" s="1"/>
  <c r="R737" i="14"/>
  <c r="T737" i="14" s="1"/>
  <c r="R755" i="14"/>
  <c r="T755" i="14" s="1"/>
  <c r="R759" i="14"/>
  <c r="T759" i="14" s="1"/>
  <c r="R762" i="14"/>
  <c r="T762" i="14" s="1"/>
  <c r="R768" i="14"/>
  <c r="T768" i="14" s="1"/>
  <c r="R790" i="14"/>
  <c r="T790" i="14" s="1"/>
  <c r="R799" i="14"/>
  <c r="T799" i="14" s="1"/>
  <c r="R802" i="14"/>
  <c r="T802" i="14" s="1"/>
  <c r="R808" i="14"/>
  <c r="T808" i="14" s="1"/>
  <c r="R814" i="14"/>
  <c r="T814" i="14" s="1"/>
  <c r="R840" i="14"/>
  <c r="T840" i="14" s="1"/>
  <c r="R846" i="14"/>
  <c r="T846" i="14" s="1"/>
  <c r="R872" i="14"/>
  <c r="T872" i="14" s="1"/>
  <c r="R878" i="14"/>
  <c r="T878" i="14" s="1"/>
  <c r="R904" i="14"/>
  <c r="T904" i="14" s="1"/>
  <c r="R910" i="14"/>
  <c r="T910" i="14" s="1"/>
  <c r="R936" i="14"/>
  <c r="T936" i="14" s="1"/>
  <c r="R942" i="14"/>
  <c r="T942" i="14" s="1"/>
  <c r="R968" i="14"/>
  <c r="T968" i="14" s="1"/>
  <c r="R974" i="14"/>
  <c r="T974" i="14" s="1"/>
  <c r="R962" i="14"/>
  <c r="T962" i="14" s="1"/>
  <c r="R994" i="14"/>
  <c r="T994" i="14" s="1"/>
  <c r="R255" i="14"/>
  <c r="T255" i="14" s="1"/>
  <c r="R258" i="14"/>
  <c r="T258" i="14" s="1"/>
  <c r="R264" i="14"/>
  <c r="T264" i="14" s="1"/>
  <c r="R267" i="14"/>
  <c r="T267" i="14" s="1"/>
  <c r="R270" i="14"/>
  <c r="T270" i="14" s="1"/>
  <c r="R279" i="14"/>
  <c r="T279" i="14" s="1"/>
  <c r="R282" i="14"/>
  <c r="T282" i="14" s="1"/>
  <c r="R303" i="14"/>
  <c r="T303" i="14" s="1"/>
  <c r="R306" i="14"/>
  <c r="T306" i="14" s="1"/>
  <c r="R383" i="14"/>
  <c r="T383" i="14" s="1"/>
  <c r="R386" i="14"/>
  <c r="T386" i="14" s="1"/>
  <c r="R411" i="14"/>
  <c r="T411" i="14" s="1"/>
  <c r="R427" i="14"/>
  <c r="T427" i="14" s="1"/>
  <c r="R458" i="14"/>
  <c r="T458" i="14" s="1"/>
  <c r="R461" i="14"/>
  <c r="T461" i="14" s="1"/>
  <c r="R464" i="14"/>
  <c r="T464" i="14" s="1"/>
  <c r="R481" i="14"/>
  <c r="T481" i="14" s="1"/>
  <c r="R484" i="14"/>
  <c r="T484" i="14" s="1"/>
  <c r="R487" i="14"/>
  <c r="T487" i="14" s="1"/>
  <c r="R496" i="14"/>
  <c r="T496" i="14" s="1"/>
  <c r="R520" i="14"/>
  <c r="T520" i="14" s="1"/>
  <c r="R547" i="14"/>
  <c r="T547" i="14" s="1"/>
  <c r="R573" i="14"/>
  <c r="T573" i="14" s="1"/>
  <c r="R600" i="14"/>
  <c r="T600" i="14" s="1"/>
  <c r="R627" i="14"/>
  <c r="T627" i="14" s="1"/>
  <c r="R644" i="14"/>
  <c r="T644" i="14" s="1"/>
  <c r="R647" i="14"/>
  <c r="T647" i="14" s="1"/>
  <c r="R656" i="14"/>
  <c r="T656" i="14" s="1"/>
  <c r="R665" i="14"/>
  <c r="T665" i="14" s="1"/>
  <c r="R680" i="14"/>
  <c r="T680" i="14" s="1"/>
  <c r="R689" i="14"/>
  <c r="T689" i="14" s="1"/>
  <c r="R723" i="14"/>
  <c r="T723" i="14" s="1"/>
  <c r="R727" i="14"/>
  <c r="T727" i="14" s="1"/>
  <c r="R730" i="14"/>
  <c r="T730" i="14" s="1"/>
  <c r="R739" i="14"/>
  <c r="T739" i="14" s="1"/>
  <c r="R761" i="14"/>
  <c r="T761" i="14" s="1"/>
  <c r="R783" i="14"/>
  <c r="T783" i="14" s="1"/>
  <c r="R786" i="14"/>
  <c r="T786" i="14" s="1"/>
  <c r="R792" i="14"/>
  <c r="T792" i="14" s="1"/>
  <c r="R801" i="14"/>
  <c r="T801" i="14" s="1"/>
  <c r="R816" i="14"/>
  <c r="T816" i="14" s="1"/>
  <c r="R822" i="14"/>
  <c r="T822" i="14" s="1"/>
  <c r="R848" i="14"/>
  <c r="T848" i="14" s="1"/>
  <c r="R854" i="14"/>
  <c r="T854" i="14" s="1"/>
  <c r="R880" i="14"/>
  <c r="T880" i="14" s="1"/>
  <c r="R886" i="14"/>
  <c r="T886" i="14" s="1"/>
  <c r="R912" i="14"/>
  <c r="T912" i="14" s="1"/>
  <c r="R918" i="14"/>
  <c r="T918" i="14" s="1"/>
  <c r="R944" i="14"/>
  <c r="T944" i="14" s="1"/>
  <c r="R950" i="14"/>
  <c r="T950" i="14" s="1"/>
  <c r="R976" i="14"/>
  <c r="T976" i="14" s="1"/>
  <c r="R982" i="14"/>
  <c r="T982" i="14" s="1"/>
  <c r="R254" i="14"/>
  <c r="T254" i="14" s="1"/>
  <c r="R284" i="14"/>
  <c r="T284" i="14" s="1"/>
  <c r="R287" i="14"/>
  <c r="T287" i="14" s="1"/>
  <c r="R290" i="14"/>
  <c r="T290" i="14" s="1"/>
  <c r="R296" i="14"/>
  <c r="T296" i="14" s="1"/>
  <c r="R299" i="14"/>
  <c r="T299" i="14" s="1"/>
  <c r="R302" i="14"/>
  <c r="T302" i="14" s="1"/>
  <c r="R311" i="14"/>
  <c r="T311" i="14" s="1"/>
  <c r="R314" i="14"/>
  <c r="T314" i="14" s="1"/>
  <c r="R335" i="14"/>
  <c r="T335" i="14" s="1"/>
  <c r="R338" i="14"/>
  <c r="T338" i="14" s="1"/>
  <c r="R385" i="14"/>
  <c r="T385" i="14" s="1"/>
  <c r="R404" i="14"/>
  <c r="T404" i="14" s="1"/>
  <c r="R407" i="14"/>
  <c r="T407" i="14" s="1"/>
  <c r="R420" i="14"/>
  <c r="T420" i="14" s="1"/>
  <c r="R423" i="14"/>
  <c r="T423" i="14" s="1"/>
  <c r="R440" i="14"/>
  <c r="T440" i="14" s="1"/>
  <c r="R449" i="14"/>
  <c r="T449" i="14" s="1"/>
  <c r="R460" i="14"/>
  <c r="T460" i="14" s="1"/>
  <c r="R463" i="14"/>
  <c r="T463" i="14" s="1"/>
  <c r="R466" i="14"/>
  <c r="T466" i="14" s="1"/>
  <c r="R475" i="14"/>
  <c r="T475" i="14" s="1"/>
  <c r="R504" i="14"/>
  <c r="T504" i="14" s="1"/>
  <c r="R513" i="14"/>
  <c r="T513" i="14" s="1"/>
  <c r="R516" i="14"/>
  <c r="T516" i="14" s="1"/>
  <c r="R519" i="14"/>
  <c r="T519" i="14" s="1"/>
  <c r="R528" i="14"/>
  <c r="T528" i="14" s="1"/>
  <c r="R552" i="14"/>
  <c r="T552" i="14" s="1"/>
  <c r="R579" i="14"/>
  <c r="T579" i="14" s="1"/>
  <c r="R605" i="14"/>
  <c r="T605" i="14" s="1"/>
  <c r="R608" i="14"/>
  <c r="T608" i="14" s="1"/>
  <c r="R617" i="14"/>
  <c r="T617" i="14" s="1"/>
  <c r="R620" i="14"/>
  <c r="T620" i="14" s="1"/>
  <c r="R623" i="14"/>
  <c r="T623" i="14" s="1"/>
  <c r="R635" i="14"/>
  <c r="T635" i="14" s="1"/>
  <c r="R670" i="14"/>
  <c r="T670" i="14" s="1"/>
  <c r="R679" i="14"/>
  <c r="T679" i="14" s="1"/>
  <c r="R691" i="14"/>
  <c r="T691" i="14" s="1"/>
  <c r="R695" i="14"/>
  <c r="T695" i="14" s="1"/>
  <c r="R698" i="14"/>
  <c r="T698" i="14" s="1"/>
  <c r="R704" i="14"/>
  <c r="T704" i="14" s="1"/>
  <c r="R729" i="14"/>
  <c r="T729" i="14" s="1"/>
  <c r="R751" i="14"/>
  <c r="T751" i="14" s="1"/>
  <c r="R754" i="14"/>
  <c r="T754" i="14" s="1"/>
  <c r="R763" i="14"/>
  <c r="T763" i="14" s="1"/>
  <c r="R776" i="14"/>
  <c r="T776" i="14" s="1"/>
  <c r="R785" i="14"/>
  <c r="T785" i="14" s="1"/>
  <c r="R803" i="14"/>
  <c r="T803" i="14" s="1"/>
  <c r="R824" i="14"/>
  <c r="T824" i="14" s="1"/>
  <c r="R830" i="14"/>
  <c r="T830" i="14" s="1"/>
  <c r="R856" i="14"/>
  <c r="T856" i="14" s="1"/>
  <c r="R862" i="14"/>
  <c r="T862" i="14" s="1"/>
  <c r="R888" i="14"/>
  <c r="T888" i="14" s="1"/>
  <c r="R894" i="14"/>
  <c r="T894" i="14" s="1"/>
  <c r="R920" i="14"/>
  <c r="T920" i="14" s="1"/>
  <c r="R926" i="14"/>
  <c r="T926" i="14" s="1"/>
  <c r="R952" i="14"/>
  <c r="T952" i="14" s="1"/>
  <c r="R958" i="14"/>
  <c r="T958" i="14" s="1"/>
  <c r="R984" i="14"/>
  <c r="T984" i="14" s="1"/>
  <c r="R990" i="14"/>
  <c r="T990" i="14" s="1"/>
  <c r="R10" i="14"/>
  <c r="T10" i="14" s="1"/>
  <c r="R57" i="14"/>
  <c r="T57" i="14" s="1"/>
  <c r="R40" i="14"/>
  <c r="T40" i="14" s="1"/>
  <c r="R47" i="14"/>
  <c r="T47" i="14" s="1"/>
  <c r="R19" i="14"/>
  <c r="T19" i="14" s="1"/>
  <c r="R56" i="14"/>
  <c r="T56" i="14" s="1"/>
  <c r="R24" i="14"/>
  <c r="T24" i="14" s="1"/>
  <c r="R31" i="14"/>
  <c r="T31" i="14" s="1"/>
  <c r="R38" i="14"/>
  <c r="T38" i="14" s="1"/>
  <c r="R41" i="14"/>
  <c r="T41" i="14" s="1"/>
  <c r="R14" i="14"/>
  <c r="T14" i="14" s="1"/>
  <c r="R30" i="14"/>
  <c r="T30" i="14" s="1"/>
  <c r="R42" i="14"/>
  <c r="T42" i="14" s="1"/>
  <c r="R18" i="14"/>
  <c r="T18" i="14" s="1"/>
  <c r="R37" i="14"/>
  <c r="T37" i="14" s="1"/>
  <c r="R46" i="14"/>
  <c r="T46" i="14" s="1"/>
  <c r="R15" i="14"/>
  <c r="T15" i="14" s="1"/>
  <c r="R25" i="14"/>
  <c r="T25" i="14" s="1"/>
  <c r="R27" i="14"/>
  <c r="T27" i="14" s="1"/>
  <c r="R48" i="14"/>
  <c r="T48" i="14" s="1"/>
  <c r="R53" i="14"/>
  <c r="T53" i="14" s="1"/>
  <c r="R12" i="14"/>
  <c r="T12" i="14" s="1"/>
  <c r="R33" i="14"/>
  <c r="T33" i="14" s="1"/>
  <c r="R43" i="14"/>
  <c r="T43" i="14" s="1"/>
  <c r="R35" i="14"/>
  <c r="T35" i="14" s="1"/>
  <c r="R45" i="14"/>
  <c r="T45" i="14" s="1"/>
  <c r="R55" i="14"/>
  <c r="T55" i="14" s="1"/>
  <c r="R52" i="14"/>
  <c r="T52" i="14" s="1"/>
  <c r="R9" i="14"/>
  <c r="T9" i="14" s="1"/>
  <c r="R11" i="14"/>
  <c r="T11" i="14" s="1"/>
  <c r="R21" i="14"/>
  <c r="T21" i="14" s="1"/>
  <c r="R39" i="14"/>
  <c r="T39" i="14" s="1"/>
  <c r="R44" i="14"/>
  <c r="T44" i="14" s="1"/>
  <c r="R23" i="14"/>
  <c r="T23" i="14" s="1"/>
  <c r="R28" i="14"/>
  <c r="T28" i="14" s="1"/>
  <c r="R51" i="14"/>
  <c r="T51" i="14" s="1"/>
  <c r="R128" i="14"/>
  <c r="T128" i="14" s="1"/>
  <c r="R144" i="14"/>
  <c r="T144" i="14" s="1"/>
  <c r="R160" i="14"/>
  <c r="T160" i="14" s="1"/>
  <c r="R176" i="14"/>
  <c r="T176" i="14" s="1"/>
  <c r="R192" i="14"/>
  <c r="T192" i="14" s="1"/>
  <c r="R208" i="14"/>
  <c r="T208" i="14" s="1"/>
  <c r="R224" i="14"/>
  <c r="T224" i="14" s="1"/>
  <c r="R240" i="14"/>
  <c r="T240" i="14" s="1"/>
  <c r="R256" i="14"/>
  <c r="T256" i="14" s="1"/>
  <c r="R308" i="14"/>
  <c r="T308" i="14" s="1"/>
  <c r="R372" i="14"/>
  <c r="T372" i="14" s="1"/>
  <c r="R268" i="14"/>
  <c r="T268" i="14" s="1"/>
  <c r="R332" i="14"/>
  <c r="T332" i="14" s="1"/>
  <c r="R292" i="14"/>
  <c r="T292" i="14" s="1"/>
  <c r="R356" i="14"/>
  <c r="T356" i="14" s="1"/>
  <c r="R316" i="14"/>
  <c r="T316" i="14" s="1"/>
  <c r="R380" i="14"/>
  <c r="T380" i="14" s="1"/>
  <c r="R136" i="14"/>
  <c r="T136" i="14" s="1"/>
  <c r="R152" i="14"/>
  <c r="T152" i="14" s="1"/>
  <c r="R168" i="14"/>
  <c r="T168" i="14" s="1"/>
  <c r="R184" i="14"/>
  <c r="T184" i="14" s="1"/>
  <c r="R200" i="14"/>
  <c r="T200" i="14" s="1"/>
  <c r="R232" i="14"/>
  <c r="T232" i="14" s="1"/>
  <c r="R248" i="14"/>
  <c r="T248" i="14" s="1"/>
  <c r="R276" i="14"/>
  <c r="T276" i="14" s="1"/>
  <c r="R340" i="14"/>
  <c r="T340" i="14" s="1"/>
  <c r="R300" i="14"/>
  <c r="T300" i="14" s="1"/>
  <c r="R364" i="14"/>
  <c r="T364" i="14" s="1"/>
  <c r="R260" i="14"/>
  <c r="T260" i="14" s="1"/>
  <c r="R324" i="14"/>
  <c r="T324" i="14" s="1"/>
  <c r="R469" i="14"/>
  <c r="T469" i="14" s="1"/>
  <c r="R533" i="14"/>
  <c r="T533" i="14" s="1"/>
  <c r="R597" i="14"/>
  <c r="T597" i="14" s="1"/>
  <c r="R661" i="14"/>
  <c r="T661" i="14" s="1"/>
  <c r="R493" i="14"/>
  <c r="T493" i="14" s="1"/>
  <c r="R557" i="14"/>
  <c r="T557" i="14" s="1"/>
  <c r="R621" i="14"/>
  <c r="T621" i="14" s="1"/>
  <c r="R517" i="14"/>
  <c r="T517" i="14" s="1"/>
  <c r="R581" i="14"/>
  <c r="T581" i="14" s="1"/>
  <c r="R645" i="14"/>
  <c r="T645" i="14" s="1"/>
  <c r="R433" i="14"/>
  <c r="T433" i="14" s="1"/>
  <c r="R501" i="14"/>
  <c r="T501" i="14" s="1"/>
  <c r="R565" i="14"/>
  <c r="T565" i="14" s="1"/>
  <c r="R629" i="14"/>
  <c r="T629" i="14" s="1"/>
  <c r="R401" i="14"/>
  <c r="T401" i="14" s="1"/>
  <c r="R525" i="14"/>
  <c r="T525" i="14" s="1"/>
  <c r="R589" i="14"/>
  <c r="T589" i="14" s="1"/>
  <c r="R653" i="14"/>
  <c r="T653" i="14" s="1"/>
  <c r="R485" i="14"/>
  <c r="T485" i="14" s="1"/>
  <c r="R549" i="14"/>
  <c r="T549" i="14" s="1"/>
  <c r="R613" i="14"/>
  <c r="T613" i="14" s="1"/>
  <c r="R716" i="14"/>
  <c r="T716" i="14" s="1"/>
  <c r="R780" i="14"/>
  <c r="T780" i="14" s="1"/>
  <c r="R812" i="14"/>
  <c r="T812" i="14" s="1"/>
  <c r="R844" i="14"/>
  <c r="T844" i="14" s="1"/>
  <c r="R876" i="14"/>
  <c r="T876" i="14" s="1"/>
  <c r="R908" i="14"/>
  <c r="T908" i="14" s="1"/>
  <c r="R940" i="14"/>
  <c r="T940" i="14" s="1"/>
  <c r="R972" i="14"/>
  <c r="T972" i="14" s="1"/>
  <c r="R664" i="14"/>
  <c r="T664" i="14" s="1"/>
  <c r="R732" i="14"/>
  <c r="T732" i="14" s="1"/>
  <c r="R820" i="14"/>
  <c r="T820" i="14" s="1"/>
  <c r="R852" i="14"/>
  <c r="T852" i="14" s="1"/>
  <c r="R884" i="14"/>
  <c r="T884" i="14" s="1"/>
  <c r="R916" i="14"/>
  <c r="T916" i="14" s="1"/>
  <c r="R948" i="14"/>
  <c r="T948" i="14" s="1"/>
  <c r="R980" i="14"/>
  <c r="T980" i="14" s="1"/>
  <c r="R668" i="14"/>
  <c r="T668" i="14" s="1"/>
  <c r="R684" i="14"/>
  <c r="T684" i="14" s="1"/>
  <c r="R748" i="14"/>
  <c r="T748" i="14" s="1"/>
  <c r="R828" i="14"/>
  <c r="T828" i="14" s="1"/>
  <c r="R860" i="14"/>
  <c r="T860" i="14" s="1"/>
  <c r="R892" i="14"/>
  <c r="T892" i="14" s="1"/>
  <c r="R924" i="14"/>
  <c r="T924" i="14" s="1"/>
  <c r="R956" i="14"/>
  <c r="T956" i="14" s="1"/>
  <c r="R988" i="14"/>
  <c r="T988" i="14" s="1"/>
  <c r="R672" i="14"/>
  <c r="T672" i="14" s="1"/>
  <c r="R676" i="14"/>
  <c r="T676" i="14" s="1"/>
  <c r="R700" i="14"/>
  <c r="T700" i="14" s="1"/>
  <c r="R764" i="14"/>
  <c r="T764" i="14" s="1"/>
  <c r="R836" i="14"/>
  <c r="T836" i="14" s="1"/>
  <c r="R868" i="14"/>
  <c r="T868" i="14" s="1"/>
  <c r="R900" i="14"/>
  <c r="T900" i="14" s="1"/>
  <c r="R932" i="14"/>
  <c r="T932" i="14" s="1"/>
  <c r="R964" i="14"/>
  <c r="T964" i="14" s="1"/>
  <c r="R996" i="14"/>
  <c r="T996" i="14" s="1"/>
  <c r="L11" i="11"/>
  <c r="N11" i="11" s="1"/>
  <c r="L13" i="11"/>
  <c r="N13" i="11" s="1"/>
  <c r="L12" i="11"/>
  <c r="N12" i="11" s="1"/>
  <c r="L35" i="11"/>
  <c r="N35" i="11" s="1"/>
  <c r="L49" i="11"/>
  <c r="N49" i="11" s="1"/>
  <c r="L51" i="11"/>
  <c r="N51" i="11" s="1"/>
  <c r="L39" i="11"/>
  <c r="N39" i="11" s="1"/>
  <c r="L55" i="11"/>
  <c r="N55" i="11" s="1"/>
  <c r="L41" i="11"/>
  <c r="N41" i="11" s="1"/>
  <c r="L43" i="11"/>
  <c r="N43" i="11" s="1"/>
  <c r="L57" i="11"/>
  <c r="N57" i="11" s="1"/>
  <c r="L10" i="11"/>
  <c r="N10" i="11" s="1"/>
  <c r="L38" i="11"/>
  <c r="N38" i="11" s="1"/>
  <c r="L47" i="11"/>
  <c r="N47" i="11" s="1"/>
  <c r="L718" i="3"/>
  <c r="N718" i="3" s="1"/>
  <c r="L996" i="3"/>
  <c r="N996" i="3" s="1"/>
  <c r="L988" i="3"/>
  <c r="N988" i="3" s="1"/>
  <c r="L980" i="3"/>
  <c r="N980" i="3" s="1"/>
  <c r="L972" i="3"/>
  <c r="N972" i="3" s="1"/>
  <c r="L964" i="3"/>
  <c r="N964" i="3" s="1"/>
  <c r="L956" i="3"/>
  <c r="N956" i="3" s="1"/>
  <c r="L948" i="3"/>
  <c r="N948" i="3" s="1"/>
  <c r="L940" i="3"/>
  <c r="N940" i="3" s="1"/>
  <c r="L924" i="3"/>
  <c r="N924" i="3" s="1"/>
  <c r="L916" i="3"/>
  <c r="N916" i="3" s="1"/>
  <c r="L908" i="3"/>
  <c r="N908" i="3" s="1"/>
  <c r="L900" i="3"/>
  <c r="N900" i="3" s="1"/>
  <c r="L892" i="3"/>
  <c r="N892" i="3" s="1"/>
  <c r="L884" i="3"/>
  <c r="N884" i="3" s="1"/>
  <c r="L876" i="3"/>
  <c r="N876" i="3" s="1"/>
  <c r="L860" i="3"/>
  <c r="N860" i="3" s="1"/>
  <c r="L852" i="3"/>
  <c r="N852" i="3" s="1"/>
  <c r="L844" i="3"/>
  <c r="N844" i="3" s="1"/>
  <c r="L836" i="3"/>
  <c r="N836" i="3" s="1"/>
  <c r="L828" i="3"/>
  <c r="N828" i="3" s="1"/>
  <c r="L820" i="3"/>
  <c r="N820" i="3" s="1"/>
  <c r="L812" i="3"/>
  <c r="N812" i="3" s="1"/>
  <c r="L796" i="3"/>
  <c r="N796" i="3" s="1"/>
  <c r="L788" i="3"/>
  <c r="N788" i="3" s="1"/>
  <c r="L780" i="3"/>
  <c r="N780" i="3" s="1"/>
  <c r="L772" i="3"/>
  <c r="N772" i="3" s="1"/>
  <c r="L764" i="3"/>
  <c r="N764" i="3" s="1"/>
  <c r="L756" i="3"/>
  <c r="N756" i="3" s="1"/>
  <c r="L748" i="3"/>
  <c r="N748" i="3" s="1"/>
  <c r="L732" i="3"/>
  <c r="N732" i="3" s="1"/>
  <c r="L724" i="3"/>
  <c r="N724" i="3" s="1"/>
  <c r="L716" i="3"/>
  <c r="N716" i="3" s="1"/>
  <c r="L708" i="3"/>
  <c r="N708" i="3" s="1"/>
  <c r="L700" i="3"/>
  <c r="N700" i="3" s="1"/>
  <c r="L692" i="3"/>
  <c r="N692" i="3" s="1"/>
  <c r="L684" i="3"/>
  <c r="N684" i="3" s="1"/>
  <c r="L676" i="3"/>
  <c r="N676" i="3" s="1"/>
  <c r="L668" i="3"/>
  <c r="N668" i="3" s="1"/>
  <c r="L660" i="3"/>
  <c r="N660" i="3" s="1"/>
  <c r="L652" i="3"/>
  <c r="N652" i="3" s="1"/>
  <c r="L644" i="3"/>
  <c r="N644" i="3" s="1"/>
  <c r="L636" i="3"/>
  <c r="N636" i="3" s="1"/>
  <c r="L628" i="3"/>
  <c r="N628" i="3" s="1"/>
  <c r="L620" i="3"/>
  <c r="N620" i="3" s="1"/>
  <c r="L612" i="3"/>
  <c r="N612" i="3" s="1"/>
  <c r="L604" i="3"/>
  <c r="N604" i="3" s="1"/>
  <c r="L596" i="3"/>
  <c r="N596" i="3" s="1"/>
  <c r="L588" i="3"/>
  <c r="N588" i="3" s="1"/>
  <c r="L580" i="3"/>
  <c r="N580" i="3" s="1"/>
  <c r="L572" i="3"/>
  <c r="N572" i="3" s="1"/>
  <c r="L564" i="3"/>
  <c r="N564" i="3" s="1"/>
  <c r="L556" i="3"/>
  <c r="N556" i="3" s="1"/>
  <c r="L548" i="3"/>
  <c r="N548" i="3" s="1"/>
  <c r="L540" i="3"/>
  <c r="N540" i="3" s="1"/>
  <c r="L532" i="3"/>
  <c r="N532" i="3" s="1"/>
  <c r="L524" i="3"/>
  <c r="N524" i="3" s="1"/>
  <c r="L516" i="3"/>
  <c r="N516" i="3" s="1"/>
  <c r="L508" i="3"/>
  <c r="N508" i="3" s="1"/>
  <c r="L500" i="3"/>
  <c r="N500" i="3" s="1"/>
  <c r="L492" i="3"/>
  <c r="N492" i="3" s="1"/>
  <c r="L484" i="3"/>
  <c r="N484" i="3" s="1"/>
  <c r="L476" i="3"/>
  <c r="N476" i="3" s="1"/>
  <c r="L468" i="3"/>
  <c r="N468" i="3" s="1"/>
  <c r="L460" i="3"/>
  <c r="N460" i="3" s="1"/>
  <c r="L452" i="3"/>
  <c r="N452" i="3" s="1"/>
  <c r="L444" i="3"/>
  <c r="N444" i="3" s="1"/>
  <c r="L436" i="3"/>
  <c r="N436" i="3" s="1"/>
  <c r="L428" i="3"/>
  <c r="N428" i="3" s="1"/>
  <c r="L420" i="3"/>
  <c r="N420" i="3" s="1"/>
  <c r="L412" i="3"/>
  <c r="N412" i="3" s="1"/>
  <c r="L404" i="3"/>
  <c r="N404" i="3" s="1"/>
  <c r="L396" i="3"/>
  <c r="N396" i="3" s="1"/>
  <c r="L388" i="3"/>
  <c r="N388" i="3" s="1"/>
  <c r="L380" i="3"/>
  <c r="N380" i="3" s="1"/>
  <c r="L372" i="3"/>
  <c r="N372" i="3" s="1"/>
  <c r="L364" i="3"/>
  <c r="N364" i="3" s="1"/>
  <c r="L356" i="3"/>
  <c r="N356" i="3" s="1"/>
  <c r="L348" i="3"/>
  <c r="N348" i="3" s="1"/>
  <c r="L340" i="3"/>
  <c r="N340" i="3" s="1"/>
  <c r="L332" i="3"/>
  <c r="N332" i="3" s="1"/>
  <c r="L324" i="3"/>
  <c r="N324" i="3" s="1"/>
  <c r="L316" i="3"/>
  <c r="N316" i="3" s="1"/>
  <c r="L308" i="3"/>
  <c r="N308" i="3" s="1"/>
  <c r="L300" i="3"/>
  <c r="N300" i="3" s="1"/>
  <c r="L292" i="3"/>
  <c r="N292" i="3" s="1"/>
  <c r="L284" i="3"/>
  <c r="N284" i="3" s="1"/>
  <c r="L276" i="3"/>
  <c r="N276" i="3" s="1"/>
  <c r="L268" i="3"/>
  <c r="N268" i="3" s="1"/>
  <c r="L260" i="3"/>
  <c r="N260" i="3" s="1"/>
  <c r="L252" i="3"/>
  <c r="N252" i="3" s="1"/>
  <c r="L244" i="3"/>
  <c r="N244" i="3" s="1"/>
  <c r="L236" i="3"/>
  <c r="N236" i="3" s="1"/>
  <c r="L228" i="3"/>
  <c r="N228" i="3" s="1"/>
  <c r="L220" i="3"/>
  <c r="N220" i="3" s="1"/>
  <c r="L212" i="3"/>
  <c r="N212" i="3" s="1"/>
  <c r="L204" i="3"/>
  <c r="N204" i="3" s="1"/>
  <c r="L196" i="3"/>
  <c r="N196" i="3" s="1"/>
  <c r="L188" i="3"/>
  <c r="N188" i="3" s="1"/>
  <c r="L180" i="3"/>
  <c r="N180" i="3" s="1"/>
  <c r="L172" i="3"/>
  <c r="N172" i="3" s="1"/>
  <c r="L164" i="3"/>
  <c r="N164" i="3" s="1"/>
  <c r="L156" i="3"/>
  <c r="N156" i="3" s="1"/>
  <c r="L148" i="3"/>
  <c r="N148" i="3" s="1"/>
  <c r="L140" i="3"/>
  <c r="N140" i="3" s="1"/>
  <c r="L132" i="3"/>
  <c r="N132" i="3" s="1"/>
  <c r="L124" i="3"/>
  <c r="N124" i="3" s="1"/>
  <c r="L116" i="3"/>
  <c r="N116" i="3" s="1"/>
  <c r="L108" i="3"/>
  <c r="N108" i="3" s="1"/>
  <c r="L100" i="3"/>
  <c r="N100" i="3" s="1"/>
  <c r="L92" i="3"/>
  <c r="N92" i="3" s="1"/>
  <c r="L84" i="3"/>
  <c r="N84" i="3" s="1"/>
  <c r="L76" i="3"/>
  <c r="N76" i="3" s="1"/>
  <c r="L68" i="3"/>
  <c r="N68" i="3" s="1"/>
  <c r="L60" i="3"/>
  <c r="N60" i="3" s="1"/>
  <c r="L54" i="3"/>
  <c r="N54" i="3" s="1"/>
  <c r="L57" i="3"/>
  <c r="N57" i="3" s="1"/>
  <c r="L49" i="3"/>
  <c r="N49" i="3" s="1"/>
  <c r="L41" i="3"/>
  <c r="N41" i="3" s="1"/>
  <c r="L46" i="11"/>
  <c r="N46" i="11" s="1"/>
  <c r="L54" i="11"/>
  <c r="N54" i="11" s="1"/>
  <c r="L34" i="11"/>
  <c r="N34" i="11" s="1"/>
  <c r="L37" i="11"/>
  <c r="N37" i="11" s="1"/>
  <c r="L42" i="11"/>
  <c r="N42" i="11" s="1"/>
  <c r="L45" i="11"/>
  <c r="N45" i="11" s="1"/>
  <c r="L50" i="11"/>
  <c r="N50" i="11" s="1"/>
  <c r="L53" i="11"/>
  <c r="N53" i="11" s="1"/>
  <c r="L58" i="11"/>
  <c r="N58" i="11" s="1"/>
  <c r="L55" i="3"/>
  <c r="N55" i="3" s="1"/>
  <c r="L47" i="3"/>
  <c r="N47" i="3" s="1"/>
  <c r="L39" i="3"/>
  <c r="N39" i="3" s="1"/>
  <c r="L31" i="3"/>
  <c r="N31" i="3" s="1"/>
  <c r="L23" i="3"/>
  <c r="N23" i="3" s="1"/>
  <c r="L15" i="3"/>
  <c r="N15" i="3" s="1"/>
  <c r="L33" i="3"/>
  <c r="N33" i="3" s="1"/>
  <c r="L25" i="3"/>
  <c r="N25" i="3" s="1"/>
  <c r="L17" i="3"/>
  <c r="N17" i="3" s="1"/>
  <c r="L46" i="3"/>
  <c r="N46" i="3" s="1"/>
  <c r="L38" i="3"/>
  <c r="N38" i="3" s="1"/>
  <c r="L30" i="3"/>
  <c r="N30" i="3" s="1"/>
  <c r="L22" i="3"/>
  <c r="N22" i="3" s="1"/>
  <c r="L14" i="3"/>
  <c r="N14" i="3" s="1"/>
  <c r="L9" i="3"/>
  <c r="N9" i="3" s="1"/>
  <c r="L56" i="3"/>
  <c r="N56" i="3" s="1"/>
  <c r="L48" i="3"/>
  <c r="N48" i="3" s="1"/>
  <c r="L40" i="3"/>
  <c r="N40" i="3" s="1"/>
  <c r="L32" i="3"/>
  <c r="N32" i="3" s="1"/>
  <c r="L24" i="3"/>
  <c r="N24" i="3" s="1"/>
  <c r="L16" i="3"/>
  <c r="N16" i="3" s="1"/>
  <c r="L52" i="3"/>
  <c r="N52" i="3" s="1"/>
  <c r="L44" i="3"/>
  <c r="N44" i="3" s="1"/>
  <c r="L36" i="3"/>
  <c r="N36" i="3" s="1"/>
  <c r="L28" i="3"/>
  <c r="N28" i="3" s="1"/>
  <c r="L20" i="3"/>
  <c r="N20" i="3" s="1"/>
  <c r="L12" i="3"/>
  <c r="N12" i="3" s="1"/>
  <c r="L58" i="3"/>
  <c r="N58" i="3" s="1"/>
  <c r="L50" i="3"/>
  <c r="N50" i="3" s="1"/>
  <c r="L42" i="3"/>
  <c r="N42" i="3" s="1"/>
  <c r="L34" i="3"/>
  <c r="N34" i="3" s="1"/>
  <c r="L26" i="3"/>
  <c r="N26" i="3" s="1"/>
  <c r="L18" i="3"/>
  <c r="N18" i="3" s="1"/>
  <c r="L10" i="3"/>
  <c r="N10" i="3" s="1"/>
  <c r="D122" i="22" l="1"/>
  <c r="G122" i="22" s="1"/>
  <c r="H122" i="22" s="1"/>
  <c r="L14" i="11"/>
  <c r="N14" i="11" s="1"/>
  <c r="L15" i="11" l="1"/>
  <c r="N15" i="11" s="1"/>
  <c r="L16" i="11" l="1"/>
  <c r="N16" i="11" s="1"/>
  <c r="L17" i="11" l="1"/>
  <c r="N17" i="11" s="1"/>
  <c r="L18" i="11" l="1"/>
  <c r="N18" i="11" s="1"/>
  <c r="L19" i="11" l="1"/>
  <c r="N19" i="11" s="1"/>
  <c r="L20" i="11" l="1"/>
  <c r="N20" i="11" s="1"/>
  <c r="L21" i="11" l="1"/>
  <c r="N21" i="11" s="1"/>
  <c r="L22" i="11" l="1"/>
  <c r="N22" i="11" s="1"/>
  <c r="L23" i="11" l="1"/>
  <c r="N23" i="11" s="1"/>
  <c r="L24" i="11" l="1"/>
  <c r="N24" i="11" s="1"/>
  <c r="L25" i="11" l="1"/>
  <c r="N25" i="11" s="1"/>
  <c r="L26" i="11" l="1"/>
  <c r="N26" i="11" s="1"/>
  <c r="L27" i="11" l="1"/>
  <c r="N27" i="11" s="1"/>
  <c r="L28" i="11" l="1"/>
  <c r="N28" i="11" s="1"/>
  <c r="L29" i="11" l="1"/>
  <c r="N29" i="11" s="1"/>
  <c r="L30" i="11" l="1"/>
  <c r="N30" i="11" s="1"/>
  <c r="L31" i="11" l="1"/>
  <c r="N31" i="11" s="1"/>
  <c r="L32" i="11" l="1"/>
  <c r="N32" i="11" s="1"/>
  <c r="L33" i="11" l="1"/>
  <c r="N33" i="11" s="1"/>
  <c r="G106" i="28" l="1"/>
  <c r="G112" i="28" s="1"/>
  <c r="O106" i="28"/>
  <c r="O112" i="28" s="1"/>
  <c r="Q106" i="28"/>
  <c r="Q112" i="28" s="1"/>
  <c r="I106" i="28"/>
  <c r="I112" i="28" s="1"/>
  <c r="J106" i="28"/>
  <c r="J112" i="28" s="1"/>
  <c r="N106" i="28"/>
  <c r="N112" i="28" s="1"/>
  <c r="M106" i="28"/>
  <c r="M112" i="28" s="1"/>
  <c r="H106" i="28"/>
  <c r="H112" i="28" s="1"/>
  <c r="R106" i="28"/>
  <c r="R112" i="28" s="1"/>
  <c r="L106" i="28"/>
  <c r="L112" i="28" s="1"/>
  <c r="P106" i="28"/>
  <c r="P112" i="28" s="1"/>
  <c r="K106" i="28"/>
  <c r="K112" i="28" s="1"/>
  <c r="E9" i="8"/>
  <c r="E8" i="8"/>
  <c r="C79" i="2" l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65" i="2" s="1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77" i="2" s="1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201" i="2" s="1"/>
  <c r="C202" i="2" s="1"/>
  <c r="C203" i="2" s="1"/>
  <c r="C204" i="2" s="1"/>
  <c r="C205" i="2" s="1"/>
  <c r="C206" i="2" s="1"/>
  <c r="C207" i="2" s="1"/>
  <c r="C208" i="2" s="1"/>
  <c r="C209" i="2" s="1"/>
  <c r="C210" i="2" s="1"/>
  <c r="C211" i="2" s="1"/>
  <c r="C212" i="2" s="1"/>
  <c r="C213" i="2" s="1"/>
  <c r="C214" i="2" s="1"/>
  <c r="C215" i="2" s="1"/>
  <c r="C216" i="2" s="1"/>
  <c r="C217" i="2" s="1"/>
  <c r="C218" i="2" s="1"/>
  <c r="C219" i="2" s="1"/>
  <c r="C220" i="2" s="1"/>
  <c r="C221" i="2" s="1"/>
  <c r="C222" i="2" s="1"/>
  <c r="C223" i="2" s="1"/>
  <c r="C224" i="2" s="1"/>
  <c r="C225" i="2" s="1"/>
  <c r="C226" i="2" s="1"/>
  <c r="C227" i="2" s="1"/>
  <c r="C228" i="2" s="1"/>
  <c r="C229" i="2" s="1"/>
  <c r="C230" i="2" s="1"/>
  <c r="C231" i="2" s="1"/>
  <c r="C232" i="2" s="1"/>
  <c r="C233" i="2" s="1"/>
  <c r="C234" i="2" s="1"/>
  <c r="C235" i="2" s="1"/>
  <c r="C236" i="2" s="1"/>
  <c r="C237" i="2" s="1"/>
  <c r="C238" i="2" s="1"/>
  <c r="C239" i="2" s="1"/>
  <c r="C240" i="2" s="1"/>
  <c r="C241" i="2" s="1"/>
  <c r="C242" i="2" s="1"/>
  <c r="C243" i="2" s="1"/>
  <c r="C244" i="2" s="1"/>
  <c r="C245" i="2" s="1"/>
  <c r="C246" i="2" s="1"/>
  <c r="C247" i="2" s="1"/>
  <c r="C248" i="2" s="1"/>
  <c r="C249" i="2" s="1"/>
  <c r="C250" i="2" s="1"/>
  <c r="C251" i="2" s="1"/>
  <c r="C252" i="2" s="1"/>
  <c r="C253" i="2" s="1"/>
  <c r="C254" i="2" s="1"/>
  <c r="C255" i="2" s="1"/>
  <c r="C256" i="2" s="1"/>
  <c r="C257" i="2" s="1"/>
  <c r="C258" i="2" s="1"/>
  <c r="C259" i="2" s="1"/>
  <c r="C260" i="2" s="1"/>
  <c r="C261" i="2" s="1"/>
  <c r="C262" i="2" s="1"/>
  <c r="C263" i="2" s="1"/>
  <c r="C264" i="2" s="1"/>
  <c r="C265" i="2" s="1"/>
  <c r="C266" i="2" s="1"/>
  <c r="C267" i="2" s="1"/>
  <c r="C268" i="2" s="1"/>
  <c r="C269" i="2" s="1"/>
  <c r="C270" i="2" s="1"/>
  <c r="C271" i="2" s="1"/>
  <c r="C272" i="2" s="1"/>
  <c r="C273" i="2" s="1"/>
  <c r="C274" i="2" s="1"/>
  <c r="C275" i="2" s="1"/>
  <c r="C276" i="2" s="1"/>
  <c r="C277" i="2" s="1"/>
  <c r="C278" i="2" s="1"/>
  <c r="C279" i="2" s="1"/>
  <c r="C280" i="2" s="1"/>
  <c r="C281" i="2" s="1"/>
  <c r="C282" i="2" s="1"/>
  <c r="C283" i="2" s="1"/>
  <c r="C284" i="2" s="1"/>
  <c r="C285" i="2" s="1"/>
  <c r="C286" i="2" s="1"/>
  <c r="C287" i="2" s="1"/>
  <c r="C288" i="2" s="1"/>
  <c r="C289" i="2" s="1"/>
  <c r="C290" i="2" s="1"/>
  <c r="C291" i="2" s="1"/>
  <c r="C292" i="2" s="1"/>
  <c r="C293" i="2" s="1"/>
  <c r="C294" i="2" s="1"/>
  <c r="C295" i="2" s="1"/>
  <c r="C296" i="2" s="1"/>
  <c r="C297" i="2" s="1"/>
  <c r="C298" i="2" s="1"/>
  <c r="C299" i="2" s="1"/>
  <c r="C300" i="2" s="1"/>
  <c r="C301" i="2" s="1"/>
  <c r="C302" i="2" s="1"/>
  <c r="C303" i="2" s="1"/>
  <c r="C304" i="2" s="1"/>
  <c r="C305" i="2" s="1"/>
  <c r="C306" i="2" s="1"/>
  <c r="C307" i="2" s="1"/>
  <c r="C308" i="2" s="1"/>
  <c r="C309" i="2" s="1"/>
  <c r="C310" i="2" s="1"/>
  <c r="C311" i="2" s="1"/>
  <c r="C312" i="2" s="1"/>
  <c r="C313" i="2" s="1"/>
  <c r="C314" i="2" s="1"/>
  <c r="C315" i="2" s="1"/>
  <c r="C316" i="2" s="1"/>
  <c r="C317" i="2" s="1"/>
  <c r="C318" i="2" s="1"/>
  <c r="C319" i="2" s="1"/>
  <c r="C320" i="2" s="1"/>
  <c r="C321" i="2" s="1"/>
  <c r="C322" i="2" s="1"/>
  <c r="C323" i="2" s="1"/>
  <c r="C324" i="2" s="1"/>
  <c r="C325" i="2" s="1"/>
  <c r="C326" i="2" s="1"/>
  <c r="C327" i="2" s="1"/>
  <c r="C328" i="2" s="1"/>
  <c r="C329" i="2" s="1"/>
  <c r="C330" i="2" s="1"/>
  <c r="C331" i="2" s="1"/>
  <c r="C332" i="2" s="1"/>
  <c r="C333" i="2" s="1"/>
  <c r="C334" i="2" s="1"/>
  <c r="C335" i="2" s="1"/>
  <c r="C336" i="2" s="1"/>
  <c r="C337" i="2" s="1"/>
  <c r="C338" i="2" s="1"/>
  <c r="C339" i="2" s="1"/>
  <c r="C340" i="2" s="1"/>
  <c r="C341" i="2" s="1"/>
  <c r="C342" i="2" s="1"/>
  <c r="C343" i="2" s="1"/>
  <c r="C344" i="2" s="1"/>
  <c r="C345" i="2" s="1"/>
  <c r="C346" i="2" s="1"/>
  <c r="C347" i="2" s="1"/>
  <c r="C348" i="2" s="1"/>
  <c r="C349" i="2" s="1"/>
  <c r="C350" i="2" s="1"/>
  <c r="C351" i="2" s="1"/>
  <c r="C352" i="2" s="1"/>
  <c r="C353" i="2" s="1"/>
  <c r="C354" i="2" s="1"/>
  <c r="C355" i="2" s="1"/>
  <c r="C356" i="2" s="1"/>
  <c r="C357" i="2" s="1"/>
  <c r="C358" i="2" s="1"/>
  <c r="C359" i="2" s="1"/>
  <c r="C360" i="2" s="1"/>
  <c r="C361" i="2" s="1"/>
  <c r="C362" i="2" s="1"/>
  <c r="C363" i="2" s="1"/>
  <c r="C364" i="2" s="1"/>
  <c r="C365" i="2" s="1"/>
  <c r="C366" i="2" s="1"/>
  <c r="C367" i="2" s="1"/>
  <c r="C368" i="2" s="1"/>
  <c r="C369" i="2" s="1"/>
  <c r="C370" i="2" s="1"/>
  <c r="C371" i="2" s="1"/>
  <c r="C372" i="2" s="1"/>
  <c r="C373" i="2" s="1"/>
  <c r="C374" i="2" s="1"/>
  <c r="C375" i="2" s="1"/>
  <c r="C376" i="2" s="1"/>
  <c r="C377" i="2" s="1"/>
  <c r="C378" i="2" s="1"/>
  <c r="C379" i="2" s="1"/>
  <c r="C380" i="2" s="1"/>
  <c r="C381" i="2" s="1"/>
  <c r="C382" i="2" s="1"/>
  <c r="C383" i="2" s="1"/>
  <c r="C384" i="2" s="1"/>
  <c r="C385" i="2" s="1"/>
  <c r="C386" i="2" s="1"/>
  <c r="C387" i="2" s="1"/>
  <c r="C388" i="2" s="1"/>
  <c r="C389" i="2" s="1"/>
  <c r="C390" i="2" s="1"/>
  <c r="C391" i="2" s="1"/>
  <c r="C392" i="2" s="1"/>
  <c r="C393" i="2" s="1"/>
  <c r="C394" i="2" s="1"/>
  <c r="C395" i="2" s="1"/>
  <c r="C396" i="2" s="1"/>
  <c r="C397" i="2" s="1"/>
  <c r="C398" i="2" s="1"/>
  <c r="C399" i="2" s="1"/>
  <c r="C400" i="2" s="1"/>
  <c r="C401" i="2" s="1"/>
  <c r="C402" i="2" s="1"/>
  <c r="C403" i="2" s="1"/>
  <c r="C404" i="2" s="1"/>
  <c r="C405" i="2" s="1"/>
  <c r="C406" i="2" s="1"/>
  <c r="C407" i="2" s="1"/>
  <c r="C408" i="2" s="1"/>
  <c r="C409" i="2" s="1"/>
  <c r="C410" i="2" s="1"/>
  <c r="C411" i="2" s="1"/>
  <c r="C412" i="2" s="1"/>
  <c r="C413" i="2" s="1"/>
  <c r="C414" i="2" s="1"/>
  <c r="C415" i="2" s="1"/>
  <c r="C416" i="2" s="1"/>
  <c r="C417" i="2" s="1"/>
  <c r="C418" i="2" s="1"/>
  <c r="C419" i="2" s="1"/>
  <c r="C420" i="2" s="1"/>
  <c r="C421" i="2" s="1"/>
  <c r="C422" i="2" s="1"/>
  <c r="C423" i="2" s="1"/>
  <c r="C424" i="2" s="1"/>
  <c r="C425" i="2" s="1"/>
  <c r="C426" i="2" s="1"/>
  <c r="C427" i="2" s="1"/>
  <c r="C428" i="2" s="1"/>
  <c r="C429" i="2" s="1"/>
  <c r="C430" i="2" s="1"/>
  <c r="C431" i="2" s="1"/>
  <c r="C432" i="2" s="1"/>
  <c r="C433" i="2" s="1"/>
  <c r="C434" i="2" s="1"/>
  <c r="C435" i="2" s="1"/>
  <c r="C436" i="2" s="1"/>
  <c r="C437" i="2" s="1"/>
  <c r="C438" i="2" s="1"/>
  <c r="C439" i="2" s="1"/>
  <c r="C440" i="2" s="1"/>
  <c r="C441" i="2" s="1"/>
  <c r="C442" i="2" s="1"/>
  <c r="C443" i="2" s="1"/>
  <c r="C444" i="2" s="1"/>
  <c r="C445" i="2" s="1"/>
  <c r="C446" i="2" s="1"/>
  <c r="C447" i="2" s="1"/>
  <c r="C448" i="2" s="1"/>
  <c r="C449" i="2" s="1"/>
  <c r="C450" i="2" s="1"/>
  <c r="C451" i="2" s="1"/>
  <c r="C452" i="2" s="1"/>
  <c r="C453" i="2" s="1"/>
  <c r="C454" i="2" s="1"/>
  <c r="C455" i="2" s="1"/>
  <c r="C456" i="2" s="1"/>
  <c r="C457" i="2" s="1"/>
  <c r="C458" i="2" s="1"/>
  <c r="C459" i="2" s="1"/>
  <c r="C460" i="2" s="1"/>
  <c r="C461" i="2" s="1"/>
  <c r="C462" i="2" s="1"/>
  <c r="C463" i="2" s="1"/>
  <c r="C464" i="2" s="1"/>
  <c r="C465" i="2" s="1"/>
  <c r="C466" i="2" s="1"/>
  <c r="C467" i="2" s="1"/>
  <c r="C468" i="2" s="1"/>
  <c r="C469" i="2" s="1"/>
  <c r="C470" i="2" s="1"/>
  <c r="C471" i="2" s="1"/>
  <c r="C472" i="2" s="1"/>
  <c r="C473" i="2" s="1"/>
  <c r="C474" i="2" s="1"/>
  <c r="C475" i="2" s="1"/>
  <c r="C476" i="2" s="1"/>
  <c r="C477" i="2" s="1"/>
  <c r="C478" i="2" s="1"/>
  <c r="C479" i="2" s="1"/>
  <c r="C480" i="2" s="1"/>
  <c r="C481" i="2" s="1"/>
  <c r="C482" i="2" s="1"/>
  <c r="C483" i="2" s="1"/>
  <c r="C484" i="2" s="1"/>
  <c r="C485" i="2" s="1"/>
  <c r="C486" i="2" s="1"/>
  <c r="C487" i="2" s="1"/>
  <c r="C488" i="2" s="1"/>
  <c r="C489" i="2" s="1"/>
  <c r="C490" i="2" s="1"/>
  <c r="C491" i="2" s="1"/>
  <c r="C492" i="2" s="1"/>
  <c r="C493" i="2" s="1"/>
  <c r="C494" i="2" s="1"/>
  <c r="C495" i="2" s="1"/>
  <c r="C496" i="2" s="1"/>
  <c r="C497" i="2" s="1"/>
  <c r="C498" i="2" s="1"/>
  <c r="C499" i="2" s="1"/>
  <c r="C500" i="2" s="1"/>
  <c r="C501" i="2" s="1"/>
  <c r="C502" i="2" s="1"/>
  <c r="C503" i="2" s="1"/>
  <c r="C504" i="2" s="1"/>
  <c r="C505" i="2" s="1"/>
  <c r="C506" i="2" s="1"/>
  <c r="C507" i="2" s="1"/>
  <c r="C508" i="2" s="1"/>
  <c r="C509" i="2" s="1"/>
  <c r="C510" i="2" s="1"/>
  <c r="C511" i="2" s="1"/>
  <c r="C512" i="2" s="1"/>
  <c r="C513" i="2" s="1"/>
  <c r="C514" i="2" s="1"/>
  <c r="C515" i="2" s="1"/>
  <c r="C516" i="2" s="1"/>
  <c r="C517" i="2" s="1"/>
  <c r="C518" i="2" s="1"/>
  <c r="C519" i="2" s="1"/>
  <c r="C520" i="2" s="1"/>
  <c r="C521" i="2" s="1"/>
  <c r="C522" i="2" s="1"/>
  <c r="C523" i="2" s="1"/>
  <c r="C524" i="2" s="1"/>
  <c r="C525" i="2" s="1"/>
  <c r="C526" i="2" s="1"/>
  <c r="C527" i="2" s="1"/>
  <c r="C528" i="2" s="1"/>
  <c r="C529" i="2" s="1"/>
  <c r="C530" i="2" s="1"/>
  <c r="C531" i="2" s="1"/>
  <c r="C532" i="2" s="1"/>
  <c r="C533" i="2" s="1"/>
  <c r="C534" i="2" s="1"/>
  <c r="C535" i="2" s="1"/>
  <c r="C536" i="2" s="1"/>
  <c r="C537" i="2" s="1"/>
  <c r="C538" i="2" s="1"/>
  <c r="C539" i="2" s="1"/>
  <c r="C540" i="2" s="1"/>
  <c r="C541" i="2" s="1"/>
  <c r="C542" i="2" s="1"/>
  <c r="C543" i="2" s="1"/>
  <c r="C544" i="2" s="1"/>
  <c r="C545" i="2" s="1"/>
  <c r="C546" i="2" s="1"/>
  <c r="C547" i="2" s="1"/>
  <c r="C548" i="2" s="1"/>
  <c r="C549" i="2" s="1"/>
  <c r="C550" i="2" s="1"/>
  <c r="C551" i="2" s="1"/>
  <c r="C552" i="2" s="1"/>
  <c r="C553" i="2" s="1"/>
  <c r="C554" i="2" s="1"/>
  <c r="C555" i="2" s="1"/>
  <c r="C556" i="2" s="1"/>
  <c r="C557" i="2" s="1"/>
  <c r="C558" i="2" s="1"/>
  <c r="C559" i="2" s="1"/>
  <c r="C560" i="2" s="1"/>
  <c r="C561" i="2" s="1"/>
  <c r="C562" i="2" s="1"/>
  <c r="C563" i="2" s="1"/>
  <c r="C564" i="2" s="1"/>
  <c r="C565" i="2" s="1"/>
  <c r="C566" i="2" s="1"/>
  <c r="C567" i="2" s="1"/>
  <c r="C568" i="2" s="1"/>
  <c r="C569" i="2" s="1"/>
  <c r="C570" i="2" s="1"/>
  <c r="C571" i="2" s="1"/>
  <c r="C572" i="2" s="1"/>
  <c r="C573" i="2" s="1"/>
  <c r="C574" i="2" s="1"/>
  <c r="C575" i="2" s="1"/>
  <c r="C576" i="2" s="1"/>
  <c r="C577" i="2" s="1"/>
  <c r="C578" i="2" s="1"/>
  <c r="C579" i="2" s="1"/>
  <c r="C580" i="2" s="1"/>
  <c r="C581" i="2" s="1"/>
  <c r="C582" i="2" s="1"/>
  <c r="F106" i="28" l="1"/>
  <c r="F112" i="28" s="1"/>
  <c r="F114" i="28" s="1"/>
  <c r="E124" i="22" s="1"/>
  <c r="G124" i="22" s="1"/>
  <c r="H124" i="22" s="1"/>
  <c r="G10" i="1"/>
  <c r="G8" i="1"/>
  <c r="E7" i="1"/>
  <c r="E234" i="1" s="1"/>
  <c r="E48" i="1" l="1"/>
  <c r="E170" i="1"/>
  <c r="E109" i="1"/>
  <c r="E287" i="1"/>
  <c r="E226" i="1"/>
  <c r="E162" i="1"/>
  <c r="E101" i="1"/>
  <c r="E320" i="1"/>
  <c r="E279" i="1"/>
  <c r="E218" i="1"/>
  <c r="E154" i="1"/>
  <c r="E271" i="1"/>
  <c r="E210" i="1"/>
  <c r="E146" i="1"/>
  <c r="E89" i="1"/>
  <c r="E202" i="1"/>
  <c r="E138" i="1"/>
  <c r="E81" i="1"/>
  <c r="E309" i="1"/>
  <c r="E259" i="1"/>
  <c r="E194" i="1"/>
  <c r="E129" i="1"/>
  <c r="E73" i="1"/>
  <c r="E304" i="1"/>
  <c r="E251" i="1"/>
  <c r="E186" i="1"/>
  <c r="E65" i="1"/>
  <c r="E299" i="1"/>
  <c r="E243" i="1"/>
  <c r="E178" i="1"/>
  <c r="E117" i="1"/>
  <c r="E57" i="1"/>
  <c r="E10" i="1"/>
  <c r="E41" i="1"/>
  <c r="G110" i="28"/>
  <c r="G114" i="28" s="1"/>
  <c r="G42" i="1"/>
  <c r="G43" i="1"/>
  <c r="G289" i="1"/>
  <c r="G290" i="1"/>
  <c r="G281" i="1"/>
  <c r="G282" i="1"/>
  <c r="G273" i="1"/>
  <c r="G274" i="1"/>
  <c r="G91" i="1"/>
  <c r="G92" i="1"/>
  <c r="G83" i="1"/>
  <c r="G84" i="1"/>
  <c r="G75" i="1"/>
  <c r="G76" i="1"/>
  <c r="G67" i="1"/>
  <c r="G68" i="1"/>
  <c r="G59" i="1"/>
  <c r="G60" i="1"/>
  <c r="G261" i="1"/>
  <c r="G262" i="1"/>
  <c r="G253" i="1"/>
  <c r="G254" i="1"/>
  <c r="G245" i="1"/>
  <c r="G246" i="1"/>
  <c r="G130" i="1"/>
  <c r="G133" i="1"/>
  <c r="G131" i="1"/>
  <c r="G132" i="1"/>
  <c r="G228" i="1"/>
  <c r="G229" i="1"/>
  <c r="G220" i="1"/>
  <c r="G221" i="1"/>
  <c r="G212" i="1"/>
  <c r="G213" i="1"/>
  <c r="G204" i="1"/>
  <c r="G205" i="1"/>
  <c r="G196" i="1"/>
  <c r="G197" i="1"/>
  <c r="G188" i="1"/>
  <c r="G189" i="1"/>
  <c r="G180" i="1"/>
  <c r="G181" i="1"/>
  <c r="G172" i="1"/>
  <c r="G173" i="1"/>
  <c r="G164" i="1"/>
  <c r="G165" i="1"/>
  <c r="G156" i="1"/>
  <c r="G157" i="1"/>
  <c r="G148" i="1"/>
  <c r="G149" i="1"/>
  <c r="G141" i="1"/>
  <c r="G140" i="1"/>
  <c r="G120" i="1"/>
  <c r="G119" i="1"/>
  <c r="G112" i="1"/>
  <c r="G111" i="1"/>
  <c r="G104" i="1"/>
  <c r="G103" i="1"/>
  <c r="G36" i="1"/>
  <c r="G280" i="1" s="1"/>
  <c r="G33" i="1"/>
  <c r="G252" i="1" s="1"/>
  <c r="G34" i="1"/>
  <c r="G260" i="1" s="1"/>
  <c r="G37" i="1"/>
  <c r="G288" i="1" s="1"/>
  <c r="H7" i="1"/>
  <c r="E308" i="26" s="1"/>
  <c r="G14" i="1"/>
  <c r="G74" i="1" s="1"/>
  <c r="G30" i="1"/>
  <c r="G219" i="1" s="1"/>
  <c r="G22" i="1"/>
  <c r="G155" i="1" s="1"/>
  <c r="G25" i="1"/>
  <c r="G179" i="1" s="1"/>
  <c r="G21" i="1"/>
  <c r="G147" i="1" s="1"/>
  <c r="G20" i="1"/>
  <c r="G139" i="1" s="1"/>
  <c r="G19" i="1"/>
  <c r="G118" i="1" s="1"/>
  <c r="G29" i="1"/>
  <c r="G211" i="1" s="1"/>
  <c r="G28" i="1"/>
  <c r="G203" i="1" s="1"/>
  <c r="G27" i="1"/>
  <c r="G195" i="1" s="1"/>
  <c r="G18" i="1"/>
  <c r="G110" i="1" s="1"/>
  <c r="G17" i="1"/>
  <c r="G102" i="1" s="1"/>
  <c r="G35" i="1"/>
  <c r="G272" i="1" s="1"/>
  <c r="G26" i="1"/>
  <c r="G187" i="1" s="1"/>
  <c r="G12" i="1"/>
  <c r="G58" i="1" s="1"/>
  <c r="G16" i="1"/>
  <c r="G90" i="1" s="1"/>
  <c r="G15" i="1"/>
  <c r="G82" i="1" s="1"/>
  <c r="G24" i="1"/>
  <c r="G171" i="1" s="1"/>
  <c r="G23" i="1"/>
  <c r="G163" i="1" s="1"/>
  <c r="G32" i="1"/>
  <c r="G244" i="1" s="1"/>
  <c r="G31" i="1"/>
  <c r="G227" i="1" s="1"/>
  <c r="G13" i="1"/>
  <c r="G66" i="1" s="1"/>
  <c r="E8" i="1"/>
  <c r="H10" i="1"/>
  <c r="E239" i="1" l="1"/>
  <c r="E295" i="1"/>
  <c r="E53" i="1"/>
  <c r="E267" i="1"/>
  <c r="E97" i="1"/>
  <c r="E314" i="1"/>
  <c r="E125" i="1"/>
  <c r="H110" i="28"/>
  <c r="H114" i="28" s="1"/>
  <c r="E412" i="26"/>
  <c r="E256" i="26"/>
  <c r="E152" i="26"/>
  <c r="E451" i="26"/>
  <c r="E386" i="26"/>
  <c r="E243" i="26"/>
  <c r="E139" i="26"/>
  <c r="E48" i="26"/>
  <c r="E425" i="26"/>
  <c r="E373" i="26"/>
  <c r="E230" i="26"/>
  <c r="E87" i="26"/>
  <c r="E9" i="26"/>
  <c r="E295" i="26"/>
  <c r="E438" i="26"/>
  <c r="E360" i="26"/>
  <c r="E334" i="26"/>
  <c r="E217" i="26"/>
  <c r="E126" i="26"/>
  <c r="E74" i="26"/>
  <c r="E22" i="26"/>
  <c r="E100" i="26"/>
  <c r="E321" i="26"/>
  <c r="E204" i="26"/>
  <c r="E113" i="26"/>
  <c r="E61" i="26"/>
  <c r="E191" i="26"/>
  <c r="E399" i="26"/>
  <c r="E347" i="26"/>
  <c r="E282" i="26"/>
  <c r="E178" i="26"/>
  <c r="E269" i="26"/>
  <c r="E35" i="26"/>
  <c r="E165" i="26"/>
  <c r="G41" i="1"/>
  <c r="G287" i="1"/>
  <c r="F385" i="26" s="1"/>
  <c r="G279" i="1"/>
  <c r="F372" i="26" s="1"/>
  <c r="G271" i="1"/>
  <c r="F359" i="26" s="1"/>
  <c r="G89" i="1"/>
  <c r="F86" i="26" s="1"/>
  <c r="G81" i="1"/>
  <c r="F73" i="26" s="1"/>
  <c r="G73" i="1"/>
  <c r="F60" i="26" s="1"/>
  <c r="G65" i="1"/>
  <c r="F47" i="26" s="1"/>
  <c r="G57" i="1"/>
  <c r="F34" i="26" s="1"/>
  <c r="G259" i="1"/>
  <c r="F346" i="26" s="1"/>
  <c r="G251" i="1"/>
  <c r="F333" i="26" s="1"/>
  <c r="G243" i="1"/>
  <c r="F320" i="26" s="1"/>
  <c r="G129" i="1"/>
  <c r="F138" i="26" s="1"/>
  <c r="G226" i="1"/>
  <c r="G218" i="1"/>
  <c r="F281" i="26" s="1"/>
  <c r="G210" i="1"/>
  <c r="F268" i="26" s="1"/>
  <c r="G202" i="1"/>
  <c r="F255" i="26" s="1"/>
  <c r="G194" i="1"/>
  <c r="F242" i="26" s="1"/>
  <c r="G186" i="1"/>
  <c r="F229" i="26" s="1"/>
  <c r="G178" i="1"/>
  <c r="F216" i="26" s="1"/>
  <c r="G170" i="1"/>
  <c r="F203" i="26" s="1"/>
  <c r="G162" i="1"/>
  <c r="F190" i="26" s="1"/>
  <c r="G154" i="1"/>
  <c r="F177" i="26" s="1"/>
  <c r="G146" i="1"/>
  <c r="F164" i="26" s="1"/>
  <c r="G138" i="1"/>
  <c r="F151" i="26" s="1"/>
  <c r="G117" i="1"/>
  <c r="F125" i="26" s="1"/>
  <c r="G109" i="1"/>
  <c r="F112" i="26" s="1"/>
  <c r="G101" i="1"/>
  <c r="F99" i="26" s="1"/>
  <c r="H8" i="1"/>
  <c r="I7" i="1" s="1"/>
  <c r="E309" i="26" s="1"/>
  <c r="F294" i="26" l="1"/>
  <c r="G239" i="1"/>
  <c r="E316" i="1"/>
  <c r="E322" i="1" s="1"/>
  <c r="E324" i="1" s="1"/>
  <c r="I110" i="28"/>
  <c r="I114" i="28" s="1"/>
  <c r="G53" i="1"/>
  <c r="F8" i="26"/>
  <c r="E452" i="26"/>
  <c r="E387" i="26"/>
  <c r="E244" i="26"/>
  <c r="E140" i="26"/>
  <c r="E426" i="26"/>
  <c r="E374" i="26"/>
  <c r="E231" i="26"/>
  <c r="E88" i="26"/>
  <c r="E10" i="26"/>
  <c r="E439" i="26"/>
  <c r="E361" i="26"/>
  <c r="E335" i="26"/>
  <c r="E218" i="26"/>
  <c r="E127" i="26"/>
  <c r="E75" i="26"/>
  <c r="E23" i="26"/>
  <c r="E322" i="26"/>
  <c r="E205" i="26"/>
  <c r="E114" i="26"/>
  <c r="E62" i="26"/>
  <c r="E400" i="26"/>
  <c r="E283" i="26"/>
  <c r="E179" i="26"/>
  <c r="E296" i="26"/>
  <c r="E192" i="26"/>
  <c r="E101" i="26"/>
  <c r="E49" i="26"/>
  <c r="E348" i="26"/>
  <c r="E270" i="26"/>
  <c r="E166" i="26"/>
  <c r="E36" i="26"/>
  <c r="E413" i="26"/>
  <c r="E257" i="26"/>
  <c r="E153" i="26"/>
  <c r="H43" i="1"/>
  <c r="H42" i="1"/>
  <c r="G295" i="1"/>
  <c r="H290" i="1"/>
  <c r="H289" i="1"/>
  <c r="H282" i="1"/>
  <c r="H281" i="1"/>
  <c r="H274" i="1"/>
  <c r="H273" i="1"/>
  <c r="G97" i="1"/>
  <c r="H91" i="1"/>
  <c r="H92" i="1"/>
  <c r="H84" i="1"/>
  <c r="H83" i="1"/>
  <c r="H75" i="1"/>
  <c r="H76" i="1"/>
  <c r="H67" i="1"/>
  <c r="H68" i="1"/>
  <c r="H60" i="1"/>
  <c r="H59" i="1"/>
  <c r="G267" i="1"/>
  <c r="H262" i="1"/>
  <c r="H261" i="1"/>
  <c r="H253" i="1"/>
  <c r="H254" i="1"/>
  <c r="H246" i="1"/>
  <c r="H245" i="1"/>
  <c r="H132" i="1"/>
  <c r="H130" i="1"/>
  <c r="H131" i="1"/>
  <c r="H133" i="1"/>
  <c r="H229" i="1"/>
  <c r="H228" i="1"/>
  <c r="H221" i="1"/>
  <c r="H220" i="1"/>
  <c r="H212" i="1"/>
  <c r="H213" i="1"/>
  <c r="H205" i="1"/>
  <c r="H204" i="1"/>
  <c r="H197" i="1"/>
  <c r="H196" i="1"/>
  <c r="H189" i="1"/>
  <c r="H188" i="1"/>
  <c r="H181" i="1"/>
  <c r="H180" i="1"/>
  <c r="H173" i="1"/>
  <c r="H172" i="1"/>
  <c r="H16" i="1"/>
  <c r="H90" i="1" s="1"/>
  <c r="H165" i="1"/>
  <c r="H164" i="1"/>
  <c r="H157" i="1"/>
  <c r="H156" i="1"/>
  <c r="H149" i="1"/>
  <c r="H148" i="1"/>
  <c r="H141" i="1"/>
  <c r="H140" i="1"/>
  <c r="G125" i="1"/>
  <c r="H119" i="1"/>
  <c r="H120" i="1"/>
  <c r="H111" i="1"/>
  <c r="H27" i="1"/>
  <c r="H195" i="1" s="1"/>
  <c r="H35" i="1"/>
  <c r="H272" i="1" s="1"/>
  <c r="H112" i="1"/>
  <c r="H103" i="1"/>
  <c r="H104" i="1"/>
  <c r="H36" i="1"/>
  <c r="H280" i="1" s="1"/>
  <c r="H34" i="1"/>
  <c r="H260" i="1" s="1"/>
  <c r="H37" i="1"/>
  <c r="H288" i="1" s="1"/>
  <c r="H33" i="1"/>
  <c r="H252" i="1" s="1"/>
  <c r="H18" i="1"/>
  <c r="H110" i="1" s="1"/>
  <c r="H25" i="1"/>
  <c r="H179" i="1" s="1"/>
  <c r="H26" i="1"/>
  <c r="H187" i="1" s="1"/>
  <c r="H28" i="1"/>
  <c r="H203" i="1" s="1"/>
  <c r="H17" i="1"/>
  <c r="H102" i="1" s="1"/>
  <c r="H24" i="1"/>
  <c r="H171" i="1" s="1"/>
  <c r="H15" i="1"/>
  <c r="H82" i="1" s="1"/>
  <c r="H14" i="1"/>
  <c r="H74" i="1" s="1"/>
  <c r="H32" i="1"/>
  <c r="H244" i="1" s="1"/>
  <c r="H23" i="1"/>
  <c r="H163" i="1" s="1"/>
  <c r="H22" i="1"/>
  <c r="H155" i="1" s="1"/>
  <c r="H13" i="1"/>
  <c r="H66" i="1" s="1"/>
  <c r="H31" i="1"/>
  <c r="H227" i="1" s="1"/>
  <c r="H30" i="1"/>
  <c r="H219" i="1" s="1"/>
  <c r="H21" i="1"/>
  <c r="H147" i="1" s="1"/>
  <c r="H12" i="1"/>
  <c r="H58" i="1" s="1"/>
  <c r="H19" i="1"/>
  <c r="H118" i="1" s="1"/>
  <c r="H29" i="1"/>
  <c r="H211" i="1" s="1"/>
  <c r="H20" i="1"/>
  <c r="H139" i="1" s="1"/>
  <c r="I8" i="1"/>
  <c r="J7" i="1" s="1"/>
  <c r="E310" i="26" s="1"/>
  <c r="I10" i="1"/>
  <c r="J110" i="28" l="1"/>
  <c r="J114" i="28" s="1"/>
  <c r="E427" i="26"/>
  <c r="E375" i="26"/>
  <c r="E232" i="26"/>
  <c r="E89" i="26"/>
  <c r="E11" i="26"/>
  <c r="E37" i="26"/>
  <c r="E440" i="26"/>
  <c r="E362" i="26"/>
  <c r="E336" i="26"/>
  <c r="E219" i="26"/>
  <c r="E128" i="26"/>
  <c r="E76" i="26"/>
  <c r="E24" i="26"/>
  <c r="E323" i="26"/>
  <c r="E206" i="26"/>
  <c r="E115" i="26"/>
  <c r="E63" i="26"/>
  <c r="E167" i="26"/>
  <c r="E297" i="26"/>
  <c r="E193" i="26"/>
  <c r="E102" i="26"/>
  <c r="E50" i="26"/>
  <c r="E271" i="26"/>
  <c r="E401" i="26"/>
  <c r="E349" i="26"/>
  <c r="E284" i="26"/>
  <c r="E180" i="26"/>
  <c r="E414" i="26"/>
  <c r="E258" i="26"/>
  <c r="E154" i="26"/>
  <c r="E453" i="26"/>
  <c r="E388" i="26"/>
  <c r="E141" i="26"/>
  <c r="E245" i="26"/>
  <c r="G316" i="1"/>
  <c r="G322" i="1" s="1"/>
  <c r="G324" i="1" s="1"/>
  <c r="F450" i="26" s="1"/>
  <c r="I42" i="1"/>
  <c r="I43" i="1"/>
  <c r="H41" i="1"/>
  <c r="H287" i="1"/>
  <c r="F386" i="26" s="1"/>
  <c r="I290" i="1"/>
  <c r="I289" i="1"/>
  <c r="I282" i="1"/>
  <c r="I281" i="1"/>
  <c r="H279" i="1"/>
  <c r="F373" i="26" s="1"/>
  <c r="I273" i="1"/>
  <c r="I274" i="1"/>
  <c r="H271" i="1"/>
  <c r="F360" i="26" s="1"/>
  <c r="I92" i="1"/>
  <c r="I91" i="1"/>
  <c r="H89" i="1"/>
  <c r="F87" i="26" s="1"/>
  <c r="I84" i="1"/>
  <c r="I83" i="1"/>
  <c r="H81" i="1"/>
  <c r="F74" i="26" s="1"/>
  <c r="I75" i="1"/>
  <c r="I76" i="1"/>
  <c r="H73" i="1"/>
  <c r="F61" i="26" s="1"/>
  <c r="I68" i="1"/>
  <c r="I67" i="1"/>
  <c r="H65" i="1"/>
  <c r="F48" i="26" s="1"/>
  <c r="H57" i="1"/>
  <c r="F35" i="26" s="1"/>
  <c r="I60" i="1"/>
  <c r="I59" i="1"/>
  <c r="H259" i="1"/>
  <c r="F347" i="26" s="1"/>
  <c r="I262" i="1"/>
  <c r="I261" i="1"/>
  <c r="H251" i="1"/>
  <c r="F334" i="26" s="1"/>
  <c r="I253" i="1"/>
  <c r="I254" i="1"/>
  <c r="H243" i="1"/>
  <c r="F321" i="26" s="1"/>
  <c r="I245" i="1"/>
  <c r="I246" i="1"/>
  <c r="I130" i="1"/>
  <c r="I133" i="1"/>
  <c r="I131" i="1"/>
  <c r="I132" i="1"/>
  <c r="H129" i="1"/>
  <c r="F139" i="26" s="1"/>
  <c r="H226" i="1"/>
  <c r="I229" i="1"/>
  <c r="I228" i="1"/>
  <c r="H218" i="1"/>
  <c r="F282" i="26" s="1"/>
  <c r="I221" i="1"/>
  <c r="I220" i="1"/>
  <c r="I213" i="1"/>
  <c r="I212" i="1"/>
  <c r="H210" i="1"/>
  <c r="F269" i="26" s="1"/>
  <c r="H202" i="1"/>
  <c r="F256" i="26" s="1"/>
  <c r="I205" i="1"/>
  <c r="I204" i="1"/>
  <c r="H194" i="1"/>
  <c r="F243" i="26" s="1"/>
  <c r="I197" i="1"/>
  <c r="I196" i="1"/>
  <c r="H186" i="1"/>
  <c r="F230" i="26" s="1"/>
  <c r="I189" i="1"/>
  <c r="I188" i="1"/>
  <c r="H178" i="1"/>
  <c r="F217" i="26" s="1"/>
  <c r="I181" i="1"/>
  <c r="I180" i="1"/>
  <c r="H170" i="1"/>
  <c r="F204" i="26" s="1"/>
  <c r="I173" i="1"/>
  <c r="I172" i="1"/>
  <c r="I165" i="1"/>
  <c r="I164" i="1"/>
  <c r="H162" i="1"/>
  <c r="F191" i="26" s="1"/>
  <c r="H154" i="1"/>
  <c r="F178" i="26" s="1"/>
  <c r="I157" i="1"/>
  <c r="I156" i="1"/>
  <c r="H146" i="1"/>
  <c r="F165" i="26" s="1"/>
  <c r="I149" i="1"/>
  <c r="I148" i="1"/>
  <c r="H138" i="1"/>
  <c r="F152" i="26" s="1"/>
  <c r="I141" i="1"/>
  <c r="I140" i="1"/>
  <c r="I119" i="1"/>
  <c r="I120" i="1"/>
  <c r="H117" i="1"/>
  <c r="F126" i="26" s="1"/>
  <c r="H109" i="1"/>
  <c r="F113" i="26" s="1"/>
  <c r="I112" i="1"/>
  <c r="I111" i="1"/>
  <c r="H101" i="1"/>
  <c r="F100" i="26" s="1"/>
  <c r="I103" i="1"/>
  <c r="I104" i="1"/>
  <c r="I33" i="1"/>
  <c r="I252" i="1" s="1"/>
  <c r="I36" i="1"/>
  <c r="I280" i="1" s="1"/>
  <c r="I34" i="1"/>
  <c r="I260" i="1" s="1"/>
  <c r="I37" i="1"/>
  <c r="I288" i="1" s="1"/>
  <c r="I19" i="1"/>
  <c r="I118" i="1" s="1"/>
  <c r="I17" i="1"/>
  <c r="I102" i="1" s="1"/>
  <c r="I28" i="1"/>
  <c r="I203" i="1" s="1"/>
  <c r="I27" i="1"/>
  <c r="I195" i="1" s="1"/>
  <c r="I35" i="1"/>
  <c r="I272" i="1" s="1"/>
  <c r="I13" i="1"/>
  <c r="I66" i="1" s="1"/>
  <c r="I21" i="1"/>
  <c r="I147" i="1" s="1"/>
  <c r="I29" i="1"/>
  <c r="I211" i="1" s="1"/>
  <c r="I18" i="1"/>
  <c r="I110" i="1" s="1"/>
  <c r="I24" i="1"/>
  <c r="I171" i="1" s="1"/>
  <c r="I26" i="1"/>
  <c r="I187" i="1" s="1"/>
  <c r="I16" i="1"/>
  <c r="I90" i="1" s="1"/>
  <c r="I32" i="1"/>
  <c r="I244" i="1" s="1"/>
  <c r="I15" i="1"/>
  <c r="I82" i="1" s="1"/>
  <c r="I14" i="1"/>
  <c r="I74" i="1" s="1"/>
  <c r="I12" i="1"/>
  <c r="I58" i="1" s="1"/>
  <c r="I23" i="1"/>
  <c r="I163" i="1" s="1"/>
  <c r="J8" i="1"/>
  <c r="K7" i="1" s="1"/>
  <c r="E311" i="26" s="1"/>
  <c r="J10" i="1"/>
  <c r="I25" i="1"/>
  <c r="I179" i="1" s="1"/>
  <c r="I22" i="1"/>
  <c r="I155" i="1" s="1"/>
  <c r="I30" i="1"/>
  <c r="I219" i="1" s="1"/>
  <c r="I20" i="1"/>
  <c r="I139" i="1" s="1"/>
  <c r="I31" i="1"/>
  <c r="I227" i="1" s="1"/>
  <c r="F295" i="26" l="1"/>
  <c r="H239" i="1"/>
  <c r="K110" i="28"/>
  <c r="K114" i="28" s="1"/>
  <c r="E441" i="26"/>
  <c r="E363" i="26"/>
  <c r="E337" i="26"/>
  <c r="E220" i="26"/>
  <c r="E129" i="26"/>
  <c r="E77" i="26"/>
  <c r="E25" i="26"/>
  <c r="E155" i="26"/>
  <c r="E324" i="26"/>
  <c r="E207" i="26"/>
  <c r="E116" i="26"/>
  <c r="E64" i="26"/>
  <c r="E415" i="26"/>
  <c r="E298" i="26"/>
  <c r="E194" i="26"/>
  <c r="E103" i="26"/>
  <c r="E51" i="26"/>
  <c r="E259" i="26"/>
  <c r="E402" i="26"/>
  <c r="E350" i="26"/>
  <c r="E285" i="26"/>
  <c r="E181" i="26"/>
  <c r="E272" i="26"/>
  <c r="E168" i="26"/>
  <c r="E38" i="26"/>
  <c r="E454" i="26"/>
  <c r="E389" i="26"/>
  <c r="E246" i="26"/>
  <c r="E142" i="26"/>
  <c r="E428" i="26"/>
  <c r="E376" i="26"/>
  <c r="E233" i="26"/>
  <c r="E90" i="26"/>
  <c r="E12" i="26"/>
  <c r="H53" i="1"/>
  <c r="F9" i="26"/>
  <c r="H320" i="1"/>
  <c r="F438" i="26" s="1"/>
  <c r="G331" i="1"/>
  <c r="I41" i="1"/>
  <c r="J42" i="1"/>
  <c r="J43" i="1"/>
  <c r="H295" i="1"/>
  <c r="J290" i="1"/>
  <c r="J289" i="1"/>
  <c r="I287" i="1"/>
  <c r="F387" i="26" s="1"/>
  <c r="I279" i="1"/>
  <c r="F374" i="26" s="1"/>
  <c r="J281" i="1"/>
  <c r="J282" i="1"/>
  <c r="I271" i="1"/>
  <c r="F361" i="26" s="1"/>
  <c r="J273" i="1"/>
  <c r="J274" i="1"/>
  <c r="H97" i="1"/>
  <c r="I89" i="1"/>
  <c r="F88" i="26" s="1"/>
  <c r="J92" i="1"/>
  <c r="J91" i="1"/>
  <c r="J83" i="1"/>
  <c r="J84" i="1"/>
  <c r="I81" i="1"/>
  <c r="F75" i="26" s="1"/>
  <c r="I73" i="1"/>
  <c r="F62" i="26" s="1"/>
  <c r="J75" i="1"/>
  <c r="J76" i="1"/>
  <c r="I65" i="1"/>
  <c r="F49" i="26" s="1"/>
  <c r="J67" i="1"/>
  <c r="J68" i="1"/>
  <c r="J59" i="1"/>
  <c r="I57" i="1"/>
  <c r="F36" i="26" s="1"/>
  <c r="J60" i="1"/>
  <c r="H267" i="1"/>
  <c r="J262" i="1"/>
  <c r="J261" i="1"/>
  <c r="I259" i="1"/>
  <c r="F348" i="26" s="1"/>
  <c r="I251" i="1"/>
  <c r="F335" i="26" s="1"/>
  <c r="J253" i="1"/>
  <c r="J254" i="1"/>
  <c r="I243" i="1"/>
  <c r="F322" i="26" s="1"/>
  <c r="J245" i="1"/>
  <c r="J246" i="1"/>
  <c r="I129" i="1"/>
  <c r="F140" i="26" s="1"/>
  <c r="J133" i="1"/>
  <c r="J130" i="1"/>
  <c r="J132" i="1"/>
  <c r="J131" i="1"/>
  <c r="I226" i="1"/>
  <c r="J228" i="1"/>
  <c r="J229" i="1"/>
  <c r="I218" i="1"/>
  <c r="F283" i="26" s="1"/>
  <c r="J221" i="1"/>
  <c r="J220" i="1"/>
  <c r="J213" i="1"/>
  <c r="J212" i="1"/>
  <c r="I210" i="1"/>
  <c r="F270" i="26" s="1"/>
  <c r="I202" i="1"/>
  <c r="F257" i="26" s="1"/>
  <c r="J204" i="1"/>
  <c r="J205" i="1"/>
  <c r="I194" i="1"/>
  <c r="F244" i="26" s="1"/>
  <c r="J196" i="1"/>
  <c r="J197" i="1"/>
  <c r="I186" i="1"/>
  <c r="F231" i="26" s="1"/>
  <c r="J188" i="1"/>
  <c r="J189" i="1"/>
  <c r="J180" i="1"/>
  <c r="I178" i="1"/>
  <c r="F218" i="26" s="1"/>
  <c r="J181" i="1"/>
  <c r="I170" i="1"/>
  <c r="F205" i="26" s="1"/>
  <c r="J172" i="1"/>
  <c r="J173" i="1"/>
  <c r="I162" i="1"/>
  <c r="F192" i="26" s="1"/>
  <c r="J164" i="1"/>
  <c r="J165" i="1"/>
  <c r="I154" i="1"/>
  <c r="F179" i="26" s="1"/>
  <c r="J156" i="1"/>
  <c r="J157" i="1"/>
  <c r="I146" i="1"/>
  <c r="F166" i="26" s="1"/>
  <c r="J148" i="1"/>
  <c r="J149" i="1"/>
  <c r="I138" i="1"/>
  <c r="F153" i="26" s="1"/>
  <c r="J141" i="1"/>
  <c r="J140" i="1"/>
  <c r="H125" i="1"/>
  <c r="J119" i="1"/>
  <c r="J120" i="1"/>
  <c r="I117" i="1"/>
  <c r="F127" i="26" s="1"/>
  <c r="I109" i="1"/>
  <c r="F114" i="26" s="1"/>
  <c r="J112" i="1"/>
  <c r="J111" i="1"/>
  <c r="J103" i="1"/>
  <c r="J104" i="1"/>
  <c r="I101" i="1"/>
  <c r="F101" i="26" s="1"/>
  <c r="J33" i="1"/>
  <c r="J252" i="1" s="1"/>
  <c r="J36" i="1"/>
  <c r="J280" i="1" s="1"/>
  <c r="J37" i="1"/>
  <c r="J288" i="1" s="1"/>
  <c r="J34" i="1"/>
  <c r="J260" i="1" s="1"/>
  <c r="J14" i="1"/>
  <c r="J74" i="1" s="1"/>
  <c r="J22" i="1"/>
  <c r="J155" i="1" s="1"/>
  <c r="J27" i="1"/>
  <c r="J195" i="1" s="1"/>
  <c r="J19" i="1"/>
  <c r="J118" i="1" s="1"/>
  <c r="J17" i="1"/>
  <c r="J102" i="1" s="1"/>
  <c r="J21" i="1"/>
  <c r="J147" i="1" s="1"/>
  <c r="J29" i="1"/>
  <c r="J211" i="1" s="1"/>
  <c r="J20" i="1"/>
  <c r="J139" i="1" s="1"/>
  <c r="J35" i="1"/>
  <c r="J272" i="1" s="1"/>
  <c r="J28" i="1"/>
  <c r="J203" i="1" s="1"/>
  <c r="J15" i="1"/>
  <c r="J82" i="1" s="1"/>
  <c r="J31" i="1"/>
  <c r="J227" i="1" s="1"/>
  <c r="J24" i="1"/>
  <c r="J171" i="1" s="1"/>
  <c r="J23" i="1"/>
  <c r="J163" i="1" s="1"/>
  <c r="J18" i="1"/>
  <c r="J110" i="1" s="1"/>
  <c r="J25" i="1"/>
  <c r="J179" i="1" s="1"/>
  <c r="J16" i="1"/>
  <c r="J90" i="1" s="1"/>
  <c r="J26" i="1"/>
  <c r="J187" i="1" s="1"/>
  <c r="K10" i="1"/>
  <c r="K8" i="1"/>
  <c r="L7" i="1" s="1"/>
  <c r="E312" i="26" s="1"/>
  <c r="J32" i="1"/>
  <c r="J244" i="1" s="1"/>
  <c r="J12" i="1"/>
  <c r="J58" i="1" s="1"/>
  <c r="J30" i="1"/>
  <c r="J219" i="1" s="1"/>
  <c r="J13" i="1"/>
  <c r="J66" i="1" s="1"/>
  <c r="F296" i="26" l="1"/>
  <c r="I239" i="1"/>
  <c r="L110" i="28"/>
  <c r="L114" i="28" s="1"/>
  <c r="E325" i="26"/>
  <c r="E208" i="26"/>
  <c r="E117" i="26"/>
  <c r="E65" i="26"/>
  <c r="E455" i="26"/>
  <c r="E299" i="26"/>
  <c r="E195" i="26"/>
  <c r="E104" i="26"/>
  <c r="E52" i="26"/>
  <c r="E143" i="26"/>
  <c r="E403" i="26"/>
  <c r="E351" i="26"/>
  <c r="E286" i="26"/>
  <c r="E182" i="26"/>
  <c r="E247" i="26"/>
  <c r="E273" i="26"/>
  <c r="E169" i="26"/>
  <c r="E39" i="26"/>
  <c r="E416" i="26"/>
  <c r="E260" i="26"/>
  <c r="E156" i="26"/>
  <c r="E390" i="26"/>
  <c r="E429" i="26"/>
  <c r="E377" i="26"/>
  <c r="E234" i="26"/>
  <c r="E91" i="26"/>
  <c r="E13" i="26"/>
  <c r="E442" i="26"/>
  <c r="E364" i="26"/>
  <c r="E338" i="26"/>
  <c r="E221" i="26"/>
  <c r="E78" i="26"/>
  <c r="E26" i="26"/>
  <c r="E130" i="26"/>
  <c r="I53" i="1"/>
  <c r="F10" i="26"/>
  <c r="H316" i="1"/>
  <c r="H322" i="1" s="1"/>
  <c r="H324" i="1" s="1"/>
  <c r="F451" i="26" s="1"/>
  <c r="J41" i="1"/>
  <c r="K42" i="1"/>
  <c r="K43" i="1"/>
  <c r="I295" i="1"/>
  <c r="J287" i="1"/>
  <c r="F388" i="26" s="1"/>
  <c r="K289" i="1"/>
  <c r="K290" i="1"/>
  <c r="J279" i="1"/>
  <c r="F375" i="26" s="1"/>
  <c r="K281" i="1"/>
  <c r="K282" i="1"/>
  <c r="J271" i="1"/>
  <c r="F362" i="26" s="1"/>
  <c r="K273" i="1"/>
  <c r="K274" i="1"/>
  <c r="I97" i="1"/>
  <c r="K91" i="1"/>
  <c r="K92" i="1"/>
  <c r="J89" i="1"/>
  <c r="F89" i="26" s="1"/>
  <c r="K83" i="1"/>
  <c r="K84" i="1"/>
  <c r="J81" i="1"/>
  <c r="F76" i="26" s="1"/>
  <c r="J73" i="1"/>
  <c r="F63" i="26" s="1"/>
  <c r="K75" i="1"/>
  <c r="K76" i="1"/>
  <c r="J65" i="1"/>
  <c r="F50" i="26" s="1"/>
  <c r="K68" i="1"/>
  <c r="K67" i="1"/>
  <c r="K59" i="1"/>
  <c r="K60" i="1"/>
  <c r="J57" i="1"/>
  <c r="F37" i="26" s="1"/>
  <c r="I267" i="1"/>
  <c r="J259" i="1"/>
  <c r="F349" i="26" s="1"/>
  <c r="K261" i="1"/>
  <c r="K262" i="1"/>
  <c r="J251" i="1"/>
  <c r="F336" i="26" s="1"/>
  <c r="K253" i="1"/>
  <c r="K254" i="1"/>
  <c r="J243" i="1"/>
  <c r="F323" i="26" s="1"/>
  <c r="K245" i="1"/>
  <c r="K246" i="1"/>
  <c r="J129" i="1"/>
  <c r="F141" i="26" s="1"/>
  <c r="K131" i="1"/>
  <c r="K133" i="1"/>
  <c r="K132" i="1"/>
  <c r="K130" i="1"/>
  <c r="J226" i="1"/>
  <c r="K228" i="1"/>
  <c r="K229" i="1"/>
  <c r="K221" i="1"/>
  <c r="K220" i="1"/>
  <c r="J218" i="1"/>
  <c r="F284" i="26" s="1"/>
  <c r="K213" i="1"/>
  <c r="J210" i="1"/>
  <c r="F271" i="26" s="1"/>
  <c r="K212" i="1"/>
  <c r="J202" i="1"/>
  <c r="F258" i="26" s="1"/>
  <c r="K204" i="1"/>
  <c r="K205" i="1"/>
  <c r="K196" i="1"/>
  <c r="K197" i="1"/>
  <c r="J194" i="1"/>
  <c r="F245" i="26" s="1"/>
  <c r="K188" i="1"/>
  <c r="K189" i="1"/>
  <c r="J186" i="1"/>
  <c r="F232" i="26" s="1"/>
  <c r="K180" i="1"/>
  <c r="K181" i="1"/>
  <c r="J178" i="1"/>
  <c r="F219" i="26" s="1"/>
  <c r="J170" i="1"/>
  <c r="F206" i="26" s="1"/>
  <c r="K172" i="1"/>
  <c r="K173" i="1"/>
  <c r="J162" i="1"/>
  <c r="F193" i="26" s="1"/>
  <c r="K164" i="1"/>
  <c r="K165" i="1"/>
  <c r="K156" i="1"/>
  <c r="K157" i="1"/>
  <c r="J154" i="1"/>
  <c r="F180" i="26" s="1"/>
  <c r="K148" i="1"/>
  <c r="K149" i="1"/>
  <c r="J146" i="1"/>
  <c r="F167" i="26" s="1"/>
  <c r="K140" i="1"/>
  <c r="K141" i="1"/>
  <c r="J138" i="1"/>
  <c r="F154" i="26" s="1"/>
  <c r="J117" i="1"/>
  <c r="F128" i="26" s="1"/>
  <c r="I125" i="1"/>
  <c r="K119" i="1"/>
  <c r="K120" i="1"/>
  <c r="J109" i="1"/>
  <c r="F115" i="26" s="1"/>
  <c r="K112" i="1"/>
  <c r="K111" i="1"/>
  <c r="J101" i="1"/>
  <c r="F102" i="26" s="1"/>
  <c r="K104" i="1"/>
  <c r="K103" i="1"/>
  <c r="K37" i="1"/>
  <c r="K288" i="1" s="1"/>
  <c r="K33" i="1"/>
  <c r="K252" i="1" s="1"/>
  <c r="K36" i="1"/>
  <c r="K280" i="1" s="1"/>
  <c r="K34" i="1"/>
  <c r="K260" i="1" s="1"/>
  <c r="K18" i="1"/>
  <c r="K110" i="1" s="1"/>
  <c r="K23" i="1"/>
  <c r="K163" i="1" s="1"/>
  <c r="K28" i="1"/>
  <c r="K203" i="1" s="1"/>
  <c r="K30" i="1"/>
  <c r="K219" i="1" s="1"/>
  <c r="K13" i="1"/>
  <c r="K66" i="1" s="1"/>
  <c r="K12" i="1"/>
  <c r="K58" i="1" s="1"/>
  <c r="K19" i="1"/>
  <c r="K118" i="1" s="1"/>
  <c r="K21" i="1"/>
  <c r="K147" i="1" s="1"/>
  <c r="K20" i="1"/>
  <c r="K139" i="1" s="1"/>
  <c r="K27" i="1"/>
  <c r="K195" i="1" s="1"/>
  <c r="K29" i="1"/>
  <c r="K211" i="1" s="1"/>
  <c r="K35" i="1"/>
  <c r="K272" i="1" s="1"/>
  <c r="K17" i="1"/>
  <c r="K102" i="1" s="1"/>
  <c r="K16" i="1"/>
  <c r="K90" i="1" s="1"/>
  <c r="K15" i="1"/>
  <c r="K82" i="1" s="1"/>
  <c r="K25" i="1"/>
  <c r="K179" i="1" s="1"/>
  <c r="K24" i="1"/>
  <c r="K171" i="1" s="1"/>
  <c r="K14" i="1"/>
  <c r="K74" i="1" s="1"/>
  <c r="K32" i="1"/>
  <c r="K244" i="1" s="1"/>
  <c r="L8" i="1"/>
  <c r="M7" i="1" s="1"/>
  <c r="E313" i="26" s="1"/>
  <c r="L10" i="1"/>
  <c r="K31" i="1"/>
  <c r="K227" i="1" s="1"/>
  <c r="K22" i="1"/>
  <c r="K155" i="1" s="1"/>
  <c r="K26" i="1"/>
  <c r="K187" i="1" s="1"/>
  <c r="F297" i="26" l="1"/>
  <c r="J239" i="1"/>
  <c r="M110" i="28"/>
  <c r="M114" i="28" s="1"/>
  <c r="J53" i="1"/>
  <c r="F11" i="26"/>
  <c r="E300" i="26"/>
  <c r="E196" i="26"/>
  <c r="E105" i="26"/>
  <c r="E53" i="26"/>
  <c r="E378" i="26"/>
  <c r="E404" i="26"/>
  <c r="E352" i="26"/>
  <c r="E287" i="26"/>
  <c r="E183" i="26"/>
  <c r="E274" i="26"/>
  <c r="E170" i="26"/>
  <c r="E40" i="26"/>
  <c r="E417" i="26"/>
  <c r="E261" i="26"/>
  <c r="E157" i="26"/>
  <c r="E235" i="26"/>
  <c r="E456" i="26"/>
  <c r="E391" i="26"/>
  <c r="E248" i="26"/>
  <c r="E144" i="26"/>
  <c r="E430" i="26"/>
  <c r="E92" i="26"/>
  <c r="E14" i="26"/>
  <c r="E443" i="26"/>
  <c r="E365" i="26"/>
  <c r="E339" i="26"/>
  <c r="E222" i="26"/>
  <c r="E131" i="26"/>
  <c r="E79" i="26"/>
  <c r="E27" i="26"/>
  <c r="E326" i="26"/>
  <c r="E118" i="26"/>
  <c r="E209" i="26"/>
  <c r="E66" i="26"/>
  <c r="I320" i="1"/>
  <c r="F439" i="26" s="1"/>
  <c r="H331" i="1"/>
  <c r="I316" i="1"/>
  <c r="I322" i="1" s="1"/>
  <c r="K41" i="1"/>
  <c r="L42" i="1"/>
  <c r="L43" i="1"/>
  <c r="J295" i="1"/>
  <c r="K287" i="1"/>
  <c r="F389" i="26" s="1"/>
  <c r="L289" i="1"/>
  <c r="L290" i="1"/>
  <c r="L281" i="1"/>
  <c r="L282" i="1"/>
  <c r="K279" i="1"/>
  <c r="F376" i="26" s="1"/>
  <c r="L274" i="1"/>
  <c r="L273" i="1"/>
  <c r="K271" i="1"/>
  <c r="F363" i="26" s="1"/>
  <c r="J97" i="1"/>
  <c r="L91" i="1"/>
  <c r="L92" i="1"/>
  <c r="K89" i="1"/>
  <c r="F90" i="26" s="1"/>
  <c r="L83" i="1"/>
  <c r="L84" i="1"/>
  <c r="K81" i="1"/>
  <c r="F77" i="26" s="1"/>
  <c r="L76" i="1"/>
  <c r="L75" i="1"/>
  <c r="K73" i="1"/>
  <c r="F64" i="26" s="1"/>
  <c r="L67" i="1"/>
  <c r="L68" i="1"/>
  <c r="K65" i="1"/>
  <c r="F51" i="26" s="1"/>
  <c r="K57" i="1"/>
  <c r="F38" i="26" s="1"/>
  <c r="L59" i="1"/>
  <c r="L60" i="1"/>
  <c r="J267" i="1"/>
  <c r="K259" i="1"/>
  <c r="F350" i="26" s="1"/>
  <c r="L261" i="1"/>
  <c r="L262" i="1"/>
  <c r="L253" i="1"/>
  <c r="L254" i="1"/>
  <c r="K251" i="1"/>
  <c r="F337" i="26" s="1"/>
  <c r="L245" i="1"/>
  <c r="L246" i="1"/>
  <c r="K243" i="1"/>
  <c r="F324" i="26" s="1"/>
  <c r="K129" i="1"/>
  <c r="F142" i="26" s="1"/>
  <c r="L131" i="1"/>
  <c r="L130" i="1"/>
  <c r="L133" i="1"/>
  <c r="L132" i="1"/>
  <c r="L228" i="1"/>
  <c r="L229" i="1"/>
  <c r="K226" i="1"/>
  <c r="L220" i="1"/>
  <c r="L221" i="1"/>
  <c r="K218" i="1"/>
  <c r="F285" i="26" s="1"/>
  <c r="K210" i="1"/>
  <c r="F272" i="26" s="1"/>
  <c r="L212" i="1"/>
  <c r="L213" i="1"/>
  <c r="L204" i="1"/>
  <c r="L205" i="1"/>
  <c r="K202" i="1"/>
  <c r="F259" i="26" s="1"/>
  <c r="K194" i="1"/>
  <c r="F246" i="26" s="1"/>
  <c r="L196" i="1"/>
  <c r="L197" i="1"/>
  <c r="L188" i="1"/>
  <c r="L189" i="1"/>
  <c r="K186" i="1"/>
  <c r="F233" i="26" s="1"/>
  <c r="L180" i="1"/>
  <c r="L181" i="1"/>
  <c r="K178" i="1"/>
  <c r="F220" i="26" s="1"/>
  <c r="K170" i="1"/>
  <c r="F207" i="26" s="1"/>
  <c r="L172" i="1"/>
  <c r="L173" i="1"/>
  <c r="L164" i="1"/>
  <c r="L165" i="1"/>
  <c r="K162" i="1"/>
  <c r="F194" i="26" s="1"/>
  <c r="L157" i="1"/>
  <c r="L156" i="1"/>
  <c r="K154" i="1"/>
  <c r="F181" i="26" s="1"/>
  <c r="L149" i="1"/>
  <c r="L148" i="1"/>
  <c r="K146" i="1"/>
  <c r="F168" i="26" s="1"/>
  <c r="L140" i="1"/>
  <c r="L141" i="1"/>
  <c r="K138" i="1"/>
  <c r="F155" i="26" s="1"/>
  <c r="K117" i="1"/>
  <c r="F129" i="26" s="1"/>
  <c r="J125" i="1"/>
  <c r="L120" i="1"/>
  <c r="L119" i="1"/>
  <c r="L112" i="1"/>
  <c r="L111" i="1"/>
  <c r="K109" i="1"/>
  <c r="F116" i="26" s="1"/>
  <c r="K101" i="1"/>
  <c r="F103" i="26" s="1"/>
  <c r="L103" i="1"/>
  <c r="L104" i="1"/>
  <c r="L34" i="1"/>
  <c r="L260" i="1" s="1"/>
  <c r="L37" i="1"/>
  <c r="L288" i="1" s="1"/>
  <c r="L33" i="1"/>
  <c r="L252" i="1" s="1"/>
  <c r="L36" i="1"/>
  <c r="L280" i="1" s="1"/>
  <c r="L23" i="1"/>
  <c r="L163" i="1" s="1"/>
  <c r="L15" i="1"/>
  <c r="L82" i="1" s="1"/>
  <c r="L31" i="1"/>
  <c r="L227" i="1" s="1"/>
  <c r="L20" i="1"/>
  <c r="L139" i="1" s="1"/>
  <c r="L12" i="1"/>
  <c r="L58" i="1" s="1"/>
  <c r="L14" i="1"/>
  <c r="L74" i="1" s="1"/>
  <c r="L18" i="1"/>
  <c r="L110" i="1" s="1"/>
  <c r="L24" i="1"/>
  <c r="L171" i="1" s="1"/>
  <c r="L22" i="1"/>
  <c r="L155" i="1" s="1"/>
  <c r="L21" i="1"/>
  <c r="L147" i="1" s="1"/>
  <c r="L30" i="1"/>
  <c r="L219" i="1" s="1"/>
  <c r="L32" i="1"/>
  <c r="L244" i="1" s="1"/>
  <c r="L19" i="1"/>
  <c r="L118" i="1" s="1"/>
  <c r="L27" i="1"/>
  <c r="L195" i="1" s="1"/>
  <c r="L26" i="1"/>
  <c r="L187" i="1" s="1"/>
  <c r="L28" i="1"/>
  <c r="L203" i="1" s="1"/>
  <c r="L35" i="1"/>
  <c r="L272" i="1" s="1"/>
  <c r="M8" i="1"/>
  <c r="N7" i="1" s="1"/>
  <c r="E314" i="26" s="1"/>
  <c r="M10" i="1"/>
  <c r="L13" i="1"/>
  <c r="L66" i="1" s="1"/>
  <c r="L17" i="1"/>
  <c r="L102" i="1" s="1"/>
  <c r="L29" i="1"/>
  <c r="L211" i="1" s="1"/>
  <c r="L25" i="1"/>
  <c r="L179" i="1" s="1"/>
  <c r="L16" i="1"/>
  <c r="L90" i="1" s="1"/>
  <c r="F298" i="26" l="1"/>
  <c r="K239" i="1"/>
  <c r="N110" i="28"/>
  <c r="N114" i="28" s="1"/>
  <c r="E405" i="26"/>
  <c r="E353" i="26"/>
  <c r="E288" i="26"/>
  <c r="E184" i="26"/>
  <c r="E444" i="26"/>
  <c r="E223" i="26"/>
  <c r="E275" i="26"/>
  <c r="E171" i="26"/>
  <c r="E41" i="26"/>
  <c r="E418" i="26"/>
  <c r="E262" i="26"/>
  <c r="E158" i="26"/>
  <c r="E340" i="26"/>
  <c r="E457" i="26"/>
  <c r="E392" i="26"/>
  <c r="E249" i="26"/>
  <c r="E145" i="26"/>
  <c r="E366" i="26"/>
  <c r="E80" i="26"/>
  <c r="E28" i="26"/>
  <c r="E431" i="26"/>
  <c r="E379" i="26"/>
  <c r="E236" i="26"/>
  <c r="E93" i="26"/>
  <c r="E15" i="26"/>
  <c r="E132" i="26"/>
  <c r="E327" i="26"/>
  <c r="E210" i="26"/>
  <c r="E119" i="26"/>
  <c r="E67" i="26"/>
  <c r="E301" i="26"/>
  <c r="E106" i="26"/>
  <c r="E197" i="26"/>
  <c r="E54" i="26"/>
  <c r="K53" i="1"/>
  <c r="F12" i="26"/>
  <c r="I324" i="1"/>
  <c r="F452" i="26" s="1"/>
  <c r="J316" i="1"/>
  <c r="J322" i="1" s="1"/>
  <c r="L41" i="1"/>
  <c r="M43" i="1"/>
  <c r="M42" i="1"/>
  <c r="K295" i="1"/>
  <c r="M289" i="1"/>
  <c r="M290" i="1"/>
  <c r="L287" i="1"/>
  <c r="F390" i="26" s="1"/>
  <c r="M282" i="1"/>
  <c r="M281" i="1"/>
  <c r="L279" i="1"/>
  <c r="F377" i="26" s="1"/>
  <c r="M274" i="1"/>
  <c r="M273" i="1"/>
  <c r="L271" i="1"/>
  <c r="F364" i="26" s="1"/>
  <c r="K97" i="1"/>
  <c r="M92" i="1"/>
  <c r="M91" i="1"/>
  <c r="L89" i="1"/>
  <c r="F91" i="26" s="1"/>
  <c r="L81" i="1"/>
  <c r="F78" i="26" s="1"/>
  <c r="M84" i="1"/>
  <c r="M83" i="1"/>
  <c r="M76" i="1"/>
  <c r="M75" i="1"/>
  <c r="L73" i="1"/>
  <c r="F65" i="26" s="1"/>
  <c r="L65" i="1"/>
  <c r="F52" i="26" s="1"/>
  <c r="M67" i="1"/>
  <c r="M68" i="1"/>
  <c r="M60" i="1"/>
  <c r="M59" i="1"/>
  <c r="L57" i="1"/>
  <c r="F39" i="26" s="1"/>
  <c r="K267" i="1"/>
  <c r="M262" i="1"/>
  <c r="M261" i="1"/>
  <c r="L259" i="1"/>
  <c r="F351" i="26" s="1"/>
  <c r="M254" i="1"/>
  <c r="M253" i="1"/>
  <c r="L251" i="1"/>
  <c r="F338" i="26" s="1"/>
  <c r="L243" i="1"/>
  <c r="F325" i="26" s="1"/>
  <c r="M245" i="1"/>
  <c r="M246" i="1"/>
  <c r="L129" i="1"/>
  <c r="F143" i="26" s="1"/>
  <c r="M130" i="1"/>
  <c r="M131" i="1"/>
  <c r="M133" i="1"/>
  <c r="M132" i="1"/>
  <c r="M229" i="1"/>
  <c r="M228" i="1"/>
  <c r="L226" i="1"/>
  <c r="L218" i="1"/>
  <c r="F286" i="26" s="1"/>
  <c r="M220" i="1"/>
  <c r="M221" i="1"/>
  <c r="M213" i="1"/>
  <c r="M212" i="1"/>
  <c r="L210" i="1"/>
  <c r="F273" i="26" s="1"/>
  <c r="M205" i="1"/>
  <c r="M204" i="1"/>
  <c r="L202" i="1"/>
  <c r="F260" i="26" s="1"/>
  <c r="L194" i="1"/>
  <c r="F247" i="26" s="1"/>
  <c r="M197" i="1"/>
  <c r="M196" i="1"/>
  <c r="M189" i="1"/>
  <c r="M188" i="1"/>
  <c r="L186" i="1"/>
  <c r="F234" i="26" s="1"/>
  <c r="M181" i="1"/>
  <c r="M180" i="1"/>
  <c r="L178" i="1"/>
  <c r="F221" i="26" s="1"/>
  <c r="M172" i="1"/>
  <c r="M173" i="1"/>
  <c r="L170" i="1"/>
  <c r="F208" i="26" s="1"/>
  <c r="M165" i="1"/>
  <c r="M164" i="1"/>
  <c r="L162" i="1"/>
  <c r="F195" i="26" s="1"/>
  <c r="L154" i="1"/>
  <c r="F182" i="26" s="1"/>
  <c r="M157" i="1"/>
  <c r="M156" i="1"/>
  <c r="L146" i="1"/>
  <c r="F169" i="26" s="1"/>
  <c r="M149" i="1"/>
  <c r="M148" i="1"/>
  <c r="M140" i="1"/>
  <c r="M141" i="1"/>
  <c r="L138" i="1"/>
  <c r="F156" i="26" s="1"/>
  <c r="L117" i="1"/>
  <c r="F130" i="26" s="1"/>
  <c r="M120" i="1"/>
  <c r="M119" i="1"/>
  <c r="K125" i="1"/>
  <c r="L109" i="1"/>
  <c r="F117" i="26" s="1"/>
  <c r="M111" i="1"/>
  <c r="M112" i="1"/>
  <c r="L101" i="1"/>
  <c r="F104" i="26" s="1"/>
  <c r="M103" i="1"/>
  <c r="M104" i="1"/>
  <c r="M34" i="1"/>
  <c r="M260" i="1" s="1"/>
  <c r="M37" i="1"/>
  <c r="M288" i="1" s="1"/>
  <c r="M33" i="1"/>
  <c r="M252" i="1" s="1"/>
  <c r="M36" i="1"/>
  <c r="M280" i="1" s="1"/>
  <c r="M24" i="1"/>
  <c r="M171" i="1" s="1"/>
  <c r="M32" i="1"/>
  <c r="M244" i="1" s="1"/>
  <c r="M15" i="1"/>
  <c r="M82" i="1" s="1"/>
  <c r="M28" i="1"/>
  <c r="M203" i="1" s="1"/>
  <c r="M27" i="1"/>
  <c r="M195" i="1" s="1"/>
  <c r="M18" i="1"/>
  <c r="M110" i="1" s="1"/>
  <c r="M17" i="1"/>
  <c r="M102" i="1" s="1"/>
  <c r="M35" i="1"/>
  <c r="M272" i="1" s="1"/>
  <c r="M26" i="1"/>
  <c r="M187" i="1" s="1"/>
  <c r="M25" i="1"/>
  <c r="M179" i="1" s="1"/>
  <c r="N8" i="1"/>
  <c r="O7" i="1" s="1"/>
  <c r="E315" i="26" s="1"/>
  <c r="N10" i="1"/>
  <c r="M14" i="1"/>
  <c r="M74" i="1" s="1"/>
  <c r="M23" i="1"/>
  <c r="M163" i="1" s="1"/>
  <c r="M22" i="1"/>
  <c r="M155" i="1" s="1"/>
  <c r="M13" i="1"/>
  <c r="M66" i="1" s="1"/>
  <c r="M31" i="1"/>
  <c r="M227" i="1" s="1"/>
  <c r="M30" i="1"/>
  <c r="M219" i="1" s="1"/>
  <c r="M21" i="1"/>
  <c r="M147" i="1" s="1"/>
  <c r="M12" i="1"/>
  <c r="M58" i="1" s="1"/>
  <c r="M16" i="1"/>
  <c r="M90" i="1" s="1"/>
  <c r="M29" i="1"/>
  <c r="M211" i="1" s="1"/>
  <c r="M20" i="1"/>
  <c r="M139" i="1" s="1"/>
  <c r="M19" i="1"/>
  <c r="M118" i="1" s="1"/>
  <c r="F299" i="26" l="1"/>
  <c r="L239" i="1"/>
  <c r="O110" i="28"/>
  <c r="O114" i="28" s="1"/>
  <c r="I331" i="1"/>
  <c r="J320" i="1"/>
  <c r="F440" i="26" s="1"/>
  <c r="E276" i="26"/>
  <c r="E172" i="26"/>
  <c r="E42" i="26"/>
  <c r="E328" i="26"/>
  <c r="E419" i="26"/>
  <c r="E263" i="26"/>
  <c r="E159" i="26"/>
  <c r="E211" i="26"/>
  <c r="E68" i="26"/>
  <c r="E458" i="26"/>
  <c r="E393" i="26"/>
  <c r="E250" i="26"/>
  <c r="E146" i="26"/>
  <c r="E432" i="26"/>
  <c r="E380" i="26"/>
  <c r="E237" i="26"/>
  <c r="E94" i="26"/>
  <c r="E16" i="26"/>
  <c r="E120" i="26"/>
  <c r="E445" i="26"/>
  <c r="E367" i="26"/>
  <c r="E341" i="26"/>
  <c r="E224" i="26"/>
  <c r="E133" i="26"/>
  <c r="E81" i="26"/>
  <c r="E29" i="26"/>
  <c r="E302" i="26"/>
  <c r="E198" i="26"/>
  <c r="E107" i="26"/>
  <c r="E55" i="26"/>
  <c r="E406" i="26"/>
  <c r="E354" i="26"/>
  <c r="E289" i="26"/>
  <c r="E185" i="26"/>
  <c r="L53" i="1"/>
  <c r="F13" i="26"/>
  <c r="K316" i="1"/>
  <c r="K322" i="1" s="1"/>
  <c r="M41" i="1"/>
  <c r="N43" i="1"/>
  <c r="N42" i="1"/>
  <c r="L295" i="1"/>
  <c r="N290" i="1"/>
  <c r="N289" i="1"/>
  <c r="M287" i="1"/>
  <c r="F391" i="26" s="1"/>
  <c r="M279" i="1"/>
  <c r="F378" i="26" s="1"/>
  <c r="N282" i="1"/>
  <c r="N281" i="1"/>
  <c r="N274" i="1"/>
  <c r="N273" i="1"/>
  <c r="M271" i="1"/>
  <c r="F365" i="26" s="1"/>
  <c r="L97" i="1"/>
  <c r="M89" i="1"/>
  <c r="F92" i="26" s="1"/>
  <c r="N92" i="1"/>
  <c r="N91" i="1"/>
  <c r="M81" i="1"/>
  <c r="F79" i="26" s="1"/>
  <c r="N84" i="1"/>
  <c r="N83" i="1"/>
  <c r="M73" i="1"/>
  <c r="F66" i="26" s="1"/>
  <c r="N76" i="1"/>
  <c r="N75" i="1"/>
  <c r="M65" i="1"/>
  <c r="F53" i="26" s="1"/>
  <c r="N68" i="1"/>
  <c r="N67" i="1"/>
  <c r="M57" i="1"/>
  <c r="F40" i="26" s="1"/>
  <c r="N60" i="1"/>
  <c r="N59" i="1"/>
  <c r="L267" i="1"/>
  <c r="M259" i="1"/>
  <c r="F352" i="26" s="1"/>
  <c r="N262" i="1"/>
  <c r="N261" i="1"/>
  <c r="N254" i="1"/>
  <c r="N253" i="1"/>
  <c r="M251" i="1"/>
  <c r="F339" i="26" s="1"/>
  <c r="M243" i="1"/>
  <c r="F326" i="26" s="1"/>
  <c r="N246" i="1"/>
  <c r="N245" i="1"/>
  <c r="N132" i="1"/>
  <c r="N133" i="1"/>
  <c r="N131" i="1"/>
  <c r="N130" i="1"/>
  <c r="M129" i="1"/>
  <c r="F144" i="26" s="1"/>
  <c r="N229" i="1"/>
  <c r="N228" i="1"/>
  <c r="M226" i="1"/>
  <c r="M218" i="1"/>
  <c r="F287" i="26" s="1"/>
  <c r="N221" i="1"/>
  <c r="N220" i="1"/>
  <c r="N213" i="1"/>
  <c r="N212" i="1"/>
  <c r="M210" i="1"/>
  <c r="F274" i="26" s="1"/>
  <c r="M202" i="1"/>
  <c r="F261" i="26" s="1"/>
  <c r="N205" i="1"/>
  <c r="N204" i="1"/>
  <c r="M194" i="1"/>
  <c r="F248" i="26" s="1"/>
  <c r="N197" i="1"/>
  <c r="N196" i="1"/>
  <c r="M186" i="1"/>
  <c r="F235" i="26" s="1"/>
  <c r="N189" i="1"/>
  <c r="N188" i="1"/>
  <c r="M178" i="1"/>
  <c r="F222" i="26" s="1"/>
  <c r="M170" i="1"/>
  <c r="F209" i="26" s="1"/>
  <c r="N181" i="1"/>
  <c r="N180" i="1"/>
  <c r="N173" i="1"/>
  <c r="N172" i="1"/>
  <c r="M162" i="1"/>
  <c r="F196" i="26" s="1"/>
  <c r="N165" i="1"/>
  <c r="N164" i="1"/>
  <c r="M154" i="1"/>
  <c r="F183" i="26" s="1"/>
  <c r="N157" i="1"/>
  <c r="N156" i="1"/>
  <c r="N149" i="1"/>
  <c r="N148" i="1"/>
  <c r="M146" i="1"/>
  <c r="F170" i="26" s="1"/>
  <c r="M138" i="1"/>
  <c r="F157" i="26" s="1"/>
  <c r="N141" i="1"/>
  <c r="N140" i="1"/>
  <c r="L125" i="1"/>
  <c r="N120" i="1"/>
  <c r="N119" i="1"/>
  <c r="M117" i="1"/>
  <c r="F131" i="26" s="1"/>
  <c r="M109" i="1"/>
  <c r="F118" i="26" s="1"/>
  <c r="N111" i="1"/>
  <c r="N112" i="1"/>
  <c r="M101" i="1"/>
  <c r="F105" i="26" s="1"/>
  <c r="N103" i="1"/>
  <c r="N104" i="1"/>
  <c r="N34" i="1"/>
  <c r="N260" i="1" s="1"/>
  <c r="N37" i="1"/>
  <c r="N288" i="1" s="1"/>
  <c r="N33" i="1"/>
  <c r="N252" i="1" s="1"/>
  <c r="N36" i="1"/>
  <c r="N280" i="1" s="1"/>
  <c r="N31" i="1"/>
  <c r="N227" i="1" s="1"/>
  <c r="N14" i="1"/>
  <c r="N74" i="1" s="1"/>
  <c r="N13" i="1"/>
  <c r="N66" i="1" s="1"/>
  <c r="N21" i="1"/>
  <c r="N147" i="1" s="1"/>
  <c r="N35" i="1"/>
  <c r="N272" i="1" s="1"/>
  <c r="N22" i="1"/>
  <c r="N155" i="1" s="1"/>
  <c r="N29" i="1"/>
  <c r="N211" i="1" s="1"/>
  <c r="N12" i="1"/>
  <c r="N58" i="1" s="1"/>
  <c r="N30" i="1"/>
  <c r="N219" i="1" s="1"/>
  <c r="N27" i="1"/>
  <c r="N195" i="1" s="1"/>
  <c r="N20" i="1"/>
  <c r="N139" i="1" s="1"/>
  <c r="O8" i="1"/>
  <c r="P7" i="1" s="1"/>
  <c r="E316" i="26" s="1"/>
  <c r="O10" i="1"/>
  <c r="N18" i="1"/>
  <c r="N110" i="1" s="1"/>
  <c r="N28" i="1"/>
  <c r="N203" i="1" s="1"/>
  <c r="N16" i="1"/>
  <c r="N90" i="1" s="1"/>
  <c r="N26" i="1"/>
  <c r="N187" i="1" s="1"/>
  <c r="N17" i="1"/>
  <c r="N102" i="1" s="1"/>
  <c r="N24" i="1"/>
  <c r="N171" i="1" s="1"/>
  <c r="N15" i="1"/>
  <c r="N82" i="1" s="1"/>
  <c r="N25" i="1"/>
  <c r="N179" i="1" s="1"/>
  <c r="N32" i="1"/>
  <c r="N244" i="1" s="1"/>
  <c r="N23" i="1"/>
  <c r="N163" i="1" s="1"/>
  <c r="N19" i="1"/>
  <c r="N118" i="1" s="1"/>
  <c r="F300" i="26" l="1"/>
  <c r="M239" i="1"/>
  <c r="P110" i="28"/>
  <c r="P114" i="28" s="1"/>
  <c r="E420" i="26"/>
  <c r="E264" i="26"/>
  <c r="E160" i="26"/>
  <c r="E199" i="26"/>
  <c r="E108" i="26"/>
  <c r="E56" i="26"/>
  <c r="E459" i="26"/>
  <c r="E394" i="26"/>
  <c r="E251" i="26"/>
  <c r="E147" i="26"/>
  <c r="E433" i="26"/>
  <c r="E381" i="26"/>
  <c r="E238" i="26"/>
  <c r="E95" i="26"/>
  <c r="E17" i="26"/>
  <c r="E446" i="26"/>
  <c r="E368" i="26"/>
  <c r="E342" i="26"/>
  <c r="E225" i="26"/>
  <c r="E134" i="26"/>
  <c r="E82" i="26"/>
  <c r="E30" i="26"/>
  <c r="E303" i="26"/>
  <c r="E329" i="26"/>
  <c r="E212" i="26"/>
  <c r="E121" i="26"/>
  <c r="E69" i="26"/>
  <c r="E407" i="26"/>
  <c r="E355" i="26"/>
  <c r="E290" i="26"/>
  <c r="E186" i="26"/>
  <c r="E277" i="26"/>
  <c r="E173" i="26"/>
  <c r="E43" i="26"/>
  <c r="M53" i="1"/>
  <c r="F14" i="26"/>
  <c r="J324" i="1"/>
  <c r="L316" i="1"/>
  <c r="L322" i="1" s="1"/>
  <c r="N41" i="1"/>
  <c r="O43" i="1"/>
  <c r="O42" i="1"/>
  <c r="M295" i="1"/>
  <c r="O290" i="1"/>
  <c r="O289" i="1"/>
  <c r="N287" i="1"/>
  <c r="F392" i="26" s="1"/>
  <c r="N279" i="1"/>
  <c r="F379" i="26" s="1"/>
  <c r="O282" i="1"/>
  <c r="O281" i="1"/>
  <c r="O274" i="1"/>
  <c r="O273" i="1"/>
  <c r="N271" i="1"/>
  <c r="F366" i="26" s="1"/>
  <c r="M97" i="1"/>
  <c r="N89" i="1"/>
  <c r="F93" i="26" s="1"/>
  <c r="O92" i="1"/>
  <c r="O91" i="1"/>
  <c r="N81" i="1"/>
  <c r="F80" i="26" s="1"/>
  <c r="O84" i="1"/>
  <c r="O83" i="1"/>
  <c r="N73" i="1"/>
  <c r="F67" i="26" s="1"/>
  <c r="O76" i="1"/>
  <c r="O75" i="1"/>
  <c r="N65" i="1"/>
  <c r="F54" i="26" s="1"/>
  <c r="O68" i="1"/>
  <c r="O67" i="1"/>
  <c r="N57" i="1"/>
  <c r="F41" i="26" s="1"/>
  <c r="O60" i="1"/>
  <c r="O59" i="1"/>
  <c r="M267" i="1"/>
  <c r="N259" i="1"/>
  <c r="F353" i="26" s="1"/>
  <c r="O262" i="1"/>
  <c r="O261" i="1"/>
  <c r="N251" i="1"/>
  <c r="F340" i="26" s="1"/>
  <c r="O254" i="1"/>
  <c r="O253" i="1"/>
  <c r="O246" i="1"/>
  <c r="O245" i="1"/>
  <c r="N243" i="1"/>
  <c r="F327" i="26" s="1"/>
  <c r="N129" i="1"/>
  <c r="F145" i="26" s="1"/>
  <c r="O131" i="1"/>
  <c r="O132" i="1"/>
  <c r="O133" i="1"/>
  <c r="O130" i="1"/>
  <c r="O229" i="1"/>
  <c r="O228" i="1"/>
  <c r="N226" i="1"/>
  <c r="N218" i="1"/>
  <c r="F288" i="26" s="1"/>
  <c r="O221" i="1"/>
  <c r="O220" i="1"/>
  <c r="O213" i="1"/>
  <c r="O212" i="1"/>
  <c r="N210" i="1"/>
  <c r="F275" i="26" s="1"/>
  <c r="N202" i="1"/>
  <c r="F262" i="26" s="1"/>
  <c r="O205" i="1"/>
  <c r="O204" i="1"/>
  <c r="N194" i="1"/>
  <c r="F249" i="26" s="1"/>
  <c r="O197" i="1"/>
  <c r="O196" i="1"/>
  <c r="N186" i="1"/>
  <c r="F236" i="26" s="1"/>
  <c r="O189" i="1"/>
  <c r="O188" i="1"/>
  <c r="N178" i="1"/>
  <c r="F223" i="26" s="1"/>
  <c r="O180" i="1"/>
  <c r="O181" i="1"/>
  <c r="O173" i="1"/>
  <c r="O172" i="1"/>
  <c r="N170" i="1"/>
  <c r="F210" i="26" s="1"/>
  <c r="N162" i="1"/>
  <c r="F197" i="26" s="1"/>
  <c r="O165" i="1"/>
  <c r="O164" i="1"/>
  <c r="N154" i="1"/>
  <c r="F184" i="26" s="1"/>
  <c r="O157" i="1"/>
  <c r="O156" i="1"/>
  <c r="N146" i="1"/>
  <c r="F171" i="26" s="1"/>
  <c r="O149" i="1"/>
  <c r="O148" i="1"/>
  <c r="N138" i="1"/>
  <c r="F158" i="26" s="1"/>
  <c r="O141" i="1"/>
  <c r="O140" i="1"/>
  <c r="M125" i="1"/>
  <c r="O119" i="1"/>
  <c r="O120" i="1"/>
  <c r="N117" i="1"/>
  <c r="F132" i="26" s="1"/>
  <c r="N109" i="1"/>
  <c r="F119" i="26" s="1"/>
  <c r="O111" i="1"/>
  <c r="O112" i="1"/>
  <c r="O103" i="1"/>
  <c r="O104" i="1"/>
  <c r="N101" i="1"/>
  <c r="F106" i="26" s="1"/>
  <c r="O34" i="1"/>
  <c r="O260" i="1" s="1"/>
  <c r="O36" i="1"/>
  <c r="O280" i="1" s="1"/>
  <c r="O37" i="1"/>
  <c r="O288" i="1" s="1"/>
  <c r="O33" i="1"/>
  <c r="O252" i="1" s="1"/>
  <c r="O14" i="1"/>
  <c r="O74" i="1" s="1"/>
  <c r="O27" i="1"/>
  <c r="O195" i="1" s="1"/>
  <c r="O19" i="1"/>
  <c r="O118" i="1" s="1"/>
  <c r="O21" i="1"/>
  <c r="O147" i="1" s="1"/>
  <c r="O29" i="1"/>
  <c r="O211" i="1" s="1"/>
  <c r="O30" i="1"/>
  <c r="O219" i="1" s="1"/>
  <c r="O15" i="1"/>
  <c r="O82" i="1" s="1"/>
  <c r="O12" i="1"/>
  <c r="O58" i="1" s="1"/>
  <c r="O35" i="1"/>
  <c r="O272" i="1" s="1"/>
  <c r="O25" i="1"/>
  <c r="O179" i="1" s="1"/>
  <c r="O24" i="1"/>
  <c r="O171" i="1" s="1"/>
  <c r="O32" i="1"/>
  <c r="O244" i="1" s="1"/>
  <c r="P8" i="1"/>
  <c r="Q7" i="1" s="1"/>
  <c r="E317" i="26" s="1"/>
  <c r="P10" i="1"/>
  <c r="O13" i="1"/>
  <c r="O66" i="1" s="1"/>
  <c r="O23" i="1"/>
  <c r="O163" i="1" s="1"/>
  <c r="O31" i="1"/>
  <c r="O227" i="1" s="1"/>
  <c r="O18" i="1"/>
  <c r="O110" i="1" s="1"/>
  <c r="O20" i="1"/>
  <c r="O139" i="1" s="1"/>
  <c r="O26" i="1"/>
  <c r="O187" i="1" s="1"/>
  <c r="O28" i="1"/>
  <c r="O203" i="1" s="1"/>
  <c r="O16" i="1"/>
  <c r="O90" i="1" s="1"/>
  <c r="O22" i="1"/>
  <c r="O155" i="1" s="1"/>
  <c r="O17" i="1"/>
  <c r="O102" i="1" s="1"/>
  <c r="F301" i="26" l="1"/>
  <c r="N239" i="1"/>
  <c r="Q110" i="28"/>
  <c r="Q114" i="28" s="1"/>
  <c r="F453" i="26"/>
  <c r="J331" i="1"/>
  <c r="K320" i="1"/>
  <c r="E460" i="26"/>
  <c r="E395" i="26"/>
  <c r="E252" i="26"/>
  <c r="E148" i="26"/>
  <c r="E434" i="26"/>
  <c r="E382" i="26"/>
  <c r="E239" i="26"/>
  <c r="E96" i="26"/>
  <c r="E18" i="26"/>
  <c r="E408" i="26"/>
  <c r="E447" i="26"/>
  <c r="E369" i="26"/>
  <c r="E343" i="26"/>
  <c r="E226" i="26"/>
  <c r="E135" i="26"/>
  <c r="E83" i="26"/>
  <c r="E31" i="26"/>
  <c r="E187" i="26"/>
  <c r="E330" i="26"/>
  <c r="E213" i="26"/>
  <c r="E122" i="26"/>
  <c r="E70" i="26"/>
  <c r="E356" i="26"/>
  <c r="E304" i="26"/>
  <c r="E200" i="26"/>
  <c r="E109" i="26"/>
  <c r="E57" i="26"/>
  <c r="E291" i="26"/>
  <c r="E278" i="26"/>
  <c r="E174" i="26"/>
  <c r="E44" i="26"/>
  <c r="E421" i="26"/>
  <c r="E265" i="26"/>
  <c r="E161" i="26"/>
  <c r="N53" i="1"/>
  <c r="F15" i="26"/>
  <c r="M316" i="1"/>
  <c r="M322" i="1" s="1"/>
  <c r="O41" i="1"/>
  <c r="P43" i="1"/>
  <c r="P42" i="1"/>
  <c r="N295" i="1"/>
  <c r="O287" i="1"/>
  <c r="F393" i="26" s="1"/>
  <c r="P290" i="1"/>
  <c r="P289" i="1"/>
  <c r="O279" i="1"/>
  <c r="F380" i="26" s="1"/>
  <c r="P282" i="1"/>
  <c r="P281" i="1"/>
  <c r="P274" i="1"/>
  <c r="P273" i="1"/>
  <c r="O271" i="1"/>
  <c r="F367" i="26" s="1"/>
  <c r="N97" i="1"/>
  <c r="O89" i="1"/>
  <c r="F94" i="26" s="1"/>
  <c r="P92" i="1"/>
  <c r="P91" i="1"/>
  <c r="O81" i="1"/>
  <c r="F81" i="26" s="1"/>
  <c r="P84" i="1"/>
  <c r="P83" i="1"/>
  <c r="O73" i="1"/>
  <c r="F68" i="26" s="1"/>
  <c r="P76" i="1"/>
  <c r="P75" i="1"/>
  <c r="O65" i="1"/>
  <c r="F55" i="26" s="1"/>
  <c r="P67" i="1"/>
  <c r="P68" i="1"/>
  <c r="O57" i="1"/>
  <c r="F42" i="26" s="1"/>
  <c r="P60" i="1"/>
  <c r="P59" i="1"/>
  <c r="N267" i="1"/>
  <c r="O259" i="1"/>
  <c r="F354" i="26" s="1"/>
  <c r="P262" i="1"/>
  <c r="P261" i="1"/>
  <c r="P253" i="1"/>
  <c r="P254" i="1"/>
  <c r="O251" i="1"/>
  <c r="F341" i="26" s="1"/>
  <c r="P246" i="1"/>
  <c r="P245" i="1"/>
  <c r="O243" i="1"/>
  <c r="F328" i="26" s="1"/>
  <c r="P132" i="1"/>
  <c r="P130" i="1"/>
  <c r="P131" i="1"/>
  <c r="P133" i="1"/>
  <c r="O129" i="1"/>
  <c r="F146" i="26" s="1"/>
  <c r="O226" i="1"/>
  <c r="P229" i="1"/>
  <c r="P228" i="1"/>
  <c r="O218" i="1"/>
  <c r="F289" i="26" s="1"/>
  <c r="P221" i="1"/>
  <c r="P220" i="1"/>
  <c r="P213" i="1"/>
  <c r="P212" i="1"/>
  <c r="O210" i="1"/>
  <c r="F276" i="26" s="1"/>
  <c r="O202" i="1"/>
  <c r="F263" i="26" s="1"/>
  <c r="P205" i="1"/>
  <c r="P204" i="1"/>
  <c r="O194" i="1"/>
  <c r="F250" i="26" s="1"/>
  <c r="P197" i="1"/>
  <c r="P196" i="1"/>
  <c r="P189" i="1"/>
  <c r="P188" i="1"/>
  <c r="O186" i="1"/>
  <c r="F237" i="26" s="1"/>
  <c r="O178" i="1"/>
  <c r="F224" i="26" s="1"/>
  <c r="P181" i="1"/>
  <c r="P180" i="1"/>
  <c r="P173" i="1"/>
  <c r="P172" i="1"/>
  <c r="O170" i="1"/>
  <c r="F211" i="26" s="1"/>
  <c r="O162" i="1"/>
  <c r="F198" i="26" s="1"/>
  <c r="P165" i="1"/>
  <c r="P164" i="1"/>
  <c r="O154" i="1"/>
  <c r="F185" i="26" s="1"/>
  <c r="P157" i="1"/>
  <c r="P156" i="1"/>
  <c r="O146" i="1"/>
  <c r="F172" i="26" s="1"/>
  <c r="P149" i="1"/>
  <c r="P148" i="1"/>
  <c r="O138" i="1"/>
  <c r="F159" i="26" s="1"/>
  <c r="P141" i="1"/>
  <c r="P140" i="1"/>
  <c r="N125" i="1"/>
  <c r="P119" i="1"/>
  <c r="P120" i="1"/>
  <c r="O117" i="1"/>
  <c r="F133" i="26" s="1"/>
  <c r="P112" i="1"/>
  <c r="P111" i="1"/>
  <c r="O109" i="1"/>
  <c r="F120" i="26" s="1"/>
  <c r="P104" i="1"/>
  <c r="P103" i="1"/>
  <c r="O101" i="1"/>
  <c r="F107" i="26" s="1"/>
  <c r="P36" i="1"/>
  <c r="P280" i="1" s="1"/>
  <c r="P34" i="1"/>
  <c r="P260" i="1" s="1"/>
  <c r="P37" i="1"/>
  <c r="P288" i="1" s="1"/>
  <c r="P33" i="1"/>
  <c r="P252" i="1" s="1"/>
  <c r="P14" i="1"/>
  <c r="P74" i="1" s="1"/>
  <c r="P22" i="1"/>
  <c r="P155" i="1" s="1"/>
  <c r="P25" i="1"/>
  <c r="P179" i="1" s="1"/>
  <c r="P32" i="1"/>
  <c r="P244" i="1" s="1"/>
  <c r="P18" i="1"/>
  <c r="P110" i="1" s="1"/>
  <c r="Q10" i="1"/>
  <c r="Q8" i="1"/>
  <c r="R7" i="1" s="1"/>
  <c r="E318" i="26" s="1"/>
  <c r="P16" i="1"/>
  <c r="P90" i="1" s="1"/>
  <c r="P26" i="1"/>
  <c r="P187" i="1" s="1"/>
  <c r="P24" i="1"/>
  <c r="P171" i="1" s="1"/>
  <c r="P15" i="1"/>
  <c r="P82" i="1" s="1"/>
  <c r="P23" i="1"/>
  <c r="P163" i="1" s="1"/>
  <c r="P30" i="1"/>
  <c r="P219" i="1" s="1"/>
  <c r="P13" i="1"/>
  <c r="P66" i="1" s="1"/>
  <c r="P31" i="1"/>
  <c r="P227" i="1" s="1"/>
  <c r="P19" i="1"/>
  <c r="P118" i="1" s="1"/>
  <c r="P21" i="1"/>
  <c r="P147" i="1" s="1"/>
  <c r="P12" i="1"/>
  <c r="P58" i="1" s="1"/>
  <c r="P27" i="1"/>
  <c r="P195" i="1" s="1"/>
  <c r="P29" i="1"/>
  <c r="P211" i="1" s="1"/>
  <c r="P20" i="1"/>
  <c r="P139" i="1" s="1"/>
  <c r="P35" i="1"/>
  <c r="P272" i="1" s="1"/>
  <c r="P17" i="1"/>
  <c r="P102" i="1" s="1"/>
  <c r="P28" i="1"/>
  <c r="P203" i="1" s="1"/>
  <c r="F302" i="26" l="1"/>
  <c r="O239" i="1"/>
  <c r="R110" i="28"/>
  <c r="R114" i="28" s="1"/>
  <c r="S110" i="28" s="1"/>
  <c r="S114" i="28" s="1"/>
  <c r="T110" i="28" s="1"/>
  <c r="T114" i="28" s="1"/>
  <c r="U110" i="28" s="1"/>
  <c r="U114" i="28" s="1"/>
  <c r="V110" i="28" s="1"/>
  <c r="V114" i="28" s="1"/>
  <c r="W110" i="28" s="1"/>
  <c r="W114" i="28" s="1"/>
  <c r="X110" i="28" s="1"/>
  <c r="X114" i="28" s="1"/>
  <c r="Y110" i="28" s="1"/>
  <c r="Y114" i="28" s="1"/>
  <c r="Z110" i="28" s="1"/>
  <c r="Z114" i="28" s="1"/>
  <c r="AA110" i="28" s="1"/>
  <c r="AA114" i="28" s="1"/>
  <c r="AB110" i="28" s="1"/>
  <c r="AB114" i="28" s="1"/>
  <c r="AC110" i="28" s="1"/>
  <c r="AC114" i="28" s="1"/>
  <c r="AD110" i="28" s="1"/>
  <c r="AD114" i="28" s="1"/>
  <c r="AE110" i="28" s="1"/>
  <c r="AE114" i="28" s="1"/>
  <c r="AF110" i="28" s="1"/>
  <c r="AF114" i="28" s="1"/>
  <c r="AG110" i="28" s="1"/>
  <c r="AG114" i="28" s="1"/>
  <c r="AH110" i="28" s="1"/>
  <c r="AH114" i="28" s="1"/>
  <c r="AI110" i="28" s="1"/>
  <c r="AI114" i="28" s="1"/>
  <c r="AJ110" i="28" s="1"/>
  <c r="AJ114" i="28" s="1"/>
  <c r="AK110" i="28" s="1"/>
  <c r="AK114" i="28" s="1"/>
  <c r="AL110" i="28" s="1"/>
  <c r="AL114" i="28" s="1"/>
  <c r="AM110" i="28" s="1"/>
  <c r="AM114" i="28" s="1"/>
  <c r="AN110" i="28" s="1"/>
  <c r="AN114" i="28" s="1"/>
  <c r="AO110" i="28" s="1"/>
  <c r="AO114" i="28" s="1"/>
  <c r="AP110" i="28" s="1"/>
  <c r="AP114" i="28" s="1"/>
  <c r="AQ110" i="28" s="1"/>
  <c r="AQ114" i="28" s="1"/>
  <c r="AR110" i="28" s="1"/>
  <c r="AR114" i="28" s="1"/>
  <c r="AS110" i="28" s="1"/>
  <c r="AS114" i="28" s="1"/>
  <c r="AT110" i="28" s="1"/>
  <c r="AT114" i="28" s="1"/>
  <c r="AU110" i="28" s="1"/>
  <c r="AU114" i="28" s="1"/>
  <c r="AV110" i="28" s="1"/>
  <c r="AV114" i="28" s="1"/>
  <c r="AW110" i="28" s="1"/>
  <c r="AW114" i="28" s="1"/>
  <c r="AX110" i="28" s="1"/>
  <c r="AX114" i="28" s="1"/>
  <c r="AY110" i="28" s="1"/>
  <c r="AY114" i="28" s="1"/>
  <c r="AZ110" i="28" s="1"/>
  <c r="AZ114" i="28" s="1"/>
  <c r="BA110" i="28" s="1"/>
  <c r="BA114" i="28" s="1"/>
  <c r="BB110" i="28" s="1"/>
  <c r="BB114" i="28" s="1"/>
  <c r="BC110" i="28" s="1"/>
  <c r="BC114" i="28" s="1"/>
  <c r="BD110" i="28" s="1"/>
  <c r="BD114" i="28" s="1"/>
  <c r="BE110" i="28" s="1"/>
  <c r="BE114" i="28" s="1"/>
  <c r="E435" i="26"/>
  <c r="E383" i="26"/>
  <c r="E240" i="26"/>
  <c r="E97" i="26"/>
  <c r="E19" i="26"/>
  <c r="E448" i="26"/>
  <c r="E370" i="26"/>
  <c r="E344" i="26"/>
  <c r="E227" i="26"/>
  <c r="E136" i="26"/>
  <c r="E84" i="26"/>
  <c r="E32" i="26"/>
  <c r="E331" i="26"/>
  <c r="E214" i="26"/>
  <c r="E123" i="26"/>
  <c r="E71" i="26"/>
  <c r="E279" i="26"/>
  <c r="E45" i="26"/>
  <c r="E305" i="26"/>
  <c r="E201" i="26"/>
  <c r="E110" i="26"/>
  <c r="E58" i="26"/>
  <c r="E409" i="26"/>
  <c r="E357" i="26"/>
  <c r="E292" i="26"/>
  <c r="E188" i="26"/>
  <c r="E175" i="26"/>
  <c r="E422" i="26"/>
  <c r="E266" i="26"/>
  <c r="E162" i="26"/>
  <c r="E461" i="26"/>
  <c r="E396" i="26"/>
  <c r="E253" i="26"/>
  <c r="E149" i="26"/>
  <c r="O53" i="1"/>
  <c r="F16" i="26"/>
  <c r="F441" i="26"/>
  <c r="K324" i="1"/>
  <c r="N316" i="1"/>
  <c r="N322" i="1" s="1"/>
  <c r="P41" i="1"/>
  <c r="Q42" i="1"/>
  <c r="Q43" i="1"/>
  <c r="O295" i="1"/>
  <c r="P287" i="1"/>
  <c r="F394" i="26" s="1"/>
  <c r="Q290" i="1"/>
  <c r="Q289" i="1"/>
  <c r="Q282" i="1"/>
  <c r="Q281" i="1"/>
  <c r="P279" i="1"/>
  <c r="F381" i="26" s="1"/>
  <c r="Q273" i="1"/>
  <c r="Q274" i="1"/>
  <c r="P271" i="1"/>
  <c r="F368" i="26" s="1"/>
  <c r="O97" i="1"/>
  <c r="P89" i="1"/>
  <c r="F95" i="26" s="1"/>
  <c r="Q92" i="1"/>
  <c r="Q91" i="1"/>
  <c r="P81" i="1"/>
  <c r="F82" i="26" s="1"/>
  <c r="Q84" i="1"/>
  <c r="Q83" i="1"/>
  <c r="P73" i="1"/>
  <c r="F69" i="26" s="1"/>
  <c r="Q75" i="1"/>
  <c r="Q76" i="1"/>
  <c r="P65" i="1"/>
  <c r="F56" i="26" s="1"/>
  <c r="Q68" i="1"/>
  <c r="Q67" i="1"/>
  <c r="Q60" i="1"/>
  <c r="Q59" i="1"/>
  <c r="P57" i="1"/>
  <c r="F43" i="26" s="1"/>
  <c r="O267" i="1"/>
  <c r="P259" i="1"/>
  <c r="F355" i="26" s="1"/>
  <c r="Q262" i="1"/>
  <c r="Q261" i="1"/>
  <c r="Q253" i="1"/>
  <c r="Q254" i="1"/>
  <c r="P251" i="1"/>
  <c r="F342" i="26" s="1"/>
  <c r="P243" i="1"/>
  <c r="F329" i="26" s="1"/>
  <c r="Q246" i="1"/>
  <c r="Q245" i="1"/>
  <c r="Q131" i="1"/>
  <c r="Q130" i="1"/>
  <c r="Q133" i="1"/>
  <c r="P129" i="1"/>
  <c r="F147" i="26" s="1"/>
  <c r="Q132" i="1"/>
  <c r="P226" i="1"/>
  <c r="Q229" i="1"/>
  <c r="Q228" i="1"/>
  <c r="P218" i="1"/>
  <c r="F290" i="26" s="1"/>
  <c r="Q221" i="1"/>
  <c r="Q220" i="1"/>
  <c r="P210" i="1"/>
  <c r="F277" i="26" s="1"/>
  <c r="Q213" i="1"/>
  <c r="Q212" i="1"/>
  <c r="P202" i="1"/>
  <c r="F264" i="26" s="1"/>
  <c r="Q205" i="1"/>
  <c r="Q204" i="1"/>
  <c r="P194" i="1"/>
  <c r="F251" i="26" s="1"/>
  <c r="Q197" i="1"/>
  <c r="Q196" i="1"/>
  <c r="Q189" i="1"/>
  <c r="Q188" i="1"/>
  <c r="P186" i="1"/>
  <c r="F238" i="26" s="1"/>
  <c r="P178" i="1"/>
  <c r="F225" i="26" s="1"/>
  <c r="Q181" i="1"/>
  <c r="Q180" i="1"/>
  <c r="P170" i="1"/>
  <c r="F212" i="26" s="1"/>
  <c r="Q173" i="1"/>
  <c r="Q172" i="1"/>
  <c r="Q165" i="1"/>
  <c r="Q164" i="1"/>
  <c r="P162" i="1"/>
  <c r="F199" i="26" s="1"/>
  <c r="P154" i="1"/>
  <c r="F186" i="26" s="1"/>
  <c r="Q157" i="1"/>
  <c r="Q156" i="1"/>
  <c r="P146" i="1"/>
  <c r="F173" i="26" s="1"/>
  <c r="Q149" i="1"/>
  <c r="Q148" i="1"/>
  <c r="P138" i="1"/>
  <c r="F160" i="26" s="1"/>
  <c r="Q141" i="1"/>
  <c r="Q140" i="1"/>
  <c r="P117" i="1"/>
  <c r="F134" i="26" s="1"/>
  <c r="O125" i="1"/>
  <c r="Q119" i="1"/>
  <c r="Q120" i="1"/>
  <c r="P109" i="1"/>
  <c r="F121" i="26" s="1"/>
  <c r="Q112" i="1"/>
  <c r="Q111" i="1"/>
  <c r="P101" i="1"/>
  <c r="F108" i="26" s="1"/>
  <c r="Q103" i="1"/>
  <c r="Q104" i="1"/>
  <c r="Q33" i="1"/>
  <c r="Q252" i="1" s="1"/>
  <c r="Q36" i="1"/>
  <c r="Q280" i="1" s="1"/>
  <c r="Q34" i="1"/>
  <c r="Q260" i="1" s="1"/>
  <c r="Q37" i="1"/>
  <c r="Q288" i="1" s="1"/>
  <c r="Q12" i="1"/>
  <c r="Q58" i="1" s="1"/>
  <c r="Q13" i="1"/>
  <c r="Q66" i="1" s="1"/>
  <c r="Q19" i="1"/>
  <c r="Q118" i="1" s="1"/>
  <c r="Q21" i="1"/>
  <c r="Q147" i="1" s="1"/>
  <c r="Q20" i="1"/>
  <c r="Q139" i="1" s="1"/>
  <c r="Q27" i="1"/>
  <c r="Q195" i="1" s="1"/>
  <c r="Q29" i="1"/>
  <c r="Q211" i="1" s="1"/>
  <c r="Q17" i="1"/>
  <c r="Q102" i="1" s="1"/>
  <c r="Q35" i="1"/>
  <c r="Q272" i="1" s="1"/>
  <c r="Q18" i="1"/>
  <c r="Q110" i="1" s="1"/>
  <c r="Q25" i="1"/>
  <c r="Q179" i="1" s="1"/>
  <c r="Q16" i="1"/>
  <c r="Q90" i="1" s="1"/>
  <c r="Q26" i="1"/>
  <c r="Q187" i="1" s="1"/>
  <c r="R10" i="1"/>
  <c r="R8" i="1"/>
  <c r="S7" i="1" s="1"/>
  <c r="E319" i="26" s="1"/>
  <c r="Q14" i="1"/>
  <c r="Q74" i="1" s="1"/>
  <c r="Q24" i="1"/>
  <c r="Q171" i="1" s="1"/>
  <c r="Q15" i="1"/>
  <c r="Q82" i="1" s="1"/>
  <c r="Q22" i="1"/>
  <c r="Q155" i="1" s="1"/>
  <c r="Q32" i="1"/>
  <c r="Q244" i="1" s="1"/>
  <c r="Q23" i="1"/>
  <c r="Q163" i="1" s="1"/>
  <c r="Q30" i="1"/>
  <c r="Q219" i="1" s="1"/>
  <c r="Q28" i="1"/>
  <c r="Q203" i="1" s="1"/>
  <c r="Q31" i="1"/>
  <c r="Q227" i="1" s="1"/>
  <c r="F303" i="26" l="1"/>
  <c r="P239" i="1"/>
  <c r="E449" i="26"/>
  <c r="E371" i="26"/>
  <c r="E345" i="26"/>
  <c r="E228" i="26"/>
  <c r="E137" i="26"/>
  <c r="E85" i="26"/>
  <c r="E33" i="26"/>
  <c r="E423" i="26"/>
  <c r="E267" i="26"/>
  <c r="E332" i="26"/>
  <c r="E215" i="26"/>
  <c r="E124" i="26"/>
  <c r="E72" i="26"/>
  <c r="E306" i="26"/>
  <c r="E202" i="26"/>
  <c r="E111" i="26"/>
  <c r="E59" i="26"/>
  <c r="E410" i="26"/>
  <c r="E358" i="26"/>
  <c r="E293" i="26"/>
  <c r="E189" i="26"/>
  <c r="E163" i="26"/>
  <c r="E280" i="26"/>
  <c r="E176" i="26"/>
  <c r="E46" i="26"/>
  <c r="E462" i="26"/>
  <c r="E397" i="26"/>
  <c r="E254" i="26"/>
  <c r="E150" i="26"/>
  <c r="E436" i="26"/>
  <c r="E384" i="26"/>
  <c r="E241" i="26"/>
  <c r="E98" i="26"/>
  <c r="E20" i="26"/>
  <c r="F454" i="26"/>
  <c r="L320" i="1"/>
  <c r="K331" i="1"/>
  <c r="P53" i="1"/>
  <c r="F17" i="26"/>
  <c r="O316" i="1"/>
  <c r="O322" i="1" s="1"/>
  <c r="Q41" i="1"/>
  <c r="R42" i="1"/>
  <c r="R43" i="1"/>
  <c r="P295" i="1"/>
  <c r="Q287" i="1"/>
  <c r="F395" i="26" s="1"/>
  <c r="R289" i="1"/>
  <c r="R290" i="1"/>
  <c r="R281" i="1"/>
  <c r="R282" i="1"/>
  <c r="Q279" i="1"/>
  <c r="F382" i="26" s="1"/>
  <c r="Q271" i="1"/>
  <c r="F369" i="26" s="1"/>
  <c r="R273" i="1"/>
  <c r="R274" i="1"/>
  <c r="P97" i="1"/>
  <c r="Q89" i="1"/>
  <c r="F96" i="26" s="1"/>
  <c r="R91" i="1"/>
  <c r="R92" i="1"/>
  <c r="R83" i="1"/>
  <c r="R84" i="1"/>
  <c r="Q81" i="1"/>
  <c r="F83" i="26" s="1"/>
  <c r="R75" i="1"/>
  <c r="R76" i="1"/>
  <c r="Q73" i="1"/>
  <c r="F70" i="26" s="1"/>
  <c r="R67" i="1"/>
  <c r="R68" i="1"/>
  <c r="Q65" i="1"/>
  <c r="F57" i="26" s="1"/>
  <c r="R60" i="1"/>
  <c r="R59" i="1"/>
  <c r="Q57" i="1"/>
  <c r="F44" i="26" s="1"/>
  <c r="P267" i="1"/>
  <c r="Q259" i="1"/>
  <c r="F356" i="26" s="1"/>
  <c r="R262" i="1"/>
  <c r="R261" i="1"/>
  <c r="R253" i="1"/>
  <c r="R254" i="1"/>
  <c r="Q251" i="1"/>
  <c r="F343" i="26" s="1"/>
  <c r="Q243" i="1"/>
  <c r="F330" i="26" s="1"/>
  <c r="R245" i="1"/>
  <c r="R246" i="1"/>
  <c r="R133" i="1"/>
  <c r="R130" i="1"/>
  <c r="R132" i="1"/>
  <c r="R131" i="1"/>
  <c r="Q129" i="1"/>
  <c r="F148" i="26" s="1"/>
  <c r="Q226" i="1"/>
  <c r="R229" i="1"/>
  <c r="R228" i="1"/>
  <c r="Q218" i="1"/>
  <c r="F291" i="26" s="1"/>
  <c r="R221" i="1"/>
  <c r="R220" i="1"/>
  <c r="Q210" i="1"/>
  <c r="F278" i="26" s="1"/>
  <c r="R213" i="1"/>
  <c r="R212" i="1"/>
  <c r="Q202" i="1"/>
  <c r="F265" i="26" s="1"/>
  <c r="R204" i="1"/>
  <c r="R205" i="1"/>
  <c r="Q194" i="1"/>
  <c r="F252" i="26" s="1"/>
  <c r="R196" i="1"/>
  <c r="R197" i="1"/>
  <c r="R188" i="1"/>
  <c r="R189" i="1"/>
  <c r="Q186" i="1"/>
  <c r="F239" i="26" s="1"/>
  <c r="R180" i="1"/>
  <c r="R181" i="1"/>
  <c r="Q178" i="1"/>
  <c r="F226" i="26" s="1"/>
  <c r="Q170" i="1"/>
  <c r="F213" i="26" s="1"/>
  <c r="R172" i="1"/>
  <c r="R173" i="1"/>
  <c r="R164" i="1"/>
  <c r="R165" i="1"/>
  <c r="Q162" i="1"/>
  <c r="F200" i="26" s="1"/>
  <c r="Q154" i="1"/>
  <c r="F187" i="26" s="1"/>
  <c r="R156" i="1"/>
  <c r="R157" i="1"/>
  <c r="Q146" i="1"/>
  <c r="F174" i="26" s="1"/>
  <c r="R148" i="1"/>
  <c r="R149" i="1"/>
  <c r="Q138" i="1"/>
  <c r="F161" i="26" s="1"/>
  <c r="R140" i="1"/>
  <c r="R141" i="1"/>
  <c r="P125" i="1"/>
  <c r="Q117" i="1"/>
  <c r="F135" i="26" s="1"/>
  <c r="R119" i="1"/>
  <c r="R120" i="1"/>
  <c r="Q109" i="1"/>
  <c r="F122" i="26" s="1"/>
  <c r="R112" i="1"/>
  <c r="R111" i="1"/>
  <c r="Q101" i="1"/>
  <c r="F109" i="26" s="1"/>
  <c r="R103" i="1"/>
  <c r="R104" i="1"/>
  <c r="R33" i="1"/>
  <c r="R252" i="1" s="1"/>
  <c r="R37" i="1"/>
  <c r="R288" i="1" s="1"/>
  <c r="R36" i="1"/>
  <c r="R280" i="1" s="1"/>
  <c r="R34" i="1"/>
  <c r="R260" i="1" s="1"/>
  <c r="R32" i="1"/>
  <c r="R244" i="1" s="1"/>
  <c r="R20" i="1"/>
  <c r="R139" i="1" s="1"/>
  <c r="R28" i="1"/>
  <c r="R203" i="1" s="1"/>
  <c r="R13" i="1"/>
  <c r="R66" i="1" s="1"/>
  <c r="R15" i="1"/>
  <c r="R82" i="1" s="1"/>
  <c r="R21" i="1"/>
  <c r="R147" i="1" s="1"/>
  <c r="R17" i="1"/>
  <c r="R102" i="1" s="1"/>
  <c r="R14" i="1"/>
  <c r="R74" i="1" s="1"/>
  <c r="R22" i="1"/>
  <c r="R155" i="1" s="1"/>
  <c r="R23" i="1"/>
  <c r="R163" i="1" s="1"/>
  <c r="R30" i="1"/>
  <c r="R219" i="1" s="1"/>
  <c r="R12" i="1"/>
  <c r="R58" i="1" s="1"/>
  <c r="R35" i="1"/>
  <c r="R272" i="1" s="1"/>
  <c r="R19" i="1"/>
  <c r="R118" i="1" s="1"/>
  <c r="R29" i="1"/>
  <c r="R211" i="1" s="1"/>
  <c r="R27" i="1"/>
  <c r="R195" i="1" s="1"/>
  <c r="R31" i="1"/>
  <c r="R227" i="1" s="1"/>
  <c r="R18" i="1"/>
  <c r="R110" i="1" s="1"/>
  <c r="R16" i="1"/>
  <c r="R90" i="1" s="1"/>
  <c r="R26" i="1"/>
  <c r="R187" i="1" s="1"/>
  <c r="S10" i="1"/>
  <c r="S8" i="1"/>
  <c r="S21" i="1" s="1"/>
  <c r="S147" i="1" s="1"/>
  <c r="R25" i="1"/>
  <c r="R179" i="1" s="1"/>
  <c r="R24" i="1"/>
  <c r="R171" i="1" s="1"/>
  <c r="F304" i="26" l="1"/>
  <c r="Q239" i="1"/>
  <c r="Q53" i="1"/>
  <c r="F18" i="26"/>
  <c r="F442" i="26"/>
  <c r="L324" i="1"/>
  <c r="P316" i="1"/>
  <c r="P322" i="1" s="1"/>
  <c r="S42" i="1"/>
  <c r="S43" i="1"/>
  <c r="T43" i="1" s="1"/>
  <c r="R41" i="1"/>
  <c r="Q295" i="1"/>
  <c r="R287" i="1"/>
  <c r="F396" i="26" s="1"/>
  <c r="S289" i="1"/>
  <c r="S290" i="1"/>
  <c r="T290" i="1" s="1"/>
  <c r="S281" i="1"/>
  <c r="S282" i="1"/>
  <c r="T282" i="1" s="1"/>
  <c r="R279" i="1"/>
  <c r="F383" i="26" s="1"/>
  <c r="Q97" i="1"/>
  <c r="R271" i="1"/>
  <c r="F370" i="26" s="1"/>
  <c r="S273" i="1"/>
  <c r="S274" i="1"/>
  <c r="T274" i="1" s="1"/>
  <c r="S91" i="1"/>
  <c r="S92" i="1"/>
  <c r="T92" i="1" s="1"/>
  <c r="R89" i="1"/>
  <c r="F97" i="26" s="1"/>
  <c r="R81" i="1"/>
  <c r="F84" i="26" s="1"/>
  <c r="S83" i="1"/>
  <c r="S84" i="1"/>
  <c r="T84" i="1" s="1"/>
  <c r="R73" i="1"/>
  <c r="F71" i="26" s="1"/>
  <c r="S75" i="1"/>
  <c r="S76" i="1"/>
  <c r="T76" i="1" s="1"/>
  <c r="S67" i="1"/>
  <c r="S68" i="1"/>
  <c r="T68" i="1" s="1"/>
  <c r="R65" i="1"/>
  <c r="F58" i="26" s="1"/>
  <c r="S59" i="1"/>
  <c r="S60" i="1"/>
  <c r="T60" i="1" s="1"/>
  <c r="R57" i="1"/>
  <c r="F45" i="26" s="1"/>
  <c r="Q267" i="1"/>
  <c r="S261" i="1"/>
  <c r="S262" i="1"/>
  <c r="T262" i="1" s="1"/>
  <c r="R259" i="1"/>
  <c r="F357" i="26" s="1"/>
  <c r="R251" i="1"/>
  <c r="F344" i="26" s="1"/>
  <c r="S253" i="1"/>
  <c r="S254" i="1"/>
  <c r="T254" i="1" s="1"/>
  <c r="R243" i="1"/>
  <c r="F331" i="26" s="1"/>
  <c r="S245" i="1"/>
  <c r="S246" i="1"/>
  <c r="T246" i="1" s="1"/>
  <c r="S132" i="1"/>
  <c r="T132" i="1" s="1"/>
  <c r="S133" i="1"/>
  <c r="T133" i="1" s="1"/>
  <c r="S131" i="1"/>
  <c r="T131" i="1" s="1"/>
  <c r="S130" i="1"/>
  <c r="R129" i="1"/>
  <c r="F149" i="26" s="1"/>
  <c r="R226" i="1"/>
  <c r="S228" i="1"/>
  <c r="S229" i="1"/>
  <c r="T229" i="1" s="1"/>
  <c r="R218" i="1"/>
  <c r="F292" i="26" s="1"/>
  <c r="S220" i="1"/>
  <c r="S221" i="1"/>
  <c r="T221" i="1" s="1"/>
  <c r="R210" i="1"/>
  <c r="F279" i="26" s="1"/>
  <c r="S212" i="1"/>
  <c r="S213" i="1"/>
  <c r="T213" i="1" s="1"/>
  <c r="S204" i="1"/>
  <c r="S205" i="1"/>
  <c r="T205" i="1" s="1"/>
  <c r="R202" i="1"/>
  <c r="F266" i="26" s="1"/>
  <c r="R194" i="1"/>
  <c r="F253" i="26" s="1"/>
  <c r="S196" i="1"/>
  <c r="S197" i="1"/>
  <c r="T197" i="1" s="1"/>
  <c r="S188" i="1"/>
  <c r="S189" i="1"/>
  <c r="T189" i="1" s="1"/>
  <c r="R186" i="1"/>
  <c r="F240" i="26" s="1"/>
  <c r="T147" i="1"/>
  <c r="S180" i="1"/>
  <c r="S181" i="1"/>
  <c r="T181" i="1" s="1"/>
  <c r="R178" i="1"/>
  <c r="F227" i="26" s="1"/>
  <c r="R170" i="1"/>
  <c r="F214" i="26" s="1"/>
  <c r="S172" i="1"/>
  <c r="S173" i="1"/>
  <c r="T173" i="1" s="1"/>
  <c r="S164" i="1"/>
  <c r="S165" i="1"/>
  <c r="T165" i="1" s="1"/>
  <c r="R162" i="1"/>
  <c r="F201" i="26" s="1"/>
  <c r="S157" i="1"/>
  <c r="T157" i="1" s="1"/>
  <c r="R154" i="1"/>
  <c r="F188" i="26" s="1"/>
  <c r="S156" i="1"/>
  <c r="R146" i="1"/>
  <c r="F175" i="26" s="1"/>
  <c r="S148" i="1"/>
  <c r="S149" i="1"/>
  <c r="T149" i="1" s="1"/>
  <c r="S140" i="1"/>
  <c r="S141" i="1"/>
  <c r="T141" i="1" s="1"/>
  <c r="R138" i="1"/>
  <c r="F162" i="26" s="1"/>
  <c r="S120" i="1"/>
  <c r="T120" i="1" s="1"/>
  <c r="S119" i="1"/>
  <c r="R117" i="1"/>
  <c r="F136" i="26" s="1"/>
  <c r="Q125" i="1"/>
  <c r="R109" i="1"/>
  <c r="F123" i="26" s="1"/>
  <c r="S112" i="1"/>
  <c r="T112" i="1" s="1"/>
  <c r="S111" i="1"/>
  <c r="S103" i="1"/>
  <c r="S104" i="1"/>
  <c r="T104" i="1" s="1"/>
  <c r="R101" i="1"/>
  <c r="F110" i="26" s="1"/>
  <c r="S37" i="1"/>
  <c r="S288" i="1" s="1"/>
  <c r="T288" i="1" s="1"/>
  <c r="S33" i="1"/>
  <c r="S252" i="1" s="1"/>
  <c r="T252" i="1" s="1"/>
  <c r="S36" i="1"/>
  <c r="S280" i="1" s="1"/>
  <c r="T280" i="1" s="1"/>
  <c r="S34" i="1"/>
  <c r="S260" i="1" s="1"/>
  <c r="T260" i="1" s="1"/>
  <c r="S28" i="1"/>
  <c r="S203" i="1" s="1"/>
  <c r="T203" i="1" s="1"/>
  <c r="S12" i="1"/>
  <c r="S58" i="1" s="1"/>
  <c r="T58" i="1" s="1"/>
  <c r="S20" i="1"/>
  <c r="S139" i="1" s="1"/>
  <c r="T139" i="1" s="1"/>
  <c r="S19" i="1"/>
  <c r="S118" i="1" s="1"/>
  <c r="T118" i="1" s="1"/>
  <c r="S27" i="1"/>
  <c r="S195" i="1" s="1"/>
  <c r="T195" i="1" s="1"/>
  <c r="S29" i="1"/>
  <c r="S211" i="1" s="1"/>
  <c r="T211" i="1" s="1"/>
  <c r="S35" i="1"/>
  <c r="S272" i="1" s="1"/>
  <c r="T272" i="1" s="1"/>
  <c r="S16" i="1"/>
  <c r="S90" i="1" s="1"/>
  <c r="T90" i="1" s="1"/>
  <c r="S26" i="1"/>
  <c r="S187" i="1" s="1"/>
  <c r="T187" i="1" s="1"/>
  <c r="S25" i="1"/>
  <c r="S179" i="1" s="1"/>
  <c r="T179" i="1" s="1"/>
  <c r="S24" i="1"/>
  <c r="S171" i="1" s="1"/>
  <c r="T171" i="1" s="1"/>
  <c r="S18" i="1"/>
  <c r="S110" i="1" s="1"/>
  <c r="T110" i="1" s="1"/>
  <c r="S15" i="1"/>
  <c r="S82" i="1" s="1"/>
  <c r="T82" i="1" s="1"/>
  <c r="S32" i="1"/>
  <c r="S244" i="1" s="1"/>
  <c r="T244" i="1" s="1"/>
  <c r="S17" i="1"/>
  <c r="S102" i="1" s="1"/>
  <c r="T102" i="1" s="1"/>
  <c r="S14" i="1"/>
  <c r="S74" i="1" s="1"/>
  <c r="S23" i="1"/>
  <c r="S163" i="1" s="1"/>
  <c r="T163" i="1" s="1"/>
  <c r="S22" i="1"/>
  <c r="S155" i="1" s="1"/>
  <c r="T155" i="1" s="1"/>
  <c r="S13" i="1"/>
  <c r="S66" i="1" s="1"/>
  <c r="T66" i="1" s="1"/>
  <c r="S31" i="1"/>
  <c r="S227" i="1" s="1"/>
  <c r="T227" i="1" s="1"/>
  <c r="S30" i="1"/>
  <c r="S219" i="1" s="1"/>
  <c r="T219" i="1" s="1"/>
  <c r="F305" i="26" l="1"/>
  <c r="R239" i="1"/>
  <c r="F455" i="26"/>
  <c r="M320" i="1"/>
  <c r="L331" i="1"/>
  <c r="R53" i="1"/>
  <c r="F19" i="26"/>
  <c r="Q316" i="1"/>
  <c r="Q322" i="1" s="1"/>
  <c r="S41" i="1"/>
  <c r="F20" i="26" s="1"/>
  <c r="T42" i="1"/>
  <c r="R295" i="1"/>
  <c r="S287" i="1"/>
  <c r="T289" i="1"/>
  <c r="S279" i="1"/>
  <c r="T281" i="1"/>
  <c r="S271" i="1"/>
  <c r="F371" i="26" s="1"/>
  <c r="T273" i="1"/>
  <c r="R97" i="1"/>
  <c r="S89" i="1"/>
  <c r="T91" i="1"/>
  <c r="S81" i="1"/>
  <c r="T83" i="1"/>
  <c r="S73" i="1"/>
  <c r="T75" i="1"/>
  <c r="S65" i="1"/>
  <c r="T67" i="1"/>
  <c r="S57" i="1"/>
  <c r="F46" i="26" s="1"/>
  <c r="T59" i="1"/>
  <c r="R267" i="1"/>
  <c r="S259" i="1"/>
  <c r="T261" i="1"/>
  <c r="S251" i="1"/>
  <c r="T253" i="1"/>
  <c r="S243" i="1"/>
  <c r="F332" i="26" s="1"/>
  <c r="T245" i="1"/>
  <c r="S129" i="1"/>
  <c r="F150" i="26" s="1"/>
  <c r="T130" i="1"/>
  <c r="S226" i="1"/>
  <c r="T228" i="1"/>
  <c r="S218" i="1"/>
  <c r="T220" i="1"/>
  <c r="S210" i="1"/>
  <c r="T212" i="1"/>
  <c r="S202" i="1"/>
  <c r="T204" i="1"/>
  <c r="S194" i="1"/>
  <c r="T196" i="1"/>
  <c r="S186" i="1"/>
  <c r="T188" i="1"/>
  <c r="S178" i="1"/>
  <c r="T180" i="1"/>
  <c r="S170" i="1"/>
  <c r="T172" i="1"/>
  <c r="S162" i="1"/>
  <c r="T164" i="1"/>
  <c r="S154" i="1"/>
  <c r="T156" i="1"/>
  <c r="S146" i="1"/>
  <c r="T148" i="1"/>
  <c r="S138" i="1"/>
  <c r="T140" i="1"/>
  <c r="R125" i="1"/>
  <c r="S117" i="1"/>
  <c r="T119" i="1"/>
  <c r="S109" i="1"/>
  <c r="T111" i="1"/>
  <c r="S101" i="1"/>
  <c r="F111" i="26" s="1"/>
  <c r="T103" i="1"/>
  <c r="S239" i="1" l="1"/>
  <c r="F443" i="26"/>
  <c r="M324" i="1"/>
  <c r="T154" i="1"/>
  <c r="F189" i="26"/>
  <c r="T186" i="1"/>
  <c r="F241" i="26"/>
  <c r="T218" i="1"/>
  <c r="F293" i="26"/>
  <c r="T65" i="1"/>
  <c r="F59" i="26"/>
  <c r="T194" i="1"/>
  <c r="F254" i="26"/>
  <c r="T109" i="1"/>
  <c r="F124" i="26"/>
  <c r="T226" i="1"/>
  <c r="F306" i="26"/>
  <c r="T259" i="1"/>
  <c r="F358" i="26"/>
  <c r="T279" i="1"/>
  <c r="F384" i="26"/>
  <c r="T251" i="1"/>
  <c r="F345" i="26"/>
  <c r="T162" i="1"/>
  <c r="F202" i="26"/>
  <c r="T138" i="1"/>
  <c r="F163" i="26"/>
  <c r="T202" i="1"/>
  <c r="F267" i="26"/>
  <c r="T81" i="1"/>
  <c r="F85" i="26"/>
  <c r="T117" i="1"/>
  <c r="F137" i="26"/>
  <c r="T287" i="1"/>
  <c r="F397" i="26"/>
  <c r="T73" i="1"/>
  <c r="F72" i="26"/>
  <c r="T146" i="1"/>
  <c r="F176" i="26"/>
  <c r="T178" i="1"/>
  <c r="F228" i="26"/>
  <c r="T210" i="1"/>
  <c r="F280" i="26"/>
  <c r="T89" i="1"/>
  <c r="F98" i="26"/>
  <c r="T170" i="1"/>
  <c r="F215" i="26"/>
  <c r="R316" i="1"/>
  <c r="R322" i="1" s="1"/>
  <c r="T41" i="1"/>
  <c r="T53" i="1" s="1"/>
  <c r="S53" i="1"/>
  <c r="T271" i="1"/>
  <c r="S295" i="1"/>
  <c r="T57" i="1"/>
  <c r="S97" i="1"/>
  <c r="T243" i="1"/>
  <c r="S267" i="1"/>
  <c r="T129" i="1"/>
  <c r="T101" i="1"/>
  <c r="S125" i="1"/>
  <c r="T239" i="1" l="1"/>
  <c r="F456" i="26"/>
  <c r="M331" i="1"/>
  <c r="N320" i="1"/>
  <c r="T97" i="1"/>
  <c r="T267" i="1"/>
  <c r="T295" i="1"/>
  <c r="T125" i="1"/>
  <c r="S316" i="1"/>
  <c r="S322" i="1" s="1"/>
  <c r="F444" i="26" l="1"/>
  <c r="N324" i="1"/>
  <c r="T316" i="1"/>
  <c r="F457" i="26" l="1"/>
  <c r="O320" i="1"/>
  <c r="N331" i="1"/>
  <c r="F445" i="26" l="1"/>
  <c r="O324" i="1"/>
  <c r="F458" i="26" l="1"/>
  <c r="O331" i="1"/>
  <c r="P320" i="1"/>
  <c r="F446" i="26" l="1"/>
  <c r="P324" i="1"/>
  <c r="Q320" i="1" l="1"/>
  <c r="F459" i="26"/>
  <c r="P331" i="1"/>
  <c r="F447" i="26" l="1"/>
  <c r="Q324" i="1"/>
  <c r="Q331" i="1" l="1"/>
  <c r="R320" i="1"/>
  <c r="F460" i="26"/>
  <c r="R324" i="1" l="1"/>
  <c r="F448" i="26"/>
  <c r="S320" i="1" l="1"/>
  <c r="R331" i="1"/>
  <c r="F461" i="26"/>
  <c r="S324" i="1" l="1"/>
  <c r="F449" i="26"/>
  <c r="S331" i="1" l="1"/>
  <c r="F462" i="2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<sst xmlns="http://schemas.openxmlformats.org/spreadsheetml/2006/main" count="838" uniqueCount="239">
  <si>
    <t>Week commencing date &gt;&gt;</t>
  </si>
  <si>
    <t>Week ending date &gt;&gt;</t>
  </si>
  <si>
    <t>Week number &gt;&gt;</t>
  </si>
  <si>
    <t>Calendar week &gt;&gt;</t>
  </si>
  <si>
    <t>Actuals / Forecast&gt;&gt;</t>
  </si>
  <si>
    <t>Actual</t>
  </si>
  <si>
    <t>Forecast</t>
  </si>
  <si>
    <t>Total</t>
  </si>
  <si>
    <t>Other trading receipts</t>
  </si>
  <si>
    <t>Telephone</t>
  </si>
  <si>
    <t>Utilities</t>
  </si>
  <si>
    <t>Office &amp; facilities costs</t>
  </si>
  <si>
    <t>Marketing &amp; advertising</t>
  </si>
  <si>
    <t>Professional fees</t>
  </si>
  <si>
    <t>Supplier &amp; Cost of Sales</t>
  </si>
  <si>
    <t>Materials / goods for resale</t>
  </si>
  <si>
    <t>Freight, logistics &amp; distribution</t>
  </si>
  <si>
    <t>Overheads</t>
  </si>
  <si>
    <t>Other overheads</t>
  </si>
  <si>
    <t>Finance Cashflows</t>
  </si>
  <si>
    <t>Bank charges</t>
  </si>
  <si>
    <t>Capex</t>
  </si>
  <si>
    <t>13 week cashflow forecast</t>
  </si>
  <si>
    <t>Lists</t>
  </si>
  <si>
    <t>Week commencing date</t>
  </si>
  <si>
    <t>Invoice number</t>
  </si>
  <si>
    <t>Customer name</t>
  </si>
  <si>
    <t>Invoice date - dd/mm/yyyy</t>
  </si>
  <si>
    <t>Customer master data</t>
  </si>
  <si>
    <t>Payment term description</t>
  </si>
  <si>
    <t>EOM or Net</t>
  </si>
  <si>
    <t>Terms days</t>
  </si>
  <si>
    <t>Mandatory</t>
  </si>
  <si>
    <t>Optional</t>
  </si>
  <si>
    <t>If EOM, insert the days after EOM</t>
  </si>
  <si>
    <t>Supplier name</t>
  </si>
  <si>
    <t>Assumptions</t>
  </si>
  <si>
    <t>Staff Costs</t>
  </si>
  <si>
    <t>Other Staff Costs</t>
  </si>
  <si>
    <t>Cashflow L1</t>
  </si>
  <si>
    <t>Cashflow L2</t>
  </si>
  <si>
    <t>Frequency</t>
  </si>
  <si>
    <t>Day of month / quarterly payment date</t>
  </si>
  <si>
    <t>Quarterly month pattern</t>
  </si>
  <si>
    <t>First payment date (every 2 / 3 week payments)</t>
  </si>
  <si>
    <t>Day of the week (for weekly / 2 weekly / 3 weekly / last X day of month)</t>
  </si>
  <si>
    <t>On / Off</t>
  </si>
  <si>
    <t>Amount</t>
  </si>
  <si>
    <t>Quarterly</t>
  </si>
  <si>
    <t>Last working day of month</t>
  </si>
  <si>
    <t>End of month</t>
  </si>
  <si>
    <t>Specific day of month</t>
  </si>
  <si>
    <t>Last X day of month</t>
  </si>
  <si>
    <t>Weekly</t>
  </si>
  <si>
    <t>Every 2 weeks</t>
  </si>
  <si>
    <t>Every 3 weeks</t>
  </si>
  <si>
    <t>I will phase manually</t>
  </si>
  <si>
    <t>Day of the month</t>
  </si>
  <si>
    <t>Jan / Apr / Jul / Oct</t>
  </si>
  <si>
    <t>Feb / May / Aug / Nov</t>
  </si>
  <si>
    <t>Mar / Jun / Sep / Dec</t>
  </si>
  <si>
    <t>Day of week</t>
  </si>
  <si>
    <t>Monday</t>
  </si>
  <si>
    <t>Tuesday</t>
  </si>
  <si>
    <t>Wednesday</t>
  </si>
  <si>
    <t>Thursday</t>
  </si>
  <si>
    <t>Friday</t>
  </si>
  <si>
    <t>On</t>
  </si>
  <si>
    <t>Category L1</t>
  </si>
  <si>
    <t>Category L2</t>
  </si>
  <si>
    <t>Category lookups</t>
  </si>
  <si>
    <t>Category</t>
  </si>
  <si>
    <t>Dividends</t>
  </si>
  <si>
    <t>Equity injection</t>
  </si>
  <si>
    <t>M&amp;A</t>
  </si>
  <si>
    <t>Trading_Receipts</t>
  </si>
  <si>
    <t>Staff_Costs</t>
  </si>
  <si>
    <t>Finance_Cashflows</t>
  </si>
  <si>
    <t>Investing_Cashflows</t>
  </si>
  <si>
    <t>Supplier_and_Cost_of_Sales</t>
  </si>
  <si>
    <t>Accounts receivable</t>
  </si>
  <si>
    <t>Invoice value inc. VAT</t>
  </si>
  <si>
    <t>Master terms (EOM or Net)</t>
  </si>
  <si>
    <t>Master terms (days)</t>
  </si>
  <si>
    <t>Due date (dd/mm/yyyy)</t>
  </si>
  <si>
    <t>Collection date - override (dd/mm/yyyy)</t>
  </si>
  <si>
    <t>Collection date - output</t>
  </si>
  <si>
    <t>Calculation</t>
  </si>
  <si>
    <t>First month of period</t>
  </si>
  <si>
    <t>First month of period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</si>
  <si>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</si>
  <si>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</si>
  <si>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</si>
  <si>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</si>
  <si>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</si>
  <si>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</si>
  <si>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</si>
  <si>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</si>
  <si>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</si>
  <si>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</si>
  <si>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</si>
  <si>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</si>
  <si>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First month of period no.</t>
  </si>
  <si>
    <t>Monthly</t>
  </si>
  <si>
    <t>VAT module</t>
  </si>
  <si>
    <t>Company info</t>
  </si>
  <si>
    <t>Forecast start date</t>
  </si>
  <si>
    <t>Company name</t>
  </si>
  <si>
    <t>Sales orders</t>
  </si>
  <si>
    <t>Sales order number</t>
  </si>
  <si>
    <t>Expected shipment date - dd/mm/yyyy</t>
  </si>
  <si>
    <t>Cost assumptions</t>
  </si>
  <si>
    <t>Accounts payable</t>
  </si>
  <si>
    <t>Payment date - override (dd/mm/yyyy)</t>
  </si>
  <si>
    <t>Payment date - output</t>
  </si>
  <si>
    <t>Spend category L1</t>
  </si>
  <si>
    <t>Spend category L2</t>
  </si>
  <si>
    <t>Spend category L1 - Override</t>
  </si>
  <si>
    <t>Spend category L2 - Override</t>
  </si>
  <si>
    <t>Spend category L1 - Output</t>
  </si>
  <si>
    <t>Spend category L2 - Output</t>
  </si>
  <si>
    <t>Expected arrival date - dd/mm/yyyy</t>
  </si>
  <si>
    <t>Purchase orders</t>
  </si>
  <si>
    <t>Purchase order number</t>
  </si>
  <si>
    <t>N/A</t>
  </si>
  <si>
    <t>Calculation - Assumptions</t>
  </si>
  <si>
    <t>Calculation - Accounts payable</t>
  </si>
  <si>
    <t>Calculation - Purchase orders</t>
  </si>
  <si>
    <t>[Manual input]</t>
  </si>
  <si>
    <t>Subtotal: Overheads</t>
  </si>
  <si>
    <t>Subtotal: Capex</t>
  </si>
  <si>
    <t>Trading receipts</t>
  </si>
  <si>
    <t>Subtotal: Trading receipts</t>
  </si>
  <si>
    <t>Staff costs</t>
  </si>
  <si>
    <t>Subtotal: Staff costs</t>
  </si>
  <si>
    <t>Supplier &amp; Cost of sales</t>
  </si>
  <si>
    <t>Subtotal: Supplier &amp; Cost of sales</t>
  </si>
  <si>
    <t>Subtotal: Investing cashflows</t>
  </si>
  <si>
    <t>Investing cashflows</t>
  </si>
  <si>
    <t>Subtotal: Finance cashflows</t>
  </si>
  <si>
    <t>Finance cashflows</t>
  </si>
  <si>
    <t>Subtotal: Net cashflow</t>
  </si>
  <si>
    <t>Trade receipts</t>
  </si>
  <si>
    <t>Calculation - Trade receivables</t>
  </si>
  <si>
    <t>Calculation - Sales orders</t>
  </si>
  <si>
    <t>Closing cash</t>
  </si>
  <si>
    <t>Opening cash</t>
  </si>
  <si>
    <t>Net cashflow</t>
  </si>
  <si>
    <t>Credit facilities</t>
  </si>
  <si>
    <t>Total available liquidity</t>
  </si>
  <si>
    <t>Bank postings</t>
  </si>
  <si>
    <t>Data input</t>
  </si>
  <si>
    <t>Calculations</t>
  </si>
  <si>
    <t>Payment categorisation lookup</t>
  </si>
  <si>
    <t>Date</t>
  </si>
  <si>
    <t>Narrative</t>
  </si>
  <si>
    <t>Sub-category</t>
  </si>
  <si>
    <t>Manual override category</t>
  </si>
  <si>
    <t>Manual override sub-category</t>
  </si>
  <si>
    <t>Category (output)</t>
  </si>
  <si>
    <t>Sub-category (output)</t>
  </si>
  <si>
    <t>Contains keywords</t>
  </si>
  <si>
    <t>Payment amount</t>
  </si>
  <si>
    <t>Receipt amount</t>
  </si>
  <si>
    <t>Forecast output table</t>
  </si>
  <si>
    <t>Week commencing</t>
  </si>
  <si>
    <t>BANK CHARGES</t>
  </si>
  <si>
    <t>COPPERGATE SUPPLY</t>
  </si>
  <si>
    <t>FOXBURY FREIGHT</t>
  </si>
  <si>
    <t>ELECTRICITY</t>
  </si>
  <si>
    <t>MARKETING</t>
  </si>
  <si>
    <t>ASHFORD BULK</t>
  </si>
  <si>
    <t>BACS RECEIPT</t>
  </si>
  <si>
    <t>FASTER PYMT RECEIPT</t>
  </si>
  <si>
    <t>BRINDLEY RAW</t>
  </si>
  <si>
    <t>HEXHAM LOGISTICS</t>
  </si>
  <si>
    <t>TELEPHONE</t>
  </si>
  <si>
    <t>XFORD COMPONENTS</t>
  </si>
  <si>
    <t>DRAYFORD MATERIALS</t>
  </si>
  <si>
    <t>GRANDHAVEN STOCK</t>
  </si>
  <si>
    <t>IRONVALE DISTRIBUTION</t>
  </si>
  <si>
    <t>KELWICK TRADE</t>
  </si>
  <si>
    <t>PROFESSIONAL FEES</t>
  </si>
  <si>
    <t>STAFF EXPENSES</t>
  </si>
  <si>
    <t>RIDGEMILL TRADE</t>
  </si>
  <si>
    <t>TAMWORTH RAW</t>
  </si>
  <si>
    <t>MERTON DISPATCH</t>
  </si>
  <si>
    <t>MORWICK STOCK</t>
  </si>
  <si>
    <t>DIGITAL ADS</t>
  </si>
  <si>
    <t>CARD SETTLEMENT</t>
  </si>
  <si>
    <t>Forecast versions</t>
  </si>
  <si>
    <t>Version name</t>
  </si>
  <si>
    <t>Cash actuals</t>
  </si>
  <si>
    <t>Actuals</t>
  </si>
  <si>
    <t>Dashboard</t>
  </si>
  <si>
    <t>Week commencing &gt;&gt;</t>
  </si>
  <si>
    <t>Version &gt;&gt;</t>
  </si>
  <si>
    <t>Forecast / Actuals &gt;&gt;</t>
  </si>
  <si>
    <t>Actuals vs, Forecast (amount)</t>
  </si>
  <si>
    <t>Actuals vs, Forecast (%)</t>
  </si>
  <si>
    <t>Forecast vs Actuals</t>
  </si>
  <si>
    <t>Supplier master data</t>
  </si>
  <si>
    <t>Index</t>
  </si>
  <si>
    <t>Outputs</t>
  </si>
  <si>
    <t>&gt;&gt;</t>
  </si>
  <si>
    <t>Click here</t>
  </si>
  <si>
    <t>Showing net cashflow, closing cash, and closing liquidity charts</t>
  </si>
  <si>
    <t>Table showing your cash actuals</t>
  </si>
  <si>
    <t>Data output of the forecast into a pivoted format</t>
  </si>
  <si>
    <t>This is where you paste the latest version of your forecast data so you can keep an audit trail</t>
  </si>
  <si>
    <t>This is where you input specific cost assumptions regarding amounts and timings</t>
  </si>
  <si>
    <t>This is where you upload your bank transactions so you can view your cash actuals</t>
  </si>
  <si>
    <t>This is where you upload your open customer receivables so they flow into the face of your cashflow forecast</t>
  </si>
  <si>
    <t>This is where you upload your sales orders with customers so they flow into the face of your cashflow forecast</t>
  </si>
  <si>
    <t>This is where you maintain a list of all your customers and their payment terms</t>
  </si>
  <si>
    <t>Lookups</t>
  </si>
  <si>
    <t>This drives the dropdown selectors in the Bank postings tab. Nothing to update here.</t>
  </si>
  <si>
    <t>This drives some dropdown selectors in the Assumptions tab. Nothing to update here.</t>
  </si>
  <si>
    <t>Table showing your 13 week cashflow forecast</t>
  </si>
  <si>
    <t>CFF</t>
  </si>
  <si>
    <t>Inputs</t>
  </si>
  <si>
    <t>This is where you upload your open supplier payables so they flow into the face of your cashflow forecast</t>
  </si>
  <si>
    <t>This is where you upload your purchase orders with suppliers so they flow into the face of your cashflow forecast</t>
  </si>
  <si>
    <t>This is where you maintain a list of all your suppliers and their payment terms</t>
  </si>
  <si>
    <t>GST %</t>
  </si>
  <si>
    <t>GST filing frequency</t>
  </si>
  <si>
    <t>GST applies?</t>
  </si>
  <si>
    <t>GST amount</t>
  </si>
  <si>
    <t>GST payment date</t>
  </si>
  <si>
    <t>Invoice value inc. GST</t>
  </si>
  <si>
    <t>GST collection date</t>
  </si>
  <si>
    <t>Value inc. GST</t>
  </si>
  <si>
    <t>GST payments / receipts</t>
  </si>
  <si>
    <t>Calculation - Output GST payment - Accounts receivable</t>
  </si>
  <si>
    <t>Calculation - Output GST payment - Sales orders</t>
  </si>
  <si>
    <t>Calculation - Input GST receipt - Accounts payable</t>
  </si>
  <si>
    <t>Calculation - Input GST receipt - Purchase orders</t>
  </si>
  <si>
    <t>Example Company Australia</t>
  </si>
  <si>
    <t>Corporation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</si>
</sst>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\(#,##0\);&quot;-&quot;"/>
    <numFmt numFmtId="165" formatCode="_-* #,##0_-;\-* #,##0_-;_-* &quot;-&quot;??_-;_-@_-"/>
    <numFmt numFmtId="166" formatCode="#,##0_);\(#,##0\);\-_)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0"/>
      <color theme="3"/>
      <name val="Aptos Narrow"/>
      <family val="2"/>
      <scheme val="minor"/>
    </font>
    <font>
      <i/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4" fontId="1" fillId="3" borderId="1" xfId="0" applyNumberFormat="1" applyFont="1" applyFill="1" applyBorder="1"/>
    <xf numFmtId="14" fontId="3" fillId="2" borderId="1" xfId="0" applyNumberFormat="1" applyFont="1" applyFill="1" applyBorder="1"/>
    <xf numFmtId="14" fontId="3" fillId="4" borderId="2" xfId="0" applyNumberFormat="1" applyFont="1" applyFill="1" applyBorder="1"/>
    <xf numFmtId="14" fontId="3" fillId="4" borderId="4" xfId="0" applyNumberFormat="1" applyFont="1" applyFill="1" applyBorder="1"/>
    <xf numFmtId="0" fontId="3" fillId="2" borderId="1" xfId="0" applyFont="1" applyFill="1" applyBorder="1"/>
    <xf numFmtId="0" fontId="3" fillId="4" borderId="4" xfId="0" applyFont="1" applyFill="1" applyBorder="1"/>
    <xf numFmtId="0" fontId="4" fillId="2" borderId="1" xfId="0" applyFont="1" applyFill="1" applyBorder="1" applyAlignment="1">
      <alignment horizontal="right"/>
    </xf>
    <xf numFmtId="14" fontId="5" fillId="4" borderId="3" xfId="0" applyNumberFormat="1" applyFont="1" applyFill="1" applyBorder="1" applyAlignment="1">
      <alignment horizontal="right"/>
    </xf>
    <xf numFmtId="0" fontId="6" fillId="5" borderId="0" xfId="0" applyFont="1" applyFill="1"/>
    <xf numFmtId="0" fontId="1" fillId="5" borderId="0" xfId="0" applyFont="1" applyFill="1"/>
    <xf numFmtId="0" fontId="6" fillId="0" borderId="0" xfId="0" applyFont="1"/>
    <xf numFmtId="164" fontId="1" fillId="5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14" fontId="1" fillId="0" borderId="0" xfId="0" applyNumberFormat="1" applyFont="1"/>
    <xf numFmtId="14" fontId="1" fillId="0" borderId="1" xfId="0" applyNumberFormat="1" applyFont="1" applyBorder="1"/>
    <xf numFmtId="0" fontId="1" fillId="3" borderId="1" xfId="0" applyFont="1" applyFill="1" applyBorder="1"/>
    <xf numFmtId="0" fontId="1" fillId="3" borderId="5" xfId="0" applyFont="1" applyFill="1" applyBorder="1"/>
    <xf numFmtId="0" fontId="1" fillId="0" borderId="1" xfId="0" applyFont="1" applyBorder="1"/>
    <xf numFmtId="0" fontId="3" fillId="2" borderId="1" xfId="0" applyFont="1" applyFill="1" applyBorder="1" applyAlignment="1">
      <alignment horizontal="right"/>
    </xf>
    <xf numFmtId="0" fontId="1" fillId="3" borderId="6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8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2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3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5" fontId="1" fillId="3" borderId="1" xfId="1" applyNumberFormat="1" applyFont="1" applyFill="1" applyBorder="1" applyAlignment="1">
      <alignment horizontal="right"/>
    </xf>
    <xf numFmtId="0" fontId="1" fillId="7" borderId="1" xfId="0" applyFont="1" applyFill="1" applyBorder="1"/>
    <xf numFmtId="14" fontId="1" fillId="7" borderId="1" xfId="0" applyNumberFormat="1" applyFont="1" applyFill="1" applyBorder="1"/>
    <xf numFmtId="43" fontId="1" fillId="3" borderId="1" xfId="1" applyFont="1" applyFill="1" applyBorder="1"/>
    <xf numFmtId="0" fontId="1" fillId="3" borderId="12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8" xfId="0" applyFont="1" applyFill="1" applyBorder="1"/>
    <xf numFmtId="14" fontId="1" fillId="3" borderId="2" xfId="0" applyNumberFormat="1" applyFont="1" applyFill="1" applyBorder="1"/>
    <xf numFmtId="43" fontId="1" fillId="3" borderId="2" xfId="1" applyFont="1" applyFill="1" applyBorder="1"/>
    <xf numFmtId="0" fontId="1" fillId="3" borderId="11" xfId="0" applyFont="1" applyFill="1" applyBorder="1"/>
    <xf numFmtId="9" fontId="2" fillId="6" borderId="1" xfId="0" applyNumberFormat="1" applyFont="1" applyFill="1" applyBorder="1"/>
    <xf numFmtId="43" fontId="1" fillId="6" borderId="1" xfId="1" applyFont="1" applyFill="1" applyBorder="1"/>
    <xf numFmtId="14" fontId="1" fillId="6" borderId="1" xfId="0" applyNumberFormat="1" applyFont="1" applyFill="1" applyBorder="1"/>
    <xf numFmtId="0" fontId="1" fillId="5" borderId="0" xfId="0" applyFont="1" applyFill="1" applyAlignment="1">
      <alignment horizontal="right"/>
    </xf>
    <xf numFmtId="14" fontId="1" fillId="3" borderId="1" xfId="1" applyNumberFormat="1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9" fontId="2" fillId="6" borderId="5" xfId="0" applyNumberFormat="1" applyFont="1" applyFill="1" applyBorder="1"/>
    <xf numFmtId="0" fontId="1" fillId="6" borderId="1" xfId="0" applyFont="1" applyFill="1" applyBorder="1" applyAlignment="1">
      <alignment horizontal="center"/>
    </xf>
    <xf numFmtId="9" fontId="2" fillId="3" borderId="1" xfId="0" applyNumberFormat="1" applyFont="1" applyFill="1" applyBorder="1" applyAlignment="1">
      <alignment horizontal="center"/>
    </xf>
    <xf numFmtId="9" fontId="2" fillId="3" borderId="1" xfId="0" applyNumberFormat="1" applyFont="1" applyFill="1" applyBorder="1"/>
    <xf numFmtId="9" fontId="1" fillId="3" borderId="1" xfId="0" applyNumberFormat="1" applyFont="1" applyFill="1" applyBorder="1"/>
    <xf numFmtId="9" fontId="1" fillId="6" borderId="1" xfId="0" applyNumberFormat="1" applyFont="1" applyFill="1" applyBorder="1"/>
    <xf numFmtId="9" fontId="1" fillId="6" borderId="5" xfId="0" applyNumberFormat="1" applyFont="1" applyFill="1" applyBorder="1"/>
    <xf numFmtId="0" fontId="1" fillId="6" borderId="0" xfId="0" applyFont="1" applyFill="1"/>
    <xf numFmtId="0" fontId="2" fillId="6" borderId="0" xfId="0" applyFont="1" applyFill="1" applyAlignment="1">
      <alignment horizontal="right"/>
    </xf>
    <xf numFmtId="166" fontId="1" fillId="0" borderId="0" xfId="0" applyNumberFormat="1" applyFont="1"/>
    <xf numFmtId="0" fontId="3" fillId="2" borderId="7" xfId="0" applyFont="1" applyFill="1" applyBorder="1" applyAlignment="1">
      <alignment horizontal="right"/>
    </xf>
    <xf numFmtId="9" fontId="2" fillId="6" borderId="6" xfId="0" applyNumberFormat="1" applyFont="1" applyFill="1" applyBorder="1"/>
    <xf numFmtId="9" fontId="2" fillId="6" borderId="12" xfId="0" applyNumberFormat="1" applyFont="1" applyFill="1" applyBorder="1"/>
    <xf numFmtId="0" fontId="1" fillId="6" borderId="5" xfId="0" applyFont="1" applyFill="1" applyBorder="1"/>
    <xf numFmtId="166" fontId="1" fillId="3" borderId="1" xfId="0" applyNumberFormat="1" applyFont="1" applyFill="1" applyBorder="1"/>
    <xf numFmtId="166" fontId="1" fillId="6" borderId="1" xfId="0" applyNumberFormat="1" applyFont="1" applyFill="1" applyBorder="1"/>
    <xf numFmtId="0" fontId="1" fillId="6" borderId="1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left" indent="1"/>
    </xf>
    <xf numFmtId="166" fontId="1" fillId="0" borderId="1" xfId="0" applyNumberFormat="1" applyFont="1" applyBorder="1"/>
    <xf numFmtId="166" fontId="6" fillId="6" borderId="1" xfId="0" applyNumberFormat="1" applyFont="1" applyFill="1" applyBorder="1"/>
    <xf numFmtId="166" fontId="6" fillId="0" borderId="1" xfId="0" applyNumberFormat="1" applyFont="1" applyBorder="1"/>
    <xf numFmtId="166" fontId="1" fillId="6" borderId="0" xfId="0" applyNumberFormat="1" applyFont="1" applyFill="1"/>
    <xf numFmtId="166" fontId="6" fillId="0" borderId="11" xfId="0" applyNumberFormat="1" applyFont="1" applyBorder="1"/>
    <xf numFmtId="14" fontId="3" fillId="8" borderId="0" xfId="0" applyNumberFormat="1" applyFont="1" applyFill="1"/>
    <xf numFmtId="14" fontId="3" fillId="8" borderId="1" xfId="0" applyNumberFormat="1" applyFont="1" applyFill="1" applyBorder="1"/>
    <xf numFmtId="0" fontId="3" fillId="8" borderId="1" xfId="0" applyFont="1" applyFill="1" applyBorder="1"/>
    <xf numFmtId="0" fontId="4" fillId="8" borderId="1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5" fillId="2" borderId="5" xfId="0" applyFont="1" applyFill="1" applyBorder="1"/>
    <xf numFmtId="0" fontId="3" fillId="2" borderId="12" xfId="0" applyFont="1" applyFill="1" applyBorder="1"/>
    <xf numFmtId="0" fontId="3" fillId="2" borderId="6" xfId="0" applyFont="1" applyFill="1" applyBorder="1"/>
    <xf numFmtId="0" fontId="5" fillId="4" borderId="5" xfId="0" applyFont="1" applyFill="1" applyBorder="1"/>
    <xf numFmtId="0" fontId="5" fillId="4" borderId="12" xfId="0" applyFont="1" applyFill="1" applyBorder="1"/>
    <xf numFmtId="0" fontId="5" fillId="4" borderId="6" xfId="0" applyFont="1" applyFill="1" applyBorder="1"/>
    <xf numFmtId="0" fontId="5" fillId="2" borderId="0" xfId="0" applyFont="1" applyFill="1"/>
    <xf numFmtId="0" fontId="3" fillId="4" borderId="8" xfId="0" applyFont="1" applyFill="1" applyBorder="1" applyAlignment="1">
      <alignment horizontal="right"/>
    </xf>
    <xf numFmtId="0" fontId="3" fillId="4" borderId="3" xfId="0" applyFont="1" applyFill="1" applyBorder="1"/>
    <xf numFmtId="0" fontId="3" fillId="4" borderId="1" xfId="0" applyFont="1" applyFill="1" applyBorder="1"/>
    <xf numFmtId="165" fontId="1" fillId="6" borderId="8" xfId="1" applyNumberFormat="1" applyFont="1" applyFill="1" applyBorder="1"/>
    <xf numFmtId="0" fontId="1" fillId="6" borderId="3" xfId="0" applyFont="1" applyFill="1" applyBorder="1"/>
    <xf numFmtId="165" fontId="1" fillId="6" borderId="5" xfId="1" applyNumberFormat="1" applyFont="1" applyFill="1" applyBorder="1"/>
    <xf numFmtId="165" fontId="1" fillId="6" borderId="10" xfId="1" applyNumberFormat="1" applyFont="1" applyFill="1" applyBorder="1"/>
    <xf numFmtId="0" fontId="1" fillId="6" borderId="2" xfId="0" applyFont="1" applyFill="1" applyBorder="1"/>
    <xf numFmtId="165" fontId="1" fillId="6" borderId="1" xfId="1" applyNumberFormat="1" applyFont="1" applyFill="1" applyBorder="1"/>
    <xf numFmtId="165" fontId="1" fillId="6" borderId="2" xfId="1" applyNumberFormat="1" applyFont="1" applyFill="1" applyBorder="1"/>
    <xf numFmtId="43" fontId="1" fillId="0" borderId="0" xfId="1" applyFont="1"/>
    <xf numFmtId="43" fontId="1" fillId="0" borderId="1" xfId="1" applyFont="1" applyBorder="1"/>
    <xf numFmtId="43" fontId="1" fillId="3" borderId="5" xfId="1" applyFont="1" applyFill="1" applyBorder="1"/>
    <xf numFmtId="43" fontId="1" fillId="3" borderId="10" xfId="1" applyFont="1" applyFill="1" applyBorder="1"/>
    <xf numFmtId="14" fontId="1" fillId="3" borderId="2" xfId="1" applyNumberFormat="1" applyFont="1" applyFill="1" applyBorder="1"/>
    <xf numFmtId="166" fontId="6" fillId="6" borderId="11" xfId="0" applyNumberFormat="1" applyFont="1" applyFill="1" applyBorder="1"/>
    <xf numFmtId="1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left" indent="1"/>
    </xf>
    <xf numFmtId="14" fontId="1" fillId="3" borderId="1" xfId="0" applyNumberFormat="1" applyFont="1" applyFill="1" applyBorder="1" applyAlignment="1">
      <alignment horizontal="right" vertical="center"/>
    </xf>
    <xf numFmtId="165" fontId="1" fillId="0" borderId="1" xfId="1" applyNumberFormat="1" applyFont="1" applyBorder="1"/>
    <xf numFmtId="9" fontId="2" fillId="0" borderId="1" xfId="2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2" fillId="6" borderId="1" xfId="3" applyFont="1" applyFill="1" applyBorder="1" applyAlignment="1">
      <alignment horizontal="center"/>
    </xf>
    <xf numFmtId="0" fontId="13" fillId="6" borderId="1" xfId="3" applyFont="1" applyFill="1" applyBorder="1" applyAlignment="1">
      <alignment horizontal="left"/>
    </xf>
    <xf numFmtId="0" fontId="14" fillId="0" borderId="0" xfId="0" applyFont="1"/>
    <xf numFmtId="0" fontId="1" fillId="9" borderId="0" xfId="0" applyFont="1" applyFill="1"/>
    <xf numFmtId="0" fontId="0" fillId="9" borderId="0" xfId="0" applyFill="1"/>
    <xf numFmtId="165" fontId="1" fillId="0" borderId="0" xfId="1" applyNumberFormat="1" applyFont="1" applyBorder="1"/>
    <xf numFmtId="9" fontId="2" fillId="0" borderId="0" xfId="2" applyFont="1" applyBorder="1"/>
    <xf numFmtId="0" fontId="15" fillId="0" borderId="0" xfId="0" applyFont="1"/>
    <xf numFmtId="0" fontId="5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 cent" xfId="2" builtinId="5"/>
  </cellStyles>
  <dxfs count="157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_-* #,##0_-;\-* #,##0_-;_-* &quot;-&quot;??_-;_-@_-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Net cashflow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Net cashflow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21</c:v>
                </c:pt>
                <c:pt idx="4">
                  <c:v>28</c:v>
                </c:pt>
                <c:pt idx="5">
                  <c:v>35</c:v>
                </c:pt>
                <c:pt idx="6">
                  <c:v>42</c:v>
                </c:pt>
                <c:pt idx="7">
                  <c:v>49</c:v>
                </c:pt>
                <c:pt idx="8">
                  <c:v>56</c:v>
                </c:pt>
                <c:pt idx="9">
                  <c:v>63</c:v>
                </c:pt>
                <c:pt idx="10">
                  <c:v>70</c:v>
                </c:pt>
                <c:pt idx="11">
                  <c:v>77</c:v>
                </c:pt>
                <c:pt idx="12">
                  <c:v>84</c:v>
                </c:pt>
              </c:numCache>
            </c:numRef>
          </c:cat>
          <c:val>
            <c:numRef>
              <c:f>CFF!$G$316:$S$316</c:f>
              <c:numCache>
                <c:formatCode>#,##0_);\(#,##0\);\-_)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C6-4E75-A7DC-3D37D2C4E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/>
              <a:t>Closing cash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cash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21</c:v>
                </c:pt>
                <c:pt idx="4">
                  <c:v>28</c:v>
                </c:pt>
                <c:pt idx="5">
                  <c:v>35</c:v>
                </c:pt>
                <c:pt idx="6">
                  <c:v>42</c:v>
                </c:pt>
                <c:pt idx="7">
                  <c:v>49</c:v>
                </c:pt>
                <c:pt idx="8">
                  <c:v>56</c:v>
                </c:pt>
                <c:pt idx="9">
                  <c:v>63</c:v>
                </c:pt>
                <c:pt idx="10">
                  <c:v>70</c:v>
                </c:pt>
                <c:pt idx="11">
                  <c:v>77</c:v>
                </c:pt>
                <c:pt idx="12">
                  <c:v>84</c:v>
                </c:pt>
              </c:numCache>
            </c:numRef>
          </c:cat>
          <c:val>
            <c:numRef>
              <c:f>CFF!$G$324:$S$324</c:f>
              <c:numCache>
                <c:formatCode>#,##0_);\(#,##0\);\-_)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52-4B3A-AB04-9BEF31DF0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/>
              <a:t>Closing liquidity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liquidity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21</c:v>
                </c:pt>
                <c:pt idx="4">
                  <c:v>28</c:v>
                </c:pt>
                <c:pt idx="5">
                  <c:v>35</c:v>
                </c:pt>
                <c:pt idx="6">
                  <c:v>42</c:v>
                </c:pt>
                <c:pt idx="7">
                  <c:v>49</c:v>
                </c:pt>
                <c:pt idx="8">
                  <c:v>56</c:v>
                </c:pt>
                <c:pt idx="9">
                  <c:v>63</c:v>
                </c:pt>
                <c:pt idx="10">
                  <c:v>70</c:v>
                </c:pt>
                <c:pt idx="11">
                  <c:v>77</c:v>
                </c:pt>
                <c:pt idx="12">
                  <c:v>84</c:v>
                </c:pt>
              </c:numCache>
            </c:numRef>
          </c:cat>
          <c:val>
            <c:numRef>
              <c:f>CFF!$G$331:$S$331</c:f>
              <c:numCache>
                <c:formatCode>#,##0_);\(#,##0\);\-_)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0A-4046-8840-34B455C28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0</xdr:colOff>
      <xdr:row>38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A44E53-1EAB-4F27-A303-7895EA935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20800" cy="7239000"/>
        </a:xfrm>
        <a:prstGeom prst="rect">
          <a:avLst/>
        </a:prstGeom>
      </xdr:spPr>
    </xdr:pic>
    <xdr:clientData/>
  </xdr:twoCellAnchor>
  <xdr:twoCellAnchor>
    <xdr:from>
      <xdr:col>0</xdr:col>
      <xdr:colOff>209549</xdr:colOff>
      <xdr:row>10</xdr:row>
      <xdr:rowOff>60511</xdr:rowOff>
    </xdr:from>
    <xdr:to>
      <xdr:col>22</xdr:col>
      <xdr:colOff>390524</xdr:colOff>
      <xdr:row>36</xdr:row>
      <xdr:rowOff>165286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97C21BD-E901-4E9E-B8ED-350914F869A4}"/>
            </a:ext>
          </a:extLst>
        </xdr:cNvPr>
        <xdr:cNvSpPr/>
      </xdr:nvSpPr>
      <xdr:spPr>
        <a:xfrm>
          <a:off x="209549" y="1965511"/>
          <a:ext cx="13592175" cy="505777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0">
              <a:solidFill>
                <a:schemeClr val="bg1"/>
              </a:solidFill>
            </a:rPr>
            <a:t>IMPORTANT: TERMS OF USE &amp; LIMITATION OF LIABILITY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0">
              <a:solidFill>
                <a:schemeClr val="bg1"/>
              </a:solidFill>
            </a:rPr>
            <a:t>By using this Excel Template (the "Template"), you acknowledge and agree to the following: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1. Educational &amp; Inspirational Tool Only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This Template is provided by 13WEEKS Cashflow Ltd for educational purposes and as a structural framework for your own modeling. It is an "off-the-shelf" product and does not constitute bespoke financial, accounting, or tax advice.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2. No Professional-Client Relationship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While the creator of this Template is a Chartered Accountant, the purchase or use of this file does not create a professional-client relationship. This Template is sold as an information product, not as a professional service or formal engagement.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3. User Responsibility for Accuracy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You are solely responsible for the inputs, logic modifications, and outputs generated by this Template.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 Formula Verification: While we strive for excellence, we provide no guarantee that the formulas or logic are error-free. You must audit and verify all calculations before relying on them for business decisions.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</a:t>
          </a:r>
          <a:r>
            <a:rPr lang="en-GB" sz="1400" b="0" baseline="0">
              <a:solidFill>
                <a:schemeClr val="bg1"/>
              </a:solidFill>
            </a:rPr>
            <a:t> </a:t>
          </a:r>
          <a:r>
            <a:rPr lang="en-GB" sz="1400" b="0">
              <a:solidFill>
                <a:schemeClr val="bg1"/>
              </a:solidFill>
            </a:rPr>
            <a:t>No Liability: 13WEEKS</a:t>
          </a:r>
          <a:r>
            <a:rPr lang="en-GB" sz="1400" b="0" baseline="0">
              <a:solidFill>
                <a:schemeClr val="bg1"/>
              </a:solidFill>
            </a:rPr>
            <a:t> Cashflow</a:t>
          </a:r>
          <a:r>
            <a:rPr lang="en-GB" sz="1400" b="0">
              <a:solidFill>
                <a:schemeClr val="bg1"/>
              </a:solidFill>
            </a:rPr>
            <a:t> Ltd and its directors accept no liability for any financial losses, errors, or damages resulting from the use of this Template or any decisions made based on its outputs.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4. Bespoke Advice This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Template is based on general best practices. If you require formal professional assurance, a sign-off on a forecast, or bespoke accounting advice tailored to your specific circumstances, you must seek a formal engagement with a qualified professional.</a:t>
          </a:r>
        </a:p>
      </xdr:txBody>
    </xdr:sp>
    <xdr:clientData/>
  </xdr:twoCellAnchor>
  <xdr:twoCellAnchor editAs="oneCell">
    <xdr:from>
      <xdr:col>0</xdr:col>
      <xdr:colOff>346364</xdr:colOff>
      <xdr:row>2</xdr:row>
      <xdr:rowOff>0</xdr:rowOff>
    </xdr:from>
    <xdr:to>
      <xdr:col>3</xdr:col>
      <xdr:colOff>356146</xdr:colOff>
      <xdr:row>3</xdr:row>
      <xdr:rowOff>58358</xdr:rowOff>
    </xdr:to>
    <xdr:pic>
      <xdr:nvPicPr>
        <xdr:cNvPr id="4" name="Picture 3" descr="A white letter on a black background&#10;&#10;AI-generated content may be incorrect.">
          <a:extLst>
            <a:ext uri="{FF2B5EF4-FFF2-40B4-BE49-F238E27FC236}">
              <a16:creationId xmlns:a16="http://schemas.microsoft.com/office/drawing/2014/main" id="{BF728E91-67C1-42B3-B5A4-4FAEE0F22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4" y="381000"/>
          <a:ext cx="1838582" cy="248858"/>
        </a:xfrm>
        <a:prstGeom prst="rect">
          <a:avLst/>
        </a:prstGeom>
      </xdr:spPr>
    </xdr:pic>
    <xdr:clientData/>
  </xdr:twoCellAnchor>
  <xdr:twoCellAnchor>
    <xdr:from>
      <xdr:col>5</xdr:col>
      <xdr:colOff>593912</xdr:colOff>
      <xdr:row>2</xdr:row>
      <xdr:rowOff>1</xdr:rowOff>
    </xdr:from>
    <xdr:to>
      <xdr:col>16</xdr:col>
      <xdr:colOff>593912</xdr:colOff>
      <xdr:row>8</xdr:row>
      <xdr:rowOff>145677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25DBECC-E7B7-47E2-B2AB-4671F17226BC}"/>
            </a:ext>
          </a:extLst>
        </xdr:cNvPr>
        <xdr:cNvSpPr/>
      </xdr:nvSpPr>
      <xdr:spPr>
        <a:xfrm>
          <a:off x="3641912" y="381001"/>
          <a:ext cx="6705600" cy="1288676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0">
              <a:latin typeface="Aptos Black" panose="020B0004020202020204" pitchFamily="34" charset="0"/>
            </a:rPr>
            <a:t>Disclaimer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6</xdr:row>
      <xdr:rowOff>0</xdr:rowOff>
    </xdr:from>
    <xdr:to>
      <xdr:col>26</xdr:col>
      <xdr:colOff>481854</xdr:colOff>
      <xdr:row>24</xdr:row>
      <xdr:rowOff>171000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416A79E-94FB-5100-3154-22D78F95F1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26</xdr:row>
      <xdr:rowOff>0</xdr:rowOff>
    </xdr:from>
    <xdr:to>
      <xdr:col>26</xdr:col>
      <xdr:colOff>481853</xdr:colOff>
      <xdr:row>44</xdr:row>
      <xdr:rowOff>171000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6A4D701-4510-4795-9669-15A12E8DE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46</xdr:row>
      <xdr:rowOff>0</xdr:rowOff>
    </xdr:from>
    <xdr:to>
      <xdr:col>26</xdr:col>
      <xdr:colOff>481853</xdr:colOff>
      <xdr:row>64</xdr:row>
      <xdr:rowOff>171000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AE5B6B6-CEBB-407C-BD94-2B2BAD65E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1BA961C-3927-4C8B-BB58-9B3D5B0BDF49}" name="Forecast_versions" displayName="Forecast_versions" ref="C7:G462" totalsRowShown="0" headerRowDxfId="156" headerRowBorderDxfId="155" tableBorderDxfId="154" totalsRowBorderDxfId="153">
  <autoFilter ref="C7:G462" xr:uid="{E1BA961C-3927-4C8B-BB58-9B3D5B0BDF4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88178ED-5BA1-4573-BBC7-EA3D96600546}" name="Version name" dataDxfId="152"/>
    <tableColumn id="2" xr3:uid="{EBBC310F-56AD-4958-98B6-FCFB01FB161F}" name="Category L1" dataDxfId="151"/>
    <tableColumn id="3" xr3:uid="{B9D541DC-D8FB-4C58-BD4C-93C492872936}" name="Category L2" dataDxfId="150"/>
    <tableColumn id="4" xr3:uid="{7CB09D5D-D2C9-4609-922C-B53ACFDEE5F2}" name="Week commencing" dataDxfId="149" dataCellStyle="Comma"/>
    <tableColumn id="5" xr3:uid="{A5A818EA-D31A-4AF5-86E2-8F0ABE056DC3}" name="Amount" dataDxfId="148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AC71A6C-9110-486E-A1E2-CA6AEA650DA9}" name="Bank_postings" displayName="Bank_postings" ref="C10:M338" totalsRowShown="0" headerRowDxfId="147" dataDxfId="145" headerRowBorderDxfId="146" tableBorderDxfId="144" totalsRowBorderDxfId="143">
  <autoFilter ref="C10:M338" xr:uid="{1FAF4DCD-A6B0-4802-BBE9-DF8CE95FA74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2" xr3:uid="{15732114-9ADA-4B6C-B20B-20929E229889}" name="Date" dataDxfId="142"/>
    <tableColumn id="3" xr3:uid="{5C830C9F-8203-4588-A495-C30DCECD1DC7}" name="Narrative" dataDxfId="141"/>
    <tableColumn id="5" xr3:uid="{67893262-19BB-449F-B763-B5BAA4522A44}" name="Payment amount" dataDxfId="140" dataCellStyle="Comma"/>
    <tableColumn id="6" xr3:uid="{8025504A-D364-4F91-974F-FFC67A190229}" name="Receipt amount" dataDxfId="139" dataCellStyle="Comma"/>
    <tableColumn id="10" xr3:uid="{1D400C8F-D208-4157-8D44-A7894BC38CE2}" name="Amount" dataDxfId="138" dataCellStyle="Comma">
      <calculatedColumnFormula>-Bank_postings[[#This Row],[Payment amount]] + Bank_postings[[#This Row],[Receipt amount]]</calculatedColumnFormula>
    </tableColumn>
    <tableColumn id="7" xr3:uid="{9BC71250-3EE2-4BE8-85E4-EF5A19DA6981}" name="Category" dataDxfId="137">
      <calculatedColumnFormula array="1">INDEX(Payment_categorisations[Category], MATCH(TRUE, ISNUMBER(SEARCH(Payment_categorisations[Contains keywords], Bank_postings[[#This Row],[Narrative]])), 0))</calculatedColumnFormula>
    </tableColumn>
    <tableColumn id="8" xr3:uid="{6E672D26-7593-48FE-8C65-016CBB0C2388}" name="Sub-category" dataDxfId="136">
      <calculatedColumnFormula array="1">INDEX(Payment_categorisations[Sub-category], MATCH(TRUE, ISNUMBER(SEARCH(Payment_categorisations[Contains keywords], Bank_postings[[#This Row],[Narrative]])), 0))</calculatedColumnFormula>
    </tableColumn>
    <tableColumn id="12" xr3:uid="{1ADFD82C-E13F-48DE-9059-8540F162AA9B}" name="Manual override category" dataDxfId="135"/>
    <tableColumn id="13" xr3:uid="{DF0980E0-F69C-4CEF-90EB-124B429C21E7}" name="Manual override sub-category" dataDxfId="134"/>
    <tableColumn id="14" xr3:uid="{353627BF-6BB7-4590-A08A-FDAF61219F62}" name="Category (output)" dataDxfId="133">
      <calculatedColumnFormula>IF(Bank_postings[[#This Row],[Manual override category]] &lt;&gt; "", Bank_postings[[#This Row],[Manual override category]], Bank_postings[[#This Row],[Category]])</calculatedColumnFormula>
    </tableColumn>
    <tableColumn id="15" xr3:uid="{9840AEDC-028C-4814-9296-042E41634E54}" name="Sub-category (output)" dataDxfId="132">
      <calculatedColumnFormula>IF(Bank_postings[[#This Row],[Manual override sub-category]] &lt;&gt; "", Bank_postings[[#This Row],[Manual override sub-category]], Bank_postings[[#This Row],[Sub-category]])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D660BF-7CB0-44E8-B50F-C2665D8416AE}" name="Payment_categorisations" displayName="Payment_categorisations" ref="O10:Q110" totalsRowShown="0" headerRowDxfId="131" headerRowBorderDxfId="130" tableBorderDxfId="129" totalsRowBorderDxfId="128">
  <autoFilter ref="O10:Q110" xr:uid="{B546644E-2858-4A3C-BB76-B9DE91AC7C39}">
    <filterColumn colId="0" hiddenButton="1"/>
    <filterColumn colId="1" hiddenButton="1"/>
    <filterColumn colId="2" hiddenButton="1"/>
  </autoFilter>
  <tableColumns count="3">
    <tableColumn id="1" xr3:uid="{71147101-F4E6-48D7-A7E7-9721E217C3C1}" name="Contains keywords" dataDxfId="127"/>
    <tableColumn id="2" xr3:uid="{C268593A-0788-48AC-A3C8-4195BA7A46FA}" name="Category" dataDxfId="126"/>
    <tableColumn id="3" xr3:uid="{2708F38F-0C46-427A-8E94-DB7664E816ED}" name="Sub-category" dataDxfId="12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57A272-1E05-44CB-91E8-BA9E3AD9399B}" name="AR" displayName="AR" ref="C8:O1000" totalsRowShown="0" headerRowDxfId="124" headerRowBorderDxfId="123" tableBorderDxfId="122" totalsRowBorderDxfId="121">
  <autoFilter ref="C8:O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A683A9F4-4966-4ABA-8AA9-C6F316FB5497}" name="Invoice number" dataDxfId="120"/>
    <tableColumn id="2" xr3:uid="{E3372CA8-FBD5-4171-A1F3-A183EFE91934}" name="Customer name" dataDxfId="119"/>
    <tableColumn id="3" xr3:uid="{1BC9018C-986B-4D88-9CC7-B7DBCD39F6ED}" name="Invoice date - dd/mm/yyyy" dataDxfId="118"/>
    <tableColumn id="4" xr3:uid="{6CC824C0-6FF1-4396-AAD2-29207346F830}" name="Invoice value inc. VAT" dataDxfId="117" dataCellStyle="Comma"/>
    <tableColumn id="5" xr3:uid="{73249AC3-139E-4301-9AA2-A976428A4202}" name="GST applies?" dataDxfId="116"/>
    <tableColumn id="6" xr3:uid="{52ADEE50-0A47-4F68-B4F3-AE2B9D3094F2}" name="GST %" dataDxfId="115">
      <calculatedColumnFormula>Assumptions!$D$15</calculatedColumnFormula>
    </tableColumn>
    <tableColumn id="7" xr3:uid="{C3272664-B002-4511-8E05-85CD0E56434B}" name="GST amount" dataDxfId="114" dataCellStyle="Comma">
      <calculatedColumnFormula>IF(AR[[#This Row],[GST applies?]] = "Yes", (AR[[#This Row],[Invoice value inc. VAT]] / 1 + AR[[#This Row],[GST %]]) * AR[[#This Row],[GST %]], 0)</calculatedColumnFormula>
    </tableColumn>
    <tableColumn id="8" xr3:uid="{7B2BDD36-DEDA-466A-B992-B50EFF790EDB}" name="Master terms (EOM or Net)" dataDxfId="113">
      <calculatedColumnFormula>_xlfn.XLOOKUP(AR[[#This Row],[Customer name]], Customer_master[Customer name], Customer_master[EOM or Net], 0)</calculatedColumnFormula>
    </tableColumn>
    <tableColumn id="9" xr3:uid="{49EF304B-5EAA-4845-83C1-11D30EC77022}" name="Master terms (days)" dataDxfId="112">
      <calculatedColumnFormula>_xlfn.XLOOKUP(AR[[#This Row],[Customer name]], Customer_master[Customer name], Customer_master[Terms days], 0)</calculatedColumnFormula>
    </tableColumn>
    <tableColumn id="10" xr3:uid="{14D5D137-341A-4318-B321-190D383B3116}" name="Due date (dd/mm/yyyy)" dataDxfId="111">
      <calculatedColumnFormula>IF(AR[[#This Row],[Master terms (EOM or Net)]] = "EOM", EOMONTH(AR[[#This Row],[Invoice date - dd/mm/yyyy]],0) + AR[[#This Row],[Master terms (days)]], AR[[#This Row],[Invoice date - dd/mm/yyyy]] + AR[[#This Row],[Master terms (days)]])</calculatedColumnFormula>
    </tableColumn>
    <tableColumn id="11" xr3:uid="{876E5370-8747-40A5-9C26-3897B9A33682}" name="Collection date - override (dd/mm/yyyy)" dataDxfId="110"/>
    <tableColumn id="12" xr3:uid="{F5987371-F31F-4F6A-BD3C-326A32B1AAB0}" name="Collection date - output" dataDxfId="109">
      <calculatedColumnFormula>IF(AR[[#This Row],[Collection date - override (dd/mm/yyyy)]] &lt;&gt; "", AR[[#This Row],[Collection date - override (dd/mm/yyyy)]], AR[[#This Row],[Due date (dd/mm/yyyy)]])</calculatedColumnFormula>
    </tableColumn>
    <tableColumn id="13" xr3:uid="{4378F7F8-E999-4A2F-AFA0-0380B68BFC5B}" name="GST payment date" dataDxfId="108">
      <calculatedColumnFormula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BE84E17-5CDF-401B-9504-A49C26A3875B}" name="AP" displayName="AP" ref="C8:U1000" totalsRowShown="0" headerRowDxfId="107" headerRowBorderDxfId="106" tableBorderDxfId="105" totalsRowBorderDxfId="104">
  <autoFilter ref="C8:U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5363E393-FFDC-4FE5-8E98-171A3BE43029}" name="Invoice number" dataDxfId="103"/>
    <tableColumn id="2" xr3:uid="{814E8CFC-F696-4FBC-BB7C-C0BD25659B02}" name="Supplier name" dataDxfId="102"/>
    <tableColumn id="3" xr3:uid="{F8A36446-A070-49CE-8AD2-3147209DA8BC}" name="Invoice date - dd/mm/yyyy" dataDxfId="101"/>
    <tableColumn id="4" xr3:uid="{A8F67FAF-E052-4D35-A019-D8FE38FB96E1}" name="Invoice value inc. GST" dataDxfId="100" dataCellStyle="Comma"/>
    <tableColumn id="5" xr3:uid="{999A4869-BC18-4101-AE1D-112D706FA328}" name="GST applies?" dataDxfId="99"/>
    <tableColumn id="14" xr3:uid="{B8D1E898-071A-4D6E-9DE5-72DD45EA3194}" name="Spend category L1" dataDxfId="98">
      <calculatedColumnFormula>_xlfn.XLOOKUP(AP[[#This Row],[Supplier name]], Supplier_master[Supplier name], Supplier_master[Category L1], 0)</calculatedColumnFormula>
    </tableColumn>
    <tableColumn id="17" xr3:uid="{B55DA510-8E66-4BA6-ABB7-F2FB28108147}" name="Spend category L2" dataDxfId="97">
      <calculatedColumnFormula>_xlfn.XLOOKUP(AP[[#This Row],[Supplier name]], Supplier_master[Supplier name], Supplier_master[Category L2], 0)</calculatedColumnFormula>
    </tableColumn>
    <tableColumn id="16" xr3:uid="{257FFD07-F0BD-44A4-837C-829DBEF52A38}" name="Spend category L1 - Override" dataDxfId="96"/>
    <tableColumn id="19" xr3:uid="{C4934AC7-F557-4E95-9900-B2A8EB3A59AC}" name="Spend category L2 - Override" dataDxfId="95"/>
    <tableColumn id="18" xr3:uid="{FB53CE59-169C-42FE-AC0C-7B4D52E7A84C}" name="Spend category L1 - Output" dataDxfId="94">
      <calculatedColumnFormula>IF(AP[[#This Row],[Spend category L1 - Override]] &lt;&gt; "", AP[[#This Row],[Spend category L1 - Override]], AP[[#This Row],[Spend category L1]])</calculatedColumnFormula>
    </tableColumn>
    <tableColumn id="15" xr3:uid="{C311288F-6AD9-4328-806B-1DD091FB75BD}" name="Spend category L2 - Output" dataDxfId="93">
      <calculatedColumnFormula>IF(AP[[#This Row],[Spend category L2 - Override]] &lt;&gt; "", AP[[#This Row],[Spend category L2 - Override]], AP[[#This Row],[Spend category L2]])</calculatedColumnFormula>
    </tableColumn>
    <tableColumn id="6" xr3:uid="{EADB583E-1D20-4B52-A9C7-5BD788309FCC}" name="GST %" dataDxfId="92">
      <calculatedColumnFormula>Assumptions!$D$15</calculatedColumnFormula>
    </tableColumn>
    <tableColumn id="7" xr3:uid="{065A701D-94C8-4E34-8CE5-9551A8FFB949}" name="GST amount" dataDxfId="91" dataCellStyle="Comma">
      <calculatedColumnFormula>IF(AP[[#This Row],[GST applies?]] = "Yes", (AP[[#This Row],[Invoice value inc. GST]] / 1 + AP[[#This Row],[GST %]]) * AP[[#This Row],[GST %]], 0)</calculatedColumnFormula>
    </tableColumn>
    <tableColumn id="8" xr3:uid="{645CD912-48CC-4CBD-86F3-08D984BD2114}" name="Master terms (EOM or Net)" dataDxfId="90">
      <calculatedColumnFormula>_xlfn.XLOOKUP(AP[[#This Row],[Supplier name]], Supplier_master[Supplier name], Supplier_master[EOM or Net], 0)</calculatedColumnFormula>
    </tableColumn>
    <tableColumn id="9" xr3:uid="{4917057B-F10B-4069-A73D-815B45328BFB}" name="Master terms (days)" dataDxfId="89">
      <calculatedColumnFormula>_xlfn.XLOOKUP(AP[[#This Row],[Supplier name]], Supplier_master[Supplier name], Supplier_master[Terms days], 0)</calculatedColumnFormula>
    </tableColumn>
    <tableColumn id="10" xr3:uid="{A0D0F853-F33F-4879-9960-6EACAB84E907}" name="Due date (dd/mm/yyyy)" dataDxfId="88">
      <calculatedColumnFormula>IF(AP[[#This Row],[Master terms (EOM or Net)]] = "EOM", EOMONTH(AP[[#This Row],[Invoice date - dd/mm/yyyy]],0) + AP[[#This Row],[Master terms (days)]], AP[[#This Row],[Invoice date - dd/mm/yyyy]] + AP[[#This Row],[Master terms (days)]])</calculatedColumnFormula>
    </tableColumn>
    <tableColumn id="11" xr3:uid="{CEB1D037-E149-4D17-A757-DDCC4B6160D4}" name="Payment date - override (dd/mm/yyyy)" dataDxfId="87"/>
    <tableColumn id="12" xr3:uid="{261C0DCB-C5ED-4F46-8864-86EFA873B71A}" name="Payment date - output" dataDxfId="86">
      <calculatedColumnFormula>IF(AP[[#This Row],[Payment date - override (dd/mm/yyyy)]] &lt;&gt; "", AP[[#This Row],[Payment date - override (dd/mm/yyyy)]], AP[[#This Row],[Due date (dd/mm/yyyy)]])</calculatedColumnFormula>
    </tableColumn>
    <tableColumn id="13" xr3:uid="{4BC8E50D-21CB-42C1-873E-86B9809FF1EC}" name="GST collection date" dataDxfId="85">
      <calculatedColumnFormula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EAB110-760E-44AB-B25B-7B2FC315F411}" name="SO" displayName="SO" ref="C8:O1000" totalsRowShown="0" headerRowDxfId="84" headerRowBorderDxfId="83" tableBorderDxfId="82" totalsRowBorderDxfId="81">
  <autoFilter ref="C8:O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6D1927E-5E53-4BF3-B90F-5581231D7273}" name="Sales order number" dataDxfId="80"/>
    <tableColumn id="2" xr3:uid="{40506A55-EE36-40BD-8556-206F786E5010}" name="Customer name" dataDxfId="79"/>
    <tableColumn id="3" xr3:uid="{A8ED3C0F-E2B1-493B-BE0B-342DEE56C5BD}" name="Expected shipment date - dd/mm/yyyy" dataDxfId="78"/>
    <tableColumn id="4" xr3:uid="{4EE2817E-60BE-4A89-A9AA-D14E923F5AF3}" name="Value inc. GST" dataDxfId="77" dataCellStyle="Comma"/>
    <tableColumn id="5" xr3:uid="{68F7546E-E4C4-4A11-8EF4-538C3C8DCE47}" name="GST applies?" dataDxfId="76"/>
    <tableColumn id="6" xr3:uid="{B635929F-B814-499E-A06E-974932111B55}" name="GST %" dataDxfId="75">
      <calculatedColumnFormula>Assumptions!$D$15</calculatedColumnFormula>
    </tableColumn>
    <tableColumn id="7" xr3:uid="{81656B03-AAC7-4D39-A7B9-40619D498E6C}" name="GST amount" dataDxfId="74" dataCellStyle="Comma">
      <calculatedColumnFormula>IF(SO[[#This Row],[GST applies?]] = "Yes", (SO[[#This Row],[Value inc. GST]] / 1 + SO[[#This Row],[GST %]]) * SO[[#This Row],[GST %]], 0)</calculatedColumnFormula>
    </tableColumn>
    <tableColumn id="8" xr3:uid="{A1A49CFB-D43B-4EF6-B1B9-EBC6564D8C67}" name="Master terms (EOM or Net)" dataDxfId="73">
      <calculatedColumnFormula>_xlfn.XLOOKUP(SO[[#This Row],[Customer name]], Customer_master[Customer name], Customer_master[EOM or Net], 0)</calculatedColumnFormula>
    </tableColumn>
    <tableColumn id="9" xr3:uid="{70D60258-FD71-469A-B488-B9BDB060F7B5}" name="Master terms (days)" dataDxfId="72">
      <calculatedColumnFormula>_xlfn.XLOOKUP(SO[[#This Row],[Customer name]], Customer_master[Customer name], Customer_master[Terms days], 0)</calculatedColumnFormula>
    </tableColumn>
    <tableColumn id="10" xr3:uid="{AFAB04D6-5AD5-49E6-A406-35F88CBD19D3}" name="Due date (dd/mm/yyyy)" dataDxfId="71">
      <calculatedColumnFormula>IF(SO[[#This Row],[Master terms (EOM or Net)]] = "EOM", EOMONTH(SO[[#This Row],[Expected shipment date - dd/mm/yyyy]],0) + SO[[#This Row],[Master terms (days)]], SO[[#This Row],[Expected shipment date - dd/mm/yyyy]] + SO[[#This Row],[Master terms (days)]])</calculatedColumnFormula>
    </tableColumn>
    <tableColumn id="11" xr3:uid="{42BFA0F8-7BCE-467F-AF9B-219D8A932BAE}" name="Collection date - override (dd/mm/yyyy)" dataDxfId="70"/>
    <tableColumn id="12" xr3:uid="{7C0835D4-4003-472F-8422-843A552F5438}" name="Collection date - output" dataDxfId="69">
      <calculatedColumnFormula>IF(SO[[#This Row],[Collection date - override (dd/mm/yyyy)]] &lt;&gt; "", SO[[#This Row],[Collection date - override (dd/mm/yyyy)]], SO[[#This Row],[Due date (dd/mm/yyyy)]])</calculatedColumnFormula>
    </tableColumn>
    <tableColumn id="13" xr3:uid="{DCFD3754-9878-4264-AAA1-3EF0D73C99F2}" name="GST payment date" dataDxfId="68">
      <calculatedColumnFormula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B1F3B71-5515-45AD-942F-B380B0CB1FD1}" name="PO" displayName="PO" ref="C8:U1000" totalsRowShown="0" headerRowDxfId="67" headerRowBorderDxfId="66" tableBorderDxfId="65" totalsRowBorderDxfId="64">
  <autoFilter ref="C8:U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8DF4207A-DE25-4201-84FF-BF237BA294F4}" name="Purchase order number" dataDxfId="63"/>
    <tableColumn id="2" xr3:uid="{05615071-A1B9-4627-A066-81BD571A21E1}" name="Supplier name" dataDxfId="62"/>
    <tableColumn id="3" xr3:uid="{D2DC59A4-7876-4CC3-B3B8-8CD229D86222}" name="Expected arrival date - dd/mm/yyyy" dataDxfId="61"/>
    <tableColumn id="4" xr3:uid="{923D7C83-A6A3-4CC6-9776-1C92575DF371}" name="Value inc. GST" dataDxfId="60" dataCellStyle="Comma"/>
    <tableColumn id="5" xr3:uid="{C1622C30-B7B5-4E59-B57F-78A96114A4A0}" name="GST applies?" dataDxfId="59"/>
    <tableColumn id="17" xr3:uid="{9DE4B378-3D54-4E06-9F29-21726540181F}" name="Spend category L1" dataDxfId="58">
      <calculatedColumnFormula>_xlfn.XLOOKUP(PO[[#This Row],[Supplier name]], Supplier_master[Supplier name], Supplier_master[Category L1], 0)</calculatedColumnFormula>
    </tableColumn>
    <tableColumn id="16" xr3:uid="{663F6608-12C0-4E62-88A9-E8DFC14B9038}" name="Spend category L2" dataDxfId="57">
      <calculatedColumnFormula>_xlfn.XLOOKUP(PO[[#This Row],[Supplier name]], Supplier_master[Supplier name], Supplier_master[Category L2], 0)</calculatedColumnFormula>
    </tableColumn>
    <tableColumn id="15" xr3:uid="{039F5310-2140-4EDA-9C19-8A79415E33F6}" name="Spend category L1 - Override" dataDxfId="56"/>
    <tableColumn id="14" xr3:uid="{A5F067EF-DA7B-4231-B582-CA8A5A31E0CD}" name="Spend category L2 - Override" dataDxfId="55"/>
    <tableColumn id="19" xr3:uid="{8F8DFDCC-1CC7-45B4-8AAB-37FB807FADBB}" name="Spend category L1 - Output" dataDxfId="54">
      <calculatedColumnFormula>IF(PO[[#This Row],[Spend category L1 - Override]] &lt;&gt; "", PO[[#This Row],[Spend category L1 - Override]], PO[[#This Row],[Spend category L1]])</calculatedColumnFormula>
    </tableColumn>
    <tableColumn id="18" xr3:uid="{E2F9E95A-0169-4FDD-8939-514E29494909}" name="Spend category L2 - Output" dataDxfId="53">
      <calculatedColumnFormula>IF(PO[[#This Row],[Spend category L2 - Override]] &lt;&gt; "", PO[[#This Row],[Spend category L2 - Override]], PO[[#This Row],[Spend category L2]])</calculatedColumnFormula>
    </tableColumn>
    <tableColumn id="6" xr3:uid="{1AC9C832-E771-4E2F-9A7B-77A8C162A18B}" name="GST %" dataDxfId="52">
      <calculatedColumnFormula>Assumptions!$D$15</calculatedColumnFormula>
    </tableColumn>
    <tableColumn id="7" xr3:uid="{757CFF85-76BE-4FA5-A662-01B1DD05A2DF}" name="GST amount" dataDxfId="51" dataCellStyle="Comma">
      <calculatedColumnFormula>IF(PO[[#This Row],[GST applies?]] = "Yes", (PO[[#This Row],[Value inc. GST]] / 1 + PO[[#This Row],[GST %]]) * PO[[#This Row],[GST %]], 0)</calculatedColumnFormula>
    </tableColumn>
    <tableColumn id="8" xr3:uid="{C1AC0FE1-14B9-412E-BA5E-04DC215EE7E1}" name="Master terms (EOM or Net)" dataDxfId="50">
      <calculatedColumnFormula>_xlfn.XLOOKUP(PO[[#This Row],[Supplier name]], Supplier_master[Supplier name], Supplier_master[EOM or Net], 0)</calculatedColumnFormula>
    </tableColumn>
    <tableColumn id="9" xr3:uid="{CF9AFC6E-9B08-4EBC-AB0F-B751B0C519BE}" name="Master terms (days)" dataDxfId="49">
      <calculatedColumnFormula>_xlfn.XLOOKUP(PO[[#This Row],[Supplier name]], Supplier_master[Supplier name], Supplier_master[Terms days], 0)</calculatedColumnFormula>
    </tableColumn>
    <tableColumn id="10" xr3:uid="{A83C028B-2A6D-4FA7-B5D4-5284D082E310}" name="Due date (dd/mm/yyyy)" dataDxfId="48">
      <calculatedColumnFormula>IF(PO[[#This Row],[Master terms (EOM or Net)]] = "EOM", EOMONTH(PO[[#This Row],[Expected arrival date - dd/mm/yyyy]],0) + PO[[#This Row],[Master terms (days)]], PO[[#This Row],[Expected arrival date - dd/mm/yyyy]] + PO[[#This Row],[Master terms (days)]])</calculatedColumnFormula>
    </tableColumn>
    <tableColumn id="11" xr3:uid="{83C15B5F-0E25-4056-B8B8-F4E89E49D877}" name="Payment date - override (dd/mm/yyyy)" dataDxfId="47"/>
    <tableColumn id="12" xr3:uid="{A48FD2D9-56BF-4DFC-9DE1-CBF18FE5A990}" name="Payment date - output" dataDxfId="46">
      <calculatedColumnFormula>IF(PO[[#This Row],[Payment date - override (dd/mm/yyyy)]] &lt;&gt; "", PO[[#This Row],[Payment date - override (dd/mm/yyyy)]], PO[[#This Row],[Due date (dd/mm/yyyy)]])</calculatedColumnFormula>
    </tableColumn>
    <tableColumn id="13" xr3:uid="{BB162DD2-1CE2-4DC7-87A0-D7747F6184BF}" name="GST collection date" dataDxfId="45">
      <calculatedColumnFormula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calculatedColumnFormula>
    </tableColumn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A342D7-513B-4167-A6F9-43FB1B89B0AD}" name="Customer_master" displayName="Customer_master" ref="B8:E100" totalsRowShown="0" headerRowDxfId="44" headerRowBorderDxfId="43" tableBorderDxfId="42" totalsRowBorderDxfId="41">
  <autoFilter ref="B8:E100" xr:uid="{5CA342D7-513B-4167-A6F9-43FB1B89B0AD}">
    <filterColumn colId="0" hiddenButton="1"/>
    <filterColumn colId="1" hiddenButton="1"/>
    <filterColumn colId="2" hiddenButton="1"/>
    <filterColumn colId="3" hiddenButton="1"/>
  </autoFilter>
  <tableColumns count="4">
    <tableColumn id="1" xr3:uid="{2BDA0323-BFBC-4B73-89FC-E899A38F4C91}" name="Customer name" dataDxfId="40"/>
    <tableColumn id="2" xr3:uid="{30B557F6-45DA-46A5-B0A3-97E278353F24}" name="Payment term description" dataDxfId="39"/>
    <tableColumn id="3" xr3:uid="{B4627075-31D0-4F0F-8115-4D273782E8C7}" name="EOM or Net" dataDxfId="38"/>
    <tableColumn id="4" xr3:uid="{239C0DD2-F304-4B9A-89D5-669B638F5519}" name="Terms days" dataDxfId="3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082160-987C-40AD-832D-B82698FBCE83}" name="Supplier_master" displayName="Supplier_master" ref="C8:H100" totalsRowShown="0" dataDxfId="35" headerRowBorderDxfId="36" tableBorderDxfId="34" totalsRowBorderDxfId="33">
  <autoFilter ref="C8:H100" xr:uid="{94082160-987C-40AD-832D-B82698FBCE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0C28089-4DFF-4BA8-BF50-51754B6F047B}" name="Supplier name" dataDxfId="32"/>
    <tableColumn id="2" xr3:uid="{98C0EC8D-3EF0-4790-9599-4F5F350ADC4D}" name="Category L1" dataDxfId="31"/>
    <tableColumn id="3" xr3:uid="{1E66BCFE-9CDF-47EC-A56C-6708156449AE}" name="Category L2" dataDxfId="30"/>
    <tableColumn id="4" xr3:uid="{09EC1F18-A232-4F2A-B7C1-981610DE5838}" name="Payment term description" dataDxfId="29"/>
    <tableColumn id="5" xr3:uid="{94A45C70-73DD-4D92-A890-796E8CAE2BC0}" name="EOM or Net" dataDxfId="28"/>
    <tableColumn id="6" xr3:uid="{D5642AD0-7E69-4DAE-AF86-C095C6F3BD34}" name="Terms days" dataDxfId="2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3672-69CE-4BA8-B722-62A0E2B7E5E1}">
  <sheetPr>
    <tabColor theme="3"/>
  </sheetPr>
  <dimension ref="A1:W58"/>
  <sheetViews>
    <sheetView showGridLines="0" tabSelected="1" zoomScale="70" zoomScaleNormal="70" workbookViewId="0"/>
  </sheetViews>
  <sheetFormatPr defaultColWidth="0" defaultRowHeight="15" customHeight="1" zeroHeight="1" x14ac:dyDescent="0.25"/>
  <cols>
    <col min="1" max="23" width="9.140625" customWidth="1"/>
    <col min="24" max="16384" width="9.140625" hidden="1"/>
  </cols>
  <sheetData>
    <row r="1" spans="2:2" x14ac:dyDescent="0.25"/>
    <row r="2" spans="2:2" x14ac:dyDescent="0.25">
      <c r="B2" s="117"/>
    </row>
    <row r="3" spans="2:2" x14ac:dyDescent="0.25"/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  <row r="44" customFormat="1" hidden="1" x14ac:dyDescent="0.25"/>
    <row r="45" customFormat="1" hidden="1" x14ac:dyDescent="0.25"/>
    <row r="46" customFormat="1" hidden="1" x14ac:dyDescent="0.25"/>
    <row r="47" customFormat="1" hidden="1" x14ac:dyDescent="0.25"/>
    <row r="48" customFormat="1" hidden="1" x14ac:dyDescent="0.25"/>
    <row r="49" customFormat="1" hidden="1" x14ac:dyDescent="0.25"/>
    <row r="50" customFormat="1" hidden="1" x14ac:dyDescent="0.25"/>
    <row r="51" customFormat="1" hidden="1" x14ac:dyDescent="0.25"/>
    <row r="52" customFormat="1" hidden="1" x14ac:dyDescent="0.25"/>
    <row r="53" customFormat="1" hidden="1" x14ac:dyDescent="0.25"/>
    <row r="54" customFormat="1" hidden="1" x14ac:dyDescent="0.25"/>
    <row r="55" customFormat="1" hidden="1" x14ac:dyDescent="0.25"/>
    <row r="56" customFormat="1" hidden="1" x14ac:dyDescent="0.25"/>
    <row r="57" customFormat="1" hidden="1" x14ac:dyDescent="0.25"/>
    <row r="58" customFormat="1" hidden="1" x14ac:dyDescent="0.25"/>
  </sheetData>
  <sheetProtection algorithmName="SHA-512" hashValue="ADjRSIqtHJ6WQm4WkYwSNA50usmr2MY9Jo3C73BJ8/TLAAepxw/bzOi9lm/bwrBGxQnKtD47GrgXIN4+lrCD2Q==" saltValue="rsXKAq1Fquzq389Guj+4vA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B6D4-436F-47AF-879F-59CE3D05D4F4}">
  <sheetPr>
    <tabColor theme="3"/>
  </sheetPr>
  <dimension ref="A1:P44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30.7109375" style="1" customWidth="1"/>
    <col min="4" max="4" width="9.140625" style="1" customWidth="1"/>
    <col min="5" max="5" width="30.7109375" style="1" customWidth="1"/>
    <col min="6" max="6" width="9.140625" style="1" customWidth="1"/>
    <col min="7" max="7" width="85.7109375" style="1" bestFit="1" customWidth="1"/>
    <col min="8" max="8" width="1.7109375" style="1" customWidth="1"/>
    <col min="9" max="16" width="0" style="1" hidden="1" customWidth="1"/>
    <col min="17" max="16384" width="9.140625" style="1" hidden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</row>
    <row r="3" spans="1:8" ht="15.75" x14ac:dyDescent="0.25">
      <c r="A3" s="2"/>
      <c r="B3" s="16" t="s">
        <v>202</v>
      </c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/>
    <row r="6" spans="1:8" x14ac:dyDescent="0.25"/>
    <row r="7" spans="1:8" x14ac:dyDescent="0.25">
      <c r="C7" s="118" t="s">
        <v>203</v>
      </c>
      <c r="D7" s="119"/>
      <c r="E7" s="119"/>
      <c r="F7" s="119"/>
      <c r="G7" s="120"/>
    </row>
    <row r="8" spans="1:8" ht="5.0999999999999996" customHeight="1" x14ac:dyDescent="0.25">
      <c r="F8"/>
      <c r="G8"/>
    </row>
    <row r="9" spans="1:8" x14ac:dyDescent="0.25">
      <c r="C9" s="31" t="s">
        <v>194</v>
      </c>
      <c r="D9" s="109" t="s">
        <v>204</v>
      </c>
      <c r="E9" s="110" t="s">
        <v>205</v>
      </c>
      <c r="F9" s="109" t="s">
        <v>204</v>
      </c>
      <c r="G9" s="111" t="s">
        <v>206</v>
      </c>
    </row>
    <row r="10" spans="1:8" ht="5.0999999999999996" customHeight="1" x14ac:dyDescent="0.25">
      <c r="F10"/>
      <c r="G10"/>
    </row>
    <row r="11" spans="1:8" x14ac:dyDescent="0.25">
      <c r="C11" s="31" t="s">
        <v>219</v>
      </c>
      <c r="D11" s="109" t="s">
        <v>204</v>
      </c>
      <c r="E11" s="110" t="s">
        <v>205</v>
      </c>
      <c r="F11" s="109" t="s">
        <v>204</v>
      </c>
      <c r="G11" s="111" t="s">
        <v>218</v>
      </c>
    </row>
    <row r="12" spans="1:8" ht="5.0999999999999996" customHeight="1" x14ac:dyDescent="0.25">
      <c r="G12" s="112"/>
    </row>
    <row r="13" spans="1:8" x14ac:dyDescent="0.25">
      <c r="C13" s="31" t="s">
        <v>192</v>
      </c>
      <c r="D13" s="109" t="s">
        <v>204</v>
      </c>
      <c r="E13" s="110" t="s">
        <v>205</v>
      </c>
      <c r="F13" s="109" t="s">
        <v>204</v>
      </c>
      <c r="G13" s="111" t="s">
        <v>207</v>
      </c>
    </row>
    <row r="14" spans="1:8" ht="15" x14ac:dyDescent="0.25">
      <c r="G14" s="112"/>
    </row>
    <row r="15" spans="1:8" x14ac:dyDescent="0.25">
      <c r="C15" s="118" t="s">
        <v>190</v>
      </c>
      <c r="D15" s="119"/>
      <c r="E15" s="119"/>
      <c r="F15" s="119"/>
      <c r="G15" s="120"/>
    </row>
    <row r="16" spans="1:8" ht="5.0999999999999996" customHeight="1" x14ac:dyDescent="0.25">
      <c r="G16" s="112"/>
    </row>
    <row r="17" spans="3:7" x14ac:dyDescent="0.25">
      <c r="C17" s="31" t="s">
        <v>164</v>
      </c>
      <c r="D17" s="109" t="s">
        <v>204</v>
      </c>
      <c r="E17" s="110" t="s">
        <v>205</v>
      </c>
      <c r="F17" s="109" t="s">
        <v>204</v>
      </c>
      <c r="G17" s="111" t="s">
        <v>208</v>
      </c>
    </row>
    <row r="18" spans="3:7" ht="5.0999999999999996" customHeight="1" x14ac:dyDescent="0.25">
      <c r="G18"/>
    </row>
    <row r="19" spans="3:7" x14ac:dyDescent="0.25">
      <c r="C19" s="31" t="s">
        <v>190</v>
      </c>
      <c r="D19" s="109" t="s">
        <v>204</v>
      </c>
      <c r="E19" s="110" t="s">
        <v>205</v>
      </c>
      <c r="F19" s="109" t="s">
        <v>204</v>
      </c>
      <c r="G19" s="111" t="s">
        <v>209</v>
      </c>
    </row>
    <row r="20" spans="3:7" ht="15" x14ac:dyDescent="0.25">
      <c r="G20"/>
    </row>
    <row r="21" spans="3:7" x14ac:dyDescent="0.25">
      <c r="C21" s="118" t="s">
        <v>220</v>
      </c>
      <c r="D21" s="119"/>
      <c r="E21" s="119"/>
      <c r="F21" s="119"/>
      <c r="G21" s="120"/>
    </row>
    <row r="22" spans="3:7" ht="5.0999999999999996" customHeight="1" x14ac:dyDescent="0.25">
      <c r="G22"/>
    </row>
    <row r="23" spans="3:7" x14ac:dyDescent="0.25">
      <c r="C23" s="31" t="s">
        <v>36</v>
      </c>
      <c r="D23" s="109" t="s">
        <v>204</v>
      </c>
      <c r="E23" s="110" t="s">
        <v>205</v>
      </c>
      <c r="F23" s="109" t="s">
        <v>204</v>
      </c>
      <c r="G23" s="111" t="s">
        <v>210</v>
      </c>
    </row>
    <row r="24" spans="3:7" ht="5.0999999999999996" customHeight="1" x14ac:dyDescent="0.25">
      <c r="G24"/>
    </row>
    <row r="25" spans="3:7" x14ac:dyDescent="0.25">
      <c r="C25" s="31" t="s">
        <v>150</v>
      </c>
      <c r="D25" s="109" t="s">
        <v>204</v>
      </c>
      <c r="E25" s="110" t="s">
        <v>205</v>
      </c>
      <c r="F25" s="109" t="s">
        <v>204</v>
      </c>
      <c r="G25" s="111" t="s">
        <v>211</v>
      </c>
    </row>
    <row r="26" spans="3:7" ht="5.0999999999999996" customHeight="1" x14ac:dyDescent="0.25">
      <c r="G26"/>
    </row>
    <row r="27" spans="3:7" x14ac:dyDescent="0.25">
      <c r="C27" s="31" t="s">
        <v>80</v>
      </c>
      <c r="D27" s="109" t="s">
        <v>204</v>
      </c>
      <c r="E27" s="110" t="s">
        <v>205</v>
      </c>
      <c r="F27" s="109" t="s">
        <v>204</v>
      </c>
      <c r="G27" s="111" t="s">
        <v>212</v>
      </c>
    </row>
    <row r="28" spans="3:7" s="113" customFormat="1" ht="5.0999999999999996" customHeight="1" x14ac:dyDescent="0.25">
      <c r="G28" s="114"/>
    </row>
    <row r="29" spans="3:7" x14ac:dyDescent="0.25">
      <c r="C29" s="31" t="s">
        <v>112</v>
      </c>
      <c r="D29" s="109" t="s">
        <v>204</v>
      </c>
      <c r="E29" s="110" t="s">
        <v>205</v>
      </c>
      <c r="F29" s="109" t="s">
        <v>204</v>
      </c>
      <c r="G29" s="111" t="s">
        <v>221</v>
      </c>
    </row>
    <row r="30" spans="3:7" ht="5.0999999999999996" customHeight="1" x14ac:dyDescent="0.25">
      <c r="G30"/>
    </row>
    <row r="31" spans="3:7" x14ac:dyDescent="0.25">
      <c r="C31" s="31" t="s">
        <v>108</v>
      </c>
      <c r="D31" s="109" t="s">
        <v>204</v>
      </c>
      <c r="E31" s="110" t="s">
        <v>205</v>
      </c>
      <c r="F31" s="109" t="s">
        <v>204</v>
      </c>
      <c r="G31" s="111" t="s">
        <v>213</v>
      </c>
    </row>
    <row r="32" spans="3:7" ht="5.0999999999999996" customHeight="1" x14ac:dyDescent="0.25">
      <c r="G32"/>
    </row>
    <row r="33" spans="3:7" x14ac:dyDescent="0.25">
      <c r="C33" s="31" t="s">
        <v>122</v>
      </c>
      <c r="D33" s="109" t="s">
        <v>204</v>
      </c>
      <c r="E33" s="110" t="s">
        <v>205</v>
      </c>
      <c r="F33" s="109" t="s">
        <v>204</v>
      </c>
      <c r="G33" s="111" t="s">
        <v>222</v>
      </c>
    </row>
    <row r="34" spans="3:7" ht="5.0999999999999996" customHeight="1" x14ac:dyDescent="0.25">
      <c r="G34"/>
    </row>
    <row r="35" spans="3:7" x14ac:dyDescent="0.25">
      <c r="C35" s="31" t="s">
        <v>28</v>
      </c>
      <c r="D35" s="109" t="s">
        <v>204</v>
      </c>
      <c r="E35" s="110" t="s">
        <v>205</v>
      </c>
      <c r="F35" s="109" t="s">
        <v>204</v>
      </c>
      <c r="G35" s="111" t="s">
        <v>214</v>
      </c>
    </row>
    <row r="36" spans="3:7" ht="5.0999999999999996" customHeight="1" x14ac:dyDescent="0.25">
      <c r="C36"/>
      <c r="D36"/>
      <c r="E36"/>
      <c r="F36"/>
      <c r="G36"/>
    </row>
    <row r="37" spans="3:7" x14ac:dyDescent="0.25">
      <c r="C37" s="31" t="s">
        <v>201</v>
      </c>
      <c r="D37" s="109" t="s">
        <v>204</v>
      </c>
      <c r="E37" s="110" t="s">
        <v>205</v>
      </c>
      <c r="F37" s="109" t="s">
        <v>204</v>
      </c>
      <c r="G37" s="111" t="s">
        <v>223</v>
      </c>
    </row>
    <row r="38" spans="3:7" ht="15" x14ac:dyDescent="0.25">
      <c r="C38"/>
      <c r="D38"/>
      <c r="E38"/>
      <c r="F38"/>
      <c r="G38"/>
    </row>
    <row r="39" spans="3:7" x14ac:dyDescent="0.25">
      <c r="C39" s="118" t="s">
        <v>215</v>
      </c>
      <c r="D39" s="119"/>
      <c r="E39" s="119"/>
      <c r="F39" s="119"/>
      <c r="G39" s="120"/>
    </row>
    <row r="40" spans="3:7" ht="5.0999999999999996" customHeight="1" x14ac:dyDescent="0.25">
      <c r="C40"/>
      <c r="D40"/>
      <c r="E40"/>
      <c r="F40"/>
      <c r="G40"/>
    </row>
    <row r="41" spans="3:7" x14ac:dyDescent="0.25">
      <c r="C41" s="31" t="s">
        <v>70</v>
      </c>
      <c r="D41" s="109" t="s">
        <v>204</v>
      </c>
      <c r="E41" s="110" t="s">
        <v>205</v>
      </c>
      <c r="F41" s="109" t="s">
        <v>204</v>
      </c>
      <c r="G41" s="111" t="s">
        <v>216</v>
      </c>
    </row>
    <row r="42" spans="3:7" ht="5.0999999999999996" customHeight="1" x14ac:dyDescent="0.25">
      <c r="C42"/>
      <c r="D42"/>
      <c r="E42"/>
      <c r="F42"/>
      <c r="G42"/>
    </row>
    <row r="43" spans="3:7" x14ac:dyDescent="0.25">
      <c r="C43" s="31" t="s">
        <v>23</v>
      </c>
      <c r="D43" s="109" t="s">
        <v>204</v>
      </c>
      <c r="E43" s="110" t="s">
        <v>205</v>
      </c>
      <c r="F43" s="109" t="s">
        <v>204</v>
      </c>
      <c r="G43" s="111" t="s">
        <v>217</v>
      </c>
    </row>
    <row r="44" spans="3:7" x14ac:dyDescent="0.25"/>
  </sheetData>
  <mergeCells count="4">
    <mergeCell ref="C7:G7"/>
    <mergeCell ref="C15:G15"/>
    <mergeCell ref="C21:G21"/>
    <mergeCell ref="C39:G39"/>
  </mergeCells>
  <hyperlinks>
    <hyperlink ref="E11" location="CFF!A1" display="Click here" xr:uid="{653B00C3-4F71-465F-B505-7DF4D5BE2612}"/>
    <hyperlink ref="E13" location="'Cash actuals'!A1" display="Click here" xr:uid="{F393E9C6-36EE-46D0-8BBB-7DC8BB6738B3}"/>
    <hyperlink ref="E23" location="Assumptions!A1" display="Click here" xr:uid="{11E1F73C-63E6-492D-B5B7-5515F950F1A7}"/>
    <hyperlink ref="E25" location="'Bank postings'!A1" display="Click here" xr:uid="{AD71C740-E399-4095-9CD7-5B0B08FF877C}"/>
    <hyperlink ref="E27" location="'Accounts receivable'!A1" display="Click here" xr:uid="{B982CF43-1D21-498A-AE3E-986918F85E47}"/>
    <hyperlink ref="E31" location="'Sales orders'!A1" display="Click here" xr:uid="{831DF695-8B6D-4E81-B26F-652A6DF7FB60}"/>
    <hyperlink ref="E35" location="'Customer master data'!A1" display="Click here" xr:uid="{7AA4B88A-02CA-4105-BFA4-90D432C95BEC}"/>
    <hyperlink ref="E41" location="'Category lookups'!A1" display="Click here" xr:uid="{5704B2F9-4B4F-4ADA-A488-2F87807397EC}"/>
    <hyperlink ref="E43" location="Lists!A1" display="Click here" xr:uid="{5D7EA044-2DC7-489C-B781-C64B78330FCF}"/>
    <hyperlink ref="E9" location="Dashboard!A1" display="Click here" xr:uid="{667D45D0-2763-4AD5-AA2A-AB70C36F685D}"/>
    <hyperlink ref="E17" location="'Forecast output table'!A1" display="Click here" xr:uid="{172B3458-5FEE-4E45-8086-4A5EFF3B9841}"/>
    <hyperlink ref="E19" location="'Forecast versions'!A1" display="Click here" xr:uid="{16A49CF9-6B07-4734-898B-CB8DA8A650DC}"/>
    <hyperlink ref="E29" location="'Accounts payable'!A1" display="Click here" xr:uid="{50DD447D-862D-4EF5-B4A5-AC9ED37145E7}"/>
    <hyperlink ref="E33" location="'Purchase orders'!A1" display="Click here" xr:uid="{8305193D-A96D-4CA8-81BD-7CBF35DD2279}"/>
    <hyperlink ref="E37" location="'Supplier master data'!A1" display="Click here" xr:uid="{5617AFFA-B70B-48B4-87B3-775B97B0077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7566-7F46-4A2B-80FC-520D68DD614D}">
  <sheetPr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AF0C-6023-4A3F-942B-3FF678460889}">
  <sheetPr>
    <tabColor theme="9" tint="0.79998168889431442"/>
    <outlinePr summaryBelow="0" summaryRight="0"/>
  </sheetPr>
  <dimension ref="A1:AB125"/>
  <sheetViews>
    <sheetView showGridLines="0" zoomScale="85" zoomScaleNormal="85" workbookViewId="0"/>
  </sheetViews>
  <sheetFormatPr defaultColWidth="0" defaultRowHeight="13.5" zeroHeight="1" outlineLevelRow="1" x14ac:dyDescent="0.25"/>
  <cols>
    <col min="1" max="2" width="1.7109375" style="1" customWidth="1"/>
    <col min="3" max="3" width="29.85546875" style="1" bestFit="1" customWidth="1"/>
    <col min="4" max="5" width="20.7109375" style="1" customWidth="1"/>
    <col min="6" max="6" width="1.7109375" style="1" customWidth="1"/>
    <col min="7" max="8" width="25.7109375" style="1" customWidth="1"/>
    <col min="9" max="27" width="9.140625" style="1" customWidth="1"/>
    <col min="28" max="28" width="1.7109375" style="1" customWidth="1"/>
    <col min="29" max="16384" width="9.140625" style="1" hidden="1"/>
  </cols>
  <sheetData>
    <row r="1" spans="1:2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x14ac:dyDescent="0.25">
      <c r="A3" s="2"/>
      <c r="B3" s="16" t="s">
        <v>194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/>
    <row r="6" spans="1:28" x14ac:dyDescent="0.25"/>
    <row r="7" spans="1:28" x14ac:dyDescent="0.25"/>
    <row r="8" spans="1:28" x14ac:dyDescent="0.25"/>
    <row r="9" spans="1:28" x14ac:dyDescent="0.25"/>
    <row r="10" spans="1:28" x14ac:dyDescent="0.25"/>
    <row r="11" spans="1:28" x14ac:dyDescent="0.25"/>
    <row r="12" spans="1:28" x14ac:dyDescent="0.25"/>
    <row r="13" spans="1:28" x14ac:dyDescent="0.25"/>
    <row r="14" spans="1:28" x14ac:dyDescent="0.25"/>
    <row r="15" spans="1:28" x14ac:dyDescent="0.25"/>
    <row r="16" spans="1:28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spans="3:27" x14ac:dyDescent="0.25"/>
    <row r="66" spans="3:27" x14ac:dyDescent="0.25"/>
    <row r="67" spans="3:27" x14ac:dyDescent="0.25">
      <c r="C67" s="12" t="s">
        <v>200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3:27" ht="5.0999999999999996" customHeight="1" x14ac:dyDescent="0.25"/>
    <row r="69" spans="3:27" x14ac:dyDescent="0.25">
      <c r="C69" s="108" t="s">
        <v>195</v>
      </c>
      <c r="D69" s="105"/>
      <c r="E69" s="102">
        <f>D69</f>
        <v>0</v>
      </c>
    </row>
    <row r="70" spans="3:27" x14ac:dyDescent="0.25">
      <c r="C70" s="108" t="s">
        <v>196</v>
      </c>
      <c r="D70" s="105"/>
      <c r="E70" s="103" t="s">
        <v>124</v>
      </c>
    </row>
    <row r="71" spans="3:27" x14ac:dyDescent="0.25">
      <c r="C71" s="108" t="s">
        <v>197</v>
      </c>
      <c r="D71" s="103" t="s">
        <v>6</v>
      </c>
      <c r="E71" s="103" t="s">
        <v>193</v>
      </c>
      <c r="G71" s="23" t="s">
        <v>198</v>
      </c>
      <c r="H71" s="23" t="s">
        <v>199</v>
      </c>
    </row>
    <row r="72" spans="3:27" ht="5.0999999999999996" customHeight="1" x14ac:dyDescent="0.25"/>
    <row r="73" spans="3:27" collapsed="1" x14ac:dyDescent="0.25">
      <c r="C73" s="1" t="s">
        <v>131</v>
      </c>
      <c r="D73" s="69">
        <f>SUM(D74:D75)</f>
        <v>0</v>
      </c>
      <c r="E73" s="69">
        <f>SUM(E74:E75)</f>
        <v>0</v>
      </c>
      <c r="G73" s="106">
        <f>E73 - D73</f>
        <v>0</v>
      </c>
      <c r="H73" s="107">
        <f>IFERROR(G73 / D73, 0)</f>
        <v>0</v>
      </c>
    </row>
    <row r="74" spans="3:27" hidden="1" outlineLevel="1" x14ac:dyDescent="0.25">
      <c r="C74" s="104" t="str">
        <f>CFF!C41</f>
        <v>Trade receipts</v>
      </c>
      <c r="D74" s="69">
        <f>SUMIFS(Forecast_versions[Amount], Forecast_versions[Week commencing], Dashboard!$D$69, Forecast_versions[Version name], Dashboard!$D$70, Forecast_versions[Category L2], Dashboard!C74)</f>
        <v>0</v>
      </c>
      <c r="E74" s="69">
        <f>SUMIFS('Cash actuals'!$F$14:$BE$14, 'Cash actuals'!$F$7:$BE$7, Dashboard!$E$69)</f>
        <v>0</v>
      </c>
      <c r="G74" s="106">
        <f t="shared" ref="G74:G75" si="0">E74 - D74</f>
        <v>0</v>
      </c>
      <c r="H74" s="107">
        <f t="shared" ref="H74:H75" si="1">IFERROR(G74 / D74, 0)</f>
        <v>0</v>
      </c>
    </row>
    <row r="75" spans="3:27" hidden="1" outlineLevel="1" x14ac:dyDescent="0.25">
      <c r="C75" s="104" t="str">
        <f>CFF!C48</f>
        <v>Other trading receipts</v>
      </c>
      <c r="D75" s="69">
        <f>SUMIFS(Forecast_versions[Amount], Forecast_versions[Week commencing], Dashboard!$D$69, Forecast_versions[Version name], Dashboard!$D$70, Forecast_versions[Category L2], Dashboard!C75)</f>
        <v>0</v>
      </c>
      <c r="E75" s="69">
        <f>SUMIFS('Cash actuals'!$F$16:$BE$16, 'Cash actuals'!$F$7:$BE$7, Dashboard!$E$69)</f>
        <v>0</v>
      </c>
      <c r="G75" s="106">
        <f t="shared" si="0"/>
        <v>0</v>
      </c>
      <c r="H75" s="107">
        <f t="shared" si="1"/>
        <v>0</v>
      </c>
    </row>
    <row r="76" spans="3:27" ht="5.0999999999999996" customHeight="1" x14ac:dyDescent="0.25"/>
    <row r="77" spans="3:27" collapsed="1" x14ac:dyDescent="0.25">
      <c r="C77" s="1" t="s">
        <v>133</v>
      </c>
      <c r="D77" s="69">
        <f>SUM(D78:D82)</f>
        <v>0</v>
      </c>
      <c r="E77" s="69">
        <f>SUM(E78:E82)</f>
        <v>0</v>
      </c>
      <c r="G77" s="106">
        <f t="shared" ref="G77" si="2">E77 - D77</f>
        <v>0</v>
      </c>
      <c r="H77" s="107">
        <f t="shared" ref="H77" si="3">IFERROR(G77 / D77, 0)</f>
        <v>0</v>
      </c>
    </row>
    <row r="78" spans="3:27" hidden="1" outlineLevel="1" x14ac:dyDescent="0.25">
      <c r="C78" s="104">
        <f>CFF!C57</f>
        <v>0</v>
      </c>
      <c r="D78" s="69">
        <f>SUMIFS(Forecast_versions[Amount], Forecast_versions[Week commencing], Dashboard!$D$69, Forecast_versions[Version name], Dashboard!$D$70, Forecast_versions[Category L2], Dashboard!C78)</f>
        <v>0</v>
      </c>
      <c r="E78" s="69">
        <f>SUMIFS('Cash actuals'!$F$22:$BE$22, 'Cash actuals'!$F$7:$BE$7, Dashboard!$E$69)</f>
        <v>0</v>
      </c>
      <c r="G78" s="106">
        <f t="shared" ref="G78:G82" si="4">E78 - D78</f>
        <v>0</v>
      </c>
      <c r="H78" s="107">
        <f t="shared" ref="H78:H82" si="5">IFERROR(G78 / D78, 0)</f>
        <v>0</v>
      </c>
    </row>
    <row r="79" spans="3:27" hidden="1" outlineLevel="1" x14ac:dyDescent="0.25">
      <c r="C79" s="104">
        <f>CFF!C65</f>
        <v>0</v>
      </c>
      <c r="D79" s="69">
        <f>SUMIFS(Forecast_versions[Amount], Forecast_versions[Week commencing], Dashboard!$D$69, Forecast_versions[Version name], Dashboard!$D$70, Forecast_versions[Category L2], Dashboard!C79)</f>
        <v>0</v>
      </c>
      <c r="E79" s="69">
        <f>SUMIFS('Cash actuals'!$F$24:$BE$24, 'Cash actuals'!$F$7:$BE$7, Dashboard!$E$69)</f>
        <v>0</v>
      </c>
      <c r="G79" s="106">
        <f t="shared" si="4"/>
        <v>0</v>
      </c>
      <c r="H79" s="107">
        <f t="shared" si="5"/>
        <v>0</v>
      </c>
    </row>
    <row r="80" spans="3:27" hidden="1" outlineLevel="1" x14ac:dyDescent="0.25">
      <c r="C80" s="104">
        <f>CFF!C73</f>
        <v>0</v>
      </c>
      <c r="D80" s="69">
        <f>SUMIFS(Forecast_versions[Amount], Forecast_versions[Week commencing], Dashboard!$D$69, Forecast_versions[Version name], Dashboard!$D$70, Forecast_versions[Category L2], Dashboard!C80)</f>
        <v>0</v>
      </c>
      <c r="E80" s="69">
        <f>SUMIFS('Cash actuals'!$F$26:$BE$26, 'Cash actuals'!$F$7:$BE$7, Dashboard!$E$69)</f>
        <v>0</v>
      </c>
      <c r="G80" s="106">
        <f t="shared" si="4"/>
        <v>0</v>
      </c>
      <c r="H80" s="107">
        <f t="shared" si="5"/>
        <v>0</v>
      </c>
    </row>
    <row r="81" spans="3:8" hidden="1" outlineLevel="1" x14ac:dyDescent="0.25">
      <c r="C81" s="104">
        <f>CFF!C81</f>
        <v>0</v>
      </c>
      <c r="D81" s="69">
        <f>SUMIFS(Forecast_versions[Amount], Forecast_versions[Week commencing], Dashboard!$D$69, Forecast_versions[Version name], Dashboard!$D$70, Forecast_versions[Category L2], Dashboard!C81)</f>
        <v>0</v>
      </c>
      <c r="E81" s="69">
        <f>SUMIFS('Cash actuals'!$F$28:$BE$28, 'Cash actuals'!$F$7:$BE$7, Dashboard!$E$69)</f>
        <v>0</v>
      </c>
      <c r="G81" s="106">
        <f t="shared" si="4"/>
        <v>0</v>
      </c>
      <c r="H81" s="107">
        <f t="shared" si="5"/>
        <v>0</v>
      </c>
    </row>
    <row r="82" spans="3:8" hidden="1" outlineLevel="1" x14ac:dyDescent="0.25">
      <c r="C82" s="104">
        <f>CFF!C89</f>
        <v>0</v>
      </c>
      <c r="D82" s="69">
        <f>SUMIFS(Forecast_versions[Amount], Forecast_versions[Week commencing], Dashboard!$D$69, Forecast_versions[Version name], Dashboard!$D$70, Forecast_versions[Category L2], Dashboard!C82)</f>
        <v>0</v>
      </c>
      <c r="E82" s="69">
        <f>SUMIFS('Cash actuals'!$F$30:$BE$30, 'Cash actuals'!$F$7:$BE$7, Dashboard!$E$69)</f>
        <v>0</v>
      </c>
      <c r="G82" s="106">
        <f t="shared" si="4"/>
        <v>0</v>
      </c>
      <c r="H82" s="107">
        <f t="shared" si="5"/>
        <v>0</v>
      </c>
    </row>
    <row r="83" spans="3:8" ht="5.0999999999999996" customHeight="1" x14ac:dyDescent="0.25"/>
    <row r="84" spans="3:8" collapsed="1" x14ac:dyDescent="0.25">
      <c r="C84" s="1" t="s">
        <v>135</v>
      </c>
      <c r="D84" s="69">
        <f>SUM(D85:D87)</f>
        <v>0</v>
      </c>
      <c r="E84" s="69">
        <f>SUM(E85:E87)</f>
        <v>0</v>
      </c>
      <c r="G84" s="106">
        <f t="shared" ref="G84:G87" si="6">E84 - D84</f>
        <v>0</v>
      </c>
      <c r="H84" s="107">
        <f t="shared" ref="H84:H87" si="7">IFERROR(G84 / D84, 0)</f>
        <v>0</v>
      </c>
    </row>
    <row r="85" spans="3:8" hidden="1" outlineLevel="1" x14ac:dyDescent="0.25">
      <c r="C85" s="104">
        <f>CFF!C101</f>
        <v>0</v>
      </c>
      <c r="D85" s="69">
        <f>SUMIFS(Forecast_versions[Amount], Forecast_versions[Week commencing], Dashboard!$D$69, Forecast_versions[Version name], Dashboard!$D$70, Forecast_versions[Category L2], Dashboard!C85)</f>
        <v>0</v>
      </c>
      <c r="E85" s="69">
        <f>SUMIFS('Cash actuals'!$F$36:$BE$36, 'Cash actuals'!$F$7:$BE$7, Dashboard!$E$69)</f>
        <v>0</v>
      </c>
      <c r="G85" s="106">
        <f t="shared" si="6"/>
        <v>0</v>
      </c>
      <c r="H85" s="107">
        <f t="shared" si="7"/>
        <v>0</v>
      </c>
    </row>
    <row r="86" spans="3:8" hidden="1" outlineLevel="1" x14ac:dyDescent="0.25">
      <c r="C86" s="104">
        <f>CFF!C109</f>
        <v>0</v>
      </c>
      <c r="D86" s="69">
        <f>SUMIFS(Forecast_versions[Amount], Forecast_versions[Week commencing], Dashboard!$D$69, Forecast_versions[Version name], Dashboard!$D$70, Forecast_versions[Category L2], Dashboard!C86)</f>
        <v>0</v>
      </c>
      <c r="E86" s="69">
        <f>SUMIFS('Cash actuals'!$F$38:$BE$38, 'Cash actuals'!$F$7:$BE$7, Dashboard!$E$69)</f>
        <v>0</v>
      </c>
      <c r="G86" s="106">
        <f t="shared" si="6"/>
        <v>0</v>
      </c>
      <c r="H86" s="107">
        <f t="shared" si="7"/>
        <v>0</v>
      </c>
    </row>
    <row r="87" spans="3:8" hidden="1" outlineLevel="1" x14ac:dyDescent="0.25">
      <c r="C87" s="104">
        <f>CFF!C117</f>
        <v>0</v>
      </c>
      <c r="D87" s="69">
        <f>SUMIFS(Forecast_versions[Amount], Forecast_versions[Week commencing], Dashboard!$D$69, Forecast_versions[Version name], Dashboard!$D$70, Forecast_versions[Category L2], Dashboard!C87)</f>
        <v>0</v>
      </c>
      <c r="E87" s="69">
        <f>SUMIFS('Cash actuals'!$F$40:$BE$40, 'Cash actuals'!$F$7:$BE$7, Dashboard!$E$69)</f>
        <v>0</v>
      </c>
      <c r="G87" s="106">
        <f t="shared" si="6"/>
        <v>0</v>
      </c>
      <c r="H87" s="107">
        <f t="shared" si="7"/>
        <v>0</v>
      </c>
    </row>
    <row r="88" spans="3:8" ht="5.0999999999999996" customHeight="1" x14ac:dyDescent="0.25"/>
    <row r="89" spans="3:8" collapsed="1" x14ac:dyDescent="0.25">
      <c r="C89" s="1" t="s">
        <v>17</v>
      </c>
      <c r="D89" s="69">
        <f>SUM(D90:D103)</f>
        <v>0</v>
      </c>
      <c r="E89" s="69">
        <f>SUM(E90:E103)</f>
        <v>0</v>
      </c>
      <c r="G89" s="106">
        <f t="shared" ref="G89:G102" si="8">E89 - D89</f>
        <v>0</v>
      </c>
      <c r="H89" s="107">
        <f t="shared" ref="H89:H102" si="9">IFERROR(G89 / D89, 0)</f>
        <v>0</v>
      </c>
    </row>
    <row r="90" spans="3:8" hidden="1" outlineLevel="1" x14ac:dyDescent="0.25">
      <c r="C90" s="104" t="str">
        <f>CFF!C129</f>
        <v>GST payments / receipts</v>
      </c>
      <c r="D90" s="69">
        <f>SUMIFS(Forecast_versions[Amount], Forecast_versions[Week commencing], Dashboard!$D$69, Forecast_versions[Version name], Dashboard!$D$70, Forecast_versions[Category L2], Dashboard!C90)</f>
        <v>0</v>
      </c>
      <c r="E90" s="69">
        <f>SUMIFS('Cash actuals'!$F$46:$BE$46, 'Cash actuals'!$F$7:$BE$7, Dashboard!$E$69)</f>
        <v>0</v>
      </c>
      <c r="G90" s="106">
        <f t="shared" si="8"/>
        <v>0</v>
      </c>
      <c r="H90" s="107">
        <f t="shared" si="9"/>
        <v>0</v>
      </c>
    </row>
    <row r="91" spans="3:8" hidden="1" outlineLevel="1" x14ac:dyDescent="0.25">
      <c r="C91" s="104">
        <f>CFF!C138</f>
        <v>0</v>
      </c>
      <c r="D91" s="69">
        <f>SUMIFS(Forecast_versions[Amount], Forecast_versions[Week commencing], Dashboard!$D$69, Forecast_versions[Version name], Dashboard!$D$70, Forecast_versions[Category L2], Dashboard!C91)</f>
        <v>0</v>
      </c>
      <c r="E91" s="69">
        <f>SUMIFS('Cash actuals'!$F$48:$BE$48, 'Cash actuals'!$F$7:$BE$7, Dashboard!$E$69)</f>
        <v>0</v>
      </c>
      <c r="G91" s="106">
        <f t="shared" si="8"/>
        <v>0</v>
      </c>
      <c r="H91" s="107">
        <f t="shared" si="9"/>
        <v>0</v>
      </c>
    </row>
    <row r="92" spans="3:8" hidden="1" outlineLevel="1" x14ac:dyDescent="0.25">
      <c r="C92" s="104">
        <f>CFF!C146</f>
        <v>0</v>
      </c>
      <c r="D92" s="69">
        <f>SUMIFS(Forecast_versions[Amount], Forecast_versions[Week commencing], Dashboard!$D$69, Forecast_versions[Version name], Dashboard!$D$70, Forecast_versions[Category L2], Dashboard!C92)</f>
        <v>0</v>
      </c>
      <c r="E92" s="69">
        <f>SUMIFS('Cash actuals'!$F$50:$BE$50, 'Cash actuals'!$F$7:$BE$7, Dashboard!$E$69)</f>
        <v>0</v>
      </c>
      <c r="G92" s="106">
        <f t="shared" si="8"/>
        <v>0</v>
      </c>
      <c r="H92" s="107">
        <f t="shared" si="9"/>
        <v>0</v>
      </c>
    </row>
    <row r="93" spans="3:8" hidden="1" outlineLevel="1" x14ac:dyDescent="0.25">
      <c r="C93" s="104">
        <f>CFF!C154</f>
        <v>0</v>
      </c>
      <c r="D93" s="69">
        <f>SUMIFS(Forecast_versions[Amount], Forecast_versions[Week commencing], Dashboard!$D$69, Forecast_versions[Version name], Dashboard!$D$70, Forecast_versions[Category L2], Dashboard!C93)</f>
        <v>0</v>
      </c>
      <c r="E93" s="69">
        <f>SUMIFS('Cash actuals'!$F$52:$BE$52, 'Cash actuals'!$F$7:$BE$7, Dashboard!$E$69)</f>
        <v>0</v>
      </c>
      <c r="G93" s="106">
        <f t="shared" si="8"/>
        <v>0</v>
      </c>
      <c r="H93" s="107">
        <f t="shared" si="9"/>
        <v>0</v>
      </c>
    </row>
    <row r="94" spans="3:8" hidden="1" outlineLevel="1" x14ac:dyDescent="0.25">
      <c r="C94" s="104">
        <f>CFF!C162</f>
        <v>0</v>
      </c>
      <c r="D94" s="69">
        <f>SUMIFS(Forecast_versions[Amount], Forecast_versions[Week commencing], Dashboard!$D$69, Forecast_versions[Version name], Dashboard!$D$70, Forecast_versions[Category L2], Dashboard!C94)</f>
        <v>0</v>
      </c>
      <c r="E94" s="69">
        <f>SUMIFS('Cash actuals'!$F$54:$BE$54, 'Cash actuals'!$F$7:$BE$7, Dashboard!$E$69)</f>
        <v>0</v>
      </c>
      <c r="G94" s="106">
        <f t="shared" si="8"/>
        <v>0</v>
      </c>
      <c r="H94" s="107">
        <f t="shared" si="9"/>
        <v>0</v>
      </c>
    </row>
    <row r="95" spans="3:8" hidden="1" outlineLevel="1" x14ac:dyDescent="0.25">
      <c r="C95" s="104">
        <f>CFF!C170</f>
        <v>0</v>
      </c>
      <c r="D95" s="69">
        <f>SUMIFS(Forecast_versions[Amount], Forecast_versions[Week commencing], Dashboard!$D$69, Forecast_versions[Version name], Dashboard!$D$70, Forecast_versions[Category L2], Dashboard!C95)</f>
        <v>0</v>
      </c>
      <c r="E95" s="69">
        <f>SUMIFS('Cash actuals'!$F$56:$BE$56, 'Cash actuals'!$F$7:$BE$7, Dashboard!$E$69)</f>
        <v>0</v>
      </c>
      <c r="G95" s="106">
        <f t="shared" si="8"/>
        <v>0</v>
      </c>
      <c r="H95" s="107">
        <f t="shared" si="9"/>
        <v>0</v>
      </c>
    </row>
    <row r="96" spans="3:8" hidden="1" outlineLevel="1" x14ac:dyDescent="0.25">
      <c r="C96" s="104">
        <f>CFF!C178</f>
        <v>0</v>
      </c>
      <c r="D96" s="69">
        <f>SUMIFS(Forecast_versions[Amount], Forecast_versions[Week commencing], Dashboard!$D$69, Forecast_versions[Version name], Dashboard!$D$70, Forecast_versions[Category L2], Dashboard!C96)</f>
        <v>0</v>
      </c>
      <c r="E96" s="69">
        <f>SUMIFS('Cash actuals'!$F$58:$BE$58, 'Cash actuals'!$F$7:$BE$7, Dashboard!$E$69)</f>
        <v>0</v>
      </c>
      <c r="G96" s="106">
        <f t="shared" si="8"/>
        <v>0</v>
      </c>
      <c r="H96" s="107">
        <f t="shared" si="9"/>
        <v>0</v>
      </c>
    </row>
    <row r="97" spans="3:8" hidden="1" outlineLevel="1" x14ac:dyDescent="0.25">
      <c r="C97" s="104">
        <f>CFF!C186</f>
        <v>0</v>
      </c>
      <c r="D97" s="69">
        <f>SUMIFS(Forecast_versions[Amount], Forecast_versions[Week commencing], Dashboard!$D$69, Forecast_versions[Version name], Dashboard!$D$70, Forecast_versions[Category L2], Dashboard!C97)</f>
        <v>0</v>
      </c>
      <c r="E97" s="69">
        <f>SUMIFS('Cash actuals'!$F$60:$BE$60, 'Cash actuals'!$F$7:$BE$7, Dashboard!$E$69)</f>
        <v>0</v>
      </c>
      <c r="G97" s="106">
        <f t="shared" si="8"/>
        <v>0</v>
      </c>
      <c r="H97" s="107">
        <f t="shared" si="9"/>
        <v>0</v>
      </c>
    </row>
    <row r="98" spans="3:8" hidden="1" outlineLevel="1" x14ac:dyDescent="0.25">
      <c r="C98" s="104">
        <f>CFF!C194</f>
        <v>0</v>
      </c>
      <c r="D98" s="69">
        <f>SUMIFS(Forecast_versions[Amount], Forecast_versions[Week commencing], Dashboard!$D$69, Forecast_versions[Version name], Dashboard!$D$70, Forecast_versions[Category L2], Dashboard!C98)</f>
        <v>0</v>
      </c>
      <c r="E98" s="69">
        <f>SUMIFS('Cash actuals'!$F$62:$BE$62, 'Cash actuals'!$F$7:$BE$7, Dashboard!$E$69)</f>
        <v>0</v>
      </c>
      <c r="G98" s="106">
        <f t="shared" si="8"/>
        <v>0</v>
      </c>
      <c r="H98" s="107">
        <f t="shared" si="9"/>
        <v>0</v>
      </c>
    </row>
    <row r="99" spans="3:8" hidden="1" outlineLevel="1" x14ac:dyDescent="0.25">
      <c r="C99" s="104">
        <f>CFF!C202</f>
        <v>0</v>
      </c>
      <c r="D99" s="69">
        <f>SUMIFS(Forecast_versions[Amount], Forecast_versions[Week commencing], Dashboard!$D$69, Forecast_versions[Version name], Dashboard!$D$70, Forecast_versions[Category L2], Dashboard!C99)</f>
        <v>0</v>
      </c>
      <c r="E99" s="69">
        <f>SUMIFS('Cash actuals'!$F$64:$BE$64, 'Cash actuals'!$F$7:$BE$7, Dashboard!$E$69)</f>
        <v>0</v>
      </c>
      <c r="G99" s="106">
        <f t="shared" si="8"/>
        <v>0</v>
      </c>
      <c r="H99" s="107">
        <f t="shared" si="9"/>
        <v>0</v>
      </c>
    </row>
    <row r="100" spans="3:8" hidden="1" outlineLevel="1" x14ac:dyDescent="0.25">
      <c r="C100" s="104">
        <f>CFF!C210</f>
        <v>0</v>
      </c>
      <c r="D100" s="69">
        <f>SUMIFS(Forecast_versions[Amount], Forecast_versions[Week commencing], Dashboard!$D$69, Forecast_versions[Version name], Dashboard!$D$70, Forecast_versions[Category L2], Dashboard!C100)</f>
        <v>0</v>
      </c>
      <c r="E100" s="69">
        <f>SUMIFS('Cash actuals'!$F$66:$BE$66, 'Cash actuals'!$F$7:$BE$7, Dashboard!$E$69)</f>
        <v>0</v>
      </c>
      <c r="G100" s="106">
        <f t="shared" si="8"/>
        <v>0</v>
      </c>
      <c r="H100" s="107">
        <f t="shared" si="9"/>
        <v>0</v>
      </c>
    </row>
    <row r="101" spans="3:8" hidden="1" outlineLevel="1" x14ac:dyDescent="0.25">
      <c r="C101" s="104">
        <f>CFF!C218</f>
        <v>0</v>
      </c>
      <c r="D101" s="69">
        <f>SUMIFS(Forecast_versions[Amount], Forecast_versions[Week commencing], Dashboard!$D$69, Forecast_versions[Version name], Dashboard!$D$70, Forecast_versions[Category L2], Dashboard!C101)</f>
        <v>0</v>
      </c>
      <c r="E101" s="69">
        <f>SUMIFS('Cash actuals'!$F$68:$BE$68, 'Cash actuals'!$F$7:$BE$7, Dashboard!$E$69)</f>
        <v>0</v>
      </c>
      <c r="G101" s="106">
        <f t="shared" si="8"/>
        <v>0</v>
      </c>
      <c r="H101" s="107">
        <f t="shared" si="9"/>
        <v>0</v>
      </c>
    </row>
    <row r="102" spans="3:8" hidden="1" outlineLevel="1" x14ac:dyDescent="0.25">
      <c r="C102" s="104">
        <f>CFF!C226</f>
        <v>0</v>
      </c>
      <c r="D102" s="69">
        <f>SUMIFS(Forecast_versions[Amount], Forecast_versions[Week commencing], Dashboard!$D$69, Forecast_versions[Version name], Dashboard!$D$70, Forecast_versions[Category L2], Dashboard!C102)</f>
        <v>0</v>
      </c>
      <c r="E102" s="69">
        <f>SUMIFS('Cash actuals'!$F$70:$BE$70, 'Cash actuals'!$F$7:$BE$7, Dashboard!$E$69)</f>
        <v>0</v>
      </c>
      <c r="G102" s="106">
        <f t="shared" si="8"/>
        <v>0</v>
      </c>
      <c r="H102" s="107">
        <f t="shared" si="9"/>
        <v>0</v>
      </c>
    </row>
    <row r="103" spans="3:8" hidden="1" outlineLevel="1" x14ac:dyDescent="0.25">
      <c r="C103" s="104" t="str">
        <f>CFF!C234</f>
        <v>Corporation tax</v>
      </c>
      <c r="D103" s="69">
        <f>SUMIFS(Forecast_versions[Amount], Forecast_versions[Week commencing], Dashboard!$D$69, Forecast_versions[Version name], Dashboard!$D$70, Forecast_versions[Category L2], Dashboard!C103)</f>
        <v>0</v>
      </c>
      <c r="E103" s="69">
        <f>SUMIFS('Cash actuals'!$F$72:$BE$72, 'Cash actuals'!$F$7:$BE$7, Dashboard!$E$69)</f>
        <v>0</v>
      </c>
      <c r="G103" s="115"/>
      <c r="H103" s="116"/>
    </row>
    <row r="104" spans="3:8" ht="5.0999999999999996" customHeight="1" x14ac:dyDescent="0.25"/>
    <row r="105" spans="3:8" collapsed="1" x14ac:dyDescent="0.25">
      <c r="C105" s="1" t="s">
        <v>21</v>
      </c>
      <c r="D105" s="69">
        <f>SUM(D106:D108)</f>
        <v>0</v>
      </c>
      <c r="E105" s="69">
        <f>SUM(E106:E108)</f>
        <v>0</v>
      </c>
      <c r="G105" s="106">
        <f t="shared" ref="G105:G108" si="10">E105 - D105</f>
        <v>0</v>
      </c>
      <c r="H105" s="107">
        <f t="shared" ref="H105:H108" si="11">IFERROR(G105 / D105, 0)</f>
        <v>0</v>
      </c>
    </row>
    <row r="106" spans="3:8" hidden="1" outlineLevel="1" x14ac:dyDescent="0.25">
      <c r="C106" s="104">
        <f>CFF!C243</f>
        <v>0</v>
      </c>
      <c r="D106" s="69">
        <f>SUMIFS(Forecast_versions[Amount], Forecast_versions[Week commencing], Dashboard!$D$69, Forecast_versions[Version name], Dashboard!$D$70, Forecast_versions[Category L2], Dashboard!C106)</f>
        <v>0</v>
      </c>
      <c r="E106" s="69">
        <f>SUMIFS('Cash actuals'!$F$78:$BE$78, 'Cash actuals'!$F$7:$BE$7, Dashboard!$E$69)</f>
        <v>0</v>
      </c>
      <c r="G106" s="106">
        <f t="shared" si="10"/>
        <v>0</v>
      </c>
      <c r="H106" s="107">
        <f t="shared" si="11"/>
        <v>0</v>
      </c>
    </row>
    <row r="107" spans="3:8" hidden="1" outlineLevel="1" x14ac:dyDescent="0.25">
      <c r="C107" s="104">
        <f>CFF!C251</f>
        <v>0</v>
      </c>
      <c r="D107" s="69">
        <f>SUMIFS(Forecast_versions[Amount], Forecast_versions[Week commencing], Dashboard!$D$69, Forecast_versions[Version name], Dashboard!$D$70, Forecast_versions[Category L2], Dashboard!C107)</f>
        <v>0</v>
      </c>
      <c r="E107" s="69">
        <f>SUMIFS('Cash actuals'!$F$80:$BE$80, 'Cash actuals'!$F$7:$BE$7, Dashboard!$E$69)</f>
        <v>0</v>
      </c>
      <c r="G107" s="106">
        <f t="shared" si="10"/>
        <v>0</v>
      </c>
      <c r="H107" s="107">
        <f t="shared" si="11"/>
        <v>0</v>
      </c>
    </row>
    <row r="108" spans="3:8" hidden="1" outlineLevel="1" x14ac:dyDescent="0.25">
      <c r="C108" s="104">
        <f>CFF!C259</f>
        <v>0</v>
      </c>
      <c r="D108" s="69">
        <f>SUMIFS(Forecast_versions[Amount], Forecast_versions[Week commencing], Dashboard!$D$69, Forecast_versions[Version name], Dashboard!$D$70, Forecast_versions[Category L2], Dashboard!C108)</f>
        <v>0</v>
      </c>
      <c r="E108" s="69">
        <f>SUMIFS('Cash actuals'!$F$82:$BE$82, 'Cash actuals'!$F$7:$BE$7, Dashboard!$E$69)</f>
        <v>0</v>
      </c>
      <c r="G108" s="106">
        <f t="shared" si="10"/>
        <v>0</v>
      </c>
      <c r="H108" s="107">
        <f t="shared" si="11"/>
        <v>0</v>
      </c>
    </row>
    <row r="109" spans="3:8" ht="5.0999999999999996" customHeight="1" x14ac:dyDescent="0.25"/>
    <row r="110" spans="3:8" collapsed="1" x14ac:dyDescent="0.25">
      <c r="C110" s="1" t="s">
        <v>140</v>
      </c>
      <c r="D110" s="69">
        <f>SUM(D111:D113)</f>
        <v>0</v>
      </c>
      <c r="E110" s="69">
        <f>SUM(E111:E113)</f>
        <v>0</v>
      </c>
      <c r="G110" s="106">
        <f t="shared" ref="G110:G113" si="12">E110 - D110</f>
        <v>0</v>
      </c>
      <c r="H110" s="107">
        <f t="shared" ref="H110:H113" si="13">IFERROR(G110 / D110, 0)</f>
        <v>0</v>
      </c>
    </row>
    <row r="111" spans="3:8" hidden="1" outlineLevel="1" x14ac:dyDescent="0.25">
      <c r="C111" s="104">
        <f>CFF!C271</f>
        <v>0</v>
      </c>
      <c r="D111" s="69">
        <f>SUMIFS(Forecast_versions[Amount], Forecast_versions[Week commencing], Dashboard!$D$69, Forecast_versions[Version name], Dashboard!$D$70, Forecast_versions[Category L2], Dashboard!C111)</f>
        <v>0</v>
      </c>
      <c r="E111" s="69">
        <f>SUMIFS('Cash actuals'!$F$88:$BE$88, 'Cash actuals'!$F$7:$BE$7, Dashboard!$E$69)</f>
        <v>0</v>
      </c>
      <c r="G111" s="106">
        <f t="shared" si="12"/>
        <v>0</v>
      </c>
      <c r="H111" s="107">
        <f t="shared" si="13"/>
        <v>0</v>
      </c>
    </row>
    <row r="112" spans="3:8" hidden="1" outlineLevel="1" x14ac:dyDescent="0.25">
      <c r="C112" s="104">
        <f>CFF!C279</f>
        <v>0</v>
      </c>
      <c r="D112" s="69">
        <f>SUMIFS(Forecast_versions[Amount], Forecast_versions[Week commencing], Dashboard!$D$69, Forecast_versions[Version name], Dashboard!$D$70, Forecast_versions[Category L2], Dashboard!C112)</f>
        <v>0</v>
      </c>
      <c r="E112" s="69">
        <f>SUMIFS('Cash actuals'!$F$90:$BE$90, 'Cash actuals'!$F$7:$BE$7, Dashboard!$E$69)</f>
        <v>0</v>
      </c>
      <c r="G112" s="106">
        <f t="shared" si="12"/>
        <v>0</v>
      </c>
      <c r="H112" s="107">
        <f t="shared" si="13"/>
        <v>0</v>
      </c>
    </row>
    <row r="113" spans="3:8" hidden="1" outlineLevel="1" x14ac:dyDescent="0.25">
      <c r="C113" s="104">
        <f>CFF!C287</f>
        <v>0</v>
      </c>
      <c r="D113" s="69">
        <f>SUMIFS(Forecast_versions[Amount], Forecast_versions[Week commencing], Dashboard!$D$69, Forecast_versions[Version name], Dashboard!$D$70, Forecast_versions[Category L2], Dashboard!C113)</f>
        <v>0</v>
      </c>
      <c r="E113" s="69">
        <f>SUMIFS('Cash actuals'!$F$92:$BE$92, 'Cash actuals'!$F$7:$BE$7, Dashboard!$E$69)</f>
        <v>0</v>
      </c>
      <c r="G113" s="106">
        <f t="shared" si="12"/>
        <v>0</v>
      </c>
      <c r="H113" s="107">
        <f t="shared" si="13"/>
        <v>0</v>
      </c>
    </row>
    <row r="114" spans="3:8" ht="5.0999999999999996" customHeight="1" x14ac:dyDescent="0.25"/>
    <row r="115" spans="3:8" collapsed="1" x14ac:dyDescent="0.25">
      <c r="C115" s="1" t="s">
        <v>138</v>
      </c>
      <c r="D115" s="69">
        <f>SUM(D116:D118)</f>
        <v>0</v>
      </c>
      <c r="E115" s="69">
        <f>SUM(E116:E118)</f>
        <v>0</v>
      </c>
      <c r="G115" s="106">
        <f t="shared" ref="G115:G118" si="14">E115 - D115</f>
        <v>0</v>
      </c>
      <c r="H115" s="107">
        <f t="shared" ref="H115:H118" si="15">IFERROR(G115 / D115, 0)</f>
        <v>0</v>
      </c>
    </row>
    <row r="116" spans="3:8" hidden="1" outlineLevel="1" x14ac:dyDescent="0.25">
      <c r="C116" s="104" t="str">
        <f>CFF!C299</f>
        <v>Dividends</v>
      </c>
      <c r="D116" s="69">
        <f>SUMIFS(Forecast_versions[Amount], Forecast_versions[Week commencing], Dashboard!$D$69, Forecast_versions[Version name], Dashboard!$D$70, Forecast_versions[Category L2], Dashboard!C116)</f>
        <v>0</v>
      </c>
      <c r="E116" s="69">
        <f>SUMIFS('Cash actuals'!$F$98:$BE$98, 'Cash actuals'!$F$7:$BE$7, Dashboard!$E$69)</f>
        <v>0</v>
      </c>
      <c r="G116" s="106">
        <f t="shared" si="14"/>
        <v>0</v>
      </c>
      <c r="H116" s="107">
        <f t="shared" si="15"/>
        <v>0</v>
      </c>
    </row>
    <row r="117" spans="3:8" hidden="1" outlineLevel="1" x14ac:dyDescent="0.25">
      <c r="C117" s="104" t="str">
        <f>CFF!C304</f>
        <v>Equity injection</v>
      </c>
      <c r="D117" s="69">
        <f>SUMIFS(Forecast_versions[Amount], Forecast_versions[Week commencing], Dashboard!$D$69, Forecast_versions[Version name], Dashboard!$D$70, Forecast_versions[Category L2], Dashboard!C117)</f>
        <v>0</v>
      </c>
      <c r="E117" s="69">
        <f>SUMIFS('Cash actuals'!$F$100:$BE$100, 'Cash actuals'!$F$7:$BE$7, Dashboard!$E$69)</f>
        <v>0</v>
      </c>
      <c r="G117" s="106">
        <f t="shared" si="14"/>
        <v>0</v>
      </c>
      <c r="H117" s="107">
        <f t="shared" si="15"/>
        <v>0</v>
      </c>
    </row>
    <row r="118" spans="3:8" hidden="1" outlineLevel="1" x14ac:dyDescent="0.25">
      <c r="C118" s="104" t="str">
        <f>CFF!C309</f>
        <v>M&amp;A</v>
      </c>
      <c r="D118" s="69">
        <f>SUMIFS(Forecast_versions[Amount], Forecast_versions[Week commencing], Dashboard!$D$69, Forecast_versions[Version name], Dashboard!$D$70, Forecast_versions[Category L2], Dashboard!C118)</f>
        <v>0</v>
      </c>
      <c r="E118" s="69">
        <f>SUMIFS('Cash actuals'!$F$102:$BE$102, 'Cash actuals'!$F$7:$BE$7, Dashboard!$E$69)</f>
        <v>0</v>
      </c>
      <c r="G118" s="106">
        <f t="shared" si="14"/>
        <v>0</v>
      </c>
      <c r="H118" s="107">
        <f t="shared" si="15"/>
        <v>0</v>
      </c>
    </row>
    <row r="119" spans="3:8" ht="5.0999999999999996" customHeight="1" x14ac:dyDescent="0.25"/>
    <row r="120" spans="3:8" x14ac:dyDescent="0.25">
      <c r="C120" s="1" t="s">
        <v>146</v>
      </c>
      <c r="D120" s="69">
        <f>SUMIFS(Forecast_versions[Amount], Forecast_versions[Week commencing], Dashboard!$D$69, Forecast_versions[Version name], Dashboard!$D$70, Forecast_versions[Category L2], Dashboard!C120)</f>
        <v>0</v>
      </c>
      <c r="E120" s="69">
        <f>SUMIFS('Cash actuals'!$F$110:$BE$110, 'Cash actuals'!$F$7:$BE$7, Dashboard!$E$69)</f>
        <v>0</v>
      </c>
      <c r="G120" s="106">
        <f t="shared" ref="G120" si="16">E120 - D120</f>
        <v>0</v>
      </c>
      <c r="H120" s="107">
        <f t="shared" ref="H120" si="17">IFERROR(G120 / D120, 0)</f>
        <v>0</v>
      </c>
    </row>
    <row r="121" spans="3:8" ht="5.0999999999999996" customHeight="1" x14ac:dyDescent="0.25"/>
    <row r="122" spans="3:8" x14ac:dyDescent="0.25">
      <c r="C122" s="1" t="s">
        <v>147</v>
      </c>
      <c r="D122" s="69">
        <f>D73 + D77 + D84 + D89 + D105 + D110 + D115</f>
        <v>0</v>
      </c>
      <c r="E122" s="69">
        <f>E73 + E77 + E84 + E89 + E105 + E110 + E115</f>
        <v>0</v>
      </c>
      <c r="G122" s="106">
        <f t="shared" ref="G122" si="18">E122 - D122</f>
        <v>0</v>
      </c>
      <c r="H122" s="107">
        <f t="shared" ref="H122" si="19">IFERROR(G122 / D122, 0)</f>
        <v>0</v>
      </c>
    </row>
    <row r="123" spans="3:8" ht="5.0999999999999996" customHeight="1" x14ac:dyDescent="0.25"/>
    <row r="124" spans="3:8" x14ac:dyDescent="0.25">
      <c r="C124" s="1" t="s">
        <v>145</v>
      </c>
      <c r="D124" s="69">
        <f>SUMIFS(Forecast_versions[Amount], Forecast_versions[Week commencing], Dashboard!$D$69, Forecast_versions[Version name], Dashboard!$D$70, Forecast_versions[Category L2], Dashboard!C124)</f>
        <v>0</v>
      </c>
      <c r="E124" s="69">
        <f>SUMIFS('Cash actuals'!$F$114:$BE$114, 'Cash actuals'!$F$7:$BE$7, Dashboard!$E$69)</f>
        <v>0</v>
      </c>
      <c r="G124" s="106">
        <f t="shared" ref="G124" si="20">E124 - D124</f>
        <v>0</v>
      </c>
      <c r="H124" s="107">
        <f t="shared" ref="H124" si="21">IFERROR(G124 / D124, 0)</f>
        <v>0</v>
      </c>
    </row>
    <row r="125" spans="3:8" x14ac:dyDescent="0.25"/>
  </sheetData>
  <conditionalFormatting sqref="G73:G75">
    <cfRule type="cellIs" dxfId="26" priority="19" operator="lessThan">
      <formula>0</formula>
    </cfRule>
    <cfRule type="cellIs" dxfId="25" priority="20" operator="greaterThan">
      <formula>0</formula>
    </cfRule>
  </conditionalFormatting>
  <conditionalFormatting sqref="G77:G82">
    <cfRule type="cellIs" dxfId="24" priority="17" operator="lessThan">
      <formula>0</formula>
    </cfRule>
    <cfRule type="cellIs" dxfId="23" priority="18" operator="greaterThan">
      <formula>0</formula>
    </cfRule>
  </conditionalFormatting>
  <conditionalFormatting sqref="G84:G87">
    <cfRule type="cellIs" dxfId="22" priority="15" operator="lessThan">
      <formula>0</formula>
    </cfRule>
    <cfRule type="cellIs" dxfId="21" priority="16" operator="greaterThan">
      <formula>0</formula>
    </cfRule>
  </conditionalFormatting>
  <conditionalFormatting sqref="G89:G103">
    <cfRule type="cellIs" dxfId="20" priority="13" operator="lessThan">
      <formula>0</formula>
    </cfRule>
    <cfRule type="cellIs" dxfId="19" priority="14" operator="greaterThan">
      <formula>0</formula>
    </cfRule>
  </conditionalFormatting>
  <conditionalFormatting sqref="G105:G108">
    <cfRule type="cellIs" dxfId="18" priority="11" operator="lessThan">
      <formula>0</formula>
    </cfRule>
    <cfRule type="cellIs" dxfId="17" priority="12" operator="greaterThan">
      <formula>0</formula>
    </cfRule>
  </conditionalFormatting>
  <conditionalFormatting sqref="G110:G113">
    <cfRule type="cellIs" dxfId="16" priority="9" operator="lessThan">
      <formula>0</formula>
    </cfRule>
    <cfRule type="cellIs" dxfId="15" priority="10" operator="greaterThan">
      <formula>0</formula>
    </cfRule>
  </conditionalFormatting>
  <conditionalFormatting sqref="G115:G118">
    <cfRule type="cellIs" dxfId="14" priority="7" operator="lessThan">
      <formula>0</formula>
    </cfRule>
    <cfRule type="cellIs" dxfId="13" priority="8" operator="greaterThan">
      <formula>0</formula>
    </cfRule>
  </conditionalFormatting>
  <conditionalFormatting sqref="G120">
    <cfRule type="cellIs" dxfId="12" priority="5" operator="lessThan">
      <formula>0</formula>
    </cfRule>
    <cfRule type="cellIs" dxfId="11" priority="6" operator="greaterThan">
      <formula>0</formula>
    </cfRule>
  </conditionalFormatting>
  <conditionalFormatting sqref="G122">
    <cfRule type="cellIs" dxfId="10" priority="1" operator="lessThan">
      <formula>0</formula>
    </cfRule>
    <cfRule type="cellIs" dxfId="9" priority="2" operator="greaterThan">
      <formula>0</formula>
    </cfRule>
  </conditionalFormatting>
  <conditionalFormatting sqref="G124">
    <cfRule type="cellIs" dxfId="8" priority="3" operator="lessThan">
      <formula>0</formula>
    </cfRule>
    <cfRule type="cellIs" dxfId="7" priority="4" operator="greaterThan">
      <formula>0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52E4E60-054D-48CD-B8CC-31778DA3D088}">
          <x14:formula1>
            <xm:f>Lists!$C$78:$C$582</xm:f>
          </x14:formula1>
          <xm:sqref>D69</xm:sqref>
        </x14:dataValidation>
        <x14:dataValidation type="list" allowBlank="1" showInputMessage="1" showErrorMessage="1" xr:uid="{EB0D81EA-8932-466F-97AE-B2A60F1AF443}">
          <x14:formula1>
            <xm:f>'Forecast versions'!$C:$C</xm:f>
          </x14:formula1>
          <xm:sqref>D70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8BF6-D387-4C1D-B37B-A24C38884A73}">
  <sheetPr>
    <tabColor theme="9" tint="0.79998168889431442"/>
    <outlinePr summaryBelow="0" summaryRight="0"/>
  </sheetPr>
  <dimension ref="A1:W341"/>
  <sheetViews>
    <sheetView showGridLines="0" workbookViewId="0"/>
  </sheetViews>
  <sheetFormatPr defaultColWidth="0" defaultRowHeight="13.5" zeroHeight="1" outlineLevelRow="1" x14ac:dyDescent="0.25"/>
  <cols>
    <col min="1" max="2" width="1.7109375" style="1" customWidth="1"/>
    <col min="3" max="3" width="44.42578125" style="1" bestFit="1" customWidth="1"/>
    <col min="4" max="4" width="1.7109375" style="1" customWidth="1"/>
    <col min="5" max="5" width="12.7109375" style="1" customWidth="1"/>
    <col min="6" max="6" width="1.7109375" style="1" customWidth="1"/>
    <col min="7" max="20" width="12.7109375" style="1" customWidth="1"/>
    <col min="21" max="21" width="1.7109375" style="1" customWidth="1"/>
    <col min="22" max="23" width="0" style="1" hidden="1" customWidth="1"/>
    <col min="24" max="16384" width="9.140625" style="1" hidden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.75" x14ac:dyDescent="0.25">
      <c r="A3" s="2"/>
      <c r="B3" s="16" t="s">
        <v>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/>
    <row r="6" spans="1:21" x14ac:dyDescent="0.25"/>
    <row r="7" spans="1:21" x14ac:dyDescent="0.25">
      <c r="C7" s="3" t="s">
        <v>0</v>
      </c>
      <c r="E7" s="74">
        <f>G7-7</f>
        <v>-7</v>
      </c>
      <c r="G7" s="5">
        <f>Assumptions!$D$11</f>
        <v>0</v>
      </c>
      <c r="H7" s="5">
        <f t="shared" ref="H7:S7" si="0">G8+1</f>
        <v>7</v>
      </c>
      <c r="I7" s="5">
        <f t="shared" si="0"/>
        <v>14</v>
      </c>
      <c r="J7" s="5">
        <f t="shared" si="0"/>
        <v>21</v>
      </c>
      <c r="K7" s="5">
        <f t="shared" si="0"/>
        <v>28</v>
      </c>
      <c r="L7" s="5">
        <f t="shared" si="0"/>
        <v>35</v>
      </c>
      <c r="M7" s="5">
        <f t="shared" si="0"/>
        <v>42</v>
      </c>
      <c r="N7" s="5">
        <f t="shared" si="0"/>
        <v>49</v>
      </c>
      <c r="O7" s="5">
        <f t="shared" si="0"/>
        <v>56</v>
      </c>
      <c r="P7" s="5">
        <f t="shared" si="0"/>
        <v>63</v>
      </c>
      <c r="Q7" s="5">
        <f t="shared" si="0"/>
        <v>70</v>
      </c>
      <c r="R7" s="5">
        <f t="shared" si="0"/>
        <v>77</v>
      </c>
      <c r="S7" s="5">
        <f t="shared" si="0"/>
        <v>84</v>
      </c>
      <c r="T7" s="6"/>
    </row>
    <row r="8" spans="1:21" x14ac:dyDescent="0.25">
      <c r="C8" s="3" t="s">
        <v>1</v>
      </c>
      <c r="E8" s="75">
        <f>E7+6</f>
        <v>-1</v>
      </c>
      <c r="G8" s="5">
        <f t="shared" ref="G8:S8" si="1">G7+6</f>
        <v>6</v>
      </c>
      <c r="H8" s="5">
        <f t="shared" si="1"/>
        <v>13</v>
      </c>
      <c r="I8" s="5">
        <f t="shared" si="1"/>
        <v>20</v>
      </c>
      <c r="J8" s="5">
        <f t="shared" si="1"/>
        <v>27</v>
      </c>
      <c r="K8" s="5">
        <f t="shared" si="1"/>
        <v>34</v>
      </c>
      <c r="L8" s="5">
        <f t="shared" si="1"/>
        <v>41</v>
      </c>
      <c r="M8" s="5">
        <f t="shared" si="1"/>
        <v>48</v>
      </c>
      <c r="N8" s="5">
        <f t="shared" si="1"/>
        <v>55</v>
      </c>
      <c r="O8" s="5">
        <f t="shared" si="1"/>
        <v>62</v>
      </c>
      <c r="P8" s="5">
        <f t="shared" si="1"/>
        <v>69</v>
      </c>
      <c r="Q8" s="5">
        <f t="shared" si="1"/>
        <v>76</v>
      </c>
      <c r="R8" s="5">
        <f t="shared" si="1"/>
        <v>83</v>
      </c>
      <c r="S8" s="5">
        <f t="shared" si="1"/>
        <v>90</v>
      </c>
      <c r="T8" s="7"/>
    </row>
    <row r="9" spans="1:21" x14ac:dyDescent="0.25">
      <c r="C9" s="3" t="s">
        <v>2</v>
      </c>
      <c r="E9" s="76">
        <v>0</v>
      </c>
      <c r="G9" s="8">
        <v>1</v>
      </c>
      <c r="H9" s="8">
        <v>2</v>
      </c>
      <c r="I9" s="8">
        <v>3</v>
      </c>
      <c r="J9" s="8">
        <v>4</v>
      </c>
      <c r="K9" s="8">
        <v>5</v>
      </c>
      <c r="L9" s="8">
        <v>6</v>
      </c>
      <c r="M9" s="8">
        <v>7</v>
      </c>
      <c r="N9" s="8">
        <v>8</v>
      </c>
      <c r="O9" s="8">
        <v>9</v>
      </c>
      <c r="P9" s="8">
        <v>10</v>
      </c>
      <c r="Q9" s="8">
        <v>11</v>
      </c>
      <c r="R9" s="8">
        <v>12</v>
      </c>
      <c r="S9" s="8">
        <v>13</v>
      </c>
      <c r="T9" s="9"/>
    </row>
    <row r="10" spans="1:21" x14ac:dyDescent="0.25">
      <c r="C10" s="3" t="s">
        <v>3</v>
      </c>
      <c r="E10" s="76" t="e">
        <f t="shared" ref="E10" si="2">WEEKNUM(E7, 21)</f>
        <v>#NUM!</v>
      </c>
      <c r="G10" s="8">
        <f>WEEKNUM(G7, 21)</f>
        <v>52</v>
      </c>
      <c r="H10" s="8">
        <f t="shared" ref="H10:S10" si="3">WEEKNUM(H7, 21)</f>
        <v>1</v>
      </c>
      <c r="I10" s="8">
        <f t="shared" si="3"/>
        <v>2</v>
      </c>
      <c r="J10" s="8">
        <f t="shared" si="3"/>
        <v>3</v>
      </c>
      <c r="K10" s="8">
        <f t="shared" si="3"/>
        <v>4</v>
      </c>
      <c r="L10" s="8">
        <f t="shared" si="3"/>
        <v>5</v>
      </c>
      <c r="M10" s="8">
        <f t="shared" si="3"/>
        <v>6</v>
      </c>
      <c r="N10" s="8">
        <f t="shared" si="3"/>
        <v>7</v>
      </c>
      <c r="O10" s="8">
        <f t="shared" si="3"/>
        <v>8</v>
      </c>
      <c r="P10" s="8">
        <f t="shared" si="3"/>
        <v>9</v>
      </c>
      <c r="Q10" s="8">
        <f t="shared" si="3"/>
        <v>10</v>
      </c>
      <c r="R10" s="8">
        <f t="shared" si="3"/>
        <v>11</v>
      </c>
      <c r="S10" s="8">
        <f t="shared" si="3"/>
        <v>12</v>
      </c>
      <c r="T10" s="9"/>
    </row>
    <row r="11" spans="1:21" collapsed="1" x14ac:dyDescent="0.25">
      <c r="C11" s="3" t="s">
        <v>4</v>
      </c>
      <c r="E11" s="77" t="s">
        <v>5</v>
      </c>
      <c r="G11" s="10" t="s">
        <v>6</v>
      </c>
      <c r="H11" s="10" t="s">
        <v>6</v>
      </c>
      <c r="I11" s="10" t="s">
        <v>6</v>
      </c>
      <c r="J11" s="10" t="s">
        <v>6</v>
      </c>
      <c r="K11" s="10" t="s">
        <v>6</v>
      </c>
      <c r="L11" s="10" t="s">
        <v>6</v>
      </c>
      <c r="M11" s="10" t="s">
        <v>6</v>
      </c>
      <c r="N11" s="10" t="s">
        <v>6</v>
      </c>
      <c r="O11" s="10" t="s">
        <v>6</v>
      </c>
      <c r="P11" s="10" t="s">
        <v>6</v>
      </c>
      <c r="Q11" s="10" t="s">
        <v>6</v>
      </c>
      <c r="R11" s="10" t="s">
        <v>6</v>
      </c>
      <c r="S11" s="10" t="s">
        <v>6</v>
      </c>
      <c r="T11" s="11" t="s">
        <v>7</v>
      </c>
    </row>
    <row r="12" spans="1:21" hidden="1" outlineLevel="1" x14ac:dyDescent="0.25">
      <c r="C12" s="58">
        <f>Assumptions!D24</f>
        <v>0</v>
      </c>
      <c r="D12" s="58"/>
      <c r="E12" s="58"/>
      <c r="F12" s="58"/>
      <c r="G12" s="59" t="str">
        <f>IF(
  Assumptions!$K24="Off",
  "No",
  IF(
    Assumptions!$F24="I will phase manually",
    "No",
    IF(
      Assumptions!$F24="Last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Assumptions!$F24="End of month",
        IF(
          OR(
            AND(EOMONTH(G$7,0)&gt;=G$7, EOMONTH(G$7,0)&lt;=G$8),
            AND(EOMONTH(G$8,0)&gt;=G$7, EOMONTH(G$8,0)&lt;=G$8)
          ),
        "Yes","No"),
        IF(
          Assumptions!$F24="Specific day of month",
          IF(
            OR(
              AND(DATE(YEAR(G$7),MONTH(G$7),Assumptions!$G24)&gt;=G$7, DATE(YEAR(G$7),MONTH(G$7),Assumptions!$G24)&lt;=G$8),
              AND(DATE(YEAR(G$8),MONTH(G$8),Assumptions!$G24)&gt;=G$7, DATE(YEAR(G$8),MONTH(G$8),Assumptions!$G24)&lt;=G$8)
            ),
          "Yes","No"),
          IF(
            Assumptions!$F24="Last X day of month",
            IF(
              AND(
                WEEKDAY(G$7,2)&lt;=MATCH(Assumptions!$J24,{"Monday","Tuesday","Wednesday","Thursday","Friday"},0),
                WEEKDAY(G$8,2)&gt;=MATCH(Assumptions!$J24,{"Monday","Tuesday","Wednesday","Thursday","Friday"},0),
                (G$7+(MATCH(Assumptions!$J24,{"Monday","Tuesday","Wednesday","Thursday","Friday"},0)-WEEKDAY(G$7,2)))+7&gt;EOMONTH((G$7+(MATCH(Assumptions!$J24,{"Monday","Tuesday","Wednesday","Thursday","Friday"},0)-WEEKDAY(G$7,2))),0)
              ),
            "Yes","No"),
            IF(
              Assumptions!$F24="Weekly",
              IF(
                AND(
                  WEEKDAY(G$7,2)&lt;=MATCH(Assumptions!$J24,{"Monday","Tuesday","Wednesday","Thursday","Friday"},0),
                  WEEKDAY(G$8,2)&gt;=MATCH(Assumptions!$J24,{"Monday","Tuesday","Wednesday","Thursday","Friday"},0)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AND(Assumptions!$I24&gt;=G$7, Assumptions!$I24&lt;=G$8),
                    AND(
                      Assumptions!$I24&lt;G$7,
                      MOD(INT((G$7-(Assumptions!$I24-WEEKDAY(Assumptions!$I24,2)+1))/7),2)=0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AND(Assumptions!$I24&gt;=G$7, Assumptions!$I24&lt;=G$8),
                      AND(
                        Assumptions!$I24&lt;G$7,
                        MOD(INT((G$7-(Assumptions!$I24-WEEKDAY(Assumptions!$I24,2)+1))/7),3)=0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ISNUMBER(MATCH(MONTH(G$7),IF(Assumptions!$H24="Jan / Apr / Jul / Oct",{1,4,7,10},IF(Assumptions!$H24="Feb / May / Aug / Nov",{2,5,8,11},{3,6,9,12})),0)),
                          DATE(YEAR(G$7),MONTH(G$7),Assumptions!$G24)&gt;=G$7,
                          DATE(YEAR(G$7),MONTH(G$7),Assumptions!$G24)&lt;=G$8
                        ),
                        AND(
                          ISNUMBER(MATCH(MONTH(G$8),IF(Assumptions!$H24="Jan / Apr / Jul / Oct",{1,4,7,10},IF(Assumptions!$H24="Feb / May / Aug / Nov",{2,5,8,11},{3,6,9,12})),0)),
                          DATE(YEAR(G$8),MONTH(G$8),Assumptions!$G24)&gt;=G$7,
                          DATE(YEAR(G$8),MONTH(G$8),Assumptions!$G24)&lt;=G$8
                        )
                      ),
                    "Yes","No"),
                  "No")
                )
              )
            )
          )
        )
      )
    )
  )
)</f>
        <v>No</v>
      </c>
      <c r="H12" s="59" t="str">
        <f>IF(
  Assumptions!$K24="Off",
  "No",
  IF(
    Assumptions!$F24="I will phase manually",
    "No",
    IF(
      Assumptions!$F24="Last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Assumptions!$F24="End of month",
        IF(
          OR(
            AND(EOMONTH(H$7,0)&gt;=H$7, EOMONTH(H$7,0)&lt;=H$8),
            AND(EOMONTH(H$8,0)&gt;=H$7, EOMONTH(H$8,0)&lt;=H$8)
          ),
        "Yes","No"),
        IF(
          Assumptions!$F24="Specific day of month",
          IF(
            OR(
              AND(DATE(YEAR(H$7),MONTH(H$7),Assumptions!$G24)&gt;=H$7, DATE(YEAR(H$7),MONTH(H$7),Assumptions!$G24)&lt;=H$8),
              AND(DATE(YEAR(H$8),MONTH(H$8),Assumptions!$G24)&gt;=H$7, DATE(YEAR(H$8),MONTH(H$8),Assumptions!$G24)&lt;=H$8)
            ),
          "Yes","No"),
          IF(
            Assumptions!$F24="Last X day of month",
            IF(
              AND(
                WEEKDAY(H$7,2)&lt;=MATCH(Assumptions!$J24,{"Monday","Tuesday","Wednesday","Thursday","Friday"},0),
                WEEKDAY(H$8,2)&gt;=MATCH(Assumptions!$J24,{"Monday","Tuesday","Wednesday","Thursday","Friday"},0),
                (H$7+(MATCH(Assumptions!$J24,{"Monday","Tuesday","Wednesday","Thursday","Friday"},0)-WEEKDAY(H$7,2)))+7&gt;EOMONTH((H$7+(MATCH(Assumptions!$J24,{"Monday","Tuesday","Wednesday","Thursday","Friday"},0)-WEEKDAY(H$7,2))),0)
              ),
            "Yes","No"),
            IF(
              Assumptions!$F24="Weekly",
              IF(
                AND(
                  WEEKDAY(H$7,2)&lt;=MATCH(Assumptions!$J24,{"Monday","Tuesday","Wednesday","Thursday","Friday"},0),
                  WEEKDAY(H$8,2)&gt;=MATCH(Assumptions!$J24,{"Monday","Tuesday","Wednesday","Thursday","Friday"},0)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AND(Assumptions!$I24&gt;=H$7, Assumptions!$I24&lt;=H$8),
                    AND(
                      Assumptions!$I24&lt;H$7,
                      MOD(INT((H$7-(Assumptions!$I24-WEEKDAY(Assumptions!$I24,2)+1))/7),2)=0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AND(Assumptions!$I24&gt;=H$7, Assumptions!$I24&lt;=H$8),
                      AND(
                        Assumptions!$I24&lt;H$7,
                        MOD(INT((H$7-(Assumptions!$I24-WEEKDAY(Assumptions!$I24,2)+1))/7),3)=0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ISNUMBER(MATCH(MONTH(H$7),IF(Assumptions!$H24="Jan / Apr / Jul / Oct",{1,4,7,10},IF(Assumptions!$H24="Feb / May / Aug / Nov",{2,5,8,11},{3,6,9,12})),0)),
                          DATE(YEAR(H$7),MONTH(H$7),Assumptions!$G24)&gt;=H$7,
                          DATE(YEAR(H$7),MONTH(H$7),Assumptions!$G24)&lt;=H$8
                        ),
                        AND(
                          ISNUMBER(MATCH(MONTH(H$8),IF(Assumptions!$H24="Jan / Apr / Jul / Oct",{1,4,7,10},IF(Assumptions!$H24="Feb / May / Aug / Nov",{2,5,8,11},{3,6,9,12})),0)),
                          DATE(YEAR(H$8),MONTH(H$8),Assumptions!$G24)&gt;=H$7,
                          DATE(YEAR(H$8),MONTH(H$8),Assumptions!$G24)&lt;=H$8
                        )
                      ),
                    "Yes","No"),
                  "No")
                )
              )
            )
          )
        )
      )
    )
  )
)</f>
        <v>No</v>
      </c>
      <c r="I12" s="59" t="str">
        <f>IF(
  Assumptions!$K24="Off",
  "No",
  IF(
    Assumptions!$F24="I will phase manually",
    "No",
    IF(
      Assumptions!$F24="Last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Assumptions!$F24="End of month",
        IF(
          OR(
            AND(EOMONTH(I$7,0)&gt;=I$7, EOMONTH(I$7,0)&lt;=I$8),
            AND(EOMONTH(I$8,0)&gt;=I$7, EOMONTH(I$8,0)&lt;=I$8)
          ),
        "Yes","No"),
        IF(
          Assumptions!$F24="Specific day of month",
          IF(
            OR(
              AND(DATE(YEAR(I$7),MONTH(I$7),Assumptions!$G24)&gt;=I$7, DATE(YEAR(I$7),MONTH(I$7),Assumptions!$G24)&lt;=I$8),
              AND(DATE(YEAR(I$8),MONTH(I$8),Assumptions!$G24)&gt;=I$7, DATE(YEAR(I$8),MONTH(I$8),Assumptions!$G24)&lt;=I$8)
            ),
          "Yes","No"),
          IF(
            Assumptions!$F24="Last X day of month",
            IF(
              AND(
                WEEKDAY(I$7,2)&lt;=MATCH(Assumptions!$J24,{"Monday","Tuesday","Wednesday","Thursday","Friday"},0),
                WEEKDAY(I$8,2)&gt;=MATCH(Assumptions!$J24,{"Monday","Tuesday","Wednesday","Thursday","Friday"},0),
                (I$7+(MATCH(Assumptions!$J24,{"Monday","Tuesday","Wednesday","Thursday","Friday"},0)-WEEKDAY(I$7,2)))+7&gt;EOMONTH((I$7+(MATCH(Assumptions!$J24,{"Monday","Tuesday","Wednesday","Thursday","Friday"},0)-WEEKDAY(I$7,2))),0)
              ),
            "Yes","No"),
            IF(
              Assumptions!$F24="Weekly",
              IF(
                AND(
                  WEEKDAY(I$7,2)&lt;=MATCH(Assumptions!$J24,{"Monday","Tuesday","Wednesday","Thursday","Friday"},0),
                  WEEKDAY(I$8,2)&gt;=MATCH(Assumptions!$J24,{"Monday","Tuesday","Wednesday","Thursday","Friday"},0)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AND(Assumptions!$I24&gt;=I$7, Assumptions!$I24&lt;=I$8),
                    AND(
                      Assumptions!$I24&lt;I$7,
                      MOD(INT((I$7-(Assumptions!$I24-WEEKDAY(Assumptions!$I24,2)+1))/7),2)=0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AND(Assumptions!$I24&gt;=I$7, Assumptions!$I24&lt;=I$8),
                      AND(
                        Assumptions!$I24&lt;I$7,
                        MOD(INT((I$7-(Assumptions!$I24-WEEKDAY(Assumptions!$I24,2)+1))/7),3)=0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ISNUMBER(MATCH(MONTH(I$7),IF(Assumptions!$H24="Jan / Apr / Jul / Oct",{1,4,7,10},IF(Assumptions!$H24="Feb / May / Aug / Nov",{2,5,8,11},{3,6,9,12})),0)),
                          DATE(YEAR(I$7),MONTH(I$7),Assumptions!$G24)&gt;=I$7,
                          DATE(YEAR(I$7),MONTH(I$7),Assumptions!$G24)&lt;=I$8
                        ),
                        AND(
                          ISNUMBER(MATCH(MONTH(I$8),IF(Assumptions!$H24="Jan / Apr / Jul / Oct",{1,4,7,10},IF(Assumptions!$H24="Feb / May / Aug / Nov",{2,5,8,11},{3,6,9,12})),0)),
                          DATE(YEAR(I$8),MONTH(I$8),Assumptions!$G24)&gt;=I$7,
                          DATE(YEAR(I$8),MONTH(I$8),Assumptions!$G24)&lt;=I$8
                        )
                      ),
                    "Yes","No"),
                  "No")
                )
              )
            )
          )
        )
      )
    )
  )
)</f>
        <v>No</v>
      </c>
      <c r="J12" s="59" t="str">
        <f>IF(
  Assumptions!$K24="Off",
  "No",
  IF(
    Assumptions!$F24="I will phase manually",
    "No",
    IF(
      Assumptions!$F24="Last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Assumptions!$F24="End of month",
        IF(
          OR(
            AND(EOMONTH(J$7,0)&gt;=J$7, EOMONTH(J$7,0)&lt;=J$8),
            AND(EOMONTH(J$8,0)&gt;=J$7, EOMONTH(J$8,0)&lt;=J$8)
          ),
        "Yes","No"),
        IF(
          Assumptions!$F24="Specific day of month",
          IF(
            OR(
              AND(DATE(YEAR(J$7),MONTH(J$7),Assumptions!$G24)&gt;=J$7, DATE(YEAR(J$7),MONTH(J$7),Assumptions!$G24)&lt;=J$8),
              AND(DATE(YEAR(J$8),MONTH(J$8),Assumptions!$G24)&gt;=J$7, DATE(YEAR(J$8),MONTH(J$8),Assumptions!$G24)&lt;=J$8)
            ),
          "Yes","No"),
          IF(
            Assumptions!$F24="Last X day of month",
            IF(
              AND(
                WEEKDAY(J$7,2)&lt;=MATCH(Assumptions!$J24,{"Monday","Tuesday","Wednesday","Thursday","Friday"},0),
                WEEKDAY(J$8,2)&gt;=MATCH(Assumptions!$J24,{"Monday","Tuesday","Wednesday","Thursday","Friday"},0),
                (J$7+(MATCH(Assumptions!$J24,{"Monday","Tuesday","Wednesday","Thursday","Friday"},0)-WEEKDAY(J$7,2)))+7&gt;EOMONTH((J$7+(MATCH(Assumptions!$J24,{"Monday","Tuesday","Wednesday","Thursday","Friday"},0)-WEEKDAY(J$7,2))),0)
              ),
            "Yes","No"),
            IF(
              Assumptions!$F24="Weekly",
              IF(
                AND(
                  WEEKDAY(J$7,2)&lt;=MATCH(Assumptions!$J24,{"Monday","Tuesday","Wednesday","Thursday","Friday"},0),
                  WEEKDAY(J$8,2)&gt;=MATCH(Assumptions!$J24,{"Monday","Tuesday","Wednesday","Thursday","Friday"},0)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AND(Assumptions!$I24&gt;=J$7, Assumptions!$I24&lt;=J$8),
                    AND(
                      Assumptions!$I24&lt;J$7,
                      MOD(INT((J$7-(Assumptions!$I24-WEEKDAY(Assumptions!$I24,2)+1))/7),2)=0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AND(Assumptions!$I24&gt;=J$7, Assumptions!$I24&lt;=J$8),
                      AND(
                        Assumptions!$I24&lt;J$7,
                        MOD(INT((J$7-(Assumptions!$I24-WEEKDAY(Assumptions!$I24,2)+1))/7),3)=0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ISNUMBER(MATCH(MONTH(J$7),IF(Assumptions!$H24="Jan / Apr / Jul / Oct",{1,4,7,10},IF(Assumptions!$H24="Feb / May / Aug / Nov",{2,5,8,11},{3,6,9,12})),0)),
                          DATE(YEAR(J$7),MONTH(J$7),Assumptions!$G24)&gt;=J$7,
                          DATE(YEAR(J$7),MONTH(J$7),Assumptions!$G24)&lt;=J$8
                        ),
                        AND(
                          ISNUMBER(MATCH(MONTH(J$8),IF(Assumptions!$H24="Jan / Apr / Jul / Oct",{1,4,7,10},IF(Assumptions!$H24="Feb / May / Aug / Nov",{2,5,8,11},{3,6,9,12})),0)),
                          DATE(YEAR(J$8),MONTH(J$8),Assumptions!$G24)&gt;=J$7,
                          DATE(YEAR(J$8),MONTH(J$8),Assumptions!$G24)&lt;=J$8
                        )
                      ),
                    "Yes","No"),
                  "No")
                )
              )
            )
          )
        )
      )
    )
  )
)</f>
        <v>No</v>
      </c>
      <c r="K12" s="59" t="str">
        <f>IF(
  Assumptions!$K24="Off",
  "No",
  IF(
    Assumptions!$F24="I will phase manually",
    "No",
    IF(
      Assumptions!$F24="Last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Assumptions!$F24="End of month",
        IF(
          OR(
            AND(EOMONTH(K$7,0)&gt;=K$7, EOMONTH(K$7,0)&lt;=K$8),
            AND(EOMONTH(K$8,0)&gt;=K$7, EOMONTH(K$8,0)&lt;=K$8)
          ),
        "Yes","No"),
        IF(
          Assumptions!$F24="Specific day of month",
          IF(
            OR(
              AND(DATE(YEAR(K$7),MONTH(K$7),Assumptions!$G24)&gt;=K$7, DATE(YEAR(K$7),MONTH(K$7),Assumptions!$G24)&lt;=K$8),
              AND(DATE(YEAR(K$8),MONTH(K$8),Assumptions!$G24)&gt;=K$7, DATE(YEAR(K$8),MONTH(K$8),Assumptions!$G24)&lt;=K$8)
            ),
          "Yes","No"),
          IF(
            Assumptions!$F24="Last X day of month",
            IF(
              AND(
                WEEKDAY(K$7,2)&lt;=MATCH(Assumptions!$J24,{"Monday","Tuesday","Wednesday","Thursday","Friday"},0),
                WEEKDAY(K$8,2)&gt;=MATCH(Assumptions!$J24,{"Monday","Tuesday","Wednesday","Thursday","Friday"},0),
                (K$7+(MATCH(Assumptions!$J24,{"Monday","Tuesday","Wednesday","Thursday","Friday"},0)-WEEKDAY(K$7,2)))+7&gt;EOMONTH((K$7+(MATCH(Assumptions!$J24,{"Monday","Tuesday","Wednesday","Thursday","Friday"},0)-WEEKDAY(K$7,2))),0)
              ),
            "Yes","No"),
            IF(
              Assumptions!$F24="Weekly",
              IF(
                AND(
                  WEEKDAY(K$7,2)&lt;=MATCH(Assumptions!$J24,{"Monday","Tuesday","Wednesday","Thursday","Friday"},0),
                  WEEKDAY(K$8,2)&gt;=MATCH(Assumptions!$J24,{"Monday","Tuesday","Wednesday","Thursday","Friday"},0)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AND(Assumptions!$I24&gt;=K$7, Assumptions!$I24&lt;=K$8),
                    AND(
                      Assumptions!$I24&lt;K$7,
                      MOD(INT((K$7-(Assumptions!$I24-WEEKDAY(Assumptions!$I24,2)+1))/7),2)=0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AND(Assumptions!$I24&gt;=K$7, Assumptions!$I24&lt;=K$8),
                      AND(
                        Assumptions!$I24&lt;K$7,
                        MOD(INT((K$7-(Assumptions!$I24-WEEKDAY(Assumptions!$I24,2)+1))/7),3)=0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ISNUMBER(MATCH(MONTH(K$7),IF(Assumptions!$H24="Jan / Apr / Jul / Oct",{1,4,7,10},IF(Assumptions!$H24="Feb / May / Aug / Nov",{2,5,8,11},{3,6,9,12})),0)),
                          DATE(YEAR(K$7),MONTH(K$7),Assumptions!$G24)&gt;=K$7,
                          DATE(YEAR(K$7),MONTH(K$7),Assumptions!$G24)&lt;=K$8
                        ),
                        AND(
                          ISNUMBER(MATCH(MONTH(K$8),IF(Assumptions!$H24="Jan / Apr / Jul / Oct",{1,4,7,10},IF(Assumptions!$H24="Feb / May / Aug / Nov",{2,5,8,11},{3,6,9,12})),0)),
                          DATE(YEAR(K$8),MONTH(K$8),Assumptions!$G24)&gt;=K$7,
                          DATE(YEAR(K$8),MONTH(K$8),Assumptions!$G24)&lt;=K$8
                        )
                      ),
                    "Yes","No"),
                  "No")
                )
              )
            )
          )
        )
      )
    )
  )
)</f>
        <v>No</v>
      </c>
      <c r="L12" s="59" t="str">
        <f>IF(
  Assumptions!$K24="Off",
  "No",
  IF(
    Assumptions!$F24="I will phase manually",
    "No",
    IF(
      Assumptions!$F24="Last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Assumptions!$F24="End of month",
        IF(
          OR(
            AND(EOMONTH(L$7,0)&gt;=L$7, EOMONTH(L$7,0)&lt;=L$8),
            AND(EOMONTH(L$8,0)&gt;=L$7, EOMONTH(L$8,0)&lt;=L$8)
          ),
        "Yes","No"),
        IF(
          Assumptions!$F24="Specific day of month",
          IF(
            OR(
              AND(DATE(YEAR(L$7),MONTH(L$7),Assumptions!$G24)&gt;=L$7, DATE(YEAR(L$7),MONTH(L$7),Assumptions!$G24)&lt;=L$8),
              AND(DATE(YEAR(L$8),MONTH(L$8),Assumptions!$G24)&gt;=L$7, DATE(YEAR(L$8),MONTH(L$8),Assumptions!$G24)&lt;=L$8)
            ),
          "Yes","No"),
          IF(
            Assumptions!$F24="Last X day of month",
            IF(
              AND(
                WEEKDAY(L$7,2)&lt;=MATCH(Assumptions!$J24,{"Monday","Tuesday","Wednesday","Thursday","Friday"},0),
                WEEKDAY(L$8,2)&gt;=MATCH(Assumptions!$J24,{"Monday","Tuesday","Wednesday","Thursday","Friday"},0),
                (L$7+(MATCH(Assumptions!$J24,{"Monday","Tuesday","Wednesday","Thursday","Friday"},0)-WEEKDAY(L$7,2)))+7&gt;EOMONTH((L$7+(MATCH(Assumptions!$J24,{"Monday","Tuesday","Wednesday","Thursday","Friday"},0)-WEEKDAY(L$7,2))),0)
              ),
            "Yes","No"),
            IF(
              Assumptions!$F24="Weekly",
              IF(
                AND(
                  WEEKDAY(L$7,2)&lt;=MATCH(Assumptions!$J24,{"Monday","Tuesday","Wednesday","Thursday","Friday"},0),
                  WEEKDAY(L$8,2)&gt;=MATCH(Assumptions!$J24,{"Monday","Tuesday","Wednesday","Thursday","Friday"},0)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AND(Assumptions!$I24&gt;=L$7, Assumptions!$I24&lt;=L$8),
                    AND(
                      Assumptions!$I24&lt;L$7,
                      MOD(INT((L$7-(Assumptions!$I24-WEEKDAY(Assumptions!$I24,2)+1))/7),2)=0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AND(Assumptions!$I24&gt;=L$7, Assumptions!$I24&lt;=L$8),
                      AND(
                        Assumptions!$I24&lt;L$7,
                        MOD(INT((L$7-(Assumptions!$I24-WEEKDAY(Assumptions!$I24,2)+1))/7),3)=0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ISNUMBER(MATCH(MONTH(L$7),IF(Assumptions!$H24="Jan / Apr / Jul / Oct",{1,4,7,10},IF(Assumptions!$H24="Feb / May / Aug / Nov",{2,5,8,11},{3,6,9,12})),0)),
                          DATE(YEAR(L$7),MONTH(L$7),Assumptions!$G24)&gt;=L$7,
                          DATE(YEAR(L$7),MONTH(L$7),Assumptions!$G24)&lt;=L$8
                        ),
                        AND(
                          ISNUMBER(MATCH(MONTH(L$8),IF(Assumptions!$H24="Jan / Apr / Jul / Oct",{1,4,7,10},IF(Assumptions!$H24="Feb / May / Aug / Nov",{2,5,8,11},{3,6,9,12})),0)),
                          DATE(YEAR(L$8),MONTH(L$8),Assumptions!$G24)&gt;=L$7,
                          DATE(YEAR(L$8),MONTH(L$8),Assumptions!$G24)&lt;=L$8
                        )
                      ),
                    "Yes","No"),
                  "No")
                )
              )
            )
          )
        )
      )
    )
  )
)</f>
        <v>No</v>
      </c>
      <c r="M12" s="59" t="str">
        <f>IF(
  Assumptions!$K24="Off",
  "No",
  IF(
    Assumptions!$F24="I will phase manually",
    "No",
    IF(
      Assumptions!$F24="Last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Assumptions!$F24="End of month",
        IF(
          OR(
            AND(EOMONTH(M$7,0)&gt;=M$7, EOMONTH(M$7,0)&lt;=M$8),
            AND(EOMONTH(M$8,0)&gt;=M$7, EOMONTH(M$8,0)&lt;=M$8)
          ),
        "Yes","No"),
        IF(
          Assumptions!$F24="Specific day of month",
          IF(
            OR(
              AND(DATE(YEAR(M$7),MONTH(M$7),Assumptions!$G24)&gt;=M$7, DATE(YEAR(M$7),MONTH(M$7),Assumptions!$G24)&lt;=M$8),
              AND(DATE(YEAR(M$8),MONTH(M$8),Assumptions!$G24)&gt;=M$7, DATE(YEAR(M$8),MONTH(M$8),Assumptions!$G24)&lt;=M$8)
            ),
          "Yes","No"),
          IF(
            Assumptions!$F24="Last X day of month",
            IF(
              AND(
                WEEKDAY(M$7,2)&lt;=MATCH(Assumptions!$J24,{"Monday","Tuesday","Wednesday","Thursday","Friday"},0),
                WEEKDAY(M$8,2)&gt;=MATCH(Assumptions!$J24,{"Monday","Tuesday","Wednesday","Thursday","Friday"},0),
                (M$7+(MATCH(Assumptions!$J24,{"Monday","Tuesday","Wednesday","Thursday","Friday"},0)-WEEKDAY(M$7,2)))+7&gt;EOMONTH((M$7+(MATCH(Assumptions!$J24,{"Monday","Tuesday","Wednesday","Thursday","Friday"},0)-WEEKDAY(M$7,2))),0)
              ),
            "Yes","No"),
            IF(
              Assumptions!$F24="Weekly",
              IF(
                AND(
                  WEEKDAY(M$7,2)&lt;=MATCH(Assumptions!$J24,{"Monday","Tuesday","Wednesday","Thursday","Friday"},0),
                  WEEKDAY(M$8,2)&gt;=MATCH(Assumptions!$J24,{"Monday","Tuesday","Wednesday","Thursday","Friday"},0)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AND(Assumptions!$I24&gt;=M$7, Assumptions!$I24&lt;=M$8),
                    AND(
                      Assumptions!$I24&lt;M$7,
                      MOD(INT((M$7-(Assumptions!$I24-WEEKDAY(Assumptions!$I24,2)+1))/7),2)=0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AND(Assumptions!$I24&gt;=M$7, Assumptions!$I24&lt;=M$8),
                      AND(
                        Assumptions!$I24&lt;M$7,
                        MOD(INT((M$7-(Assumptions!$I24-WEEKDAY(Assumptions!$I24,2)+1))/7),3)=0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ISNUMBER(MATCH(MONTH(M$7),IF(Assumptions!$H24="Jan / Apr / Jul / Oct",{1,4,7,10},IF(Assumptions!$H24="Feb / May / Aug / Nov",{2,5,8,11},{3,6,9,12})),0)),
                          DATE(YEAR(M$7),MONTH(M$7),Assumptions!$G24)&gt;=M$7,
                          DATE(YEAR(M$7),MONTH(M$7),Assumptions!$G24)&lt;=M$8
                        ),
                        AND(
                          ISNUMBER(MATCH(MONTH(M$8),IF(Assumptions!$H24="Jan / Apr / Jul / Oct",{1,4,7,10},IF(Assumptions!$H24="Feb / May / Aug / Nov",{2,5,8,11},{3,6,9,12})),0)),
                          DATE(YEAR(M$8),MONTH(M$8),Assumptions!$G24)&gt;=M$7,
                          DATE(YEAR(M$8),MONTH(M$8),Assumptions!$G24)&lt;=M$8
                        )
                      ),
                    "Yes","No"),
                  "No")
                )
              )
            )
          )
        )
      )
    )
  )
)</f>
        <v>No</v>
      </c>
      <c r="N12" s="59" t="str">
        <f>IF(
  Assumptions!$K24="Off",
  "No",
  IF(
    Assumptions!$F24="I will phase manually",
    "No",
    IF(
      Assumptions!$F24="Last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Assumptions!$F24="End of month",
        IF(
          OR(
            AND(EOMONTH(N$7,0)&gt;=N$7, EOMONTH(N$7,0)&lt;=N$8),
            AND(EOMONTH(N$8,0)&gt;=N$7, EOMONTH(N$8,0)&lt;=N$8)
          ),
        "Yes","No"),
        IF(
          Assumptions!$F24="Specific day of month",
          IF(
            OR(
              AND(DATE(YEAR(N$7),MONTH(N$7),Assumptions!$G24)&gt;=N$7, DATE(YEAR(N$7),MONTH(N$7),Assumptions!$G24)&lt;=N$8),
              AND(DATE(YEAR(N$8),MONTH(N$8),Assumptions!$G24)&gt;=N$7, DATE(YEAR(N$8),MONTH(N$8),Assumptions!$G24)&lt;=N$8)
            ),
          "Yes","No"),
          IF(
            Assumptions!$F24="Last X day of month",
            IF(
              AND(
                WEEKDAY(N$7,2)&lt;=MATCH(Assumptions!$J24,{"Monday","Tuesday","Wednesday","Thursday","Friday"},0),
                WEEKDAY(N$8,2)&gt;=MATCH(Assumptions!$J24,{"Monday","Tuesday","Wednesday","Thursday","Friday"},0),
                (N$7+(MATCH(Assumptions!$J24,{"Monday","Tuesday","Wednesday","Thursday","Friday"},0)-WEEKDAY(N$7,2)))+7&gt;EOMONTH((N$7+(MATCH(Assumptions!$J24,{"Monday","Tuesday","Wednesday","Thursday","Friday"},0)-WEEKDAY(N$7,2))),0)
              ),
            "Yes","No"),
            IF(
              Assumptions!$F24="Weekly",
              IF(
                AND(
                  WEEKDAY(N$7,2)&lt;=MATCH(Assumptions!$J24,{"Monday","Tuesday","Wednesday","Thursday","Friday"},0),
                  WEEKDAY(N$8,2)&gt;=MATCH(Assumptions!$J24,{"Monday","Tuesday","Wednesday","Thursday","Friday"},0)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AND(Assumptions!$I24&gt;=N$7, Assumptions!$I24&lt;=N$8),
                    AND(
                      Assumptions!$I24&lt;N$7,
                      MOD(INT((N$7-(Assumptions!$I24-WEEKDAY(Assumptions!$I24,2)+1))/7),2)=0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AND(Assumptions!$I24&gt;=N$7, Assumptions!$I24&lt;=N$8),
                      AND(
                        Assumptions!$I24&lt;N$7,
                        MOD(INT((N$7-(Assumptions!$I24-WEEKDAY(Assumptions!$I24,2)+1))/7),3)=0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ISNUMBER(MATCH(MONTH(N$7),IF(Assumptions!$H24="Jan / Apr / Jul / Oct",{1,4,7,10},IF(Assumptions!$H24="Feb / May / Aug / Nov",{2,5,8,11},{3,6,9,12})),0)),
                          DATE(YEAR(N$7),MONTH(N$7),Assumptions!$G24)&gt;=N$7,
                          DATE(YEAR(N$7),MONTH(N$7),Assumptions!$G24)&lt;=N$8
                        ),
                        AND(
                          ISNUMBER(MATCH(MONTH(N$8),IF(Assumptions!$H24="Jan / Apr / Jul / Oct",{1,4,7,10},IF(Assumptions!$H24="Feb / May / Aug / Nov",{2,5,8,11},{3,6,9,12})),0)),
                          DATE(YEAR(N$8),MONTH(N$8),Assumptions!$G24)&gt;=N$7,
                          DATE(YEAR(N$8),MONTH(N$8),Assumptions!$G24)&lt;=N$8
                        )
                      ),
                    "Yes","No"),
                  "No")
                )
              )
            )
          )
        )
      )
    )
  )
)</f>
        <v>No</v>
      </c>
      <c r="O12" s="59" t="str">
        <f>IF(
  Assumptions!$K24="Off",
  "No",
  IF(
    Assumptions!$F24="I will phase manually",
    "No",
    IF(
      Assumptions!$F24="Last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Assumptions!$F24="End of month",
        IF(
          OR(
            AND(EOMONTH(O$7,0)&gt;=O$7, EOMONTH(O$7,0)&lt;=O$8),
            AND(EOMONTH(O$8,0)&gt;=O$7, EOMONTH(O$8,0)&lt;=O$8)
          ),
        "Yes","No"),
        IF(
          Assumptions!$F24="Specific day of month",
          IF(
            OR(
              AND(DATE(YEAR(O$7),MONTH(O$7),Assumptions!$G24)&gt;=O$7, DATE(YEAR(O$7),MONTH(O$7),Assumptions!$G24)&lt;=O$8),
              AND(DATE(YEAR(O$8),MONTH(O$8),Assumptions!$G24)&gt;=O$7, DATE(YEAR(O$8),MONTH(O$8),Assumptions!$G24)&lt;=O$8)
            ),
          "Yes","No"),
          IF(
            Assumptions!$F24="Last X day of month",
            IF(
              AND(
                WEEKDAY(O$7,2)&lt;=MATCH(Assumptions!$J24,{"Monday","Tuesday","Wednesday","Thursday","Friday"},0),
                WEEKDAY(O$8,2)&gt;=MATCH(Assumptions!$J24,{"Monday","Tuesday","Wednesday","Thursday","Friday"},0),
                (O$7+(MATCH(Assumptions!$J24,{"Monday","Tuesday","Wednesday","Thursday","Friday"},0)-WEEKDAY(O$7,2)))+7&gt;EOMONTH((O$7+(MATCH(Assumptions!$J24,{"Monday","Tuesday","Wednesday","Thursday","Friday"},0)-WEEKDAY(O$7,2))),0)
              ),
            "Yes","No"),
            IF(
              Assumptions!$F24="Weekly",
              IF(
                AND(
                  WEEKDAY(O$7,2)&lt;=MATCH(Assumptions!$J24,{"Monday","Tuesday","Wednesday","Thursday","Friday"},0),
                  WEEKDAY(O$8,2)&gt;=MATCH(Assumptions!$J24,{"Monday","Tuesday","Wednesday","Thursday","Friday"},0)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AND(Assumptions!$I24&gt;=O$7, Assumptions!$I24&lt;=O$8),
                    AND(
                      Assumptions!$I24&lt;O$7,
                      MOD(INT((O$7-(Assumptions!$I24-WEEKDAY(Assumptions!$I24,2)+1))/7),2)=0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AND(Assumptions!$I24&gt;=O$7, Assumptions!$I24&lt;=O$8),
                      AND(
                        Assumptions!$I24&lt;O$7,
                        MOD(INT((O$7-(Assumptions!$I24-WEEKDAY(Assumptions!$I24,2)+1))/7),3)=0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ISNUMBER(MATCH(MONTH(O$7),IF(Assumptions!$H24="Jan / Apr / Jul / Oct",{1,4,7,10},IF(Assumptions!$H24="Feb / May / Aug / Nov",{2,5,8,11},{3,6,9,12})),0)),
                          DATE(YEAR(O$7),MONTH(O$7),Assumptions!$G24)&gt;=O$7,
                          DATE(YEAR(O$7),MONTH(O$7),Assumptions!$G24)&lt;=O$8
                        ),
                        AND(
                          ISNUMBER(MATCH(MONTH(O$8),IF(Assumptions!$H24="Jan / Apr / Jul / Oct",{1,4,7,10},IF(Assumptions!$H24="Feb / May / Aug / Nov",{2,5,8,11},{3,6,9,12})),0)),
                          DATE(YEAR(O$8),MONTH(O$8),Assumptions!$G24)&gt;=O$7,
                          DATE(YEAR(O$8),MONTH(O$8),Assumptions!$G24)&lt;=O$8
                        )
                      ),
                    "Yes","No"),
                  "No")
                )
              )
            )
          )
        )
      )
    )
  )
)</f>
        <v>No</v>
      </c>
      <c r="P12" s="59" t="str">
        <f>IF(
  Assumptions!$K24="Off",
  "No",
  IF(
    Assumptions!$F24="I will phase manually",
    "No",
    IF(
      Assumptions!$F24="Last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Assumptions!$F24="End of month",
        IF(
          OR(
            AND(EOMONTH(P$7,0)&gt;=P$7, EOMONTH(P$7,0)&lt;=P$8),
            AND(EOMONTH(P$8,0)&gt;=P$7, EOMONTH(P$8,0)&lt;=P$8)
          ),
        "Yes","No"),
        IF(
          Assumptions!$F24="Specific day of month",
          IF(
            OR(
              AND(DATE(YEAR(P$7),MONTH(P$7),Assumptions!$G24)&gt;=P$7, DATE(YEAR(P$7),MONTH(P$7),Assumptions!$G24)&lt;=P$8),
              AND(DATE(YEAR(P$8),MONTH(P$8),Assumptions!$G24)&gt;=P$7, DATE(YEAR(P$8),MONTH(P$8),Assumptions!$G24)&lt;=P$8)
            ),
          "Yes","No"),
          IF(
            Assumptions!$F24="Last X day of month",
            IF(
              AND(
                WEEKDAY(P$7,2)&lt;=MATCH(Assumptions!$J24,{"Monday","Tuesday","Wednesday","Thursday","Friday"},0),
                WEEKDAY(P$8,2)&gt;=MATCH(Assumptions!$J24,{"Monday","Tuesday","Wednesday","Thursday","Friday"},0),
                (P$7+(MATCH(Assumptions!$J24,{"Monday","Tuesday","Wednesday","Thursday","Friday"},0)-WEEKDAY(P$7,2)))+7&gt;EOMONTH((P$7+(MATCH(Assumptions!$J24,{"Monday","Tuesday","Wednesday","Thursday","Friday"},0)-WEEKDAY(P$7,2))),0)
              ),
            "Yes","No"),
            IF(
              Assumptions!$F24="Weekly",
              IF(
                AND(
                  WEEKDAY(P$7,2)&lt;=MATCH(Assumptions!$J24,{"Monday","Tuesday","Wednesday","Thursday","Friday"},0),
                  WEEKDAY(P$8,2)&gt;=MATCH(Assumptions!$J24,{"Monday","Tuesday","Wednesday","Thursday","Friday"},0)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AND(Assumptions!$I24&gt;=P$7, Assumptions!$I24&lt;=P$8),
                    AND(
                      Assumptions!$I24&lt;P$7,
                      MOD(INT((P$7-(Assumptions!$I24-WEEKDAY(Assumptions!$I24,2)+1))/7),2)=0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AND(Assumptions!$I24&gt;=P$7, Assumptions!$I24&lt;=P$8),
                      AND(
                        Assumptions!$I24&lt;P$7,
                        MOD(INT((P$7-(Assumptions!$I24-WEEKDAY(Assumptions!$I24,2)+1))/7),3)=0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ISNUMBER(MATCH(MONTH(P$7),IF(Assumptions!$H24="Jan / Apr / Jul / Oct",{1,4,7,10},IF(Assumptions!$H24="Feb / May / Aug / Nov",{2,5,8,11},{3,6,9,12})),0)),
                          DATE(YEAR(P$7),MONTH(P$7),Assumptions!$G24)&gt;=P$7,
                          DATE(YEAR(P$7),MONTH(P$7),Assumptions!$G24)&lt;=P$8
                        ),
                        AND(
                          ISNUMBER(MATCH(MONTH(P$8),IF(Assumptions!$H24="Jan / Apr / Jul / Oct",{1,4,7,10},IF(Assumptions!$H24="Feb / May / Aug / Nov",{2,5,8,11},{3,6,9,12})),0)),
                          DATE(YEAR(P$8),MONTH(P$8),Assumptions!$G24)&gt;=P$7,
                          DATE(YEAR(P$8),MONTH(P$8),Assumptions!$G24)&lt;=P$8
                        )
                      ),
                    "Yes","No"),
                  "No")
                )
              )
            )
          )
        )
      )
    )
  )
)</f>
        <v>No</v>
      </c>
      <c r="Q12" s="59" t="str">
        <f>IF(
  Assumptions!$K24="Off",
  "No",
  IF(
    Assumptions!$F24="I will phase manually",
    "No",
    IF(
      Assumptions!$F24="Last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Assumptions!$F24="End of month",
        IF(
          OR(
            AND(EOMONTH(Q$7,0)&gt;=Q$7, EOMONTH(Q$7,0)&lt;=Q$8),
            AND(EOMONTH(Q$8,0)&gt;=Q$7, EOMONTH(Q$8,0)&lt;=Q$8)
          ),
        "Yes","No"),
        IF(
          Assumptions!$F24="Specific day of month",
          IF(
            OR(
              AND(DATE(YEAR(Q$7),MONTH(Q$7),Assumptions!$G24)&gt;=Q$7, DATE(YEAR(Q$7),MONTH(Q$7),Assumptions!$G24)&lt;=Q$8),
              AND(DATE(YEAR(Q$8),MONTH(Q$8),Assumptions!$G24)&gt;=Q$7, DATE(YEAR(Q$8),MONTH(Q$8),Assumptions!$G24)&lt;=Q$8)
            ),
          "Yes","No"),
          IF(
            Assumptions!$F24="Last X day of month",
            IF(
              AND(
                WEEKDAY(Q$7,2)&lt;=MATCH(Assumptions!$J24,{"Monday","Tuesday","Wednesday","Thursday","Friday"},0),
                WEEKDAY(Q$8,2)&gt;=MATCH(Assumptions!$J24,{"Monday","Tuesday","Wednesday","Thursday","Friday"},0),
                (Q$7+(MATCH(Assumptions!$J24,{"Monday","Tuesday","Wednesday","Thursday","Friday"},0)-WEEKDAY(Q$7,2)))+7&gt;EOMONTH((Q$7+(MATCH(Assumptions!$J24,{"Monday","Tuesday","Wednesday","Thursday","Friday"},0)-WEEKDAY(Q$7,2))),0)
              ),
            "Yes","No"),
            IF(
              Assumptions!$F24="Weekly",
              IF(
                AND(
                  WEEKDAY(Q$7,2)&lt;=MATCH(Assumptions!$J24,{"Monday","Tuesday","Wednesday","Thursday","Friday"},0),
                  WEEKDAY(Q$8,2)&gt;=MATCH(Assumptions!$J24,{"Monday","Tuesday","Wednesday","Thursday","Friday"},0)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AND(Assumptions!$I24&gt;=Q$7, Assumptions!$I24&lt;=Q$8),
                    AND(
                      Assumptions!$I24&lt;Q$7,
                      MOD(INT((Q$7-(Assumptions!$I24-WEEKDAY(Assumptions!$I24,2)+1))/7),2)=0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AND(Assumptions!$I24&gt;=Q$7, Assumptions!$I24&lt;=Q$8),
                      AND(
                        Assumptions!$I24&lt;Q$7,
                        MOD(INT((Q$7-(Assumptions!$I24-WEEKDAY(Assumptions!$I24,2)+1))/7),3)=0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ISNUMBER(MATCH(MONTH(Q$7),IF(Assumptions!$H24="Jan / Apr / Jul / Oct",{1,4,7,10},IF(Assumptions!$H24="Feb / May / Aug / Nov",{2,5,8,11},{3,6,9,12})),0)),
                          DATE(YEAR(Q$7),MONTH(Q$7),Assumptions!$G24)&gt;=Q$7,
                          DATE(YEAR(Q$7),MONTH(Q$7),Assumptions!$G24)&lt;=Q$8
                        ),
                        AND(
                          ISNUMBER(MATCH(MONTH(Q$8),IF(Assumptions!$H24="Jan / Apr / Jul / Oct",{1,4,7,10},IF(Assumptions!$H24="Feb / May / Aug / Nov",{2,5,8,11},{3,6,9,12})),0)),
                          DATE(YEAR(Q$8),MONTH(Q$8),Assumptions!$G24)&gt;=Q$7,
                          DATE(YEAR(Q$8),MONTH(Q$8),Assumptions!$G24)&lt;=Q$8
                        )
                      ),
                    "Yes","No"),
                  "No")
                )
              )
            )
          )
        )
      )
    )
  )
)</f>
        <v>No</v>
      </c>
      <c r="R12" s="59" t="str">
        <f>IF(
  Assumptions!$K24="Off",
  "No",
  IF(
    Assumptions!$F24="I will phase manually",
    "No",
    IF(
      Assumptions!$F24="Last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Assumptions!$F24="End of month",
        IF(
          OR(
            AND(EOMONTH(R$7,0)&gt;=R$7, EOMONTH(R$7,0)&lt;=R$8),
            AND(EOMONTH(R$8,0)&gt;=R$7, EOMONTH(R$8,0)&lt;=R$8)
          ),
        "Yes","No"),
        IF(
          Assumptions!$F24="Specific day of month",
          IF(
            OR(
              AND(DATE(YEAR(R$7),MONTH(R$7),Assumptions!$G24)&gt;=R$7, DATE(YEAR(R$7),MONTH(R$7),Assumptions!$G24)&lt;=R$8),
              AND(DATE(YEAR(R$8),MONTH(R$8),Assumptions!$G24)&gt;=R$7, DATE(YEAR(R$8),MONTH(R$8),Assumptions!$G24)&lt;=R$8)
            ),
          "Yes","No"),
          IF(
            Assumptions!$F24="Last X day of month",
            IF(
              AND(
                WEEKDAY(R$7,2)&lt;=MATCH(Assumptions!$J24,{"Monday","Tuesday","Wednesday","Thursday","Friday"},0),
                WEEKDAY(R$8,2)&gt;=MATCH(Assumptions!$J24,{"Monday","Tuesday","Wednesday","Thursday","Friday"},0),
                (R$7+(MATCH(Assumptions!$J24,{"Monday","Tuesday","Wednesday","Thursday","Friday"},0)-WEEKDAY(R$7,2)))+7&gt;EOMONTH((R$7+(MATCH(Assumptions!$J24,{"Monday","Tuesday","Wednesday","Thursday","Friday"},0)-WEEKDAY(R$7,2))),0)
              ),
            "Yes","No"),
            IF(
              Assumptions!$F24="Weekly",
              IF(
                AND(
                  WEEKDAY(R$7,2)&lt;=MATCH(Assumptions!$J24,{"Monday","Tuesday","Wednesday","Thursday","Friday"},0),
                  WEEKDAY(R$8,2)&gt;=MATCH(Assumptions!$J24,{"Monday","Tuesday","Wednesday","Thursday","Friday"},0)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AND(Assumptions!$I24&gt;=R$7, Assumptions!$I24&lt;=R$8),
                    AND(
                      Assumptions!$I24&lt;R$7,
                      MOD(INT((R$7-(Assumptions!$I24-WEEKDAY(Assumptions!$I24,2)+1))/7),2)=0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AND(Assumptions!$I24&gt;=R$7, Assumptions!$I24&lt;=R$8),
                      AND(
                        Assumptions!$I24&lt;R$7,
                        MOD(INT((R$7-(Assumptions!$I24-WEEKDAY(Assumptions!$I24,2)+1))/7),3)=0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ISNUMBER(MATCH(MONTH(R$7),IF(Assumptions!$H24="Jan / Apr / Jul / Oct",{1,4,7,10},IF(Assumptions!$H24="Feb / May / Aug / Nov",{2,5,8,11},{3,6,9,12})),0)),
                          DATE(YEAR(R$7),MONTH(R$7),Assumptions!$G24)&gt;=R$7,
                          DATE(YEAR(R$7),MONTH(R$7),Assumptions!$G24)&lt;=R$8
                        ),
                        AND(
                          ISNUMBER(MATCH(MONTH(R$8),IF(Assumptions!$H24="Jan / Apr / Jul / Oct",{1,4,7,10},IF(Assumptions!$H24="Feb / May / Aug / Nov",{2,5,8,11},{3,6,9,12})),0)),
                          DATE(YEAR(R$8),MONTH(R$8),Assumptions!$G24)&gt;=R$7,
                          DATE(YEAR(R$8),MONTH(R$8),Assumptions!$G24)&lt;=R$8
                        )
                      ),
                    "Yes","No"),
                  "No")
                )
              )
            )
          )
        )
      )
    )
  )
)</f>
        <v>No</v>
      </c>
      <c r="S12" s="59" t="str">
        <f>IF(
  Assumptions!$K24="Off",
  "No",
  IF(
    Assumptions!$F24="I will phase manually",
    "No",
    IF(
      Assumptions!$F24="Last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Assumptions!$F24="End of month",
        IF(
          OR(
            AND(EOMONTH(S$7,0)&gt;=S$7, EOMONTH(S$7,0)&lt;=S$8),
            AND(EOMONTH(S$8,0)&gt;=S$7, EOMONTH(S$8,0)&lt;=S$8)
          ),
        "Yes","No"),
        IF(
          Assumptions!$F24="Specific day of month",
          IF(
            OR(
              AND(DATE(YEAR(S$7),MONTH(S$7),Assumptions!$G24)&gt;=S$7, DATE(YEAR(S$7),MONTH(S$7),Assumptions!$G24)&lt;=S$8),
              AND(DATE(YEAR(S$8),MONTH(S$8),Assumptions!$G24)&gt;=S$7, DATE(YEAR(S$8),MONTH(S$8),Assumptions!$G24)&lt;=S$8)
            ),
          "Yes","No"),
          IF(
            Assumptions!$F24="Last X day of month",
            IF(
              AND(
                WEEKDAY(S$7,2)&lt;=MATCH(Assumptions!$J24,{"Monday","Tuesday","Wednesday","Thursday","Friday"},0),
                WEEKDAY(S$8,2)&gt;=MATCH(Assumptions!$J24,{"Monday","Tuesday","Wednesday","Thursday","Friday"},0),
                (S$7+(MATCH(Assumptions!$J24,{"Monday","Tuesday","Wednesday","Thursday","Friday"},0)-WEEKDAY(S$7,2)))+7&gt;EOMONTH((S$7+(MATCH(Assumptions!$J24,{"Monday","Tuesday","Wednesday","Thursday","Friday"},0)-WEEKDAY(S$7,2))),0)
              ),
            "Yes","No"),
            IF(
              Assumptions!$F24="Weekly",
              IF(
                AND(
                  WEEKDAY(S$7,2)&lt;=MATCH(Assumptions!$J24,{"Monday","Tuesday","Wednesday","Thursday","Friday"},0),
                  WEEKDAY(S$8,2)&gt;=MATCH(Assumptions!$J24,{"Monday","Tuesday","Wednesday","Thursday","Friday"},0)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AND(Assumptions!$I24&gt;=S$7, Assumptions!$I24&lt;=S$8),
                    AND(
                      Assumptions!$I24&lt;S$7,
                      MOD(INT((S$7-(Assumptions!$I24-WEEKDAY(Assumptions!$I24,2)+1))/7),2)=0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AND(Assumptions!$I24&gt;=S$7, Assumptions!$I24&lt;=S$8),
                      AND(
                        Assumptions!$I24&lt;S$7,
                        MOD(INT((S$7-(Assumptions!$I24-WEEKDAY(Assumptions!$I24,2)+1))/7),3)=0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ISNUMBER(MATCH(MONTH(S$7),IF(Assumptions!$H24="Jan / Apr / Jul / Oct",{1,4,7,10},IF(Assumptions!$H24="Feb / May / Aug / Nov",{2,5,8,11},{3,6,9,12})),0)),
                          DATE(YEAR(S$7),MONTH(S$7),Assumptions!$G24)&gt;=S$7,
                          DATE(YEAR(S$7),MONTH(S$7),Assumptions!$G24)&lt;=S$8
                        ),
                        AND(
                          ISNUMBER(MATCH(MONTH(S$8),IF(Assumptions!$H24="Jan / Apr / Jul / Oct",{1,4,7,10},IF(Assumptions!$H24="Feb / May / Aug / Nov",{2,5,8,11},{3,6,9,12})),0)),
                          DATE(YEAR(S$8),MONTH(S$8),Assumptions!$G24)&gt;=S$7,
                          DATE(YEAR(S$8),MONTH(S$8),Assumptions!$G24)&lt;=S$8
                        )
                      ),
                    "Yes","No"),
                  "No")
                )
              )
            )
          )
        )
      )
    )
  )
)</f>
        <v>No</v>
      </c>
      <c r="T12" s="59" t="s">
        <v>124</v>
      </c>
    </row>
    <row r="13" spans="1:21" hidden="1" outlineLevel="1" x14ac:dyDescent="0.25">
      <c r="C13" s="58">
        <f>Assumptions!D25</f>
        <v>0</v>
      </c>
      <c r="D13" s="58"/>
      <c r="E13" s="58"/>
      <c r="F13" s="58"/>
      <c r="G13" s="59" t="str">
        <f>IF(
  Assumptions!$K25="Off",
  "No",
  IF(
    Assumptions!$F25="I will phase manually",
    "No",
    IF(
      Assumptions!$F25="Last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Assumptions!$F25="End of month",
        IF(
          OR(
            AND(EOMONTH(G$7,0)&gt;=G$7, EOMONTH(G$7,0)&lt;=G$8),
            AND(EOMONTH(G$8,0)&gt;=G$7, EOMONTH(G$8,0)&lt;=G$8)
          ),
        "Yes","No"),
        IF(
          Assumptions!$F25="Specific day of month",
          IF(
            OR(
              AND(DATE(YEAR(G$7),MONTH(G$7),Assumptions!$G25)&gt;=G$7, DATE(YEAR(G$7),MONTH(G$7),Assumptions!$G25)&lt;=G$8),
              AND(DATE(YEAR(G$8),MONTH(G$8),Assumptions!$G25)&gt;=G$7, DATE(YEAR(G$8),MONTH(G$8),Assumptions!$G25)&lt;=G$8)
            ),
          "Yes","No"),
          IF(
            Assumptions!$F25="Last X day of month",
            IF(
              AND(
                WEEKDAY(G$7,2)&lt;=MATCH(Assumptions!$J25,{"Monday","Tuesday","Wednesday","Thursday","Friday"},0),
                WEEKDAY(G$8,2)&gt;=MATCH(Assumptions!$J25,{"Monday","Tuesday","Wednesday","Thursday","Friday"},0),
                (G$7+(MATCH(Assumptions!$J25,{"Monday","Tuesday","Wednesday","Thursday","Friday"},0)-WEEKDAY(G$7,2)))+7&gt;EOMONTH((G$7+(MATCH(Assumptions!$J25,{"Monday","Tuesday","Wednesday","Thursday","Friday"},0)-WEEKDAY(G$7,2))),0)
              ),
            "Yes","No"),
            IF(
              Assumptions!$F25="Weekly",
              IF(
                AND(
                  WEEKDAY(G$7,2)&lt;=MATCH(Assumptions!$J25,{"Monday","Tuesday","Wednesday","Thursday","Friday"},0),
                  WEEKDAY(G$8,2)&gt;=MATCH(Assumptions!$J25,{"Monday","Tuesday","Wednesday","Thursday","Friday"},0)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AND(Assumptions!$I25&gt;=G$7, Assumptions!$I25&lt;=G$8),
                    AND(
                      Assumptions!$I25&lt;G$7,
                      MOD(INT((G$7-(Assumptions!$I25-WEEKDAY(Assumptions!$I25,2)+1))/7),2)=0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AND(Assumptions!$I25&gt;=G$7, Assumptions!$I25&lt;=G$8),
                      AND(
                        Assumptions!$I25&lt;G$7,
                        MOD(INT((G$7-(Assumptions!$I25-WEEKDAY(Assumptions!$I25,2)+1))/7),3)=0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ISNUMBER(MATCH(MONTH(G$7),IF(Assumptions!$H25="Jan / Apr / Jul / Oct",{1,4,7,10},IF(Assumptions!$H25="Feb / May / Aug / Nov",{2,5,8,11},{3,6,9,12})),0)),
                          DATE(YEAR(G$7),MONTH(G$7),Assumptions!$G25)&gt;=G$7,
                          DATE(YEAR(G$7),MONTH(G$7),Assumptions!$G25)&lt;=G$8
                        ),
                        AND(
                          ISNUMBER(MATCH(MONTH(G$8),IF(Assumptions!$H25="Jan / Apr / Jul / Oct",{1,4,7,10},IF(Assumptions!$H25="Feb / May / Aug / Nov",{2,5,8,11},{3,6,9,12})),0)),
                          DATE(YEAR(G$8),MONTH(G$8),Assumptions!$G25)&gt;=G$7,
                          DATE(YEAR(G$8),MONTH(G$8),Assumptions!$G25)&lt;=G$8
                        )
                      ),
                    "Yes","No"),
                  "No")
                )
              )
            )
          )
        )
      )
    )
  )
)</f>
        <v>No</v>
      </c>
      <c r="H13" s="59" t="str">
        <f>IF(
  Assumptions!$K25="Off",
  "No",
  IF(
    Assumptions!$F25="I will phase manually",
    "No",
    IF(
      Assumptions!$F25="Last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Assumptions!$F25="End of month",
        IF(
          OR(
            AND(EOMONTH(H$7,0)&gt;=H$7, EOMONTH(H$7,0)&lt;=H$8),
            AND(EOMONTH(H$8,0)&gt;=H$7, EOMONTH(H$8,0)&lt;=H$8)
          ),
        "Yes","No"),
        IF(
          Assumptions!$F25="Specific day of month",
          IF(
            OR(
              AND(DATE(YEAR(H$7),MONTH(H$7),Assumptions!$G25)&gt;=H$7, DATE(YEAR(H$7),MONTH(H$7),Assumptions!$G25)&lt;=H$8),
              AND(DATE(YEAR(H$8),MONTH(H$8),Assumptions!$G25)&gt;=H$7, DATE(YEAR(H$8),MONTH(H$8),Assumptions!$G25)&lt;=H$8)
            ),
          "Yes","No"),
          IF(
            Assumptions!$F25="Last X day of month",
            IF(
              AND(
                WEEKDAY(H$7,2)&lt;=MATCH(Assumptions!$J25,{"Monday","Tuesday","Wednesday","Thursday","Friday"},0),
                WEEKDAY(H$8,2)&gt;=MATCH(Assumptions!$J25,{"Monday","Tuesday","Wednesday","Thursday","Friday"},0),
                (H$7+(MATCH(Assumptions!$J25,{"Monday","Tuesday","Wednesday","Thursday","Friday"},0)-WEEKDAY(H$7,2)))+7&gt;EOMONTH((H$7+(MATCH(Assumptions!$J25,{"Monday","Tuesday","Wednesday","Thursday","Friday"},0)-WEEKDAY(H$7,2))),0)
              ),
            "Yes","No"),
            IF(
              Assumptions!$F25="Weekly",
              IF(
                AND(
                  WEEKDAY(H$7,2)&lt;=MATCH(Assumptions!$J25,{"Monday","Tuesday","Wednesday","Thursday","Friday"},0),
                  WEEKDAY(H$8,2)&gt;=MATCH(Assumptions!$J25,{"Monday","Tuesday","Wednesday","Thursday","Friday"},0)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AND(Assumptions!$I25&gt;=H$7, Assumptions!$I25&lt;=H$8),
                    AND(
                      Assumptions!$I25&lt;H$7,
                      MOD(INT((H$7-(Assumptions!$I25-WEEKDAY(Assumptions!$I25,2)+1))/7),2)=0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AND(Assumptions!$I25&gt;=H$7, Assumptions!$I25&lt;=H$8),
                      AND(
                        Assumptions!$I25&lt;H$7,
                        MOD(INT((H$7-(Assumptions!$I25-WEEKDAY(Assumptions!$I25,2)+1))/7),3)=0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ISNUMBER(MATCH(MONTH(H$7),IF(Assumptions!$H25="Jan / Apr / Jul / Oct",{1,4,7,10},IF(Assumptions!$H25="Feb / May / Aug / Nov",{2,5,8,11},{3,6,9,12})),0)),
                          DATE(YEAR(H$7),MONTH(H$7),Assumptions!$G25)&gt;=H$7,
                          DATE(YEAR(H$7),MONTH(H$7),Assumptions!$G25)&lt;=H$8
                        ),
                        AND(
                          ISNUMBER(MATCH(MONTH(H$8),IF(Assumptions!$H25="Jan / Apr / Jul / Oct",{1,4,7,10},IF(Assumptions!$H25="Feb / May / Aug / Nov",{2,5,8,11},{3,6,9,12})),0)),
                          DATE(YEAR(H$8),MONTH(H$8),Assumptions!$G25)&gt;=H$7,
                          DATE(YEAR(H$8),MONTH(H$8),Assumptions!$G25)&lt;=H$8
                        )
                      ),
                    "Yes","No"),
                  "No")
                )
              )
            )
          )
        )
      )
    )
  )
)</f>
        <v>No</v>
      </c>
      <c r="I13" s="59" t="str">
        <f>IF(
  Assumptions!$K25="Off",
  "No",
  IF(
    Assumptions!$F25="I will phase manually",
    "No",
    IF(
      Assumptions!$F25="Last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Assumptions!$F25="End of month",
        IF(
          OR(
            AND(EOMONTH(I$7,0)&gt;=I$7, EOMONTH(I$7,0)&lt;=I$8),
            AND(EOMONTH(I$8,0)&gt;=I$7, EOMONTH(I$8,0)&lt;=I$8)
          ),
        "Yes","No"),
        IF(
          Assumptions!$F25="Specific day of month",
          IF(
            OR(
              AND(DATE(YEAR(I$7),MONTH(I$7),Assumptions!$G25)&gt;=I$7, DATE(YEAR(I$7),MONTH(I$7),Assumptions!$G25)&lt;=I$8),
              AND(DATE(YEAR(I$8),MONTH(I$8),Assumptions!$G25)&gt;=I$7, DATE(YEAR(I$8),MONTH(I$8),Assumptions!$G25)&lt;=I$8)
            ),
          "Yes","No"),
          IF(
            Assumptions!$F25="Last X day of month",
            IF(
              AND(
                WEEKDAY(I$7,2)&lt;=MATCH(Assumptions!$J25,{"Monday","Tuesday","Wednesday","Thursday","Friday"},0),
                WEEKDAY(I$8,2)&gt;=MATCH(Assumptions!$J25,{"Monday","Tuesday","Wednesday","Thursday","Friday"},0),
                (I$7+(MATCH(Assumptions!$J25,{"Monday","Tuesday","Wednesday","Thursday","Friday"},0)-WEEKDAY(I$7,2)))+7&gt;EOMONTH((I$7+(MATCH(Assumptions!$J25,{"Monday","Tuesday","Wednesday","Thursday","Friday"},0)-WEEKDAY(I$7,2))),0)
              ),
            "Yes","No"),
            IF(
              Assumptions!$F25="Weekly",
              IF(
                AND(
                  WEEKDAY(I$7,2)&lt;=MATCH(Assumptions!$J25,{"Monday","Tuesday","Wednesday","Thursday","Friday"},0),
                  WEEKDAY(I$8,2)&gt;=MATCH(Assumptions!$J25,{"Monday","Tuesday","Wednesday","Thursday","Friday"},0)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AND(Assumptions!$I25&gt;=I$7, Assumptions!$I25&lt;=I$8),
                    AND(
                      Assumptions!$I25&lt;I$7,
                      MOD(INT((I$7-(Assumptions!$I25-WEEKDAY(Assumptions!$I25,2)+1))/7),2)=0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AND(Assumptions!$I25&gt;=I$7, Assumptions!$I25&lt;=I$8),
                      AND(
                        Assumptions!$I25&lt;I$7,
                        MOD(INT((I$7-(Assumptions!$I25-WEEKDAY(Assumptions!$I25,2)+1))/7),3)=0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ISNUMBER(MATCH(MONTH(I$7),IF(Assumptions!$H25="Jan / Apr / Jul / Oct",{1,4,7,10},IF(Assumptions!$H25="Feb / May / Aug / Nov",{2,5,8,11},{3,6,9,12})),0)),
                          DATE(YEAR(I$7),MONTH(I$7),Assumptions!$G25)&gt;=I$7,
                          DATE(YEAR(I$7),MONTH(I$7),Assumptions!$G25)&lt;=I$8
                        ),
                        AND(
                          ISNUMBER(MATCH(MONTH(I$8),IF(Assumptions!$H25="Jan / Apr / Jul / Oct",{1,4,7,10},IF(Assumptions!$H25="Feb / May / Aug / Nov",{2,5,8,11},{3,6,9,12})),0)),
                          DATE(YEAR(I$8),MONTH(I$8),Assumptions!$G25)&gt;=I$7,
                          DATE(YEAR(I$8),MONTH(I$8),Assumptions!$G25)&lt;=I$8
                        )
                      ),
                    "Yes","No"),
                  "No")
                )
              )
            )
          )
        )
      )
    )
  )
)</f>
        <v>No</v>
      </c>
      <c r="J13" s="59" t="str">
        <f>IF(
  Assumptions!$K25="Off",
  "No",
  IF(
    Assumptions!$F25="I will phase manually",
    "No",
    IF(
      Assumptions!$F25="Last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Assumptions!$F25="End of month",
        IF(
          OR(
            AND(EOMONTH(J$7,0)&gt;=J$7, EOMONTH(J$7,0)&lt;=J$8),
            AND(EOMONTH(J$8,0)&gt;=J$7, EOMONTH(J$8,0)&lt;=J$8)
          ),
        "Yes","No"),
        IF(
          Assumptions!$F25="Specific day of month",
          IF(
            OR(
              AND(DATE(YEAR(J$7),MONTH(J$7),Assumptions!$G25)&gt;=J$7, DATE(YEAR(J$7),MONTH(J$7),Assumptions!$G25)&lt;=J$8),
              AND(DATE(YEAR(J$8),MONTH(J$8),Assumptions!$G25)&gt;=J$7, DATE(YEAR(J$8),MONTH(J$8),Assumptions!$G25)&lt;=J$8)
            ),
          "Yes","No"),
          IF(
            Assumptions!$F25="Last X day of month",
            IF(
              AND(
                WEEKDAY(J$7,2)&lt;=MATCH(Assumptions!$J25,{"Monday","Tuesday","Wednesday","Thursday","Friday"},0),
                WEEKDAY(J$8,2)&gt;=MATCH(Assumptions!$J25,{"Monday","Tuesday","Wednesday","Thursday","Friday"},0),
                (J$7+(MATCH(Assumptions!$J25,{"Monday","Tuesday","Wednesday","Thursday","Friday"},0)-WEEKDAY(J$7,2)))+7&gt;EOMONTH((J$7+(MATCH(Assumptions!$J25,{"Monday","Tuesday","Wednesday","Thursday","Friday"},0)-WEEKDAY(J$7,2))),0)
              ),
            "Yes","No"),
            IF(
              Assumptions!$F25="Weekly",
              IF(
                AND(
                  WEEKDAY(J$7,2)&lt;=MATCH(Assumptions!$J25,{"Monday","Tuesday","Wednesday","Thursday","Friday"},0),
                  WEEKDAY(J$8,2)&gt;=MATCH(Assumptions!$J25,{"Monday","Tuesday","Wednesday","Thursday","Friday"},0)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AND(Assumptions!$I25&gt;=J$7, Assumptions!$I25&lt;=J$8),
                    AND(
                      Assumptions!$I25&lt;J$7,
                      MOD(INT((J$7-(Assumptions!$I25-WEEKDAY(Assumptions!$I25,2)+1))/7),2)=0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AND(Assumptions!$I25&gt;=J$7, Assumptions!$I25&lt;=J$8),
                      AND(
                        Assumptions!$I25&lt;J$7,
                        MOD(INT((J$7-(Assumptions!$I25-WEEKDAY(Assumptions!$I25,2)+1))/7),3)=0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ISNUMBER(MATCH(MONTH(J$7),IF(Assumptions!$H25="Jan / Apr / Jul / Oct",{1,4,7,10},IF(Assumptions!$H25="Feb / May / Aug / Nov",{2,5,8,11},{3,6,9,12})),0)),
                          DATE(YEAR(J$7),MONTH(J$7),Assumptions!$G25)&gt;=J$7,
                          DATE(YEAR(J$7),MONTH(J$7),Assumptions!$G25)&lt;=J$8
                        ),
                        AND(
                          ISNUMBER(MATCH(MONTH(J$8),IF(Assumptions!$H25="Jan / Apr / Jul / Oct",{1,4,7,10},IF(Assumptions!$H25="Feb / May / Aug / Nov",{2,5,8,11},{3,6,9,12})),0)),
                          DATE(YEAR(J$8),MONTH(J$8),Assumptions!$G25)&gt;=J$7,
                          DATE(YEAR(J$8),MONTH(J$8),Assumptions!$G25)&lt;=J$8
                        )
                      ),
                    "Yes","No"),
                  "No")
                )
              )
            )
          )
        )
      )
    )
  )
)</f>
        <v>No</v>
      </c>
      <c r="K13" s="59" t="str">
        <f>IF(
  Assumptions!$K25="Off",
  "No",
  IF(
    Assumptions!$F25="I will phase manually",
    "No",
    IF(
      Assumptions!$F25="Last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Assumptions!$F25="End of month",
        IF(
          OR(
            AND(EOMONTH(K$7,0)&gt;=K$7, EOMONTH(K$7,0)&lt;=K$8),
            AND(EOMONTH(K$8,0)&gt;=K$7, EOMONTH(K$8,0)&lt;=K$8)
          ),
        "Yes","No"),
        IF(
          Assumptions!$F25="Specific day of month",
          IF(
            OR(
              AND(DATE(YEAR(K$7),MONTH(K$7),Assumptions!$G25)&gt;=K$7, DATE(YEAR(K$7),MONTH(K$7),Assumptions!$G25)&lt;=K$8),
              AND(DATE(YEAR(K$8),MONTH(K$8),Assumptions!$G25)&gt;=K$7, DATE(YEAR(K$8),MONTH(K$8),Assumptions!$G25)&lt;=K$8)
            ),
          "Yes","No"),
          IF(
            Assumptions!$F25="Last X day of month",
            IF(
              AND(
                WEEKDAY(K$7,2)&lt;=MATCH(Assumptions!$J25,{"Monday","Tuesday","Wednesday","Thursday","Friday"},0),
                WEEKDAY(K$8,2)&gt;=MATCH(Assumptions!$J25,{"Monday","Tuesday","Wednesday","Thursday","Friday"},0),
                (K$7+(MATCH(Assumptions!$J25,{"Monday","Tuesday","Wednesday","Thursday","Friday"},0)-WEEKDAY(K$7,2)))+7&gt;EOMONTH((K$7+(MATCH(Assumptions!$J25,{"Monday","Tuesday","Wednesday","Thursday","Friday"},0)-WEEKDAY(K$7,2))),0)
              ),
            "Yes","No"),
            IF(
              Assumptions!$F25="Weekly",
              IF(
                AND(
                  WEEKDAY(K$7,2)&lt;=MATCH(Assumptions!$J25,{"Monday","Tuesday","Wednesday","Thursday","Friday"},0),
                  WEEKDAY(K$8,2)&gt;=MATCH(Assumptions!$J25,{"Monday","Tuesday","Wednesday","Thursday","Friday"},0)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AND(Assumptions!$I25&gt;=K$7, Assumptions!$I25&lt;=K$8),
                    AND(
                      Assumptions!$I25&lt;K$7,
                      MOD(INT((K$7-(Assumptions!$I25-WEEKDAY(Assumptions!$I25,2)+1))/7),2)=0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AND(Assumptions!$I25&gt;=K$7, Assumptions!$I25&lt;=K$8),
                      AND(
                        Assumptions!$I25&lt;K$7,
                        MOD(INT((K$7-(Assumptions!$I25-WEEKDAY(Assumptions!$I25,2)+1))/7),3)=0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ISNUMBER(MATCH(MONTH(K$7),IF(Assumptions!$H25="Jan / Apr / Jul / Oct",{1,4,7,10},IF(Assumptions!$H25="Feb / May / Aug / Nov",{2,5,8,11},{3,6,9,12})),0)),
                          DATE(YEAR(K$7),MONTH(K$7),Assumptions!$G25)&gt;=K$7,
                          DATE(YEAR(K$7),MONTH(K$7),Assumptions!$G25)&lt;=K$8
                        ),
                        AND(
                          ISNUMBER(MATCH(MONTH(K$8),IF(Assumptions!$H25="Jan / Apr / Jul / Oct",{1,4,7,10},IF(Assumptions!$H25="Feb / May / Aug / Nov",{2,5,8,11},{3,6,9,12})),0)),
                          DATE(YEAR(K$8),MONTH(K$8),Assumptions!$G25)&gt;=K$7,
                          DATE(YEAR(K$8),MONTH(K$8),Assumptions!$G25)&lt;=K$8
                        )
                      ),
                    "Yes","No"),
                  "No")
                )
              )
            )
          )
        )
      )
    )
  )
)</f>
        <v>No</v>
      </c>
      <c r="L13" s="59" t="str">
        <f>IF(
  Assumptions!$K25="Off",
  "No",
  IF(
    Assumptions!$F25="I will phase manually",
    "No",
    IF(
      Assumptions!$F25="Last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Assumptions!$F25="End of month",
        IF(
          OR(
            AND(EOMONTH(L$7,0)&gt;=L$7, EOMONTH(L$7,0)&lt;=L$8),
            AND(EOMONTH(L$8,0)&gt;=L$7, EOMONTH(L$8,0)&lt;=L$8)
          ),
        "Yes","No"),
        IF(
          Assumptions!$F25="Specific day of month",
          IF(
            OR(
              AND(DATE(YEAR(L$7),MONTH(L$7),Assumptions!$G25)&gt;=L$7, DATE(YEAR(L$7),MONTH(L$7),Assumptions!$G25)&lt;=L$8),
              AND(DATE(YEAR(L$8),MONTH(L$8),Assumptions!$G25)&gt;=L$7, DATE(YEAR(L$8),MONTH(L$8),Assumptions!$G25)&lt;=L$8)
            ),
          "Yes","No"),
          IF(
            Assumptions!$F25="Last X day of month",
            IF(
              AND(
                WEEKDAY(L$7,2)&lt;=MATCH(Assumptions!$J25,{"Monday","Tuesday","Wednesday","Thursday","Friday"},0),
                WEEKDAY(L$8,2)&gt;=MATCH(Assumptions!$J25,{"Monday","Tuesday","Wednesday","Thursday","Friday"},0),
                (L$7+(MATCH(Assumptions!$J25,{"Monday","Tuesday","Wednesday","Thursday","Friday"},0)-WEEKDAY(L$7,2)))+7&gt;EOMONTH((L$7+(MATCH(Assumptions!$J25,{"Monday","Tuesday","Wednesday","Thursday","Friday"},0)-WEEKDAY(L$7,2))),0)
              ),
            "Yes","No"),
            IF(
              Assumptions!$F25="Weekly",
              IF(
                AND(
                  WEEKDAY(L$7,2)&lt;=MATCH(Assumptions!$J25,{"Monday","Tuesday","Wednesday","Thursday","Friday"},0),
                  WEEKDAY(L$8,2)&gt;=MATCH(Assumptions!$J25,{"Monday","Tuesday","Wednesday","Thursday","Friday"},0)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AND(Assumptions!$I25&gt;=L$7, Assumptions!$I25&lt;=L$8),
                    AND(
                      Assumptions!$I25&lt;L$7,
                      MOD(INT((L$7-(Assumptions!$I25-WEEKDAY(Assumptions!$I25,2)+1))/7),2)=0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AND(Assumptions!$I25&gt;=L$7, Assumptions!$I25&lt;=L$8),
                      AND(
                        Assumptions!$I25&lt;L$7,
                        MOD(INT((L$7-(Assumptions!$I25-WEEKDAY(Assumptions!$I25,2)+1))/7),3)=0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ISNUMBER(MATCH(MONTH(L$7),IF(Assumptions!$H25="Jan / Apr / Jul / Oct",{1,4,7,10},IF(Assumptions!$H25="Feb / May / Aug / Nov",{2,5,8,11},{3,6,9,12})),0)),
                          DATE(YEAR(L$7),MONTH(L$7),Assumptions!$G25)&gt;=L$7,
                          DATE(YEAR(L$7),MONTH(L$7),Assumptions!$G25)&lt;=L$8
                        ),
                        AND(
                          ISNUMBER(MATCH(MONTH(L$8),IF(Assumptions!$H25="Jan / Apr / Jul / Oct",{1,4,7,10},IF(Assumptions!$H25="Feb / May / Aug / Nov",{2,5,8,11},{3,6,9,12})),0)),
                          DATE(YEAR(L$8),MONTH(L$8),Assumptions!$G25)&gt;=L$7,
                          DATE(YEAR(L$8),MONTH(L$8),Assumptions!$G25)&lt;=L$8
                        )
                      ),
                    "Yes","No"),
                  "No")
                )
              )
            )
          )
        )
      )
    )
  )
)</f>
        <v>No</v>
      </c>
      <c r="M13" s="59" t="str">
        <f>IF(
  Assumptions!$K25="Off",
  "No",
  IF(
    Assumptions!$F25="I will phase manually",
    "No",
    IF(
      Assumptions!$F25="Last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Assumptions!$F25="End of month",
        IF(
          OR(
            AND(EOMONTH(M$7,0)&gt;=M$7, EOMONTH(M$7,0)&lt;=M$8),
            AND(EOMONTH(M$8,0)&gt;=M$7, EOMONTH(M$8,0)&lt;=M$8)
          ),
        "Yes","No"),
        IF(
          Assumptions!$F25="Specific day of month",
          IF(
            OR(
              AND(DATE(YEAR(M$7),MONTH(M$7),Assumptions!$G25)&gt;=M$7, DATE(YEAR(M$7),MONTH(M$7),Assumptions!$G25)&lt;=M$8),
              AND(DATE(YEAR(M$8),MONTH(M$8),Assumptions!$G25)&gt;=M$7, DATE(YEAR(M$8),MONTH(M$8),Assumptions!$G25)&lt;=M$8)
            ),
          "Yes","No"),
          IF(
            Assumptions!$F25="Last X day of month",
            IF(
              AND(
                WEEKDAY(M$7,2)&lt;=MATCH(Assumptions!$J25,{"Monday","Tuesday","Wednesday","Thursday","Friday"},0),
                WEEKDAY(M$8,2)&gt;=MATCH(Assumptions!$J25,{"Monday","Tuesday","Wednesday","Thursday","Friday"},0),
                (M$7+(MATCH(Assumptions!$J25,{"Monday","Tuesday","Wednesday","Thursday","Friday"},0)-WEEKDAY(M$7,2)))+7&gt;EOMONTH((M$7+(MATCH(Assumptions!$J25,{"Monday","Tuesday","Wednesday","Thursday","Friday"},0)-WEEKDAY(M$7,2))),0)
              ),
            "Yes","No"),
            IF(
              Assumptions!$F25="Weekly",
              IF(
                AND(
                  WEEKDAY(M$7,2)&lt;=MATCH(Assumptions!$J25,{"Monday","Tuesday","Wednesday","Thursday","Friday"},0),
                  WEEKDAY(M$8,2)&gt;=MATCH(Assumptions!$J25,{"Monday","Tuesday","Wednesday","Thursday","Friday"},0)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AND(Assumptions!$I25&gt;=M$7, Assumptions!$I25&lt;=M$8),
                    AND(
                      Assumptions!$I25&lt;M$7,
                      MOD(INT((M$7-(Assumptions!$I25-WEEKDAY(Assumptions!$I25,2)+1))/7),2)=0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AND(Assumptions!$I25&gt;=M$7, Assumptions!$I25&lt;=M$8),
                      AND(
                        Assumptions!$I25&lt;M$7,
                        MOD(INT((M$7-(Assumptions!$I25-WEEKDAY(Assumptions!$I25,2)+1))/7),3)=0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ISNUMBER(MATCH(MONTH(M$7),IF(Assumptions!$H25="Jan / Apr / Jul / Oct",{1,4,7,10},IF(Assumptions!$H25="Feb / May / Aug / Nov",{2,5,8,11},{3,6,9,12})),0)),
                          DATE(YEAR(M$7),MONTH(M$7),Assumptions!$G25)&gt;=M$7,
                          DATE(YEAR(M$7),MONTH(M$7),Assumptions!$G25)&lt;=M$8
                        ),
                        AND(
                          ISNUMBER(MATCH(MONTH(M$8),IF(Assumptions!$H25="Jan / Apr / Jul / Oct",{1,4,7,10},IF(Assumptions!$H25="Feb / May / Aug / Nov",{2,5,8,11},{3,6,9,12})),0)),
                          DATE(YEAR(M$8),MONTH(M$8),Assumptions!$G25)&gt;=M$7,
                          DATE(YEAR(M$8),MONTH(M$8),Assumptions!$G25)&lt;=M$8
                        )
                      ),
                    "Yes","No"),
                  "No")
                )
              )
            )
          )
        )
      )
    )
  )
)</f>
        <v>No</v>
      </c>
      <c r="N13" s="59" t="str">
        <f>IF(
  Assumptions!$K25="Off",
  "No",
  IF(
    Assumptions!$F25="I will phase manually",
    "No",
    IF(
      Assumptions!$F25="Last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Assumptions!$F25="End of month",
        IF(
          OR(
            AND(EOMONTH(N$7,0)&gt;=N$7, EOMONTH(N$7,0)&lt;=N$8),
            AND(EOMONTH(N$8,0)&gt;=N$7, EOMONTH(N$8,0)&lt;=N$8)
          ),
        "Yes","No"),
        IF(
          Assumptions!$F25="Specific day of month",
          IF(
            OR(
              AND(DATE(YEAR(N$7),MONTH(N$7),Assumptions!$G25)&gt;=N$7, DATE(YEAR(N$7),MONTH(N$7),Assumptions!$G25)&lt;=N$8),
              AND(DATE(YEAR(N$8),MONTH(N$8),Assumptions!$G25)&gt;=N$7, DATE(YEAR(N$8),MONTH(N$8),Assumptions!$G25)&lt;=N$8)
            ),
          "Yes","No"),
          IF(
            Assumptions!$F25="Last X day of month",
            IF(
              AND(
                WEEKDAY(N$7,2)&lt;=MATCH(Assumptions!$J25,{"Monday","Tuesday","Wednesday","Thursday","Friday"},0),
                WEEKDAY(N$8,2)&gt;=MATCH(Assumptions!$J25,{"Monday","Tuesday","Wednesday","Thursday","Friday"},0),
                (N$7+(MATCH(Assumptions!$J25,{"Monday","Tuesday","Wednesday","Thursday","Friday"},0)-WEEKDAY(N$7,2)))+7&gt;EOMONTH((N$7+(MATCH(Assumptions!$J25,{"Monday","Tuesday","Wednesday","Thursday","Friday"},0)-WEEKDAY(N$7,2))),0)
              ),
            "Yes","No"),
            IF(
              Assumptions!$F25="Weekly",
              IF(
                AND(
                  WEEKDAY(N$7,2)&lt;=MATCH(Assumptions!$J25,{"Monday","Tuesday","Wednesday","Thursday","Friday"},0),
                  WEEKDAY(N$8,2)&gt;=MATCH(Assumptions!$J25,{"Monday","Tuesday","Wednesday","Thursday","Friday"},0)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AND(Assumptions!$I25&gt;=N$7, Assumptions!$I25&lt;=N$8),
                    AND(
                      Assumptions!$I25&lt;N$7,
                      MOD(INT((N$7-(Assumptions!$I25-WEEKDAY(Assumptions!$I25,2)+1))/7),2)=0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AND(Assumptions!$I25&gt;=N$7, Assumptions!$I25&lt;=N$8),
                      AND(
                        Assumptions!$I25&lt;N$7,
                        MOD(INT((N$7-(Assumptions!$I25-WEEKDAY(Assumptions!$I25,2)+1))/7),3)=0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ISNUMBER(MATCH(MONTH(N$7),IF(Assumptions!$H25="Jan / Apr / Jul / Oct",{1,4,7,10},IF(Assumptions!$H25="Feb / May / Aug / Nov",{2,5,8,11},{3,6,9,12})),0)),
                          DATE(YEAR(N$7),MONTH(N$7),Assumptions!$G25)&gt;=N$7,
                          DATE(YEAR(N$7),MONTH(N$7),Assumptions!$G25)&lt;=N$8
                        ),
                        AND(
                          ISNUMBER(MATCH(MONTH(N$8),IF(Assumptions!$H25="Jan / Apr / Jul / Oct",{1,4,7,10},IF(Assumptions!$H25="Feb / May / Aug / Nov",{2,5,8,11},{3,6,9,12})),0)),
                          DATE(YEAR(N$8),MONTH(N$8),Assumptions!$G25)&gt;=N$7,
                          DATE(YEAR(N$8),MONTH(N$8),Assumptions!$G25)&lt;=N$8
                        )
                      ),
                    "Yes","No"),
                  "No")
                )
              )
            )
          )
        )
      )
    )
  )
)</f>
        <v>No</v>
      </c>
      <c r="O13" s="59" t="str">
        <f>IF(
  Assumptions!$K25="Off",
  "No",
  IF(
    Assumptions!$F25="I will phase manually",
    "No",
    IF(
      Assumptions!$F25="Last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Assumptions!$F25="End of month",
        IF(
          OR(
            AND(EOMONTH(O$7,0)&gt;=O$7, EOMONTH(O$7,0)&lt;=O$8),
            AND(EOMONTH(O$8,0)&gt;=O$7, EOMONTH(O$8,0)&lt;=O$8)
          ),
        "Yes","No"),
        IF(
          Assumptions!$F25="Specific day of month",
          IF(
            OR(
              AND(DATE(YEAR(O$7),MONTH(O$7),Assumptions!$G25)&gt;=O$7, DATE(YEAR(O$7),MONTH(O$7),Assumptions!$G25)&lt;=O$8),
              AND(DATE(YEAR(O$8),MONTH(O$8),Assumptions!$G25)&gt;=O$7, DATE(YEAR(O$8),MONTH(O$8),Assumptions!$G25)&lt;=O$8)
            ),
          "Yes","No"),
          IF(
            Assumptions!$F25="Last X day of month",
            IF(
              AND(
                WEEKDAY(O$7,2)&lt;=MATCH(Assumptions!$J25,{"Monday","Tuesday","Wednesday","Thursday","Friday"},0),
                WEEKDAY(O$8,2)&gt;=MATCH(Assumptions!$J25,{"Monday","Tuesday","Wednesday","Thursday","Friday"},0),
                (O$7+(MATCH(Assumptions!$J25,{"Monday","Tuesday","Wednesday","Thursday","Friday"},0)-WEEKDAY(O$7,2)))+7&gt;EOMONTH((O$7+(MATCH(Assumptions!$J25,{"Monday","Tuesday","Wednesday","Thursday","Friday"},0)-WEEKDAY(O$7,2))),0)
              ),
            "Yes","No"),
            IF(
              Assumptions!$F25="Weekly",
              IF(
                AND(
                  WEEKDAY(O$7,2)&lt;=MATCH(Assumptions!$J25,{"Monday","Tuesday","Wednesday","Thursday","Friday"},0),
                  WEEKDAY(O$8,2)&gt;=MATCH(Assumptions!$J25,{"Monday","Tuesday","Wednesday","Thursday","Friday"},0)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AND(Assumptions!$I25&gt;=O$7, Assumptions!$I25&lt;=O$8),
                    AND(
                      Assumptions!$I25&lt;O$7,
                      MOD(INT((O$7-(Assumptions!$I25-WEEKDAY(Assumptions!$I25,2)+1))/7),2)=0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AND(Assumptions!$I25&gt;=O$7, Assumptions!$I25&lt;=O$8),
                      AND(
                        Assumptions!$I25&lt;O$7,
                        MOD(INT((O$7-(Assumptions!$I25-WEEKDAY(Assumptions!$I25,2)+1))/7),3)=0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ISNUMBER(MATCH(MONTH(O$7),IF(Assumptions!$H25="Jan / Apr / Jul / Oct",{1,4,7,10},IF(Assumptions!$H25="Feb / May / Aug / Nov",{2,5,8,11},{3,6,9,12})),0)),
                          DATE(YEAR(O$7),MONTH(O$7),Assumptions!$G25)&gt;=O$7,
                          DATE(YEAR(O$7),MONTH(O$7),Assumptions!$G25)&lt;=O$8
                        ),
                        AND(
                          ISNUMBER(MATCH(MONTH(O$8),IF(Assumptions!$H25="Jan / Apr / Jul / Oct",{1,4,7,10},IF(Assumptions!$H25="Feb / May / Aug / Nov",{2,5,8,11},{3,6,9,12})),0)),
                          DATE(YEAR(O$8),MONTH(O$8),Assumptions!$G25)&gt;=O$7,
                          DATE(YEAR(O$8),MONTH(O$8),Assumptions!$G25)&lt;=O$8
                        )
                      ),
                    "Yes","No"),
                  "No")
                )
              )
            )
          )
        )
      )
    )
  )
)</f>
        <v>No</v>
      </c>
      <c r="P13" s="59" t="str">
        <f>IF(
  Assumptions!$K25="Off",
  "No",
  IF(
    Assumptions!$F25="I will phase manually",
    "No",
    IF(
      Assumptions!$F25="Last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Assumptions!$F25="End of month",
        IF(
          OR(
            AND(EOMONTH(P$7,0)&gt;=P$7, EOMONTH(P$7,0)&lt;=P$8),
            AND(EOMONTH(P$8,0)&gt;=P$7, EOMONTH(P$8,0)&lt;=P$8)
          ),
        "Yes","No"),
        IF(
          Assumptions!$F25="Specific day of month",
          IF(
            OR(
              AND(DATE(YEAR(P$7),MONTH(P$7),Assumptions!$G25)&gt;=P$7, DATE(YEAR(P$7),MONTH(P$7),Assumptions!$G25)&lt;=P$8),
              AND(DATE(YEAR(P$8),MONTH(P$8),Assumptions!$G25)&gt;=P$7, DATE(YEAR(P$8),MONTH(P$8),Assumptions!$G25)&lt;=P$8)
            ),
          "Yes","No"),
          IF(
            Assumptions!$F25="Last X day of month",
            IF(
              AND(
                WEEKDAY(P$7,2)&lt;=MATCH(Assumptions!$J25,{"Monday","Tuesday","Wednesday","Thursday","Friday"},0),
                WEEKDAY(P$8,2)&gt;=MATCH(Assumptions!$J25,{"Monday","Tuesday","Wednesday","Thursday","Friday"},0),
                (P$7+(MATCH(Assumptions!$J25,{"Monday","Tuesday","Wednesday","Thursday","Friday"},0)-WEEKDAY(P$7,2)))+7&gt;EOMONTH((P$7+(MATCH(Assumptions!$J25,{"Monday","Tuesday","Wednesday","Thursday","Friday"},0)-WEEKDAY(P$7,2))),0)
              ),
            "Yes","No"),
            IF(
              Assumptions!$F25="Weekly",
              IF(
                AND(
                  WEEKDAY(P$7,2)&lt;=MATCH(Assumptions!$J25,{"Monday","Tuesday","Wednesday","Thursday","Friday"},0),
                  WEEKDAY(P$8,2)&gt;=MATCH(Assumptions!$J25,{"Monday","Tuesday","Wednesday","Thursday","Friday"},0)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AND(Assumptions!$I25&gt;=P$7, Assumptions!$I25&lt;=P$8),
                    AND(
                      Assumptions!$I25&lt;P$7,
                      MOD(INT((P$7-(Assumptions!$I25-WEEKDAY(Assumptions!$I25,2)+1))/7),2)=0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AND(Assumptions!$I25&gt;=P$7, Assumptions!$I25&lt;=P$8),
                      AND(
                        Assumptions!$I25&lt;P$7,
                        MOD(INT((P$7-(Assumptions!$I25-WEEKDAY(Assumptions!$I25,2)+1))/7),3)=0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ISNUMBER(MATCH(MONTH(P$7),IF(Assumptions!$H25="Jan / Apr / Jul / Oct",{1,4,7,10},IF(Assumptions!$H25="Feb / May / Aug / Nov",{2,5,8,11},{3,6,9,12})),0)),
                          DATE(YEAR(P$7),MONTH(P$7),Assumptions!$G25)&gt;=P$7,
                          DATE(YEAR(P$7),MONTH(P$7),Assumptions!$G25)&lt;=P$8
                        ),
                        AND(
                          ISNUMBER(MATCH(MONTH(P$8),IF(Assumptions!$H25="Jan / Apr / Jul / Oct",{1,4,7,10},IF(Assumptions!$H25="Feb / May / Aug / Nov",{2,5,8,11},{3,6,9,12})),0)),
                          DATE(YEAR(P$8),MONTH(P$8),Assumptions!$G25)&gt;=P$7,
                          DATE(YEAR(P$8),MONTH(P$8),Assumptions!$G25)&lt;=P$8
                        )
                      ),
                    "Yes","No"),
                  "No")
                )
              )
            )
          )
        )
      )
    )
  )
)</f>
        <v>No</v>
      </c>
      <c r="Q13" s="59" t="str">
        <f>IF(
  Assumptions!$K25="Off",
  "No",
  IF(
    Assumptions!$F25="I will phase manually",
    "No",
    IF(
      Assumptions!$F25="Last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Assumptions!$F25="End of month",
        IF(
          OR(
            AND(EOMONTH(Q$7,0)&gt;=Q$7, EOMONTH(Q$7,0)&lt;=Q$8),
            AND(EOMONTH(Q$8,0)&gt;=Q$7, EOMONTH(Q$8,0)&lt;=Q$8)
          ),
        "Yes","No"),
        IF(
          Assumptions!$F25="Specific day of month",
          IF(
            OR(
              AND(DATE(YEAR(Q$7),MONTH(Q$7),Assumptions!$G25)&gt;=Q$7, DATE(YEAR(Q$7),MONTH(Q$7),Assumptions!$G25)&lt;=Q$8),
              AND(DATE(YEAR(Q$8),MONTH(Q$8),Assumptions!$G25)&gt;=Q$7, DATE(YEAR(Q$8),MONTH(Q$8),Assumptions!$G25)&lt;=Q$8)
            ),
          "Yes","No"),
          IF(
            Assumptions!$F25="Last X day of month",
            IF(
              AND(
                WEEKDAY(Q$7,2)&lt;=MATCH(Assumptions!$J25,{"Monday","Tuesday","Wednesday","Thursday","Friday"},0),
                WEEKDAY(Q$8,2)&gt;=MATCH(Assumptions!$J25,{"Monday","Tuesday","Wednesday","Thursday","Friday"},0),
                (Q$7+(MATCH(Assumptions!$J25,{"Monday","Tuesday","Wednesday","Thursday","Friday"},0)-WEEKDAY(Q$7,2)))+7&gt;EOMONTH((Q$7+(MATCH(Assumptions!$J25,{"Monday","Tuesday","Wednesday","Thursday","Friday"},0)-WEEKDAY(Q$7,2))),0)
              ),
            "Yes","No"),
            IF(
              Assumptions!$F25="Weekly",
              IF(
                AND(
                  WEEKDAY(Q$7,2)&lt;=MATCH(Assumptions!$J25,{"Monday","Tuesday","Wednesday","Thursday","Friday"},0),
                  WEEKDAY(Q$8,2)&gt;=MATCH(Assumptions!$J25,{"Monday","Tuesday","Wednesday","Thursday","Friday"},0)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AND(Assumptions!$I25&gt;=Q$7, Assumptions!$I25&lt;=Q$8),
                    AND(
                      Assumptions!$I25&lt;Q$7,
                      MOD(INT((Q$7-(Assumptions!$I25-WEEKDAY(Assumptions!$I25,2)+1))/7),2)=0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AND(Assumptions!$I25&gt;=Q$7, Assumptions!$I25&lt;=Q$8),
                      AND(
                        Assumptions!$I25&lt;Q$7,
                        MOD(INT((Q$7-(Assumptions!$I25-WEEKDAY(Assumptions!$I25,2)+1))/7),3)=0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ISNUMBER(MATCH(MONTH(Q$7),IF(Assumptions!$H25="Jan / Apr / Jul / Oct",{1,4,7,10},IF(Assumptions!$H25="Feb / May / Aug / Nov",{2,5,8,11},{3,6,9,12})),0)),
                          DATE(YEAR(Q$7),MONTH(Q$7),Assumptions!$G25)&gt;=Q$7,
                          DATE(YEAR(Q$7),MONTH(Q$7),Assumptions!$G25)&lt;=Q$8
                        ),
                        AND(
                          ISNUMBER(MATCH(MONTH(Q$8),IF(Assumptions!$H25="Jan / Apr / Jul / Oct",{1,4,7,10},IF(Assumptions!$H25="Feb / May / Aug / Nov",{2,5,8,11},{3,6,9,12})),0)),
                          DATE(YEAR(Q$8),MONTH(Q$8),Assumptions!$G25)&gt;=Q$7,
                          DATE(YEAR(Q$8),MONTH(Q$8),Assumptions!$G25)&lt;=Q$8
                        )
                      ),
                    "Yes","No"),
                  "No")
                )
              )
            )
          )
        )
      )
    )
  )
)</f>
        <v>No</v>
      </c>
      <c r="R13" s="59" t="str">
        <f>IF(
  Assumptions!$K25="Off",
  "No",
  IF(
    Assumptions!$F25="I will phase manually",
    "No",
    IF(
      Assumptions!$F25="Last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Assumptions!$F25="End of month",
        IF(
          OR(
            AND(EOMONTH(R$7,0)&gt;=R$7, EOMONTH(R$7,0)&lt;=R$8),
            AND(EOMONTH(R$8,0)&gt;=R$7, EOMONTH(R$8,0)&lt;=R$8)
          ),
        "Yes","No"),
        IF(
          Assumptions!$F25="Specific day of month",
          IF(
            OR(
              AND(DATE(YEAR(R$7),MONTH(R$7),Assumptions!$G25)&gt;=R$7, DATE(YEAR(R$7),MONTH(R$7),Assumptions!$G25)&lt;=R$8),
              AND(DATE(YEAR(R$8),MONTH(R$8),Assumptions!$G25)&gt;=R$7, DATE(YEAR(R$8),MONTH(R$8),Assumptions!$G25)&lt;=R$8)
            ),
          "Yes","No"),
          IF(
            Assumptions!$F25="Last X day of month",
            IF(
              AND(
                WEEKDAY(R$7,2)&lt;=MATCH(Assumptions!$J25,{"Monday","Tuesday","Wednesday","Thursday","Friday"},0),
                WEEKDAY(R$8,2)&gt;=MATCH(Assumptions!$J25,{"Monday","Tuesday","Wednesday","Thursday","Friday"},0),
                (R$7+(MATCH(Assumptions!$J25,{"Monday","Tuesday","Wednesday","Thursday","Friday"},0)-WEEKDAY(R$7,2)))+7&gt;EOMONTH((R$7+(MATCH(Assumptions!$J25,{"Monday","Tuesday","Wednesday","Thursday","Friday"},0)-WEEKDAY(R$7,2))),0)
              ),
            "Yes","No"),
            IF(
              Assumptions!$F25="Weekly",
              IF(
                AND(
                  WEEKDAY(R$7,2)&lt;=MATCH(Assumptions!$J25,{"Monday","Tuesday","Wednesday","Thursday","Friday"},0),
                  WEEKDAY(R$8,2)&gt;=MATCH(Assumptions!$J25,{"Monday","Tuesday","Wednesday","Thursday","Friday"},0)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AND(Assumptions!$I25&gt;=R$7, Assumptions!$I25&lt;=R$8),
                    AND(
                      Assumptions!$I25&lt;R$7,
                      MOD(INT((R$7-(Assumptions!$I25-WEEKDAY(Assumptions!$I25,2)+1))/7),2)=0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AND(Assumptions!$I25&gt;=R$7, Assumptions!$I25&lt;=R$8),
                      AND(
                        Assumptions!$I25&lt;R$7,
                        MOD(INT((R$7-(Assumptions!$I25-WEEKDAY(Assumptions!$I25,2)+1))/7),3)=0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ISNUMBER(MATCH(MONTH(R$7),IF(Assumptions!$H25="Jan / Apr / Jul / Oct",{1,4,7,10},IF(Assumptions!$H25="Feb / May / Aug / Nov",{2,5,8,11},{3,6,9,12})),0)),
                          DATE(YEAR(R$7),MONTH(R$7),Assumptions!$G25)&gt;=R$7,
                          DATE(YEAR(R$7),MONTH(R$7),Assumptions!$G25)&lt;=R$8
                        ),
                        AND(
                          ISNUMBER(MATCH(MONTH(R$8),IF(Assumptions!$H25="Jan / Apr / Jul / Oct",{1,4,7,10},IF(Assumptions!$H25="Feb / May / Aug / Nov",{2,5,8,11},{3,6,9,12})),0)),
                          DATE(YEAR(R$8),MONTH(R$8),Assumptions!$G25)&gt;=R$7,
                          DATE(YEAR(R$8),MONTH(R$8),Assumptions!$G25)&lt;=R$8
                        )
                      ),
                    "Yes","No"),
                  "No")
                )
              )
            )
          )
        )
      )
    )
  )
)</f>
        <v>No</v>
      </c>
      <c r="S13" s="59" t="str">
        <f>IF(
  Assumptions!$K25="Off",
  "No",
  IF(
    Assumptions!$F25="I will phase manually",
    "No",
    IF(
      Assumptions!$F25="Last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Assumptions!$F25="End of month",
        IF(
          OR(
            AND(EOMONTH(S$7,0)&gt;=S$7, EOMONTH(S$7,0)&lt;=S$8),
            AND(EOMONTH(S$8,0)&gt;=S$7, EOMONTH(S$8,0)&lt;=S$8)
          ),
        "Yes","No"),
        IF(
          Assumptions!$F25="Specific day of month",
          IF(
            OR(
              AND(DATE(YEAR(S$7),MONTH(S$7),Assumptions!$G25)&gt;=S$7, DATE(YEAR(S$7),MONTH(S$7),Assumptions!$G25)&lt;=S$8),
              AND(DATE(YEAR(S$8),MONTH(S$8),Assumptions!$G25)&gt;=S$7, DATE(YEAR(S$8),MONTH(S$8),Assumptions!$G25)&lt;=S$8)
            ),
          "Yes","No"),
          IF(
            Assumptions!$F25="Last X day of month",
            IF(
              AND(
                WEEKDAY(S$7,2)&lt;=MATCH(Assumptions!$J25,{"Monday","Tuesday","Wednesday","Thursday","Friday"},0),
                WEEKDAY(S$8,2)&gt;=MATCH(Assumptions!$J25,{"Monday","Tuesday","Wednesday","Thursday","Friday"},0),
                (S$7+(MATCH(Assumptions!$J25,{"Monday","Tuesday","Wednesday","Thursday","Friday"},0)-WEEKDAY(S$7,2)))+7&gt;EOMONTH((S$7+(MATCH(Assumptions!$J25,{"Monday","Tuesday","Wednesday","Thursday","Friday"},0)-WEEKDAY(S$7,2))),0)
              ),
            "Yes","No"),
            IF(
              Assumptions!$F25="Weekly",
              IF(
                AND(
                  WEEKDAY(S$7,2)&lt;=MATCH(Assumptions!$J25,{"Monday","Tuesday","Wednesday","Thursday","Friday"},0),
                  WEEKDAY(S$8,2)&gt;=MATCH(Assumptions!$J25,{"Monday","Tuesday","Wednesday","Thursday","Friday"},0)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AND(Assumptions!$I25&gt;=S$7, Assumptions!$I25&lt;=S$8),
                    AND(
                      Assumptions!$I25&lt;S$7,
                      MOD(INT((S$7-(Assumptions!$I25-WEEKDAY(Assumptions!$I25,2)+1))/7),2)=0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AND(Assumptions!$I25&gt;=S$7, Assumptions!$I25&lt;=S$8),
                      AND(
                        Assumptions!$I25&lt;S$7,
                        MOD(INT((S$7-(Assumptions!$I25-WEEKDAY(Assumptions!$I25,2)+1))/7),3)=0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ISNUMBER(MATCH(MONTH(S$7),IF(Assumptions!$H25="Jan / Apr / Jul / Oct",{1,4,7,10},IF(Assumptions!$H25="Feb / May / Aug / Nov",{2,5,8,11},{3,6,9,12})),0)),
                          DATE(YEAR(S$7),MONTH(S$7),Assumptions!$G25)&gt;=S$7,
                          DATE(YEAR(S$7),MONTH(S$7),Assumptions!$G25)&lt;=S$8
                        ),
                        AND(
                          ISNUMBER(MATCH(MONTH(S$8),IF(Assumptions!$H25="Jan / Apr / Jul / Oct",{1,4,7,10},IF(Assumptions!$H25="Feb / May / Aug / Nov",{2,5,8,11},{3,6,9,12})),0)),
                          DATE(YEAR(S$8),MONTH(S$8),Assumptions!$G25)&gt;=S$7,
                          DATE(YEAR(S$8),MONTH(S$8),Assumptions!$G25)&lt;=S$8
                        )
                      ),
                    "Yes","No"),
                  "No")
                )
              )
            )
          )
        )
      )
    )
  )
)</f>
        <v>No</v>
      </c>
      <c r="T13" s="59" t="s">
        <v>124</v>
      </c>
    </row>
    <row r="14" spans="1:21" hidden="1" outlineLevel="1" x14ac:dyDescent="0.25">
      <c r="C14" s="58">
        <f>Assumptions!D26</f>
        <v>0</v>
      </c>
      <c r="D14" s="58"/>
      <c r="E14" s="58"/>
      <c r="F14" s="58"/>
      <c r="G14" s="59" t="str">
        <f>IF(
  Assumptions!$K26="Off",
  "No",
  IF(
    Assumptions!$F26="I will phase manually",
    "No",
    IF(
      Assumptions!$F26="Last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Assumptions!$F26="End of month",
        IF(
          OR(
            AND(EOMONTH(G$7,0)&gt;=G$7, EOMONTH(G$7,0)&lt;=G$8),
            AND(EOMONTH(G$8,0)&gt;=G$7, EOMONTH(G$8,0)&lt;=G$8)
          ),
        "Yes","No"),
        IF(
          Assumptions!$F26="Specific day of month",
          IF(
            OR(
              AND(DATE(YEAR(G$7),MONTH(G$7),Assumptions!$G26)&gt;=G$7, DATE(YEAR(G$7),MONTH(G$7),Assumptions!$G26)&lt;=G$8),
              AND(DATE(YEAR(G$8),MONTH(G$8),Assumptions!$G26)&gt;=G$7, DATE(YEAR(G$8),MONTH(G$8),Assumptions!$G26)&lt;=G$8)
            ),
          "Yes","No"),
          IF(
            Assumptions!$F26="Last X day of month",
            IF(
              AND(
                WEEKDAY(G$7,2)&lt;=MATCH(Assumptions!$J26,{"Monday","Tuesday","Wednesday","Thursday","Friday"},0),
                WEEKDAY(G$8,2)&gt;=MATCH(Assumptions!$J26,{"Monday","Tuesday","Wednesday","Thursday","Friday"},0),
                (G$7+(MATCH(Assumptions!$J26,{"Monday","Tuesday","Wednesday","Thursday","Friday"},0)-WEEKDAY(G$7,2)))+7&gt;EOMONTH((G$7+(MATCH(Assumptions!$J26,{"Monday","Tuesday","Wednesday","Thursday","Friday"},0)-WEEKDAY(G$7,2))),0)
              ),
            "Yes","No"),
            IF(
              Assumptions!$F26="Weekly",
              IF(
                AND(
                  WEEKDAY(G$7,2)&lt;=MATCH(Assumptions!$J26,{"Monday","Tuesday","Wednesday","Thursday","Friday"},0),
                  WEEKDAY(G$8,2)&gt;=MATCH(Assumptions!$J26,{"Monday","Tuesday","Wednesday","Thursday","Friday"},0)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AND(Assumptions!$I26&gt;=G$7, Assumptions!$I26&lt;=G$8),
                    AND(
                      Assumptions!$I26&lt;G$7,
                      MOD(INT((G$7-(Assumptions!$I26-WEEKDAY(Assumptions!$I26,2)+1))/7),2)=0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AND(Assumptions!$I26&gt;=G$7, Assumptions!$I26&lt;=G$8),
                      AND(
                        Assumptions!$I26&lt;G$7,
                        MOD(INT((G$7-(Assumptions!$I26-WEEKDAY(Assumptions!$I26,2)+1))/7),3)=0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ISNUMBER(MATCH(MONTH(G$7),IF(Assumptions!$H26="Jan / Apr / Jul / Oct",{1,4,7,10},IF(Assumptions!$H26="Feb / May / Aug / Nov",{2,5,8,11},{3,6,9,12})),0)),
                          DATE(YEAR(G$7),MONTH(G$7),Assumptions!$G26)&gt;=G$7,
                          DATE(YEAR(G$7),MONTH(G$7),Assumptions!$G26)&lt;=G$8
                        ),
                        AND(
                          ISNUMBER(MATCH(MONTH(G$8),IF(Assumptions!$H26="Jan / Apr / Jul / Oct",{1,4,7,10},IF(Assumptions!$H26="Feb / May / Aug / Nov",{2,5,8,11},{3,6,9,12})),0)),
                          DATE(YEAR(G$8),MONTH(G$8),Assumptions!$G26)&gt;=G$7,
                          DATE(YEAR(G$8),MONTH(G$8),Assumptions!$G26)&lt;=G$8
                        )
                      ),
                    "Yes","No"),
                  "No")
                )
              )
            )
          )
        )
      )
    )
  )
)</f>
        <v>No</v>
      </c>
      <c r="H14" s="59" t="str">
        <f>IF(
  Assumptions!$K26="Off",
  "No",
  IF(
    Assumptions!$F26="I will phase manually",
    "No",
    IF(
      Assumptions!$F26="Last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Assumptions!$F26="End of month",
        IF(
          OR(
            AND(EOMONTH(H$7,0)&gt;=H$7, EOMONTH(H$7,0)&lt;=H$8),
            AND(EOMONTH(H$8,0)&gt;=H$7, EOMONTH(H$8,0)&lt;=H$8)
          ),
        "Yes","No"),
        IF(
          Assumptions!$F26="Specific day of month",
          IF(
            OR(
              AND(DATE(YEAR(H$7),MONTH(H$7),Assumptions!$G26)&gt;=H$7, DATE(YEAR(H$7),MONTH(H$7),Assumptions!$G26)&lt;=H$8),
              AND(DATE(YEAR(H$8),MONTH(H$8),Assumptions!$G26)&gt;=H$7, DATE(YEAR(H$8),MONTH(H$8),Assumptions!$G26)&lt;=H$8)
            ),
          "Yes","No"),
          IF(
            Assumptions!$F26="Last X day of month",
            IF(
              AND(
                WEEKDAY(H$7,2)&lt;=MATCH(Assumptions!$J26,{"Monday","Tuesday","Wednesday","Thursday","Friday"},0),
                WEEKDAY(H$8,2)&gt;=MATCH(Assumptions!$J26,{"Monday","Tuesday","Wednesday","Thursday","Friday"},0),
                (H$7+(MATCH(Assumptions!$J26,{"Monday","Tuesday","Wednesday","Thursday","Friday"},0)-WEEKDAY(H$7,2)))+7&gt;EOMONTH((H$7+(MATCH(Assumptions!$J26,{"Monday","Tuesday","Wednesday","Thursday","Friday"},0)-WEEKDAY(H$7,2))),0)
              ),
            "Yes","No"),
            IF(
              Assumptions!$F26="Weekly",
              IF(
                AND(
                  WEEKDAY(H$7,2)&lt;=MATCH(Assumptions!$J26,{"Monday","Tuesday","Wednesday","Thursday","Friday"},0),
                  WEEKDAY(H$8,2)&gt;=MATCH(Assumptions!$J26,{"Monday","Tuesday","Wednesday","Thursday","Friday"},0)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AND(Assumptions!$I26&gt;=H$7, Assumptions!$I26&lt;=H$8),
                    AND(
                      Assumptions!$I26&lt;H$7,
                      MOD(INT((H$7-(Assumptions!$I26-WEEKDAY(Assumptions!$I26,2)+1))/7),2)=0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AND(Assumptions!$I26&gt;=H$7, Assumptions!$I26&lt;=H$8),
                      AND(
                        Assumptions!$I26&lt;H$7,
                        MOD(INT((H$7-(Assumptions!$I26-WEEKDAY(Assumptions!$I26,2)+1))/7),3)=0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ISNUMBER(MATCH(MONTH(H$7),IF(Assumptions!$H26="Jan / Apr / Jul / Oct",{1,4,7,10},IF(Assumptions!$H26="Feb / May / Aug / Nov",{2,5,8,11},{3,6,9,12})),0)),
                          DATE(YEAR(H$7),MONTH(H$7),Assumptions!$G26)&gt;=H$7,
                          DATE(YEAR(H$7),MONTH(H$7),Assumptions!$G26)&lt;=H$8
                        ),
                        AND(
                          ISNUMBER(MATCH(MONTH(H$8),IF(Assumptions!$H26="Jan / Apr / Jul / Oct",{1,4,7,10},IF(Assumptions!$H26="Feb / May / Aug / Nov",{2,5,8,11},{3,6,9,12})),0)),
                          DATE(YEAR(H$8),MONTH(H$8),Assumptions!$G26)&gt;=H$7,
                          DATE(YEAR(H$8),MONTH(H$8),Assumptions!$G26)&lt;=H$8
                        )
                      ),
                    "Yes","No"),
                  "No")
                )
              )
            )
          )
        )
      )
    )
  )
)</f>
        <v>No</v>
      </c>
      <c r="I14" s="59" t="str">
        <f>IF(
  Assumptions!$K26="Off",
  "No",
  IF(
    Assumptions!$F26="I will phase manually",
    "No",
    IF(
      Assumptions!$F26="Last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Assumptions!$F26="End of month",
        IF(
          OR(
            AND(EOMONTH(I$7,0)&gt;=I$7, EOMONTH(I$7,0)&lt;=I$8),
            AND(EOMONTH(I$8,0)&gt;=I$7, EOMONTH(I$8,0)&lt;=I$8)
          ),
        "Yes","No"),
        IF(
          Assumptions!$F26="Specific day of month",
          IF(
            OR(
              AND(DATE(YEAR(I$7),MONTH(I$7),Assumptions!$G26)&gt;=I$7, DATE(YEAR(I$7),MONTH(I$7),Assumptions!$G26)&lt;=I$8),
              AND(DATE(YEAR(I$8),MONTH(I$8),Assumptions!$G26)&gt;=I$7, DATE(YEAR(I$8),MONTH(I$8),Assumptions!$G26)&lt;=I$8)
            ),
          "Yes","No"),
          IF(
            Assumptions!$F26="Last X day of month",
            IF(
              AND(
                WEEKDAY(I$7,2)&lt;=MATCH(Assumptions!$J26,{"Monday","Tuesday","Wednesday","Thursday","Friday"},0),
                WEEKDAY(I$8,2)&gt;=MATCH(Assumptions!$J26,{"Monday","Tuesday","Wednesday","Thursday","Friday"},0),
                (I$7+(MATCH(Assumptions!$J26,{"Monday","Tuesday","Wednesday","Thursday","Friday"},0)-WEEKDAY(I$7,2)))+7&gt;EOMONTH((I$7+(MATCH(Assumptions!$J26,{"Monday","Tuesday","Wednesday","Thursday","Friday"},0)-WEEKDAY(I$7,2))),0)
              ),
            "Yes","No"),
            IF(
              Assumptions!$F26="Weekly",
              IF(
                AND(
                  WEEKDAY(I$7,2)&lt;=MATCH(Assumptions!$J26,{"Monday","Tuesday","Wednesday","Thursday","Friday"},0),
                  WEEKDAY(I$8,2)&gt;=MATCH(Assumptions!$J26,{"Monday","Tuesday","Wednesday","Thursday","Friday"},0)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AND(Assumptions!$I26&gt;=I$7, Assumptions!$I26&lt;=I$8),
                    AND(
                      Assumptions!$I26&lt;I$7,
                      MOD(INT((I$7-(Assumptions!$I26-WEEKDAY(Assumptions!$I26,2)+1))/7),2)=0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AND(Assumptions!$I26&gt;=I$7, Assumptions!$I26&lt;=I$8),
                      AND(
                        Assumptions!$I26&lt;I$7,
                        MOD(INT((I$7-(Assumptions!$I26-WEEKDAY(Assumptions!$I26,2)+1))/7),3)=0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ISNUMBER(MATCH(MONTH(I$7),IF(Assumptions!$H26="Jan / Apr / Jul / Oct",{1,4,7,10},IF(Assumptions!$H26="Feb / May / Aug / Nov",{2,5,8,11},{3,6,9,12})),0)),
                          DATE(YEAR(I$7),MONTH(I$7),Assumptions!$G26)&gt;=I$7,
                          DATE(YEAR(I$7),MONTH(I$7),Assumptions!$G26)&lt;=I$8
                        ),
                        AND(
                          ISNUMBER(MATCH(MONTH(I$8),IF(Assumptions!$H26="Jan / Apr / Jul / Oct",{1,4,7,10},IF(Assumptions!$H26="Feb / May / Aug / Nov",{2,5,8,11},{3,6,9,12})),0)),
                          DATE(YEAR(I$8),MONTH(I$8),Assumptions!$G26)&gt;=I$7,
                          DATE(YEAR(I$8),MONTH(I$8),Assumptions!$G26)&lt;=I$8
                        )
                      ),
                    "Yes","No"),
                  "No")
                )
              )
            )
          )
        )
      )
    )
  )
)</f>
        <v>No</v>
      </c>
      <c r="J14" s="59" t="str">
        <f>IF(
  Assumptions!$K26="Off",
  "No",
  IF(
    Assumptions!$F26="I will phase manually",
    "No",
    IF(
      Assumptions!$F26="Last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Assumptions!$F26="End of month",
        IF(
          OR(
            AND(EOMONTH(J$7,0)&gt;=J$7, EOMONTH(J$7,0)&lt;=J$8),
            AND(EOMONTH(J$8,0)&gt;=J$7, EOMONTH(J$8,0)&lt;=J$8)
          ),
        "Yes","No"),
        IF(
          Assumptions!$F26="Specific day of month",
          IF(
            OR(
              AND(DATE(YEAR(J$7),MONTH(J$7),Assumptions!$G26)&gt;=J$7, DATE(YEAR(J$7),MONTH(J$7),Assumptions!$G26)&lt;=J$8),
              AND(DATE(YEAR(J$8),MONTH(J$8),Assumptions!$G26)&gt;=J$7, DATE(YEAR(J$8),MONTH(J$8),Assumptions!$G26)&lt;=J$8)
            ),
          "Yes","No"),
          IF(
            Assumptions!$F26="Last X day of month",
            IF(
              AND(
                WEEKDAY(J$7,2)&lt;=MATCH(Assumptions!$J26,{"Monday","Tuesday","Wednesday","Thursday","Friday"},0),
                WEEKDAY(J$8,2)&gt;=MATCH(Assumptions!$J26,{"Monday","Tuesday","Wednesday","Thursday","Friday"},0),
                (J$7+(MATCH(Assumptions!$J26,{"Monday","Tuesday","Wednesday","Thursday","Friday"},0)-WEEKDAY(J$7,2)))+7&gt;EOMONTH((J$7+(MATCH(Assumptions!$J26,{"Monday","Tuesday","Wednesday","Thursday","Friday"},0)-WEEKDAY(J$7,2))),0)
              ),
            "Yes","No"),
            IF(
              Assumptions!$F26="Weekly",
              IF(
                AND(
                  WEEKDAY(J$7,2)&lt;=MATCH(Assumptions!$J26,{"Monday","Tuesday","Wednesday","Thursday","Friday"},0),
                  WEEKDAY(J$8,2)&gt;=MATCH(Assumptions!$J26,{"Monday","Tuesday","Wednesday","Thursday","Friday"},0)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AND(Assumptions!$I26&gt;=J$7, Assumptions!$I26&lt;=J$8),
                    AND(
                      Assumptions!$I26&lt;J$7,
                      MOD(INT((J$7-(Assumptions!$I26-WEEKDAY(Assumptions!$I26,2)+1))/7),2)=0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AND(Assumptions!$I26&gt;=J$7, Assumptions!$I26&lt;=J$8),
                      AND(
                        Assumptions!$I26&lt;J$7,
                        MOD(INT((J$7-(Assumptions!$I26-WEEKDAY(Assumptions!$I26,2)+1))/7),3)=0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ISNUMBER(MATCH(MONTH(J$7),IF(Assumptions!$H26="Jan / Apr / Jul / Oct",{1,4,7,10},IF(Assumptions!$H26="Feb / May / Aug / Nov",{2,5,8,11},{3,6,9,12})),0)),
                          DATE(YEAR(J$7),MONTH(J$7),Assumptions!$G26)&gt;=J$7,
                          DATE(YEAR(J$7),MONTH(J$7),Assumptions!$G26)&lt;=J$8
                        ),
                        AND(
                          ISNUMBER(MATCH(MONTH(J$8),IF(Assumptions!$H26="Jan / Apr / Jul / Oct",{1,4,7,10},IF(Assumptions!$H26="Feb / May / Aug / Nov",{2,5,8,11},{3,6,9,12})),0)),
                          DATE(YEAR(J$8),MONTH(J$8),Assumptions!$G26)&gt;=J$7,
                          DATE(YEAR(J$8),MONTH(J$8),Assumptions!$G26)&lt;=J$8
                        )
                      ),
                    "Yes","No"),
                  "No")
                )
              )
            )
          )
        )
      )
    )
  )
)</f>
        <v>No</v>
      </c>
      <c r="K14" s="59" t="str">
        <f>IF(
  Assumptions!$K26="Off",
  "No",
  IF(
    Assumptions!$F26="I will phase manually",
    "No",
    IF(
      Assumptions!$F26="Last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Assumptions!$F26="End of month",
        IF(
          OR(
            AND(EOMONTH(K$7,0)&gt;=K$7, EOMONTH(K$7,0)&lt;=K$8),
            AND(EOMONTH(K$8,0)&gt;=K$7, EOMONTH(K$8,0)&lt;=K$8)
          ),
        "Yes","No"),
        IF(
          Assumptions!$F26="Specific day of month",
          IF(
            OR(
              AND(DATE(YEAR(K$7),MONTH(K$7),Assumptions!$G26)&gt;=K$7, DATE(YEAR(K$7),MONTH(K$7),Assumptions!$G26)&lt;=K$8),
              AND(DATE(YEAR(K$8),MONTH(K$8),Assumptions!$G26)&gt;=K$7, DATE(YEAR(K$8),MONTH(K$8),Assumptions!$G26)&lt;=K$8)
            ),
          "Yes","No"),
          IF(
            Assumptions!$F26="Last X day of month",
            IF(
              AND(
                WEEKDAY(K$7,2)&lt;=MATCH(Assumptions!$J26,{"Monday","Tuesday","Wednesday","Thursday","Friday"},0),
                WEEKDAY(K$8,2)&gt;=MATCH(Assumptions!$J26,{"Monday","Tuesday","Wednesday","Thursday","Friday"},0),
                (K$7+(MATCH(Assumptions!$J26,{"Monday","Tuesday","Wednesday","Thursday","Friday"},0)-WEEKDAY(K$7,2)))+7&gt;EOMONTH((K$7+(MATCH(Assumptions!$J26,{"Monday","Tuesday","Wednesday","Thursday","Friday"},0)-WEEKDAY(K$7,2))),0)
              ),
            "Yes","No"),
            IF(
              Assumptions!$F26="Weekly",
              IF(
                AND(
                  WEEKDAY(K$7,2)&lt;=MATCH(Assumptions!$J26,{"Monday","Tuesday","Wednesday","Thursday","Friday"},0),
                  WEEKDAY(K$8,2)&gt;=MATCH(Assumptions!$J26,{"Monday","Tuesday","Wednesday","Thursday","Friday"},0)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AND(Assumptions!$I26&gt;=K$7, Assumptions!$I26&lt;=K$8),
                    AND(
                      Assumptions!$I26&lt;K$7,
                      MOD(INT((K$7-(Assumptions!$I26-WEEKDAY(Assumptions!$I26,2)+1))/7),2)=0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AND(Assumptions!$I26&gt;=K$7, Assumptions!$I26&lt;=K$8),
                      AND(
                        Assumptions!$I26&lt;K$7,
                        MOD(INT((K$7-(Assumptions!$I26-WEEKDAY(Assumptions!$I26,2)+1))/7),3)=0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ISNUMBER(MATCH(MONTH(K$7),IF(Assumptions!$H26="Jan / Apr / Jul / Oct",{1,4,7,10},IF(Assumptions!$H26="Feb / May / Aug / Nov",{2,5,8,11},{3,6,9,12})),0)),
                          DATE(YEAR(K$7),MONTH(K$7),Assumptions!$G26)&gt;=K$7,
                          DATE(YEAR(K$7),MONTH(K$7),Assumptions!$G26)&lt;=K$8
                        ),
                        AND(
                          ISNUMBER(MATCH(MONTH(K$8),IF(Assumptions!$H26="Jan / Apr / Jul / Oct",{1,4,7,10},IF(Assumptions!$H26="Feb / May / Aug / Nov",{2,5,8,11},{3,6,9,12})),0)),
                          DATE(YEAR(K$8),MONTH(K$8),Assumptions!$G26)&gt;=K$7,
                          DATE(YEAR(K$8),MONTH(K$8),Assumptions!$G26)&lt;=K$8
                        )
                      ),
                    "Yes","No"),
                  "No")
                )
              )
            )
          )
        )
      )
    )
  )
)</f>
        <v>No</v>
      </c>
      <c r="L14" s="59" t="str">
        <f>IF(
  Assumptions!$K26="Off",
  "No",
  IF(
    Assumptions!$F26="I will phase manually",
    "No",
    IF(
      Assumptions!$F26="Last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Assumptions!$F26="End of month",
        IF(
          OR(
            AND(EOMONTH(L$7,0)&gt;=L$7, EOMONTH(L$7,0)&lt;=L$8),
            AND(EOMONTH(L$8,0)&gt;=L$7, EOMONTH(L$8,0)&lt;=L$8)
          ),
        "Yes","No"),
        IF(
          Assumptions!$F26="Specific day of month",
          IF(
            OR(
              AND(DATE(YEAR(L$7),MONTH(L$7),Assumptions!$G26)&gt;=L$7, DATE(YEAR(L$7),MONTH(L$7),Assumptions!$G26)&lt;=L$8),
              AND(DATE(YEAR(L$8),MONTH(L$8),Assumptions!$G26)&gt;=L$7, DATE(YEAR(L$8),MONTH(L$8),Assumptions!$G26)&lt;=L$8)
            ),
          "Yes","No"),
          IF(
            Assumptions!$F26="Last X day of month",
            IF(
              AND(
                WEEKDAY(L$7,2)&lt;=MATCH(Assumptions!$J26,{"Monday","Tuesday","Wednesday","Thursday","Friday"},0),
                WEEKDAY(L$8,2)&gt;=MATCH(Assumptions!$J26,{"Monday","Tuesday","Wednesday","Thursday","Friday"},0),
                (L$7+(MATCH(Assumptions!$J26,{"Monday","Tuesday","Wednesday","Thursday","Friday"},0)-WEEKDAY(L$7,2)))+7&gt;EOMONTH((L$7+(MATCH(Assumptions!$J26,{"Monday","Tuesday","Wednesday","Thursday","Friday"},0)-WEEKDAY(L$7,2))),0)
              ),
            "Yes","No"),
            IF(
              Assumptions!$F26="Weekly",
              IF(
                AND(
                  WEEKDAY(L$7,2)&lt;=MATCH(Assumptions!$J26,{"Monday","Tuesday","Wednesday","Thursday","Friday"},0),
                  WEEKDAY(L$8,2)&gt;=MATCH(Assumptions!$J26,{"Monday","Tuesday","Wednesday","Thursday","Friday"},0)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AND(Assumptions!$I26&gt;=L$7, Assumptions!$I26&lt;=L$8),
                    AND(
                      Assumptions!$I26&lt;L$7,
                      MOD(INT((L$7-(Assumptions!$I26-WEEKDAY(Assumptions!$I26,2)+1))/7),2)=0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AND(Assumptions!$I26&gt;=L$7, Assumptions!$I26&lt;=L$8),
                      AND(
                        Assumptions!$I26&lt;L$7,
                        MOD(INT((L$7-(Assumptions!$I26-WEEKDAY(Assumptions!$I26,2)+1))/7),3)=0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ISNUMBER(MATCH(MONTH(L$7),IF(Assumptions!$H26="Jan / Apr / Jul / Oct",{1,4,7,10},IF(Assumptions!$H26="Feb / May / Aug / Nov",{2,5,8,11},{3,6,9,12})),0)),
                          DATE(YEAR(L$7),MONTH(L$7),Assumptions!$G26)&gt;=L$7,
                          DATE(YEAR(L$7),MONTH(L$7),Assumptions!$G26)&lt;=L$8
                        ),
                        AND(
                          ISNUMBER(MATCH(MONTH(L$8),IF(Assumptions!$H26="Jan / Apr / Jul / Oct",{1,4,7,10},IF(Assumptions!$H26="Feb / May / Aug / Nov",{2,5,8,11},{3,6,9,12})),0)),
                          DATE(YEAR(L$8),MONTH(L$8),Assumptions!$G26)&gt;=L$7,
                          DATE(YEAR(L$8),MONTH(L$8),Assumptions!$G26)&lt;=L$8
                        )
                      ),
                    "Yes","No"),
                  "No")
                )
              )
            )
          )
        )
      )
    )
  )
)</f>
        <v>No</v>
      </c>
      <c r="M14" s="59" t="str">
        <f>IF(
  Assumptions!$K26="Off",
  "No",
  IF(
    Assumptions!$F26="I will phase manually",
    "No",
    IF(
      Assumptions!$F26="Last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Assumptions!$F26="End of month",
        IF(
          OR(
            AND(EOMONTH(M$7,0)&gt;=M$7, EOMONTH(M$7,0)&lt;=M$8),
            AND(EOMONTH(M$8,0)&gt;=M$7, EOMONTH(M$8,0)&lt;=M$8)
          ),
        "Yes","No"),
        IF(
          Assumptions!$F26="Specific day of month",
          IF(
            OR(
              AND(DATE(YEAR(M$7),MONTH(M$7),Assumptions!$G26)&gt;=M$7, DATE(YEAR(M$7),MONTH(M$7),Assumptions!$G26)&lt;=M$8),
              AND(DATE(YEAR(M$8),MONTH(M$8),Assumptions!$G26)&gt;=M$7, DATE(YEAR(M$8),MONTH(M$8),Assumptions!$G26)&lt;=M$8)
            ),
          "Yes","No"),
          IF(
            Assumptions!$F26="Last X day of month",
            IF(
              AND(
                WEEKDAY(M$7,2)&lt;=MATCH(Assumptions!$J26,{"Monday","Tuesday","Wednesday","Thursday","Friday"},0),
                WEEKDAY(M$8,2)&gt;=MATCH(Assumptions!$J26,{"Monday","Tuesday","Wednesday","Thursday","Friday"},0),
                (M$7+(MATCH(Assumptions!$J26,{"Monday","Tuesday","Wednesday","Thursday","Friday"},0)-WEEKDAY(M$7,2)))+7&gt;EOMONTH((M$7+(MATCH(Assumptions!$J26,{"Monday","Tuesday","Wednesday","Thursday","Friday"},0)-WEEKDAY(M$7,2))),0)
              ),
            "Yes","No"),
            IF(
              Assumptions!$F26="Weekly",
              IF(
                AND(
                  WEEKDAY(M$7,2)&lt;=MATCH(Assumptions!$J26,{"Monday","Tuesday","Wednesday","Thursday","Friday"},0),
                  WEEKDAY(M$8,2)&gt;=MATCH(Assumptions!$J26,{"Monday","Tuesday","Wednesday","Thursday","Friday"},0)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AND(Assumptions!$I26&gt;=M$7, Assumptions!$I26&lt;=M$8),
                    AND(
                      Assumptions!$I26&lt;M$7,
                      MOD(INT((M$7-(Assumptions!$I26-WEEKDAY(Assumptions!$I26,2)+1))/7),2)=0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AND(Assumptions!$I26&gt;=M$7, Assumptions!$I26&lt;=M$8),
                      AND(
                        Assumptions!$I26&lt;M$7,
                        MOD(INT((M$7-(Assumptions!$I26-WEEKDAY(Assumptions!$I26,2)+1))/7),3)=0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ISNUMBER(MATCH(MONTH(M$7),IF(Assumptions!$H26="Jan / Apr / Jul / Oct",{1,4,7,10},IF(Assumptions!$H26="Feb / May / Aug / Nov",{2,5,8,11},{3,6,9,12})),0)),
                          DATE(YEAR(M$7),MONTH(M$7),Assumptions!$G26)&gt;=M$7,
                          DATE(YEAR(M$7),MONTH(M$7),Assumptions!$G26)&lt;=M$8
                        ),
                        AND(
                          ISNUMBER(MATCH(MONTH(M$8),IF(Assumptions!$H26="Jan / Apr / Jul / Oct",{1,4,7,10},IF(Assumptions!$H26="Feb / May / Aug / Nov",{2,5,8,11},{3,6,9,12})),0)),
                          DATE(YEAR(M$8),MONTH(M$8),Assumptions!$G26)&gt;=M$7,
                          DATE(YEAR(M$8),MONTH(M$8),Assumptions!$G26)&lt;=M$8
                        )
                      ),
                    "Yes","No"),
                  "No")
                )
              )
            )
          )
        )
      )
    )
  )
)</f>
        <v>No</v>
      </c>
      <c r="N14" s="59" t="str">
        <f>IF(
  Assumptions!$K26="Off",
  "No",
  IF(
    Assumptions!$F26="I will phase manually",
    "No",
    IF(
      Assumptions!$F26="Last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Assumptions!$F26="End of month",
        IF(
          OR(
            AND(EOMONTH(N$7,0)&gt;=N$7, EOMONTH(N$7,0)&lt;=N$8),
            AND(EOMONTH(N$8,0)&gt;=N$7, EOMONTH(N$8,0)&lt;=N$8)
          ),
        "Yes","No"),
        IF(
          Assumptions!$F26="Specific day of month",
          IF(
            OR(
              AND(DATE(YEAR(N$7),MONTH(N$7),Assumptions!$G26)&gt;=N$7, DATE(YEAR(N$7),MONTH(N$7),Assumptions!$G26)&lt;=N$8),
              AND(DATE(YEAR(N$8),MONTH(N$8),Assumptions!$G26)&gt;=N$7, DATE(YEAR(N$8),MONTH(N$8),Assumptions!$G26)&lt;=N$8)
            ),
          "Yes","No"),
          IF(
            Assumptions!$F26="Last X day of month",
            IF(
              AND(
                WEEKDAY(N$7,2)&lt;=MATCH(Assumptions!$J26,{"Monday","Tuesday","Wednesday","Thursday","Friday"},0),
                WEEKDAY(N$8,2)&gt;=MATCH(Assumptions!$J26,{"Monday","Tuesday","Wednesday","Thursday","Friday"},0),
                (N$7+(MATCH(Assumptions!$J26,{"Monday","Tuesday","Wednesday","Thursday","Friday"},0)-WEEKDAY(N$7,2)))+7&gt;EOMONTH((N$7+(MATCH(Assumptions!$J26,{"Monday","Tuesday","Wednesday","Thursday","Friday"},0)-WEEKDAY(N$7,2))),0)
              ),
            "Yes","No"),
            IF(
              Assumptions!$F26="Weekly",
              IF(
                AND(
                  WEEKDAY(N$7,2)&lt;=MATCH(Assumptions!$J26,{"Monday","Tuesday","Wednesday","Thursday","Friday"},0),
                  WEEKDAY(N$8,2)&gt;=MATCH(Assumptions!$J26,{"Monday","Tuesday","Wednesday","Thursday","Friday"},0)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AND(Assumptions!$I26&gt;=N$7, Assumptions!$I26&lt;=N$8),
                    AND(
                      Assumptions!$I26&lt;N$7,
                      MOD(INT((N$7-(Assumptions!$I26-WEEKDAY(Assumptions!$I26,2)+1))/7),2)=0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AND(Assumptions!$I26&gt;=N$7, Assumptions!$I26&lt;=N$8),
                      AND(
                        Assumptions!$I26&lt;N$7,
                        MOD(INT((N$7-(Assumptions!$I26-WEEKDAY(Assumptions!$I26,2)+1))/7),3)=0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ISNUMBER(MATCH(MONTH(N$7),IF(Assumptions!$H26="Jan / Apr / Jul / Oct",{1,4,7,10},IF(Assumptions!$H26="Feb / May / Aug / Nov",{2,5,8,11},{3,6,9,12})),0)),
                          DATE(YEAR(N$7),MONTH(N$7),Assumptions!$G26)&gt;=N$7,
                          DATE(YEAR(N$7),MONTH(N$7),Assumptions!$G26)&lt;=N$8
                        ),
                        AND(
                          ISNUMBER(MATCH(MONTH(N$8),IF(Assumptions!$H26="Jan / Apr / Jul / Oct",{1,4,7,10},IF(Assumptions!$H26="Feb / May / Aug / Nov",{2,5,8,11},{3,6,9,12})),0)),
                          DATE(YEAR(N$8),MONTH(N$8),Assumptions!$G26)&gt;=N$7,
                          DATE(YEAR(N$8),MONTH(N$8),Assumptions!$G26)&lt;=N$8
                        )
                      ),
                    "Yes","No"),
                  "No")
                )
              )
            )
          )
        )
      )
    )
  )
)</f>
        <v>No</v>
      </c>
      <c r="O14" s="59" t="str">
        <f>IF(
  Assumptions!$K26="Off",
  "No",
  IF(
    Assumptions!$F26="I will phase manually",
    "No",
    IF(
      Assumptions!$F26="Last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Assumptions!$F26="End of month",
        IF(
          OR(
            AND(EOMONTH(O$7,0)&gt;=O$7, EOMONTH(O$7,0)&lt;=O$8),
            AND(EOMONTH(O$8,0)&gt;=O$7, EOMONTH(O$8,0)&lt;=O$8)
          ),
        "Yes","No"),
        IF(
          Assumptions!$F26="Specific day of month",
          IF(
            OR(
              AND(DATE(YEAR(O$7),MONTH(O$7),Assumptions!$G26)&gt;=O$7, DATE(YEAR(O$7),MONTH(O$7),Assumptions!$G26)&lt;=O$8),
              AND(DATE(YEAR(O$8),MONTH(O$8),Assumptions!$G26)&gt;=O$7, DATE(YEAR(O$8),MONTH(O$8),Assumptions!$G26)&lt;=O$8)
            ),
          "Yes","No"),
          IF(
            Assumptions!$F26="Last X day of month",
            IF(
              AND(
                WEEKDAY(O$7,2)&lt;=MATCH(Assumptions!$J26,{"Monday","Tuesday","Wednesday","Thursday","Friday"},0),
                WEEKDAY(O$8,2)&gt;=MATCH(Assumptions!$J26,{"Monday","Tuesday","Wednesday","Thursday","Friday"},0),
                (O$7+(MATCH(Assumptions!$J26,{"Monday","Tuesday","Wednesday","Thursday","Friday"},0)-WEEKDAY(O$7,2)))+7&gt;EOMONTH((O$7+(MATCH(Assumptions!$J26,{"Monday","Tuesday","Wednesday","Thursday","Friday"},0)-WEEKDAY(O$7,2))),0)
              ),
            "Yes","No"),
            IF(
              Assumptions!$F26="Weekly",
              IF(
                AND(
                  WEEKDAY(O$7,2)&lt;=MATCH(Assumptions!$J26,{"Monday","Tuesday","Wednesday","Thursday","Friday"},0),
                  WEEKDAY(O$8,2)&gt;=MATCH(Assumptions!$J26,{"Monday","Tuesday","Wednesday","Thursday","Friday"},0)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AND(Assumptions!$I26&gt;=O$7, Assumptions!$I26&lt;=O$8),
                    AND(
                      Assumptions!$I26&lt;O$7,
                      MOD(INT((O$7-(Assumptions!$I26-WEEKDAY(Assumptions!$I26,2)+1))/7),2)=0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AND(Assumptions!$I26&gt;=O$7, Assumptions!$I26&lt;=O$8),
                      AND(
                        Assumptions!$I26&lt;O$7,
                        MOD(INT((O$7-(Assumptions!$I26-WEEKDAY(Assumptions!$I26,2)+1))/7),3)=0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ISNUMBER(MATCH(MONTH(O$7),IF(Assumptions!$H26="Jan / Apr / Jul / Oct",{1,4,7,10},IF(Assumptions!$H26="Feb / May / Aug / Nov",{2,5,8,11},{3,6,9,12})),0)),
                          DATE(YEAR(O$7),MONTH(O$7),Assumptions!$G26)&gt;=O$7,
                          DATE(YEAR(O$7),MONTH(O$7),Assumptions!$G26)&lt;=O$8
                        ),
                        AND(
                          ISNUMBER(MATCH(MONTH(O$8),IF(Assumptions!$H26="Jan / Apr / Jul / Oct",{1,4,7,10},IF(Assumptions!$H26="Feb / May / Aug / Nov",{2,5,8,11},{3,6,9,12})),0)),
                          DATE(YEAR(O$8),MONTH(O$8),Assumptions!$G26)&gt;=O$7,
                          DATE(YEAR(O$8),MONTH(O$8),Assumptions!$G26)&lt;=O$8
                        )
                      ),
                    "Yes","No"),
                  "No")
                )
              )
            )
          )
        )
      )
    )
  )
)</f>
        <v>No</v>
      </c>
      <c r="P14" s="59" t="str">
        <f>IF(
  Assumptions!$K26="Off",
  "No",
  IF(
    Assumptions!$F26="I will phase manually",
    "No",
    IF(
      Assumptions!$F26="Last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Assumptions!$F26="End of month",
        IF(
          OR(
            AND(EOMONTH(P$7,0)&gt;=P$7, EOMONTH(P$7,0)&lt;=P$8),
            AND(EOMONTH(P$8,0)&gt;=P$7, EOMONTH(P$8,0)&lt;=P$8)
          ),
        "Yes","No"),
        IF(
          Assumptions!$F26="Specific day of month",
          IF(
            OR(
              AND(DATE(YEAR(P$7),MONTH(P$7),Assumptions!$G26)&gt;=P$7, DATE(YEAR(P$7),MONTH(P$7),Assumptions!$G26)&lt;=P$8),
              AND(DATE(YEAR(P$8),MONTH(P$8),Assumptions!$G26)&gt;=P$7, DATE(YEAR(P$8),MONTH(P$8),Assumptions!$G26)&lt;=P$8)
            ),
          "Yes","No"),
          IF(
            Assumptions!$F26="Last X day of month",
            IF(
              AND(
                WEEKDAY(P$7,2)&lt;=MATCH(Assumptions!$J26,{"Monday","Tuesday","Wednesday","Thursday","Friday"},0),
                WEEKDAY(P$8,2)&gt;=MATCH(Assumptions!$J26,{"Monday","Tuesday","Wednesday","Thursday","Friday"},0),
                (P$7+(MATCH(Assumptions!$J26,{"Monday","Tuesday","Wednesday","Thursday","Friday"},0)-WEEKDAY(P$7,2)))+7&gt;EOMONTH((P$7+(MATCH(Assumptions!$J26,{"Monday","Tuesday","Wednesday","Thursday","Friday"},0)-WEEKDAY(P$7,2))),0)
              ),
            "Yes","No"),
            IF(
              Assumptions!$F26="Weekly",
              IF(
                AND(
                  WEEKDAY(P$7,2)&lt;=MATCH(Assumptions!$J26,{"Monday","Tuesday","Wednesday","Thursday","Friday"},0),
                  WEEKDAY(P$8,2)&gt;=MATCH(Assumptions!$J26,{"Monday","Tuesday","Wednesday","Thursday","Friday"},0)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AND(Assumptions!$I26&gt;=P$7, Assumptions!$I26&lt;=P$8),
                    AND(
                      Assumptions!$I26&lt;P$7,
                      MOD(INT((P$7-(Assumptions!$I26-WEEKDAY(Assumptions!$I26,2)+1))/7),2)=0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AND(Assumptions!$I26&gt;=P$7, Assumptions!$I26&lt;=P$8),
                      AND(
                        Assumptions!$I26&lt;P$7,
                        MOD(INT((P$7-(Assumptions!$I26-WEEKDAY(Assumptions!$I26,2)+1))/7),3)=0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ISNUMBER(MATCH(MONTH(P$7),IF(Assumptions!$H26="Jan / Apr / Jul / Oct",{1,4,7,10},IF(Assumptions!$H26="Feb / May / Aug / Nov",{2,5,8,11},{3,6,9,12})),0)),
                          DATE(YEAR(P$7),MONTH(P$7),Assumptions!$G26)&gt;=P$7,
                          DATE(YEAR(P$7),MONTH(P$7),Assumptions!$G26)&lt;=P$8
                        ),
                        AND(
                          ISNUMBER(MATCH(MONTH(P$8),IF(Assumptions!$H26="Jan / Apr / Jul / Oct",{1,4,7,10},IF(Assumptions!$H26="Feb / May / Aug / Nov",{2,5,8,11},{3,6,9,12})),0)),
                          DATE(YEAR(P$8),MONTH(P$8),Assumptions!$G26)&gt;=P$7,
                          DATE(YEAR(P$8),MONTH(P$8),Assumptions!$G26)&lt;=P$8
                        )
                      ),
                    "Yes","No"),
                  "No")
                )
              )
            )
          )
        )
      )
    )
  )
)</f>
        <v>No</v>
      </c>
      <c r="Q14" s="59" t="str">
        <f>IF(
  Assumptions!$K26="Off",
  "No",
  IF(
    Assumptions!$F26="I will phase manually",
    "No",
    IF(
      Assumptions!$F26="Last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Assumptions!$F26="End of month",
        IF(
          OR(
            AND(EOMONTH(Q$7,0)&gt;=Q$7, EOMONTH(Q$7,0)&lt;=Q$8),
            AND(EOMONTH(Q$8,0)&gt;=Q$7, EOMONTH(Q$8,0)&lt;=Q$8)
          ),
        "Yes","No"),
        IF(
          Assumptions!$F26="Specific day of month",
          IF(
            OR(
              AND(DATE(YEAR(Q$7),MONTH(Q$7),Assumptions!$G26)&gt;=Q$7, DATE(YEAR(Q$7),MONTH(Q$7),Assumptions!$G26)&lt;=Q$8),
              AND(DATE(YEAR(Q$8),MONTH(Q$8),Assumptions!$G26)&gt;=Q$7, DATE(YEAR(Q$8),MONTH(Q$8),Assumptions!$G26)&lt;=Q$8)
            ),
          "Yes","No"),
          IF(
            Assumptions!$F26="Last X day of month",
            IF(
              AND(
                WEEKDAY(Q$7,2)&lt;=MATCH(Assumptions!$J26,{"Monday","Tuesday","Wednesday","Thursday","Friday"},0),
                WEEKDAY(Q$8,2)&gt;=MATCH(Assumptions!$J26,{"Monday","Tuesday","Wednesday","Thursday","Friday"},0),
                (Q$7+(MATCH(Assumptions!$J26,{"Monday","Tuesday","Wednesday","Thursday","Friday"},0)-WEEKDAY(Q$7,2)))+7&gt;EOMONTH((Q$7+(MATCH(Assumptions!$J26,{"Monday","Tuesday","Wednesday","Thursday","Friday"},0)-WEEKDAY(Q$7,2))),0)
              ),
            "Yes","No"),
            IF(
              Assumptions!$F26="Weekly",
              IF(
                AND(
                  WEEKDAY(Q$7,2)&lt;=MATCH(Assumptions!$J26,{"Monday","Tuesday","Wednesday","Thursday","Friday"},0),
                  WEEKDAY(Q$8,2)&gt;=MATCH(Assumptions!$J26,{"Monday","Tuesday","Wednesday","Thursday","Friday"},0)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AND(Assumptions!$I26&gt;=Q$7, Assumptions!$I26&lt;=Q$8),
                    AND(
                      Assumptions!$I26&lt;Q$7,
                      MOD(INT((Q$7-(Assumptions!$I26-WEEKDAY(Assumptions!$I26,2)+1))/7),2)=0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AND(Assumptions!$I26&gt;=Q$7, Assumptions!$I26&lt;=Q$8),
                      AND(
                        Assumptions!$I26&lt;Q$7,
                        MOD(INT((Q$7-(Assumptions!$I26-WEEKDAY(Assumptions!$I26,2)+1))/7),3)=0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ISNUMBER(MATCH(MONTH(Q$7),IF(Assumptions!$H26="Jan / Apr / Jul / Oct",{1,4,7,10},IF(Assumptions!$H26="Feb / May / Aug / Nov",{2,5,8,11},{3,6,9,12})),0)),
                          DATE(YEAR(Q$7),MONTH(Q$7),Assumptions!$G26)&gt;=Q$7,
                          DATE(YEAR(Q$7),MONTH(Q$7),Assumptions!$G26)&lt;=Q$8
                        ),
                        AND(
                          ISNUMBER(MATCH(MONTH(Q$8),IF(Assumptions!$H26="Jan / Apr / Jul / Oct",{1,4,7,10},IF(Assumptions!$H26="Feb / May / Aug / Nov",{2,5,8,11},{3,6,9,12})),0)),
                          DATE(YEAR(Q$8),MONTH(Q$8),Assumptions!$G26)&gt;=Q$7,
                          DATE(YEAR(Q$8),MONTH(Q$8),Assumptions!$G26)&lt;=Q$8
                        )
                      ),
                    "Yes","No"),
                  "No")
                )
              )
            )
          )
        )
      )
    )
  )
)</f>
        <v>No</v>
      </c>
      <c r="R14" s="59" t="str">
        <f>IF(
  Assumptions!$K26="Off",
  "No",
  IF(
    Assumptions!$F26="I will phase manually",
    "No",
    IF(
      Assumptions!$F26="Last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Assumptions!$F26="End of month",
        IF(
          OR(
            AND(EOMONTH(R$7,0)&gt;=R$7, EOMONTH(R$7,0)&lt;=R$8),
            AND(EOMONTH(R$8,0)&gt;=R$7, EOMONTH(R$8,0)&lt;=R$8)
          ),
        "Yes","No"),
        IF(
          Assumptions!$F26="Specific day of month",
          IF(
            OR(
              AND(DATE(YEAR(R$7),MONTH(R$7),Assumptions!$G26)&gt;=R$7, DATE(YEAR(R$7),MONTH(R$7),Assumptions!$G26)&lt;=R$8),
              AND(DATE(YEAR(R$8),MONTH(R$8),Assumptions!$G26)&gt;=R$7, DATE(YEAR(R$8),MONTH(R$8),Assumptions!$G26)&lt;=R$8)
            ),
          "Yes","No"),
          IF(
            Assumptions!$F26="Last X day of month",
            IF(
              AND(
                WEEKDAY(R$7,2)&lt;=MATCH(Assumptions!$J26,{"Monday","Tuesday","Wednesday","Thursday","Friday"},0),
                WEEKDAY(R$8,2)&gt;=MATCH(Assumptions!$J26,{"Monday","Tuesday","Wednesday","Thursday","Friday"},0),
                (R$7+(MATCH(Assumptions!$J26,{"Monday","Tuesday","Wednesday","Thursday","Friday"},0)-WEEKDAY(R$7,2)))+7&gt;EOMONTH((R$7+(MATCH(Assumptions!$J26,{"Monday","Tuesday","Wednesday","Thursday","Friday"},0)-WEEKDAY(R$7,2))),0)
              ),
            "Yes","No"),
            IF(
              Assumptions!$F26="Weekly",
              IF(
                AND(
                  WEEKDAY(R$7,2)&lt;=MATCH(Assumptions!$J26,{"Monday","Tuesday","Wednesday","Thursday","Friday"},0),
                  WEEKDAY(R$8,2)&gt;=MATCH(Assumptions!$J26,{"Monday","Tuesday","Wednesday","Thursday","Friday"},0)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AND(Assumptions!$I26&gt;=R$7, Assumptions!$I26&lt;=R$8),
                    AND(
                      Assumptions!$I26&lt;R$7,
                      MOD(INT((R$7-(Assumptions!$I26-WEEKDAY(Assumptions!$I26,2)+1))/7),2)=0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AND(Assumptions!$I26&gt;=R$7, Assumptions!$I26&lt;=R$8),
                      AND(
                        Assumptions!$I26&lt;R$7,
                        MOD(INT((R$7-(Assumptions!$I26-WEEKDAY(Assumptions!$I26,2)+1))/7),3)=0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ISNUMBER(MATCH(MONTH(R$7),IF(Assumptions!$H26="Jan / Apr / Jul / Oct",{1,4,7,10},IF(Assumptions!$H26="Feb / May / Aug / Nov",{2,5,8,11},{3,6,9,12})),0)),
                          DATE(YEAR(R$7),MONTH(R$7),Assumptions!$G26)&gt;=R$7,
                          DATE(YEAR(R$7),MONTH(R$7),Assumptions!$G26)&lt;=R$8
                        ),
                        AND(
                          ISNUMBER(MATCH(MONTH(R$8),IF(Assumptions!$H26="Jan / Apr / Jul / Oct",{1,4,7,10},IF(Assumptions!$H26="Feb / May / Aug / Nov",{2,5,8,11},{3,6,9,12})),0)),
                          DATE(YEAR(R$8),MONTH(R$8),Assumptions!$G26)&gt;=R$7,
                          DATE(YEAR(R$8),MONTH(R$8),Assumptions!$G26)&lt;=R$8
                        )
                      ),
                    "Yes","No"),
                  "No")
                )
              )
            )
          )
        )
      )
    )
  )
)</f>
        <v>No</v>
      </c>
      <c r="S14" s="59" t="str">
        <f>IF(
  Assumptions!$K26="Off",
  "No",
  IF(
    Assumptions!$F26="I will phase manually",
    "No",
    IF(
      Assumptions!$F26="Last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Assumptions!$F26="End of month",
        IF(
          OR(
            AND(EOMONTH(S$7,0)&gt;=S$7, EOMONTH(S$7,0)&lt;=S$8),
            AND(EOMONTH(S$8,0)&gt;=S$7, EOMONTH(S$8,0)&lt;=S$8)
          ),
        "Yes","No"),
        IF(
          Assumptions!$F26="Specific day of month",
          IF(
            OR(
              AND(DATE(YEAR(S$7),MONTH(S$7),Assumptions!$G26)&gt;=S$7, DATE(YEAR(S$7),MONTH(S$7),Assumptions!$G26)&lt;=S$8),
              AND(DATE(YEAR(S$8),MONTH(S$8),Assumptions!$G26)&gt;=S$7, DATE(YEAR(S$8),MONTH(S$8),Assumptions!$G26)&lt;=S$8)
            ),
          "Yes","No"),
          IF(
            Assumptions!$F26="Last X day of month",
            IF(
              AND(
                WEEKDAY(S$7,2)&lt;=MATCH(Assumptions!$J26,{"Monday","Tuesday","Wednesday","Thursday","Friday"},0),
                WEEKDAY(S$8,2)&gt;=MATCH(Assumptions!$J26,{"Monday","Tuesday","Wednesday","Thursday","Friday"},0),
                (S$7+(MATCH(Assumptions!$J26,{"Monday","Tuesday","Wednesday","Thursday","Friday"},0)-WEEKDAY(S$7,2)))+7&gt;EOMONTH((S$7+(MATCH(Assumptions!$J26,{"Monday","Tuesday","Wednesday","Thursday","Friday"},0)-WEEKDAY(S$7,2))),0)
              ),
            "Yes","No"),
            IF(
              Assumptions!$F26="Weekly",
              IF(
                AND(
                  WEEKDAY(S$7,2)&lt;=MATCH(Assumptions!$J26,{"Monday","Tuesday","Wednesday","Thursday","Friday"},0),
                  WEEKDAY(S$8,2)&gt;=MATCH(Assumptions!$J26,{"Monday","Tuesday","Wednesday","Thursday","Friday"},0)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AND(Assumptions!$I26&gt;=S$7, Assumptions!$I26&lt;=S$8),
                    AND(
                      Assumptions!$I26&lt;S$7,
                      MOD(INT((S$7-(Assumptions!$I26-WEEKDAY(Assumptions!$I26,2)+1))/7),2)=0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AND(Assumptions!$I26&gt;=S$7, Assumptions!$I26&lt;=S$8),
                      AND(
                        Assumptions!$I26&lt;S$7,
                        MOD(INT((S$7-(Assumptions!$I26-WEEKDAY(Assumptions!$I26,2)+1))/7),3)=0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ISNUMBER(MATCH(MONTH(S$7),IF(Assumptions!$H26="Jan / Apr / Jul / Oct",{1,4,7,10},IF(Assumptions!$H26="Feb / May / Aug / Nov",{2,5,8,11},{3,6,9,12})),0)),
                          DATE(YEAR(S$7),MONTH(S$7),Assumptions!$G26)&gt;=S$7,
                          DATE(YEAR(S$7),MONTH(S$7),Assumptions!$G26)&lt;=S$8
                        ),
                        AND(
                          ISNUMBER(MATCH(MONTH(S$8),IF(Assumptions!$H26="Jan / Apr / Jul / Oct",{1,4,7,10},IF(Assumptions!$H26="Feb / May / Aug / Nov",{2,5,8,11},{3,6,9,12})),0)),
                          DATE(YEAR(S$8),MONTH(S$8),Assumptions!$G26)&gt;=S$7,
                          DATE(YEAR(S$8),MONTH(S$8),Assumptions!$G26)&lt;=S$8
                        )
                      ),
                    "Yes","No"),
                  "No")
                )
              )
            )
          )
        )
      )
    )
  )
)</f>
        <v>No</v>
      </c>
      <c r="T14" s="59" t="s">
        <v>124</v>
      </c>
    </row>
    <row r="15" spans="1:21" hidden="1" outlineLevel="1" x14ac:dyDescent="0.25">
      <c r="C15" s="58">
        <f>Assumptions!D27</f>
        <v>0</v>
      </c>
      <c r="D15" s="58"/>
      <c r="E15" s="58"/>
      <c r="F15" s="58"/>
      <c r="G15" s="59" t="str">
        <f>IF(
  Assumptions!$K27="Off",
  "No",
  IF(
    Assumptions!$F27="I will phase manually",
    "No",
    IF(
      Assumptions!$F27="Last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Assumptions!$F27="End of month",
        IF(
          OR(
            AND(EOMONTH(G$7,0)&gt;=G$7, EOMONTH(G$7,0)&lt;=G$8),
            AND(EOMONTH(G$8,0)&gt;=G$7, EOMONTH(G$8,0)&lt;=G$8)
          ),
        "Yes","No"),
        IF(
          Assumptions!$F27="Specific day of month",
          IF(
            OR(
              AND(DATE(YEAR(G$7),MONTH(G$7),Assumptions!$G27)&gt;=G$7, DATE(YEAR(G$7),MONTH(G$7),Assumptions!$G27)&lt;=G$8),
              AND(DATE(YEAR(G$8),MONTH(G$8),Assumptions!$G27)&gt;=G$7, DATE(YEAR(G$8),MONTH(G$8),Assumptions!$G27)&lt;=G$8)
            ),
          "Yes","No"),
          IF(
            Assumptions!$F27="Last X day of month",
            IF(
              AND(
                WEEKDAY(G$7,2)&lt;=MATCH(Assumptions!$J27,{"Monday","Tuesday","Wednesday","Thursday","Friday"},0),
                WEEKDAY(G$8,2)&gt;=MATCH(Assumptions!$J27,{"Monday","Tuesday","Wednesday","Thursday","Friday"},0),
                (G$7+(MATCH(Assumptions!$J27,{"Monday","Tuesday","Wednesday","Thursday","Friday"},0)-WEEKDAY(G$7,2)))+7&gt;EOMONTH((G$7+(MATCH(Assumptions!$J27,{"Monday","Tuesday","Wednesday","Thursday","Friday"},0)-WEEKDAY(G$7,2))),0)
              ),
            "Yes","No"),
            IF(
              Assumptions!$F27="Weekly",
              IF(
                AND(
                  WEEKDAY(G$7,2)&lt;=MATCH(Assumptions!$J27,{"Monday","Tuesday","Wednesday","Thursday","Friday"},0),
                  WEEKDAY(G$8,2)&gt;=MATCH(Assumptions!$J27,{"Monday","Tuesday","Wednesday","Thursday","Friday"},0)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AND(Assumptions!$I27&gt;=G$7, Assumptions!$I27&lt;=G$8),
                    AND(
                      Assumptions!$I27&lt;G$7,
                      MOD(INT((G$7-(Assumptions!$I27-WEEKDAY(Assumptions!$I27,2)+1))/7),2)=0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AND(Assumptions!$I27&gt;=G$7, Assumptions!$I27&lt;=G$8),
                      AND(
                        Assumptions!$I27&lt;G$7,
                        MOD(INT((G$7-(Assumptions!$I27-WEEKDAY(Assumptions!$I27,2)+1))/7),3)=0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ISNUMBER(MATCH(MONTH(G$7),IF(Assumptions!$H27="Jan / Apr / Jul / Oct",{1,4,7,10},IF(Assumptions!$H27="Feb / May / Aug / Nov",{2,5,8,11},{3,6,9,12})),0)),
                          DATE(YEAR(G$7),MONTH(G$7),Assumptions!$G27)&gt;=G$7,
                          DATE(YEAR(G$7),MONTH(G$7),Assumptions!$G27)&lt;=G$8
                        ),
                        AND(
                          ISNUMBER(MATCH(MONTH(G$8),IF(Assumptions!$H27="Jan / Apr / Jul / Oct",{1,4,7,10},IF(Assumptions!$H27="Feb / May / Aug / Nov",{2,5,8,11},{3,6,9,12})),0)),
                          DATE(YEAR(G$8),MONTH(G$8),Assumptions!$G27)&gt;=G$7,
                          DATE(YEAR(G$8),MONTH(G$8),Assumptions!$G27)&lt;=G$8
                        )
                      ),
                    "Yes","No"),
                  "No")
                )
              )
            )
          )
        )
      )
    )
  )
)</f>
        <v>No</v>
      </c>
      <c r="H15" s="59" t="str">
        <f>IF(
  Assumptions!$K27="Off",
  "No",
  IF(
    Assumptions!$F27="I will phase manually",
    "No",
    IF(
      Assumptions!$F27="Last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Assumptions!$F27="End of month",
        IF(
          OR(
            AND(EOMONTH(H$7,0)&gt;=H$7, EOMONTH(H$7,0)&lt;=H$8),
            AND(EOMONTH(H$8,0)&gt;=H$7, EOMONTH(H$8,0)&lt;=H$8)
          ),
        "Yes","No"),
        IF(
          Assumptions!$F27="Specific day of month",
          IF(
            OR(
              AND(DATE(YEAR(H$7),MONTH(H$7),Assumptions!$G27)&gt;=H$7, DATE(YEAR(H$7),MONTH(H$7),Assumptions!$G27)&lt;=H$8),
              AND(DATE(YEAR(H$8),MONTH(H$8),Assumptions!$G27)&gt;=H$7, DATE(YEAR(H$8),MONTH(H$8),Assumptions!$G27)&lt;=H$8)
            ),
          "Yes","No"),
          IF(
            Assumptions!$F27="Last X day of month",
            IF(
              AND(
                WEEKDAY(H$7,2)&lt;=MATCH(Assumptions!$J27,{"Monday","Tuesday","Wednesday","Thursday","Friday"},0),
                WEEKDAY(H$8,2)&gt;=MATCH(Assumptions!$J27,{"Monday","Tuesday","Wednesday","Thursday","Friday"},0),
                (H$7+(MATCH(Assumptions!$J27,{"Monday","Tuesday","Wednesday","Thursday","Friday"},0)-WEEKDAY(H$7,2)))+7&gt;EOMONTH((H$7+(MATCH(Assumptions!$J27,{"Monday","Tuesday","Wednesday","Thursday","Friday"},0)-WEEKDAY(H$7,2))),0)
              ),
            "Yes","No"),
            IF(
              Assumptions!$F27="Weekly",
              IF(
                AND(
                  WEEKDAY(H$7,2)&lt;=MATCH(Assumptions!$J27,{"Monday","Tuesday","Wednesday","Thursday","Friday"},0),
                  WEEKDAY(H$8,2)&gt;=MATCH(Assumptions!$J27,{"Monday","Tuesday","Wednesday","Thursday","Friday"},0)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AND(Assumptions!$I27&gt;=H$7, Assumptions!$I27&lt;=H$8),
                    AND(
                      Assumptions!$I27&lt;H$7,
                      MOD(INT((H$7-(Assumptions!$I27-WEEKDAY(Assumptions!$I27,2)+1))/7),2)=0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AND(Assumptions!$I27&gt;=H$7, Assumptions!$I27&lt;=H$8),
                      AND(
                        Assumptions!$I27&lt;H$7,
                        MOD(INT((H$7-(Assumptions!$I27-WEEKDAY(Assumptions!$I27,2)+1))/7),3)=0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ISNUMBER(MATCH(MONTH(H$7),IF(Assumptions!$H27="Jan / Apr / Jul / Oct",{1,4,7,10},IF(Assumptions!$H27="Feb / May / Aug / Nov",{2,5,8,11},{3,6,9,12})),0)),
                          DATE(YEAR(H$7),MONTH(H$7),Assumptions!$G27)&gt;=H$7,
                          DATE(YEAR(H$7),MONTH(H$7),Assumptions!$G27)&lt;=H$8
                        ),
                        AND(
                          ISNUMBER(MATCH(MONTH(H$8),IF(Assumptions!$H27="Jan / Apr / Jul / Oct",{1,4,7,10},IF(Assumptions!$H27="Feb / May / Aug / Nov",{2,5,8,11},{3,6,9,12})),0)),
                          DATE(YEAR(H$8),MONTH(H$8),Assumptions!$G27)&gt;=H$7,
                          DATE(YEAR(H$8),MONTH(H$8),Assumptions!$G27)&lt;=H$8
                        )
                      ),
                    "Yes","No"),
                  "No")
                )
              )
            )
          )
        )
      )
    )
  )
)</f>
        <v>No</v>
      </c>
      <c r="I15" s="59" t="str">
        <f>IF(
  Assumptions!$K27="Off",
  "No",
  IF(
    Assumptions!$F27="I will phase manually",
    "No",
    IF(
      Assumptions!$F27="Last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Assumptions!$F27="End of month",
        IF(
          OR(
            AND(EOMONTH(I$7,0)&gt;=I$7, EOMONTH(I$7,0)&lt;=I$8),
            AND(EOMONTH(I$8,0)&gt;=I$7, EOMONTH(I$8,0)&lt;=I$8)
          ),
        "Yes","No"),
        IF(
          Assumptions!$F27="Specific day of month",
          IF(
            OR(
              AND(DATE(YEAR(I$7),MONTH(I$7),Assumptions!$G27)&gt;=I$7, DATE(YEAR(I$7),MONTH(I$7),Assumptions!$G27)&lt;=I$8),
              AND(DATE(YEAR(I$8),MONTH(I$8),Assumptions!$G27)&gt;=I$7, DATE(YEAR(I$8),MONTH(I$8),Assumptions!$G27)&lt;=I$8)
            ),
          "Yes","No"),
          IF(
            Assumptions!$F27="Last X day of month",
            IF(
              AND(
                WEEKDAY(I$7,2)&lt;=MATCH(Assumptions!$J27,{"Monday","Tuesday","Wednesday","Thursday","Friday"},0),
                WEEKDAY(I$8,2)&gt;=MATCH(Assumptions!$J27,{"Monday","Tuesday","Wednesday","Thursday","Friday"},0),
                (I$7+(MATCH(Assumptions!$J27,{"Monday","Tuesday","Wednesday","Thursday","Friday"},0)-WEEKDAY(I$7,2)))+7&gt;EOMONTH((I$7+(MATCH(Assumptions!$J27,{"Monday","Tuesday","Wednesday","Thursday","Friday"},0)-WEEKDAY(I$7,2))),0)
              ),
            "Yes","No"),
            IF(
              Assumptions!$F27="Weekly",
              IF(
                AND(
                  WEEKDAY(I$7,2)&lt;=MATCH(Assumptions!$J27,{"Monday","Tuesday","Wednesday","Thursday","Friday"},0),
                  WEEKDAY(I$8,2)&gt;=MATCH(Assumptions!$J27,{"Monday","Tuesday","Wednesday","Thursday","Friday"},0)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AND(Assumptions!$I27&gt;=I$7, Assumptions!$I27&lt;=I$8),
                    AND(
                      Assumptions!$I27&lt;I$7,
                      MOD(INT((I$7-(Assumptions!$I27-WEEKDAY(Assumptions!$I27,2)+1))/7),2)=0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AND(Assumptions!$I27&gt;=I$7, Assumptions!$I27&lt;=I$8),
                      AND(
                        Assumptions!$I27&lt;I$7,
                        MOD(INT((I$7-(Assumptions!$I27-WEEKDAY(Assumptions!$I27,2)+1))/7),3)=0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ISNUMBER(MATCH(MONTH(I$7),IF(Assumptions!$H27="Jan / Apr / Jul / Oct",{1,4,7,10},IF(Assumptions!$H27="Feb / May / Aug / Nov",{2,5,8,11},{3,6,9,12})),0)),
                          DATE(YEAR(I$7),MONTH(I$7),Assumptions!$G27)&gt;=I$7,
                          DATE(YEAR(I$7),MONTH(I$7),Assumptions!$G27)&lt;=I$8
                        ),
                        AND(
                          ISNUMBER(MATCH(MONTH(I$8),IF(Assumptions!$H27="Jan / Apr / Jul / Oct",{1,4,7,10},IF(Assumptions!$H27="Feb / May / Aug / Nov",{2,5,8,11},{3,6,9,12})),0)),
                          DATE(YEAR(I$8),MONTH(I$8),Assumptions!$G27)&gt;=I$7,
                          DATE(YEAR(I$8),MONTH(I$8),Assumptions!$G27)&lt;=I$8
                        )
                      ),
                    "Yes","No"),
                  "No")
                )
              )
            )
          )
        )
      )
    )
  )
)</f>
        <v>No</v>
      </c>
      <c r="J15" s="59" t="str">
        <f>IF(
  Assumptions!$K27="Off",
  "No",
  IF(
    Assumptions!$F27="I will phase manually",
    "No",
    IF(
      Assumptions!$F27="Last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Assumptions!$F27="End of month",
        IF(
          OR(
            AND(EOMONTH(J$7,0)&gt;=J$7, EOMONTH(J$7,0)&lt;=J$8),
            AND(EOMONTH(J$8,0)&gt;=J$7, EOMONTH(J$8,0)&lt;=J$8)
          ),
        "Yes","No"),
        IF(
          Assumptions!$F27="Specific day of month",
          IF(
            OR(
              AND(DATE(YEAR(J$7),MONTH(J$7),Assumptions!$G27)&gt;=J$7, DATE(YEAR(J$7),MONTH(J$7),Assumptions!$G27)&lt;=J$8),
              AND(DATE(YEAR(J$8),MONTH(J$8),Assumptions!$G27)&gt;=J$7, DATE(YEAR(J$8),MONTH(J$8),Assumptions!$G27)&lt;=J$8)
            ),
          "Yes","No"),
          IF(
            Assumptions!$F27="Last X day of month",
            IF(
              AND(
                WEEKDAY(J$7,2)&lt;=MATCH(Assumptions!$J27,{"Monday","Tuesday","Wednesday","Thursday","Friday"},0),
                WEEKDAY(J$8,2)&gt;=MATCH(Assumptions!$J27,{"Monday","Tuesday","Wednesday","Thursday","Friday"},0),
                (J$7+(MATCH(Assumptions!$J27,{"Monday","Tuesday","Wednesday","Thursday","Friday"},0)-WEEKDAY(J$7,2)))+7&gt;EOMONTH((J$7+(MATCH(Assumptions!$J27,{"Monday","Tuesday","Wednesday","Thursday","Friday"},0)-WEEKDAY(J$7,2))),0)
              ),
            "Yes","No"),
            IF(
              Assumptions!$F27="Weekly",
              IF(
                AND(
                  WEEKDAY(J$7,2)&lt;=MATCH(Assumptions!$J27,{"Monday","Tuesday","Wednesday","Thursday","Friday"},0),
                  WEEKDAY(J$8,2)&gt;=MATCH(Assumptions!$J27,{"Monday","Tuesday","Wednesday","Thursday","Friday"},0)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AND(Assumptions!$I27&gt;=J$7, Assumptions!$I27&lt;=J$8),
                    AND(
                      Assumptions!$I27&lt;J$7,
                      MOD(INT((J$7-(Assumptions!$I27-WEEKDAY(Assumptions!$I27,2)+1))/7),2)=0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AND(Assumptions!$I27&gt;=J$7, Assumptions!$I27&lt;=J$8),
                      AND(
                        Assumptions!$I27&lt;J$7,
                        MOD(INT((J$7-(Assumptions!$I27-WEEKDAY(Assumptions!$I27,2)+1))/7),3)=0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ISNUMBER(MATCH(MONTH(J$7),IF(Assumptions!$H27="Jan / Apr / Jul / Oct",{1,4,7,10},IF(Assumptions!$H27="Feb / May / Aug / Nov",{2,5,8,11},{3,6,9,12})),0)),
                          DATE(YEAR(J$7),MONTH(J$7),Assumptions!$G27)&gt;=J$7,
                          DATE(YEAR(J$7),MONTH(J$7),Assumptions!$G27)&lt;=J$8
                        ),
                        AND(
                          ISNUMBER(MATCH(MONTH(J$8),IF(Assumptions!$H27="Jan / Apr / Jul / Oct",{1,4,7,10},IF(Assumptions!$H27="Feb / May / Aug / Nov",{2,5,8,11},{3,6,9,12})),0)),
                          DATE(YEAR(J$8),MONTH(J$8),Assumptions!$G27)&gt;=J$7,
                          DATE(YEAR(J$8),MONTH(J$8),Assumptions!$G27)&lt;=J$8
                        )
                      ),
                    "Yes","No"),
                  "No")
                )
              )
            )
          )
        )
      )
    )
  )
)</f>
        <v>No</v>
      </c>
      <c r="K15" s="59" t="str">
        <f>IF(
  Assumptions!$K27="Off",
  "No",
  IF(
    Assumptions!$F27="I will phase manually",
    "No",
    IF(
      Assumptions!$F27="Last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Assumptions!$F27="End of month",
        IF(
          OR(
            AND(EOMONTH(K$7,0)&gt;=K$7, EOMONTH(K$7,0)&lt;=K$8),
            AND(EOMONTH(K$8,0)&gt;=K$7, EOMONTH(K$8,0)&lt;=K$8)
          ),
        "Yes","No"),
        IF(
          Assumptions!$F27="Specific day of month",
          IF(
            OR(
              AND(DATE(YEAR(K$7),MONTH(K$7),Assumptions!$G27)&gt;=K$7, DATE(YEAR(K$7),MONTH(K$7),Assumptions!$G27)&lt;=K$8),
              AND(DATE(YEAR(K$8),MONTH(K$8),Assumptions!$G27)&gt;=K$7, DATE(YEAR(K$8),MONTH(K$8),Assumptions!$G27)&lt;=K$8)
            ),
          "Yes","No"),
          IF(
            Assumptions!$F27="Last X day of month",
            IF(
              AND(
                WEEKDAY(K$7,2)&lt;=MATCH(Assumptions!$J27,{"Monday","Tuesday","Wednesday","Thursday","Friday"},0),
                WEEKDAY(K$8,2)&gt;=MATCH(Assumptions!$J27,{"Monday","Tuesday","Wednesday","Thursday","Friday"},0),
                (K$7+(MATCH(Assumptions!$J27,{"Monday","Tuesday","Wednesday","Thursday","Friday"},0)-WEEKDAY(K$7,2)))+7&gt;EOMONTH((K$7+(MATCH(Assumptions!$J27,{"Monday","Tuesday","Wednesday","Thursday","Friday"},0)-WEEKDAY(K$7,2))),0)
              ),
            "Yes","No"),
            IF(
              Assumptions!$F27="Weekly",
              IF(
                AND(
                  WEEKDAY(K$7,2)&lt;=MATCH(Assumptions!$J27,{"Monday","Tuesday","Wednesday","Thursday","Friday"},0),
                  WEEKDAY(K$8,2)&gt;=MATCH(Assumptions!$J27,{"Monday","Tuesday","Wednesday","Thursday","Friday"},0)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AND(Assumptions!$I27&gt;=K$7, Assumptions!$I27&lt;=K$8),
                    AND(
                      Assumptions!$I27&lt;K$7,
                      MOD(INT((K$7-(Assumptions!$I27-WEEKDAY(Assumptions!$I27,2)+1))/7),2)=0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AND(Assumptions!$I27&gt;=K$7, Assumptions!$I27&lt;=K$8),
                      AND(
                        Assumptions!$I27&lt;K$7,
                        MOD(INT((K$7-(Assumptions!$I27-WEEKDAY(Assumptions!$I27,2)+1))/7),3)=0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ISNUMBER(MATCH(MONTH(K$7),IF(Assumptions!$H27="Jan / Apr / Jul / Oct",{1,4,7,10},IF(Assumptions!$H27="Feb / May / Aug / Nov",{2,5,8,11},{3,6,9,12})),0)),
                          DATE(YEAR(K$7),MONTH(K$7),Assumptions!$G27)&gt;=K$7,
                          DATE(YEAR(K$7),MONTH(K$7),Assumptions!$G27)&lt;=K$8
                        ),
                        AND(
                          ISNUMBER(MATCH(MONTH(K$8),IF(Assumptions!$H27="Jan / Apr / Jul / Oct",{1,4,7,10},IF(Assumptions!$H27="Feb / May / Aug / Nov",{2,5,8,11},{3,6,9,12})),0)),
                          DATE(YEAR(K$8),MONTH(K$8),Assumptions!$G27)&gt;=K$7,
                          DATE(YEAR(K$8),MONTH(K$8),Assumptions!$G27)&lt;=K$8
                        )
                      ),
                    "Yes","No"),
                  "No")
                )
              )
            )
          )
        )
      )
    )
  )
)</f>
        <v>No</v>
      </c>
      <c r="L15" s="59" t="str">
        <f>IF(
  Assumptions!$K27="Off",
  "No",
  IF(
    Assumptions!$F27="I will phase manually",
    "No",
    IF(
      Assumptions!$F27="Last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Assumptions!$F27="End of month",
        IF(
          OR(
            AND(EOMONTH(L$7,0)&gt;=L$7, EOMONTH(L$7,0)&lt;=L$8),
            AND(EOMONTH(L$8,0)&gt;=L$7, EOMONTH(L$8,0)&lt;=L$8)
          ),
        "Yes","No"),
        IF(
          Assumptions!$F27="Specific day of month",
          IF(
            OR(
              AND(DATE(YEAR(L$7),MONTH(L$7),Assumptions!$G27)&gt;=L$7, DATE(YEAR(L$7),MONTH(L$7),Assumptions!$G27)&lt;=L$8),
              AND(DATE(YEAR(L$8),MONTH(L$8),Assumptions!$G27)&gt;=L$7, DATE(YEAR(L$8),MONTH(L$8),Assumptions!$G27)&lt;=L$8)
            ),
          "Yes","No"),
          IF(
            Assumptions!$F27="Last X day of month",
            IF(
              AND(
                WEEKDAY(L$7,2)&lt;=MATCH(Assumptions!$J27,{"Monday","Tuesday","Wednesday","Thursday","Friday"},0),
                WEEKDAY(L$8,2)&gt;=MATCH(Assumptions!$J27,{"Monday","Tuesday","Wednesday","Thursday","Friday"},0),
                (L$7+(MATCH(Assumptions!$J27,{"Monday","Tuesday","Wednesday","Thursday","Friday"},0)-WEEKDAY(L$7,2)))+7&gt;EOMONTH((L$7+(MATCH(Assumptions!$J27,{"Monday","Tuesday","Wednesday","Thursday","Friday"},0)-WEEKDAY(L$7,2))),0)
              ),
            "Yes","No"),
            IF(
              Assumptions!$F27="Weekly",
              IF(
                AND(
                  WEEKDAY(L$7,2)&lt;=MATCH(Assumptions!$J27,{"Monday","Tuesday","Wednesday","Thursday","Friday"},0),
                  WEEKDAY(L$8,2)&gt;=MATCH(Assumptions!$J27,{"Monday","Tuesday","Wednesday","Thursday","Friday"},0)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AND(Assumptions!$I27&gt;=L$7, Assumptions!$I27&lt;=L$8),
                    AND(
                      Assumptions!$I27&lt;L$7,
                      MOD(INT((L$7-(Assumptions!$I27-WEEKDAY(Assumptions!$I27,2)+1))/7),2)=0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AND(Assumptions!$I27&gt;=L$7, Assumptions!$I27&lt;=L$8),
                      AND(
                        Assumptions!$I27&lt;L$7,
                        MOD(INT((L$7-(Assumptions!$I27-WEEKDAY(Assumptions!$I27,2)+1))/7),3)=0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ISNUMBER(MATCH(MONTH(L$7),IF(Assumptions!$H27="Jan / Apr / Jul / Oct",{1,4,7,10},IF(Assumptions!$H27="Feb / May / Aug / Nov",{2,5,8,11},{3,6,9,12})),0)),
                          DATE(YEAR(L$7),MONTH(L$7),Assumptions!$G27)&gt;=L$7,
                          DATE(YEAR(L$7),MONTH(L$7),Assumptions!$G27)&lt;=L$8
                        ),
                        AND(
                          ISNUMBER(MATCH(MONTH(L$8),IF(Assumptions!$H27="Jan / Apr / Jul / Oct",{1,4,7,10},IF(Assumptions!$H27="Feb / May / Aug / Nov",{2,5,8,11},{3,6,9,12})),0)),
                          DATE(YEAR(L$8),MONTH(L$8),Assumptions!$G27)&gt;=L$7,
                          DATE(YEAR(L$8),MONTH(L$8),Assumptions!$G27)&lt;=L$8
                        )
                      ),
                    "Yes","No"),
                  "No")
                )
              )
            )
          )
        )
      )
    )
  )
)</f>
        <v>No</v>
      </c>
      <c r="M15" s="59" t="str">
        <f>IF(
  Assumptions!$K27="Off",
  "No",
  IF(
    Assumptions!$F27="I will phase manually",
    "No",
    IF(
      Assumptions!$F27="Last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Assumptions!$F27="End of month",
        IF(
          OR(
            AND(EOMONTH(M$7,0)&gt;=M$7, EOMONTH(M$7,0)&lt;=M$8),
            AND(EOMONTH(M$8,0)&gt;=M$7, EOMONTH(M$8,0)&lt;=M$8)
          ),
        "Yes","No"),
        IF(
          Assumptions!$F27="Specific day of month",
          IF(
            OR(
              AND(DATE(YEAR(M$7),MONTH(M$7),Assumptions!$G27)&gt;=M$7, DATE(YEAR(M$7),MONTH(M$7),Assumptions!$G27)&lt;=M$8),
              AND(DATE(YEAR(M$8),MONTH(M$8),Assumptions!$G27)&gt;=M$7, DATE(YEAR(M$8),MONTH(M$8),Assumptions!$G27)&lt;=M$8)
            ),
          "Yes","No"),
          IF(
            Assumptions!$F27="Last X day of month",
            IF(
              AND(
                WEEKDAY(M$7,2)&lt;=MATCH(Assumptions!$J27,{"Monday","Tuesday","Wednesday","Thursday","Friday"},0),
                WEEKDAY(M$8,2)&gt;=MATCH(Assumptions!$J27,{"Monday","Tuesday","Wednesday","Thursday","Friday"},0),
                (M$7+(MATCH(Assumptions!$J27,{"Monday","Tuesday","Wednesday","Thursday","Friday"},0)-WEEKDAY(M$7,2)))+7&gt;EOMONTH((M$7+(MATCH(Assumptions!$J27,{"Monday","Tuesday","Wednesday","Thursday","Friday"},0)-WEEKDAY(M$7,2))),0)
              ),
            "Yes","No"),
            IF(
              Assumptions!$F27="Weekly",
              IF(
                AND(
                  WEEKDAY(M$7,2)&lt;=MATCH(Assumptions!$J27,{"Monday","Tuesday","Wednesday","Thursday","Friday"},0),
                  WEEKDAY(M$8,2)&gt;=MATCH(Assumptions!$J27,{"Monday","Tuesday","Wednesday","Thursday","Friday"},0)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AND(Assumptions!$I27&gt;=M$7, Assumptions!$I27&lt;=M$8),
                    AND(
                      Assumptions!$I27&lt;M$7,
                      MOD(INT((M$7-(Assumptions!$I27-WEEKDAY(Assumptions!$I27,2)+1))/7),2)=0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AND(Assumptions!$I27&gt;=M$7, Assumptions!$I27&lt;=M$8),
                      AND(
                        Assumptions!$I27&lt;M$7,
                        MOD(INT((M$7-(Assumptions!$I27-WEEKDAY(Assumptions!$I27,2)+1))/7),3)=0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ISNUMBER(MATCH(MONTH(M$7),IF(Assumptions!$H27="Jan / Apr / Jul / Oct",{1,4,7,10},IF(Assumptions!$H27="Feb / May / Aug / Nov",{2,5,8,11},{3,6,9,12})),0)),
                          DATE(YEAR(M$7),MONTH(M$7),Assumptions!$G27)&gt;=M$7,
                          DATE(YEAR(M$7),MONTH(M$7),Assumptions!$G27)&lt;=M$8
                        ),
                        AND(
                          ISNUMBER(MATCH(MONTH(M$8),IF(Assumptions!$H27="Jan / Apr / Jul / Oct",{1,4,7,10},IF(Assumptions!$H27="Feb / May / Aug / Nov",{2,5,8,11},{3,6,9,12})),0)),
                          DATE(YEAR(M$8),MONTH(M$8),Assumptions!$G27)&gt;=M$7,
                          DATE(YEAR(M$8),MONTH(M$8),Assumptions!$G27)&lt;=M$8
                        )
                      ),
                    "Yes","No"),
                  "No")
                )
              )
            )
          )
        )
      )
    )
  )
)</f>
        <v>No</v>
      </c>
      <c r="N15" s="59" t="str">
        <f>IF(
  Assumptions!$K27="Off",
  "No",
  IF(
    Assumptions!$F27="I will phase manually",
    "No",
    IF(
      Assumptions!$F27="Last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Assumptions!$F27="End of month",
        IF(
          OR(
            AND(EOMONTH(N$7,0)&gt;=N$7, EOMONTH(N$7,0)&lt;=N$8),
            AND(EOMONTH(N$8,0)&gt;=N$7, EOMONTH(N$8,0)&lt;=N$8)
          ),
        "Yes","No"),
        IF(
          Assumptions!$F27="Specific day of month",
          IF(
            OR(
              AND(DATE(YEAR(N$7),MONTH(N$7),Assumptions!$G27)&gt;=N$7, DATE(YEAR(N$7),MONTH(N$7),Assumptions!$G27)&lt;=N$8),
              AND(DATE(YEAR(N$8),MONTH(N$8),Assumptions!$G27)&gt;=N$7, DATE(YEAR(N$8),MONTH(N$8),Assumptions!$G27)&lt;=N$8)
            ),
          "Yes","No"),
          IF(
            Assumptions!$F27="Last X day of month",
            IF(
              AND(
                WEEKDAY(N$7,2)&lt;=MATCH(Assumptions!$J27,{"Monday","Tuesday","Wednesday","Thursday","Friday"},0),
                WEEKDAY(N$8,2)&gt;=MATCH(Assumptions!$J27,{"Monday","Tuesday","Wednesday","Thursday","Friday"},0),
                (N$7+(MATCH(Assumptions!$J27,{"Monday","Tuesday","Wednesday","Thursday","Friday"},0)-WEEKDAY(N$7,2)))+7&gt;EOMONTH((N$7+(MATCH(Assumptions!$J27,{"Monday","Tuesday","Wednesday","Thursday","Friday"},0)-WEEKDAY(N$7,2))),0)
              ),
            "Yes","No"),
            IF(
              Assumptions!$F27="Weekly",
              IF(
                AND(
                  WEEKDAY(N$7,2)&lt;=MATCH(Assumptions!$J27,{"Monday","Tuesday","Wednesday","Thursday","Friday"},0),
                  WEEKDAY(N$8,2)&gt;=MATCH(Assumptions!$J27,{"Monday","Tuesday","Wednesday","Thursday","Friday"},0)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AND(Assumptions!$I27&gt;=N$7, Assumptions!$I27&lt;=N$8),
                    AND(
                      Assumptions!$I27&lt;N$7,
                      MOD(INT((N$7-(Assumptions!$I27-WEEKDAY(Assumptions!$I27,2)+1))/7),2)=0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AND(Assumptions!$I27&gt;=N$7, Assumptions!$I27&lt;=N$8),
                      AND(
                        Assumptions!$I27&lt;N$7,
                        MOD(INT((N$7-(Assumptions!$I27-WEEKDAY(Assumptions!$I27,2)+1))/7),3)=0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ISNUMBER(MATCH(MONTH(N$7),IF(Assumptions!$H27="Jan / Apr / Jul / Oct",{1,4,7,10},IF(Assumptions!$H27="Feb / May / Aug / Nov",{2,5,8,11},{3,6,9,12})),0)),
                          DATE(YEAR(N$7),MONTH(N$7),Assumptions!$G27)&gt;=N$7,
                          DATE(YEAR(N$7),MONTH(N$7),Assumptions!$G27)&lt;=N$8
                        ),
                        AND(
                          ISNUMBER(MATCH(MONTH(N$8),IF(Assumptions!$H27="Jan / Apr / Jul / Oct",{1,4,7,10},IF(Assumptions!$H27="Feb / May / Aug / Nov",{2,5,8,11},{3,6,9,12})),0)),
                          DATE(YEAR(N$8),MONTH(N$8),Assumptions!$G27)&gt;=N$7,
                          DATE(YEAR(N$8),MONTH(N$8),Assumptions!$G27)&lt;=N$8
                        )
                      ),
                    "Yes","No"),
                  "No")
                )
              )
            )
          )
        )
      )
    )
  )
)</f>
        <v>No</v>
      </c>
      <c r="O15" s="59" t="str">
        <f>IF(
  Assumptions!$K27="Off",
  "No",
  IF(
    Assumptions!$F27="I will phase manually",
    "No",
    IF(
      Assumptions!$F27="Last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Assumptions!$F27="End of month",
        IF(
          OR(
            AND(EOMONTH(O$7,0)&gt;=O$7, EOMONTH(O$7,0)&lt;=O$8),
            AND(EOMONTH(O$8,0)&gt;=O$7, EOMONTH(O$8,0)&lt;=O$8)
          ),
        "Yes","No"),
        IF(
          Assumptions!$F27="Specific day of month",
          IF(
            OR(
              AND(DATE(YEAR(O$7),MONTH(O$7),Assumptions!$G27)&gt;=O$7, DATE(YEAR(O$7),MONTH(O$7),Assumptions!$G27)&lt;=O$8),
              AND(DATE(YEAR(O$8),MONTH(O$8),Assumptions!$G27)&gt;=O$7, DATE(YEAR(O$8),MONTH(O$8),Assumptions!$G27)&lt;=O$8)
            ),
          "Yes","No"),
          IF(
            Assumptions!$F27="Last X day of month",
            IF(
              AND(
                WEEKDAY(O$7,2)&lt;=MATCH(Assumptions!$J27,{"Monday","Tuesday","Wednesday","Thursday","Friday"},0),
                WEEKDAY(O$8,2)&gt;=MATCH(Assumptions!$J27,{"Monday","Tuesday","Wednesday","Thursday","Friday"},0),
                (O$7+(MATCH(Assumptions!$J27,{"Monday","Tuesday","Wednesday","Thursday","Friday"},0)-WEEKDAY(O$7,2)))+7&gt;EOMONTH((O$7+(MATCH(Assumptions!$J27,{"Monday","Tuesday","Wednesday","Thursday","Friday"},0)-WEEKDAY(O$7,2))),0)
              ),
            "Yes","No"),
            IF(
              Assumptions!$F27="Weekly",
              IF(
                AND(
                  WEEKDAY(O$7,2)&lt;=MATCH(Assumptions!$J27,{"Monday","Tuesday","Wednesday","Thursday","Friday"},0),
                  WEEKDAY(O$8,2)&gt;=MATCH(Assumptions!$J27,{"Monday","Tuesday","Wednesday","Thursday","Friday"},0)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AND(Assumptions!$I27&gt;=O$7, Assumptions!$I27&lt;=O$8),
                    AND(
                      Assumptions!$I27&lt;O$7,
                      MOD(INT((O$7-(Assumptions!$I27-WEEKDAY(Assumptions!$I27,2)+1))/7),2)=0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AND(Assumptions!$I27&gt;=O$7, Assumptions!$I27&lt;=O$8),
                      AND(
                        Assumptions!$I27&lt;O$7,
                        MOD(INT((O$7-(Assumptions!$I27-WEEKDAY(Assumptions!$I27,2)+1))/7),3)=0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ISNUMBER(MATCH(MONTH(O$7),IF(Assumptions!$H27="Jan / Apr / Jul / Oct",{1,4,7,10},IF(Assumptions!$H27="Feb / May / Aug / Nov",{2,5,8,11},{3,6,9,12})),0)),
                          DATE(YEAR(O$7),MONTH(O$7),Assumptions!$G27)&gt;=O$7,
                          DATE(YEAR(O$7),MONTH(O$7),Assumptions!$G27)&lt;=O$8
                        ),
                        AND(
                          ISNUMBER(MATCH(MONTH(O$8),IF(Assumptions!$H27="Jan / Apr / Jul / Oct",{1,4,7,10},IF(Assumptions!$H27="Feb / May / Aug / Nov",{2,5,8,11},{3,6,9,12})),0)),
                          DATE(YEAR(O$8),MONTH(O$8),Assumptions!$G27)&gt;=O$7,
                          DATE(YEAR(O$8),MONTH(O$8),Assumptions!$G27)&lt;=O$8
                        )
                      ),
                    "Yes","No"),
                  "No")
                )
              )
            )
          )
        )
      )
    )
  )
)</f>
        <v>No</v>
      </c>
      <c r="P15" s="59" t="str">
        <f>IF(
  Assumptions!$K27="Off",
  "No",
  IF(
    Assumptions!$F27="I will phase manually",
    "No",
    IF(
      Assumptions!$F27="Last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Assumptions!$F27="End of month",
        IF(
          OR(
            AND(EOMONTH(P$7,0)&gt;=P$7, EOMONTH(P$7,0)&lt;=P$8),
            AND(EOMONTH(P$8,0)&gt;=P$7, EOMONTH(P$8,0)&lt;=P$8)
          ),
        "Yes","No"),
        IF(
          Assumptions!$F27="Specific day of month",
          IF(
            OR(
              AND(DATE(YEAR(P$7),MONTH(P$7),Assumptions!$G27)&gt;=P$7, DATE(YEAR(P$7),MONTH(P$7),Assumptions!$G27)&lt;=P$8),
              AND(DATE(YEAR(P$8),MONTH(P$8),Assumptions!$G27)&gt;=P$7, DATE(YEAR(P$8),MONTH(P$8),Assumptions!$G27)&lt;=P$8)
            ),
          "Yes","No"),
          IF(
            Assumptions!$F27="Last X day of month",
            IF(
              AND(
                WEEKDAY(P$7,2)&lt;=MATCH(Assumptions!$J27,{"Monday","Tuesday","Wednesday","Thursday","Friday"},0),
                WEEKDAY(P$8,2)&gt;=MATCH(Assumptions!$J27,{"Monday","Tuesday","Wednesday","Thursday","Friday"},0),
                (P$7+(MATCH(Assumptions!$J27,{"Monday","Tuesday","Wednesday","Thursday","Friday"},0)-WEEKDAY(P$7,2)))+7&gt;EOMONTH((P$7+(MATCH(Assumptions!$J27,{"Monday","Tuesday","Wednesday","Thursday","Friday"},0)-WEEKDAY(P$7,2))),0)
              ),
            "Yes","No"),
            IF(
              Assumptions!$F27="Weekly",
              IF(
                AND(
                  WEEKDAY(P$7,2)&lt;=MATCH(Assumptions!$J27,{"Monday","Tuesday","Wednesday","Thursday","Friday"},0),
                  WEEKDAY(P$8,2)&gt;=MATCH(Assumptions!$J27,{"Monday","Tuesday","Wednesday","Thursday","Friday"},0)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AND(Assumptions!$I27&gt;=P$7, Assumptions!$I27&lt;=P$8),
                    AND(
                      Assumptions!$I27&lt;P$7,
                      MOD(INT((P$7-(Assumptions!$I27-WEEKDAY(Assumptions!$I27,2)+1))/7),2)=0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AND(Assumptions!$I27&gt;=P$7, Assumptions!$I27&lt;=P$8),
                      AND(
                        Assumptions!$I27&lt;P$7,
                        MOD(INT((P$7-(Assumptions!$I27-WEEKDAY(Assumptions!$I27,2)+1))/7),3)=0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ISNUMBER(MATCH(MONTH(P$7),IF(Assumptions!$H27="Jan / Apr / Jul / Oct",{1,4,7,10},IF(Assumptions!$H27="Feb / May / Aug / Nov",{2,5,8,11},{3,6,9,12})),0)),
                          DATE(YEAR(P$7),MONTH(P$7),Assumptions!$G27)&gt;=P$7,
                          DATE(YEAR(P$7),MONTH(P$7),Assumptions!$G27)&lt;=P$8
                        ),
                        AND(
                          ISNUMBER(MATCH(MONTH(P$8),IF(Assumptions!$H27="Jan / Apr / Jul / Oct",{1,4,7,10},IF(Assumptions!$H27="Feb / May / Aug / Nov",{2,5,8,11},{3,6,9,12})),0)),
                          DATE(YEAR(P$8),MONTH(P$8),Assumptions!$G27)&gt;=P$7,
                          DATE(YEAR(P$8),MONTH(P$8),Assumptions!$G27)&lt;=P$8
                        )
                      ),
                    "Yes","No"),
                  "No")
                )
              )
            )
          )
        )
      )
    )
  )
)</f>
        <v>No</v>
      </c>
      <c r="Q15" s="59" t="str">
        <f>IF(
  Assumptions!$K27="Off",
  "No",
  IF(
    Assumptions!$F27="I will phase manually",
    "No",
    IF(
      Assumptions!$F27="Last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Assumptions!$F27="End of month",
        IF(
          OR(
            AND(EOMONTH(Q$7,0)&gt;=Q$7, EOMONTH(Q$7,0)&lt;=Q$8),
            AND(EOMONTH(Q$8,0)&gt;=Q$7, EOMONTH(Q$8,0)&lt;=Q$8)
          ),
        "Yes","No"),
        IF(
          Assumptions!$F27="Specific day of month",
          IF(
            OR(
              AND(DATE(YEAR(Q$7),MONTH(Q$7),Assumptions!$G27)&gt;=Q$7, DATE(YEAR(Q$7),MONTH(Q$7),Assumptions!$G27)&lt;=Q$8),
              AND(DATE(YEAR(Q$8),MONTH(Q$8),Assumptions!$G27)&gt;=Q$7, DATE(YEAR(Q$8),MONTH(Q$8),Assumptions!$G27)&lt;=Q$8)
            ),
          "Yes","No"),
          IF(
            Assumptions!$F27="Last X day of month",
            IF(
              AND(
                WEEKDAY(Q$7,2)&lt;=MATCH(Assumptions!$J27,{"Monday","Tuesday","Wednesday","Thursday","Friday"},0),
                WEEKDAY(Q$8,2)&gt;=MATCH(Assumptions!$J27,{"Monday","Tuesday","Wednesday","Thursday","Friday"},0),
                (Q$7+(MATCH(Assumptions!$J27,{"Monday","Tuesday","Wednesday","Thursday","Friday"},0)-WEEKDAY(Q$7,2)))+7&gt;EOMONTH((Q$7+(MATCH(Assumptions!$J27,{"Monday","Tuesday","Wednesday","Thursday","Friday"},0)-WEEKDAY(Q$7,2))),0)
              ),
            "Yes","No"),
            IF(
              Assumptions!$F27="Weekly",
              IF(
                AND(
                  WEEKDAY(Q$7,2)&lt;=MATCH(Assumptions!$J27,{"Monday","Tuesday","Wednesday","Thursday","Friday"},0),
                  WEEKDAY(Q$8,2)&gt;=MATCH(Assumptions!$J27,{"Monday","Tuesday","Wednesday","Thursday","Friday"},0)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AND(Assumptions!$I27&gt;=Q$7, Assumptions!$I27&lt;=Q$8),
                    AND(
                      Assumptions!$I27&lt;Q$7,
                      MOD(INT((Q$7-(Assumptions!$I27-WEEKDAY(Assumptions!$I27,2)+1))/7),2)=0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AND(Assumptions!$I27&gt;=Q$7, Assumptions!$I27&lt;=Q$8),
                      AND(
                        Assumptions!$I27&lt;Q$7,
                        MOD(INT((Q$7-(Assumptions!$I27-WEEKDAY(Assumptions!$I27,2)+1))/7),3)=0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ISNUMBER(MATCH(MONTH(Q$7),IF(Assumptions!$H27="Jan / Apr / Jul / Oct",{1,4,7,10},IF(Assumptions!$H27="Feb / May / Aug / Nov",{2,5,8,11},{3,6,9,12})),0)),
                          DATE(YEAR(Q$7),MONTH(Q$7),Assumptions!$G27)&gt;=Q$7,
                          DATE(YEAR(Q$7),MONTH(Q$7),Assumptions!$G27)&lt;=Q$8
                        ),
                        AND(
                          ISNUMBER(MATCH(MONTH(Q$8),IF(Assumptions!$H27="Jan / Apr / Jul / Oct",{1,4,7,10},IF(Assumptions!$H27="Feb / May / Aug / Nov",{2,5,8,11},{3,6,9,12})),0)),
                          DATE(YEAR(Q$8),MONTH(Q$8),Assumptions!$G27)&gt;=Q$7,
                          DATE(YEAR(Q$8),MONTH(Q$8),Assumptions!$G27)&lt;=Q$8
                        )
                      ),
                    "Yes","No"),
                  "No")
                )
              )
            )
          )
        )
      )
    )
  )
)</f>
        <v>No</v>
      </c>
      <c r="R15" s="59" t="str">
        <f>IF(
  Assumptions!$K27="Off",
  "No",
  IF(
    Assumptions!$F27="I will phase manually",
    "No",
    IF(
      Assumptions!$F27="Last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Assumptions!$F27="End of month",
        IF(
          OR(
            AND(EOMONTH(R$7,0)&gt;=R$7, EOMONTH(R$7,0)&lt;=R$8),
            AND(EOMONTH(R$8,0)&gt;=R$7, EOMONTH(R$8,0)&lt;=R$8)
          ),
        "Yes","No"),
        IF(
          Assumptions!$F27="Specific day of month",
          IF(
            OR(
              AND(DATE(YEAR(R$7),MONTH(R$7),Assumptions!$G27)&gt;=R$7, DATE(YEAR(R$7),MONTH(R$7),Assumptions!$G27)&lt;=R$8),
              AND(DATE(YEAR(R$8),MONTH(R$8),Assumptions!$G27)&gt;=R$7, DATE(YEAR(R$8),MONTH(R$8),Assumptions!$G27)&lt;=R$8)
            ),
          "Yes","No"),
          IF(
            Assumptions!$F27="Last X day of month",
            IF(
              AND(
                WEEKDAY(R$7,2)&lt;=MATCH(Assumptions!$J27,{"Monday","Tuesday","Wednesday","Thursday","Friday"},0),
                WEEKDAY(R$8,2)&gt;=MATCH(Assumptions!$J27,{"Monday","Tuesday","Wednesday","Thursday","Friday"},0),
                (R$7+(MATCH(Assumptions!$J27,{"Monday","Tuesday","Wednesday","Thursday","Friday"},0)-WEEKDAY(R$7,2)))+7&gt;EOMONTH((R$7+(MATCH(Assumptions!$J27,{"Monday","Tuesday","Wednesday","Thursday","Friday"},0)-WEEKDAY(R$7,2))),0)
              ),
            "Yes","No"),
            IF(
              Assumptions!$F27="Weekly",
              IF(
                AND(
                  WEEKDAY(R$7,2)&lt;=MATCH(Assumptions!$J27,{"Monday","Tuesday","Wednesday","Thursday","Friday"},0),
                  WEEKDAY(R$8,2)&gt;=MATCH(Assumptions!$J27,{"Monday","Tuesday","Wednesday","Thursday","Friday"},0)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AND(Assumptions!$I27&gt;=R$7, Assumptions!$I27&lt;=R$8),
                    AND(
                      Assumptions!$I27&lt;R$7,
                      MOD(INT((R$7-(Assumptions!$I27-WEEKDAY(Assumptions!$I27,2)+1))/7),2)=0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AND(Assumptions!$I27&gt;=R$7, Assumptions!$I27&lt;=R$8),
                      AND(
                        Assumptions!$I27&lt;R$7,
                        MOD(INT((R$7-(Assumptions!$I27-WEEKDAY(Assumptions!$I27,2)+1))/7),3)=0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ISNUMBER(MATCH(MONTH(R$7),IF(Assumptions!$H27="Jan / Apr / Jul / Oct",{1,4,7,10},IF(Assumptions!$H27="Feb / May / Aug / Nov",{2,5,8,11},{3,6,9,12})),0)),
                          DATE(YEAR(R$7),MONTH(R$7),Assumptions!$G27)&gt;=R$7,
                          DATE(YEAR(R$7),MONTH(R$7),Assumptions!$G27)&lt;=R$8
                        ),
                        AND(
                          ISNUMBER(MATCH(MONTH(R$8),IF(Assumptions!$H27="Jan / Apr / Jul / Oct",{1,4,7,10},IF(Assumptions!$H27="Feb / May / Aug / Nov",{2,5,8,11},{3,6,9,12})),0)),
                          DATE(YEAR(R$8),MONTH(R$8),Assumptions!$G27)&gt;=R$7,
                          DATE(YEAR(R$8),MONTH(R$8),Assumptions!$G27)&lt;=R$8
                        )
                      ),
                    "Yes","No"),
                  "No")
                )
              )
            )
          )
        )
      )
    )
  )
)</f>
        <v>No</v>
      </c>
      <c r="S15" s="59" t="str">
        <f>IF(
  Assumptions!$K27="Off",
  "No",
  IF(
    Assumptions!$F27="I will phase manually",
    "No",
    IF(
      Assumptions!$F27="Last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Assumptions!$F27="End of month",
        IF(
          OR(
            AND(EOMONTH(S$7,0)&gt;=S$7, EOMONTH(S$7,0)&lt;=S$8),
            AND(EOMONTH(S$8,0)&gt;=S$7, EOMONTH(S$8,0)&lt;=S$8)
          ),
        "Yes","No"),
        IF(
          Assumptions!$F27="Specific day of month",
          IF(
            OR(
              AND(DATE(YEAR(S$7),MONTH(S$7),Assumptions!$G27)&gt;=S$7, DATE(YEAR(S$7),MONTH(S$7),Assumptions!$G27)&lt;=S$8),
              AND(DATE(YEAR(S$8),MONTH(S$8),Assumptions!$G27)&gt;=S$7, DATE(YEAR(S$8),MONTH(S$8),Assumptions!$G27)&lt;=S$8)
            ),
          "Yes","No"),
          IF(
            Assumptions!$F27="Last X day of month",
            IF(
              AND(
                WEEKDAY(S$7,2)&lt;=MATCH(Assumptions!$J27,{"Monday","Tuesday","Wednesday","Thursday","Friday"},0),
                WEEKDAY(S$8,2)&gt;=MATCH(Assumptions!$J27,{"Monday","Tuesday","Wednesday","Thursday","Friday"},0),
                (S$7+(MATCH(Assumptions!$J27,{"Monday","Tuesday","Wednesday","Thursday","Friday"},0)-WEEKDAY(S$7,2)))+7&gt;EOMONTH((S$7+(MATCH(Assumptions!$J27,{"Monday","Tuesday","Wednesday","Thursday","Friday"},0)-WEEKDAY(S$7,2))),0)
              ),
            "Yes","No"),
            IF(
              Assumptions!$F27="Weekly",
              IF(
                AND(
                  WEEKDAY(S$7,2)&lt;=MATCH(Assumptions!$J27,{"Monday","Tuesday","Wednesday","Thursday","Friday"},0),
                  WEEKDAY(S$8,2)&gt;=MATCH(Assumptions!$J27,{"Monday","Tuesday","Wednesday","Thursday","Friday"},0)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AND(Assumptions!$I27&gt;=S$7, Assumptions!$I27&lt;=S$8),
                    AND(
                      Assumptions!$I27&lt;S$7,
                      MOD(INT((S$7-(Assumptions!$I27-WEEKDAY(Assumptions!$I27,2)+1))/7),2)=0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AND(Assumptions!$I27&gt;=S$7, Assumptions!$I27&lt;=S$8),
                      AND(
                        Assumptions!$I27&lt;S$7,
                        MOD(INT((S$7-(Assumptions!$I27-WEEKDAY(Assumptions!$I27,2)+1))/7),3)=0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ISNUMBER(MATCH(MONTH(S$7),IF(Assumptions!$H27="Jan / Apr / Jul / Oct",{1,4,7,10},IF(Assumptions!$H27="Feb / May / Aug / Nov",{2,5,8,11},{3,6,9,12})),0)),
                          DATE(YEAR(S$7),MONTH(S$7),Assumptions!$G27)&gt;=S$7,
                          DATE(YEAR(S$7),MONTH(S$7),Assumptions!$G27)&lt;=S$8
                        ),
                        AND(
                          ISNUMBER(MATCH(MONTH(S$8),IF(Assumptions!$H27="Jan / Apr / Jul / Oct",{1,4,7,10},IF(Assumptions!$H27="Feb / May / Aug / Nov",{2,5,8,11},{3,6,9,12})),0)),
                          DATE(YEAR(S$8),MONTH(S$8),Assumptions!$G27)&gt;=S$7,
                          DATE(YEAR(S$8),MONTH(S$8),Assumptions!$G27)&lt;=S$8
                        )
                      ),
                    "Yes","No"),
                  "No")
                )
              )
            )
          )
        )
      )
    )
  )
)</f>
        <v>No</v>
      </c>
      <c r="T15" s="59" t="s">
        <v>124</v>
      </c>
    </row>
    <row r="16" spans="1:21" hidden="1" outlineLevel="1" x14ac:dyDescent="0.25">
      <c r="C16" s="58">
        <f>Assumptions!D28</f>
        <v>0</v>
      </c>
      <c r="D16" s="58"/>
      <c r="E16" s="58"/>
      <c r="F16" s="58"/>
      <c r="G16" s="59" t="str">
        <f>IF(
  Assumptions!$K28="Off",
  "No",
  IF(
    Assumptions!$F28="I will phase manually",
    "No",
    IF(
      Assumptions!$F28="Last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Assumptions!$F28="End of month",
        IF(
          OR(
            AND(EOMONTH(G$7,0)&gt;=G$7, EOMONTH(G$7,0)&lt;=G$8),
            AND(EOMONTH(G$8,0)&gt;=G$7, EOMONTH(G$8,0)&lt;=G$8)
          ),
        "Yes","No"),
        IF(
          Assumptions!$F28="Specific day of month",
          IF(
            OR(
              AND(DATE(YEAR(G$7),MONTH(G$7),Assumptions!$G28)&gt;=G$7, DATE(YEAR(G$7),MONTH(G$7),Assumptions!$G28)&lt;=G$8),
              AND(DATE(YEAR(G$8),MONTH(G$8),Assumptions!$G28)&gt;=G$7, DATE(YEAR(G$8),MONTH(G$8),Assumptions!$G28)&lt;=G$8)
            ),
          "Yes","No"),
          IF(
            Assumptions!$F28="Last X day of month",
            IF(
              AND(
                WEEKDAY(G$7,2)&lt;=MATCH(Assumptions!$J28,{"Monday","Tuesday","Wednesday","Thursday","Friday"},0),
                WEEKDAY(G$8,2)&gt;=MATCH(Assumptions!$J28,{"Monday","Tuesday","Wednesday","Thursday","Friday"},0),
                (G$7+(MATCH(Assumptions!$J28,{"Monday","Tuesday","Wednesday","Thursday","Friday"},0)-WEEKDAY(G$7,2)))+7&gt;EOMONTH((G$7+(MATCH(Assumptions!$J28,{"Monday","Tuesday","Wednesday","Thursday","Friday"},0)-WEEKDAY(G$7,2))),0)
              ),
            "Yes","No"),
            IF(
              Assumptions!$F28="Weekly",
              IF(
                AND(
                  WEEKDAY(G$7,2)&lt;=MATCH(Assumptions!$J28,{"Monday","Tuesday","Wednesday","Thursday","Friday"},0),
                  WEEKDAY(G$8,2)&gt;=MATCH(Assumptions!$J28,{"Monday","Tuesday","Wednesday","Thursday","Friday"},0)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AND(Assumptions!$I28&gt;=G$7, Assumptions!$I28&lt;=G$8),
                    AND(
                      Assumptions!$I28&lt;G$7,
                      MOD(INT((G$7-(Assumptions!$I28-WEEKDAY(Assumptions!$I28,2)+1))/7),2)=0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AND(Assumptions!$I28&gt;=G$7, Assumptions!$I28&lt;=G$8),
                      AND(
                        Assumptions!$I28&lt;G$7,
                        MOD(INT((G$7-(Assumptions!$I28-WEEKDAY(Assumptions!$I28,2)+1))/7),3)=0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ISNUMBER(MATCH(MONTH(G$7),IF(Assumptions!$H28="Jan / Apr / Jul / Oct",{1,4,7,10},IF(Assumptions!$H28="Feb / May / Aug / Nov",{2,5,8,11},{3,6,9,12})),0)),
                          DATE(YEAR(G$7),MONTH(G$7),Assumptions!$G28)&gt;=G$7,
                          DATE(YEAR(G$7),MONTH(G$7),Assumptions!$G28)&lt;=G$8
                        ),
                        AND(
                          ISNUMBER(MATCH(MONTH(G$8),IF(Assumptions!$H28="Jan / Apr / Jul / Oct",{1,4,7,10},IF(Assumptions!$H28="Feb / May / Aug / Nov",{2,5,8,11},{3,6,9,12})),0)),
                          DATE(YEAR(G$8),MONTH(G$8),Assumptions!$G28)&gt;=G$7,
                          DATE(YEAR(G$8),MONTH(G$8),Assumptions!$G28)&lt;=G$8
                        )
                      ),
                    "Yes","No"),
                  "No")
                )
              )
            )
          )
        )
      )
    )
  )
)</f>
        <v>No</v>
      </c>
      <c r="H16" s="59" t="str">
        <f>IF(
  Assumptions!$K28="Off",
  "No",
  IF(
    Assumptions!$F28="I will phase manually",
    "No",
    IF(
      Assumptions!$F28="Last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Assumptions!$F28="End of month",
        IF(
          OR(
            AND(EOMONTH(H$7,0)&gt;=H$7, EOMONTH(H$7,0)&lt;=H$8),
            AND(EOMONTH(H$8,0)&gt;=H$7, EOMONTH(H$8,0)&lt;=H$8)
          ),
        "Yes","No"),
        IF(
          Assumptions!$F28="Specific day of month",
          IF(
            OR(
              AND(DATE(YEAR(H$7),MONTH(H$7),Assumptions!$G28)&gt;=H$7, DATE(YEAR(H$7),MONTH(H$7),Assumptions!$G28)&lt;=H$8),
              AND(DATE(YEAR(H$8),MONTH(H$8),Assumptions!$G28)&gt;=H$7, DATE(YEAR(H$8),MONTH(H$8),Assumptions!$G28)&lt;=H$8)
            ),
          "Yes","No"),
          IF(
            Assumptions!$F28="Last X day of month",
            IF(
              AND(
                WEEKDAY(H$7,2)&lt;=MATCH(Assumptions!$J28,{"Monday","Tuesday","Wednesday","Thursday","Friday"},0),
                WEEKDAY(H$8,2)&gt;=MATCH(Assumptions!$J28,{"Monday","Tuesday","Wednesday","Thursday","Friday"},0),
                (H$7+(MATCH(Assumptions!$J28,{"Monday","Tuesday","Wednesday","Thursday","Friday"},0)-WEEKDAY(H$7,2)))+7&gt;EOMONTH((H$7+(MATCH(Assumptions!$J28,{"Monday","Tuesday","Wednesday","Thursday","Friday"},0)-WEEKDAY(H$7,2))),0)
              ),
            "Yes","No"),
            IF(
              Assumptions!$F28="Weekly",
              IF(
                AND(
                  WEEKDAY(H$7,2)&lt;=MATCH(Assumptions!$J28,{"Monday","Tuesday","Wednesday","Thursday","Friday"},0),
                  WEEKDAY(H$8,2)&gt;=MATCH(Assumptions!$J28,{"Monday","Tuesday","Wednesday","Thursday","Friday"},0)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AND(Assumptions!$I28&gt;=H$7, Assumptions!$I28&lt;=H$8),
                    AND(
                      Assumptions!$I28&lt;H$7,
                      MOD(INT((H$7-(Assumptions!$I28-WEEKDAY(Assumptions!$I28,2)+1))/7),2)=0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AND(Assumptions!$I28&gt;=H$7, Assumptions!$I28&lt;=H$8),
                      AND(
                        Assumptions!$I28&lt;H$7,
                        MOD(INT((H$7-(Assumptions!$I28-WEEKDAY(Assumptions!$I28,2)+1))/7),3)=0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ISNUMBER(MATCH(MONTH(H$7),IF(Assumptions!$H28="Jan / Apr / Jul / Oct",{1,4,7,10},IF(Assumptions!$H28="Feb / May / Aug / Nov",{2,5,8,11},{3,6,9,12})),0)),
                          DATE(YEAR(H$7),MONTH(H$7),Assumptions!$G28)&gt;=H$7,
                          DATE(YEAR(H$7),MONTH(H$7),Assumptions!$G28)&lt;=H$8
                        ),
                        AND(
                          ISNUMBER(MATCH(MONTH(H$8),IF(Assumptions!$H28="Jan / Apr / Jul / Oct",{1,4,7,10},IF(Assumptions!$H28="Feb / May / Aug / Nov",{2,5,8,11},{3,6,9,12})),0)),
                          DATE(YEAR(H$8),MONTH(H$8),Assumptions!$G28)&gt;=H$7,
                          DATE(YEAR(H$8),MONTH(H$8),Assumptions!$G28)&lt;=H$8
                        )
                      ),
                    "Yes","No"),
                  "No")
                )
              )
            )
          )
        )
      )
    )
  )
)</f>
        <v>No</v>
      </c>
      <c r="I16" s="59" t="str">
        <f>IF(
  Assumptions!$K28="Off",
  "No",
  IF(
    Assumptions!$F28="I will phase manually",
    "No",
    IF(
      Assumptions!$F28="Last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Assumptions!$F28="End of month",
        IF(
          OR(
            AND(EOMONTH(I$7,0)&gt;=I$7, EOMONTH(I$7,0)&lt;=I$8),
            AND(EOMONTH(I$8,0)&gt;=I$7, EOMONTH(I$8,0)&lt;=I$8)
          ),
        "Yes","No"),
        IF(
          Assumptions!$F28="Specific day of month",
          IF(
            OR(
              AND(DATE(YEAR(I$7),MONTH(I$7),Assumptions!$G28)&gt;=I$7, DATE(YEAR(I$7),MONTH(I$7),Assumptions!$G28)&lt;=I$8),
              AND(DATE(YEAR(I$8),MONTH(I$8),Assumptions!$G28)&gt;=I$7, DATE(YEAR(I$8),MONTH(I$8),Assumptions!$G28)&lt;=I$8)
            ),
          "Yes","No"),
          IF(
            Assumptions!$F28="Last X day of month",
            IF(
              AND(
                WEEKDAY(I$7,2)&lt;=MATCH(Assumptions!$J28,{"Monday","Tuesday","Wednesday","Thursday","Friday"},0),
                WEEKDAY(I$8,2)&gt;=MATCH(Assumptions!$J28,{"Monday","Tuesday","Wednesday","Thursday","Friday"},0),
                (I$7+(MATCH(Assumptions!$J28,{"Monday","Tuesday","Wednesday","Thursday","Friday"},0)-WEEKDAY(I$7,2)))+7&gt;EOMONTH((I$7+(MATCH(Assumptions!$J28,{"Monday","Tuesday","Wednesday","Thursday","Friday"},0)-WEEKDAY(I$7,2))),0)
              ),
            "Yes","No"),
            IF(
              Assumptions!$F28="Weekly",
              IF(
                AND(
                  WEEKDAY(I$7,2)&lt;=MATCH(Assumptions!$J28,{"Monday","Tuesday","Wednesday","Thursday","Friday"},0),
                  WEEKDAY(I$8,2)&gt;=MATCH(Assumptions!$J28,{"Monday","Tuesday","Wednesday","Thursday","Friday"},0)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AND(Assumptions!$I28&gt;=I$7, Assumptions!$I28&lt;=I$8),
                    AND(
                      Assumptions!$I28&lt;I$7,
                      MOD(INT((I$7-(Assumptions!$I28-WEEKDAY(Assumptions!$I28,2)+1))/7),2)=0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AND(Assumptions!$I28&gt;=I$7, Assumptions!$I28&lt;=I$8),
                      AND(
                        Assumptions!$I28&lt;I$7,
                        MOD(INT((I$7-(Assumptions!$I28-WEEKDAY(Assumptions!$I28,2)+1))/7),3)=0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ISNUMBER(MATCH(MONTH(I$7),IF(Assumptions!$H28="Jan / Apr / Jul / Oct",{1,4,7,10},IF(Assumptions!$H28="Feb / May / Aug / Nov",{2,5,8,11},{3,6,9,12})),0)),
                          DATE(YEAR(I$7),MONTH(I$7),Assumptions!$G28)&gt;=I$7,
                          DATE(YEAR(I$7),MONTH(I$7),Assumptions!$G28)&lt;=I$8
                        ),
                        AND(
                          ISNUMBER(MATCH(MONTH(I$8),IF(Assumptions!$H28="Jan / Apr / Jul / Oct",{1,4,7,10},IF(Assumptions!$H28="Feb / May / Aug / Nov",{2,5,8,11},{3,6,9,12})),0)),
                          DATE(YEAR(I$8),MONTH(I$8),Assumptions!$G28)&gt;=I$7,
                          DATE(YEAR(I$8),MONTH(I$8),Assumptions!$G28)&lt;=I$8
                        )
                      ),
                    "Yes","No"),
                  "No")
                )
              )
            )
          )
        )
      )
    )
  )
)</f>
        <v>No</v>
      </c>
      <c r="J16" s="59" t="str">
        <f>IF(
  Assumptions!$K28="Off",
  "No",
  IF(
    Assumptions!$F28="I will phase manually",
    "No",
    IF(
      Assumptions!$F28="Last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Assumptions!$F28="End of month",
        IF(
          OR(
            AND(EOMONTH(J$7,0)&gt;=J$7, EOMONTH(J$7,0)&lt;=J$8),
            AND(EOMONTH(J$8,0)&gt;=J$7, EOMONTH(J$8,0)&lt;=J$8)
          ),
        "Yes","No"),
        IF(
          Assumptions!$F28="Specific day of month",
          IF(
            OR(
              AND(DATE(YEAR(J$7),MONTH(J$7),Assumptions!$G28)&gt;=J$7, DATE(YEAR(J$7),MONTH(J$7),Assumptions!$G28)&lt;=J$8),
              AND(DATE(YEAR(J$8),MONTH(J$8),Assumptions!$G28)&gt;=J$7, DATE(YEAR(J$8),MONTH(J$8),Assumptions!$G28)&lt;=J$8)
            ),
          "Yes","No"),
          IF(
            Assumptions!$F28="Last X day of month",
            IF(
              AND(
                WEEKDAY(J$7,2)&lt;=MATCH(Assumptions!$J28,{"Monday","Tuesday","Wednesday","Thursday","Friday"},0),
                WEEKDAY(J$8,2)&gt;=MATCH(Assumptions!$J28,{"Monday","Tuesday","Wednesday","Thursday","Friday"},0),
                (J$7+(MATCH(Assumptions!$J28,{"Monday","Tuesday","Wednesday","Thursday","Friday"},0)-WEEKDAY(J$7,2)))+7&gt;EOMONTH((J$7+(MATCH(Assumptions!$J28,{"Monday","Tuesday","Wednesday","Thursday","Friday"},0)-WEEKDAY(J$7,2))),0)
              ),
            "Yes","No"),
            IF(
              Assumptions!$F28="Weekly",
              IF(
                AND(
                  WEEKDAY(J$7,2)&lt;=MATCH(Assumptions!$J28,{"Monday","Tuesday","Wednesday","Thursday","Friday"},0),
                  WEEKDAY(J$8,2)&gt;=MATCH(Assumptions!$J28,{"Monday","Tuesday","Wednesday","Thursday","Friday"},0)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AND(Assumptions!$I28&gt;=J$7, Assumptions!$I28&lt;=J$8),
                    AND(
                      Assumptions!$I28&lt;J$7,
                      MOD(INT((J$7-(Assumptions!$I28-WEEKDAY(Assumptions!$I28,2)+1))/7),2)=0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AND(Assumptions!$I28&gt;=J$7, Assumptions!$I28&lt;=J$8),
                      AND(
                        Assumptions!$I28&lt;J$7,
                        MOD(INT((J$7-(Assumptions!$I28-WEEKDAY(Assumptions!$I28,2)+1))/7),3)=0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ISNUMBER(MATCH(MONTH(J$7),IF(Assumptions!$H28="Jan / Apr / Jul / Oct",{1,4,7,10},IF(Assumptions!$H28="Feb / May / Aug / Nov",{2,5,8,11},{3,6,9,12})),0)),
                          DATE(YEAR(J$7),MONTH(J$7),Assumptions!$G28)&gt;=J$7,
                          DATE(YEAR(J$7),MONTH(J$7),Assumptions!$G28)&lt;=J$8
                        ),
                        AND(
                          ISNUMBER(MATCH(MONTH(J$8),IF(Assumptions!$H28="Jan / Apr / Jul / Oct",{1,4,7,10},IF(Assumptions!$H28="Feb / May / Aug / Nov",{2,5,8,11},{3,6,9,12})),0)),
                          DATE(YEAR(J$8),MONTH(J$8),Assumptions!$G28)&gt;=J$7,
                          DATE(YEAR(J$8),MONTH(J$8),Assumptions!$G28)&lt;=J$8
                        )
                      ),
                    "Yes","No"),
                  "No")
                )
              )
            )
          )
        )
      )
    )
  )
)</f>
        <v>No</v>
      </c>
      <c r="K16" s="59" t="str">
        <f>IF(
  Assumptions!$K28="Off",
  "No",
  IF(
    Assumptions!$F28="I will phase manually",
    "No",
    IF(
      Assumptions!$F28="Last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Assumptions!$F28="End of month",
        IF(
          OR(
            AND(EOMONTH(K$7,0)&gt;=K$7, EOMONTH(K$7,0)&lt;=K$8),
            AND(EOMONTH(K$8,0)&gt;=K$7, EOMONTH(K$8,0)&lt;=K$8)
          ),
        "Yes","No"),
        IF(
          Assumptions!$F28="Specific day of month",
          IF(
            OR(
              AND(DATE(YEAR(K$7),MONTH(K$7),Assumptions!$G28)&gt;=K$7, DATE(YEAR(K$7),MONTH(K$7),Assumptions!$G28)&lt;=K$8),
              AND(DATE(YEAR(K$8),MONTH(K$8),Assumptions!$G28)&gt;=K$7, DATE(YEAR(K$8),MONTH(K$8),Assumptions!$G28)&lt;=K$8)
            ),
          "Yes","No"),
          IF(
            Assumptions!$F28="Last X day of month",
            IF(
              AND(
                WEEKDAY(K$7,2)&lt;=MATCH(Assumptions!$J28,{"Monday","Tuesday","Wednesday","Thursday","Friday"},0),
                WEEKDAY(K$8,2)&gt;=MATCH(Assumptions!$J28,{"Monday","Tuesday","Wednesday","Thursday","Friday"},0),
                (K$7+(MATCH(Assumptions!$J28,{"Monday","Tuesday","Wednesday","Thursday","Friday"},0)-WEEKDAY(K$7,2)))+7&gt;EOMONTH((K$7+(MATCH(Assumptions!$J28,{"Monday","Tuesday","Wednesday","Thursday","Friday"},0)-WEEKDAY(K$7,2))),0)
              ),
            "Yes","No"),
            IF(
              Assumptions!$F28="Weekly",
              IF(
                AND(
                  WEEKDAY(K$7,2)&lt;=MATCH(Assumptions!$J28,{"Monday","Tuesday","Wednesday","Thursday","Friday"},0),
                  WEEKDAY(K$8,2)&gt;=MATCH(Assumptions!$J28,{"Monday","Tuesday","Wednesday","Thursday","Friday"},0)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AND(Assumptions!$I28&gt;=K$7, Assumptions!$I28&lt;=K$8),
                    AND(
                      Assumptions!$I28&lt;K$7,
                      MOD(INT((K$7-(Assumptions!$I28-WEEKDAY(Assumptions!$I28,2)+1))/7),2)=0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AND(Assumptions!$I28&gt;=K$7, Assumptions!$I28&lt;=K$8),
                      AND(
                        Assumptions!$I28&lt;K$7,
                        MOD(INT((K$7-(Assumptions!$I28-WEEKDAY(Assumptions!$I28,2)+1))/7),3)=0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ISNUMBER(MATCH(MONTH(K$7),IF(Assumptions!$H28="Jan / Apr / Jul / Oct",{1,4,7,10},IF(Assumptions!$H28="Feb / May / Aug / Nov",{2,5,8,11},{3,6,9,12})),0)),
                          DATE(YEAR(K$7),MONTH(K$7),Assumptions!$G28)&gt;=K$7,
                          DATE(YEAR(K$7),MONTH(K$7),Assumptions!$G28)&lt;=K$8
                        ),
                        AND(
                          ISNUMBER(MATCH(MONTH(K$8),IF(Assumptions!$H28="Jan / Apr / Jul / Oct",{1,4,7,10},IF(Assumptions!$H28="Feb / May / Aug / Nov",{2,5,8,11},{3,6,9,12})),0)),
                          DATE(YEAR(K$8),MONTH(K$8),Assumptions!$G28)&gt;=K$7,
                          DATE(YEAR(K$8),MONTH(K$8),Assumptions!$G28)&lt;=K$8
                        )
                      ),
                    "Yes","No"),
                  "No")
                )
              )
            )
          )
        )
      )
    )
  )
)</f>
        <v>No</v>
      </c>
      <c r="L16" s="59" t="str">
        <f>IF(
  Assumptions!$K28="Off",
  "No",
  IF(
    Assumptions!$F28="I will phase manually",
    "No",
    IF(
      Assumptions!$F28="Last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Assumptions!$F28="End of month",
        IF(
          OR(
            AND(EOMONTH(L$7,0)&gt;=L$7, EOMONTH(L$7,0)&lt;=L$8),
            AND(EOMONTH(L$8,0)&gt;=L$7, EOMONTH(L$8,0)&lt;=L$8)
          ),
        "Yes","No"),
        IF(
          Assumptions!$F28="Specific day of month",
          IF(
            OR(
              AND(DATE(YEAR(L$7),MONTH(L$7),Assumptions!$G28)&gt;=L$7, DATE(YEAR(L$7),MONTH(L$7),Assumptions!$G28)&lt;=L$8),
              AND(DATE(YEAR(L$8),MONTH(L$8),Assumptions!$G28)&gt;=L$7, DATE(YEAR(L$8),MONTH(L$8),Assumptions!$G28)&lt;=L$8)
            ),
          "Yes","No"),
          IF(
            Assumptions!$F28="Last X day of month",
            IF(
              AND(
                WEEKDAY(L$7,2)&lt;=MATCH(Assumptions!$J28,{"Monday","Tuesday","Wednesday","Thursday","Friday"},0),
                WEEKDAY(L$8,2)&gt;=MATCH(Assumptions!$J28,{"Monday","Tuesday","Wednesday","Thursday","Friday"},0),
                (L$7+(MATCH(Assumptions!$J28,{"Monday","Tuesday","Wednesday","Thursday","Friday"},0)-WEEKDAY(L$7,2)))+7&gt;EOMONTH((L$7+(MATCH(Assumptions!$J28,{"Monday","Tuesday","Wednesday","Thursday","Friday"},0)-WEEKDAY(L$7,2))),0)
              ),
            "Yes","No"),
            IF(
              Assumptions!$F28="Weekly",
              IF(
                AND(
                  WEEKDAY(L$7,2)&lt;=MATCH(Assumptions!$J28,{"Monday","Tuesday","Wednesday","Thursday","Friday"},0),
                  WEEKDAY(L$8,2)&gt;=MATCH(Assumptions!$J28,{"Monday","Tuesday","Wednesday","Thursday","Friday"},0)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AND(Assumptions!$I28&gt;=L$7, Assumptions!$I28&lt;=L$8),
                    AND(
                      Assumptions!$I28&lt;L$7,
                      MOD(INT((L$7-(Assumptions!$I28-WEEKDAY(Assumptions!$I28,2)+1))/7),2)=0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AND(Assumptions!$I28&gt;=L$7, Assumptions!$I28&lt;=L$8),
                      AND(
                        Assumptions!$I28&lt;L$7,
                        MOD(INT((L$7-(Assumptions!$I28-WEEKDAY(Assumptions!$I28,2)+1))/7),3)=0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ISNUMBER(MATCH(MONTH(L$7),IF(Assumptions!$H28="Jan / Apr / Jul / Oct",{1,4,7,10},IF(Assumptions!$H28="Feb / May / Aug / Nov",{2,5,8,11},{3,6,9,12})),0)),
                          DATE(YEAR(L$7),MONTH(L$7),Assumptions!$G28)&gt;=L$7,
                          DATE(YEAR(L$7),MONTH(L$7),Assumptions!$G28)&lt;=L$8
                        ),
                        AND(
                          ISNUMBER(MATCH(MONTH(L$8),IF(Assumptions!$H28="Jan / Apr / Jul / Oct",{1,4,7,10},IF(Assumptions!$H28="Feb / May / Aug / Nov",{2,5,8,11},{3,6,9,12})),0)),
                          DATE(YEAR(L$8),MONTH(L$8),Assumptions!$G28)&gt;=L$7,
                          DATE(YEAR(L$8),MONTH(L$8),Assumptions!$G28)&lt;=L$8
                        )
                      ),
                    "Yes","No"),
                  "No")
                )
              )
            )
          )
        )
      )
    )
  )
)</f>
        <v>No</v>
      </c>
      <c r="M16" s="59" t="str">
        <f>IF(
  Assumptions!$K28="Off",
  "No",
  IF(
    Assumptions!$F28="I will phase manually",
    "No",
    IF(
      Assumptions!$F28="Last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Assumptions!$F28="End of month",
        IF(
          OR(
            AND(EOMONTH(M$7,0)&gt;=M$7, EOMONTH(M$7,0)&lt;=M$8),
            AND(EOMONTH(M$8,0)&gt;=M$7, EOMONTH(M$8,0)&lt;=M$8)
          ),
        "Yes","No"),
        IF(
          Assumptions!$F28="Specific day of month",
          IF(
            OR(
              AND(DATE(YEAR(M$7),MONTH(M$7),Assumptions!$G28)&gt;=M$7, DATE(YEAR(M$7),MONTH(M$7),Assumptions!$G28)&lt;=M$8),
              AND(DATE(YEAR(M$8),MONTH(M$8),Assumptions!$G28)&gt;=M$7, DATE(YEAR(M$8),MONTH(M$8),Assumptions!$G28)&lt;=M$8)
            ),
          "Yes","No"),
          IF(
            Assumptions!$F28="Last X day of month",
            IF(
              AND(
                WEEKDAY(M$7,2)&lt;=MATCH(Assumptions!$J28,{"Monday","Tuesday","Wednesday","Thursday","Friday"},0),
                WEEKDAY(M$8,2)&gt;=MATCH(Assumptions!$J28,{"Monday","Tuesday","Wednesday","Thursday","Friday"},0),
                (M$7+(MATCH(Assumptions!$J28,{"Monday","Tuesday","Wednesday","Thursday","Friday"},0)-WEEKDAY(M$7,2)))+7&gt;EOMONTH((M$7+(MATCH(Assumptions!$J28,{"Monday","Tuesday","Wednesday","Thursday","Friday"},0)-WEEKDAY(M$7,2))),0)
              ),
            "Yes","No"),
            IF(
              Assumptions!$F28="Weekly",
              IF(
                AND(
                  WEEKDAY(M$7,2)&lt;=MATCH(Assumptions!$J28,{"Monday","Tuesday","Wednesday","Thursday","Friday"},0),
                  WEEKDAY(M$8,2)&gt;=MATCH(Assumptions!$J28,{"Monday","Tuesday","Wednesday","Thursday","Friday"},0)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AND(Assumptions!$I28&gt;=M$7, Assumptions!$I28&lt;=M$8),
                    AND(
                      Assumptions!$I28&lt;M$7,
                      MOD(INT((M$7-(Assumptions!$I28-WEEKDAY(Assumptions!$I28,2)+1))/7),2)=0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AND(Assumptions!$I28&gt;=M$7, Assumptions!$I28&lt;=M$8),
                      AND(
                        Assumptions!$I28&lt;M$7,
                        MOD(INT((M$7-(Assumptions!$I28-WEEKDAY(Assumptions!$I28,2)+1))/7),3)=0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ISNUMBER(MATCH(MONTH(M$7),IF(Assumptions!$H28="Jan / Apr / Jul / Oct",{1,4,7,10},IF(Assumptions!$H28="Feb / May / Aug / Nov",{2,5,8,11},{3,6,9,12})),0)),
                          DATE(YEAR(M$7),MONTH(M$7),Assumptions!$G28)&gt;=M$7,
                          DATE(YEAR(M$7),MONTH(M$7),Assumptions!$G28)&lt;=M$8
                        ),
                        AND(
                          ISNUMBER(MATCH(MONTH(M$8),IF(Assumptions!$H28="Jan / Apr / Jul / Oct",{1,4,7,10},IF(Assumptions!$H28="Feb / May / Aug / Nov",{2,5,8,11},{3,6,9,12})),0)),
                          DATE(YEAR(M$8),MONTH(M$8),Assumptions!$G28)&gt;=M$7,
                          DATE(YEAR(M$8),MONTH(M$8),Assumptions!$G28)&lt;=M$8
                        )
                      ),
                    "Yes","No"),
                  "No")
                )
              )
            )
          )
        )
      )
    )
  )
)</f>
        <v>No</v>
      </c>
      <c r="N16" s="59" t="str">
        <f>IF(
  Assumptions!$K28="Off",
  "No",
  IF(
    Assumptions!$F28="I will phase manually",
    "No",
    IF(
      Assumptions!$F28="Last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Assumptions!$F28="End of month",
        IF(
          OR(
            AND(EOMONTH(N$7,0)&gt;=N$7, EOMONTH(N$7,0)&lt;=N$8),
            AND(EOMONTH(N$8,0)&gt;=N$7, EOMONTH(N$8,0)&lt;=N$8)
          ),
        "Yes","No"),
        IF(
          Assumptions!$F28="Specific day of month",
          IF(
            OR(
              AND(DATE(YEAR(N$7),MONTH(N$7),Assumptions!$G28)&gt;=N$7, DATE(YEAR(N$7),MONTH(N$7),Assumptions!$G28)&lt;=N$8),
              AND(DATE(YEAR(N$8),MONTH(N$8),Assumptions!$G28)&gt;=N$7, DATE(YEAR(N$8),MONTH(N$8),Assumptions!$G28)&lt;=N$8)
            ),
          "Yes","No"),
          IF(
            Assumptions!$F28="Last X day of month",
            IF(
              AND(
                WEEKDAY(N$7,2)&lt;=MATCH(Assumptions!$J28,{"Monday","Tuesday","Wednesday","Thursday","Friday"},0),
                WEEKDAY(N$8,2)&gt;=MATCH(Assumptions!$J28,{"Monday","Tuesday","Wednesday","Thursday","Friday"},0),
                (N$7+(MATCH(Assumptions!$J28,{"Monday","Tuesday","Wednesday","Thursday","Friday"},0)-WEEKDAY(N$7,2)))+7&gt;EOMONTH((N$7+(MATCH(Assumptions!$J28,{"Monday","Tuesday","Wednesday","Thursday","Friday"},0)-WEEKDAY(N$7,2))),0)
              ),
            "Yes","No"),
            IF(
              Assumptions!$F28="Weekly",
              IF(
                AND(
                  WEEKDAY(N$7,2)&lt;=MATCH(Assumptions!$J28,{"Monday","Tuesday","Wednesday","Thursday","Friday"},0),
                  WEEKDAY(N$8,2)&gt;=MATCH(Assumptions!$J28,{"Monday","Tuesday","Wednesday","Thursday","Friday"},0)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AND(Assumptions!$I28&gt;=N$7, Assumptions!$I28&lt;=N$8),
                    AND(
                      Assumptions!$I28&lt;N$7,
                      MOD(INT((N$7-(Assumptions!$I28-WEEKDAY(Assumptions!$I28,2)+1))/7),2)=0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AND(Assumptions!$I28&gt;=N$7, Assumptions!$I28&lt;=N$8),
                      AND(
                        Assumptions!$I28&lt;N$7,
                        MOD(INT((N$7-(Assumptions!$I28-WEEKDAY(Assumptions!$I28,2)+1))/7),3)=0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ISNUMBER(MATCH(MONTH(N$7),IF(Assumptions!$H28="Jan / Apr / Jul / Oct",{1,4,7,10},IF(Assumptions!$H28="Feb / May / Aug / Nov",{2,5,8,11},{3,6,9,12})),0)),
                          DATE(YEAR(N$7),MONTH(N$7),Assumptions!$G28)&gt;=N$7,
                          DATE(YEAR(N$7),MONTH(N$7),Assumptions!$G28)&lt;=N$8
                        ),
                        AND(
                          ISNUMBER(MATCH(MONTH(N$8),IF(Assumptions!$H28="Jan / Apr / Jul / Oct",{1,4,7,10},IF(Assumptions!$H28="Feb / May / Aug / Nov",{2,5,8,11},{3,6,9,12})),0)),
                          DATE(YEAR(N$8),MONTH(N$8),Assumptions!$G28)&gt;=N$7,
                          DATE(YEAR(N$8),MONTH(N$8),Assumptions!$G28)&lt;=N$8
                        )
                      ),
                    "Yes","No"),
                  "No")
                )
              )
            )
          )
        )
      )
    )
  )
)</f>
        <v>No</v>
      </c>
      <c r="O16" s="59" t="str">
        <f>IF(
  Assumptions!$K28="Off",
  "No",
  IF(
    Assumptions!$F28="I will phase manually",
    "No",
    IF(
      Assumptions!$F28="Last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Assumptions!$F28="End of month",
        IF(
          OR(
            AND(EOMONTH(O$7,0)&gt;=O$7, EOMONTH(O$7,0)&lt;=O$8),
            AND(EOMONTH(O$8,0)&gt;=O$7, EOMONTH(O$8,0)&lt;=O$8)
          ),
        "Yes","No"),
        IF(
          Assumptions!$F28="Specific day of month",
          IF(
            OR(
              AND(DATE(YEAR(O$7),MONTH(O$7),Assumptions!$G28)&gt;=O$7, DATE(YEAR(O$7),MONTH(O$7),Assumptions!$G28)&lt;=O$8),
              AND(DATE(YEAR(O$8),MONTH(O$8),Assumptions!$G28)&gt;=O$7, DATE(YEAR(O$8),MONTH(O$8),Assumptions!$G28)&lt;=O$8)
            ),
          "Yes","No"),
          IF(
            Assumptions!$F28="Last X day of month",
            IF(
              AND(
                WEEKDAY(O$7,2)&lt;=MATCH(Assumptions!$J28,{"Monday","Tuesday","Wednesday","Thursday","Friday"},0),
                WEEKDAY(O$8,2)&gt;=MATCH(Assumptions!$J28,{"Monday","Tuesday","Wednesday","Thursday","Friday"},0),
                (O$7+(MATCH(Assumptions!$J28,{"Monday","Tuesday","Wednesday","Thursday","Friday"},0)-WEEKDAY(O$7,2)))+7&gt;EOMONTH((O$7+(MATCH(Assumptions!$J28,{"Monday","Tuesday","Wednesday","Thursday","Friday"},0)-WEEKDAY(O$7,2))),0)
              ),
            "Yes","No"),
            IF(
              Assumptions!$F28="Weekly",
              IF(
                AND(
                  WEEKDAY(O$7,2)&lt;=MATCH(Assumptions!$J28,{"Monday","Tuesday","Wednesday","Thursday","Friday"},0),
                  WEEKDAY(O$8,2)&gt;=MATCH(Assumptions!$J28,{"Monday","Tuesday","Wednesday","Thursday","Friday"},0)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AND(Assumptions!$I28&gt;=O$7, Assumptions!$I28&lt;=O$8),
                    AND(
                      Assumptions!$I28&lt;O$7,
                      MOD(INT((O$7-(Assumptions!$I28-WEEKDAY(Assumptions!$I28,2)+1))/7),2)=0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AND(Assumptions!$I28&gt;=O$7, Assumptions!$I28&lt;=O$8),
                      AND(
                        Assumptions!$I28&lt;O$7,
                        MOD(INT((O$7-(Assumptions!$I28-WEEKDAY(Assumptions!$I28,2)+1))/7),3)=0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ISNUMBER(MATCH(MONTH(O$7),IF(Assumptions!$H28="Jan / Apr / Jul / Oct",{1,4,7,10},IF(Assumptions!$H28="Feb / May / Aug / Nov",{2,5,8,11},{3,6,9,12})),0)),
                          DATE(YEAR(O$7),MONTH(O$7),Assumptions!$G28)&gt;=O$7,
                          DATE(YEAR(O$7),MONTH(O$7),Assumptions!$G28)&lt;=O$8
                        ),
                        AND(
                          ISNUMBER(MATCH(MONTH(O$8),IF(Assumptions!$H28="Jan / Apr / Jul / Oct",{1,4,7,10},IF(Assumptions!$H28="Feb / May / Aug / Nov",{2,5,8,11},{3,6,9,12})),0)),
                          DATE(YEAR(O$8),MONTH(O$8),Assumptions!$G28)&gt;=O$7,
                          DATE(YEAR(O$8),MONTH(O$8),Assumptions!$G28)&lt;=O$8
                        )
                      ),
                    "Yes","No"),
                  "No")
                )
              )
            )
          )
        )
      )
    )
  )
)</f>
        <v>No</v>
      </c>
      <c r="P16" s="59" t="str">
        <f>IF(
  Assumptions!$K28="Off",
  "No",
  IF(
    Assumptions!$F28="I will phase manually",
    "No",
    IF(
      Assumptions!$F28="Last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Assumptions!$F28="End of month",
        IF(
          OR(
            AND(EOMONTH(P$7,0)&gt;=P$7, EOMONTH(P$7,0)&lt;=P$8),
            AND(EOMONTH(P$8,0)&gt;=P$7, EOMONTH(P$8,0)&lt;=P$8)
          ),
        "Yes","No"),
        IF(
          Assumptions!$F28="Specific day of month",
          IF(
            OR(
              AND(DATE(YEAR(P$7),MONTH(P$7),Assumptions!$G28)&gt;=P$7, DATE(YEAR(P$7),MONTH(P$7),Assumptions!$G28)&lt;=P$8),
              AND(DATE(YEAR(P$8),MONTH(P$8),Assumptions!$G28)&gt;=P$7, DATE(YEAR(P$8),MONTH(P$8),Assumptions!$G28)&lt;=P$8)
            ),
          "Yes","No"),
          IF(
            Assumptions!$F28="Last X day of month",
            IF(
              AND(
                WEEKDAY(P$7,2)&lt;=MATCH(Assumptions!$J28,{"Monday","Tuesday","Wednesday","Thursday","Friday"},0),
                WEEKDAY(P$8,2)&gt;=MATCH(Assumptions!$J28,{"Monday","Tuesday","Wednesday","Thursday","Friday"},0),
                (P$7+(MATCH(Assumptions!$J28,{"Monday","Tuesday","Wednesday","Thursday","Friday"},0)-WEEKDAY(P$7,2)))+7&gt;EOMONTH((P$7+(MATCH(Assumptions!$J28,{"Monday","Tuesday","Wednesday","Thursday","Friday"},0)-WEEKDAY(P$7,2))),0)
              ),
            "Yes","No"),
            IF(
              Assumptions!$F28="Weekly",
              IF(
                AND(
                  WEEKDAY(P$7,2)&lt;=MATCH(Assumptions!$J28,{"Monday","Tuesday","Wednesday","Thursday","Friday"},0),
                  WEEKDAY(P$8,2)&gt;=MATCH(Assumptions!$J28,{"Monday","Tuesday","Wednesday","Thursday","Friday"},0)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AND(Assumptions!$I28&gt;=P$7, Assumptions!$I28&lt;=P$8),
                    AND(
                      Assumptions!$I28&lt;P$7,
                      MOD(INT((P$7-(Assumptions!$I28-WEEKDAY(Assumptions!$I28,2)+1))/7),2)=0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AND(Assumptions!$I28&gt;=P$7, Assumptions!$I28&lt;=P$8),
                      AND(
                        Assumptions!$I28&lt;P$7,
                        MOD(INT((P$7-(Assumptions!$I28-WEEKDAY(Assumptions!$I28,2)+1))/7),3)=0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ISNUMBER(MATCH(MONTH(P$7),IF(Assumptions!$H28="Jan / Apr / Jul / Oct",{1,4,7,10},IF(Assumptions!$H28="Feb / May / Aug / Nov",{2,5,8,11},{3,6,9,12})),0)),
                          DATE(YEAR(P$7),MONTH(P$7),Assumptions!$G28)&gt;=P$7,
                          DATE(YEAR(P$7),MONTH(P$7),Assumptions!$G28)&lt;=P$8
                        ),
                        AND(
                          ISNUMBER(MATCH(MONTH(P$8),IF(Assumptions!$H28="Jan / Apr / Jul / Oct",{1,4,7,10},IF(Assumptions!$H28="Feb / May / Aug / Nov",{2,5,8,11},{3,6,9,12})),0)),
                          DATE(YEAR(P$8),MONTH(P$8),Assumptions!$G28)&gt;=P$7,
                          DATE(YEAR(P$8),MONTH(P$8),Assumptions!$G28)&lt;=P$8
                        )
                      ),
                    "Yes","No"),
                  "No")
                )
              )
            )
          )
        )
      )
    )
  )
)</f>
        <v>No</v>
      </c>
      <c r="Q16" s="59" t="str">
        <f>IF(
  Assumptions!$K28="Off",
  "No",
  IF(
    Assumptions!$F28="I will phase manually",
    "No",
    IF(
      Assumptions!$F28="Last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Assumptions!$F28="End of month",
        IF(
          OR(
            AND(EOMONTH(Q$7,0)&gt;=Q$7, EOMONTH(Q$7,0)&lt;=Q$8),
            AND(EOMONTH(Q$8,0)&gt;=Q$7, EOMONTH(Q$8,0)&lt;=Q$8)
          ),
        "Yes","No"),
        IF(
          Assumptions!$F28="Specific day of month",
          IF(
            OR(
              AND(DATE(YEAR(Q$7),MONTH(Q$7),Assumptions!$G28)&gt;=Q$7, DATE(YEAR(Q$7),MONTH(Q$7),Assumptions!$G28)&lt;=Q$8),
              AND(DATE(YEAR(Q$8),MONTH(Q$8),Assumptions!$G28)&gt;=Q$7, DATE(YEAR(Q$8),MONTH(Q$8),Assumptions!$G28)&lt;=Q$8)
            ),
          "Yes","No"),
          IF(
            Assumptions!$F28="Last X day of month",
            IF(
              AND(
                WEEKDAY(Q$7,2)&lt;=MATCH(Assumptions!$J28,{"Monday","Tuesday","Wednesday","Thursday","Friday"},0),
                WEEKDAY(Q$8,2)&gt;=MATCH(Assumptions!$J28,{"Monday","Tuesday","Wednesday","Thursday","Friday"},0),
                (Q$7+(MATCH(Assumptions!$J28,{"Monday","Tuesday","Wednesday","Thursday","Friday"},0)-WEEKDAY(Q$7,2)))+7&gt;EOMONTH((Q$7+(MATCH(Assumptions!$J28,{"Monday","Tuesday","Wednesday","Thursday","Friday"},0)-WEEKDAY(Q$7,2))),0)
              ),
            "Yes","No"),
            IF(
              Assumptions!$F28="Weekly",
              IF(
                AND(
                  WEEKDAY(Q$7,2)&lt;=MATCH(Assumptions!$J28,{"Monday","Tuesday","Wednesday","Thursday","Friday"},0),
                  WEEKDAY(Q$8,2)&gt;=MATCH(Assumptions!$J28,{"Monday","Tuesday","Wednesday","Thursday","Friday"},0)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AND(Assumptions!$I28&gt;=Q$7, Assumptions!$I28&lt;=Q$8),
                    AND(
                      Assumptions!$I28&lt;Q$7,
                      MOD(INT((Q$7-(Assumptions!$I28-WEEKDAY(Assumptions!$I28,2)+1))/7),2)=0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AND(Assumptions!$I28&gt;=Q$7, Assumptions!$I28&lt;=Q$8),
                      AND(
                        Assumptions!$I28&lt;Q$7,
                        MOD(INT((Q$7-(Assumptions!$I28-WEEKDAY(Assumptions!$I28,2)+1))/7),3)=0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ISNUMBER(MATCH(MONTH(Q$7),IF(Assumptions!$H28="Jan / Apr / Jul / Oct",{1,4,7,10},IF(Assumptions!$H28="Feb / May / Aug / Nov",{2,5,8,11},{3,6,9,12})),0)),
                          DATE(YEAR(Q$7),MONTH(Q$7),Assumptions!$G28)&gt;=Q$7,
                          DATE(YEAR(Q$7),MONTH(Q$7),Assumptions!$G28)&lt;=Q$8
                        ),
                        AND(
                          ISNUMBER(MATCH(MONTH(Q$8),IF(Assumptions!$H28="Jan / Apr / Jul / Oct",{1,4,7,10},IF(Assumptions!$H28="Feb / May / Aug / Nov",{2,5,8,11},{3,6,9,12})),0)),
                          DATE(YEAR(Q$8),MONTH(Q$8),Assumptions!$G28)&gt;=Q$7,
                          DATE(YEAR(Q$8),MONTH(Q$8),Assumptions!$G28)&lt;=Q$8
                        )
                      ),
                    "Yes","No"),
                  "No")
                )
              )
            )
          )
        )
      )
    )
  )
)</f>
        <v>No</v>
      </c>
      <c r="R16" s="59" t="str">
        <f>IF(
  Assumptions!$K28="Off",
  "No",
  IF(
    Assumptions!$F28="I will phase manually",
    "No",
    IF(
      Assumptions!$F28="Last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Assumptions!$F28="End of month",
        IF(
          OR(
            AND(EOMONTH(R$7,0)&gt;=R$7, EOMONTH(R$7,0)&lt;=R$8),
            AND(EOMONTH(R$8,0)&gt;=R$7, EOMONTH(R$8,0)&lt;=R$8)
          ),
        "Yes","No"),
        IF(
          Assumptions!$F28="Specific day of month",
          IF(
            OR(
              AND(DATE(YEAR(R$7),MONTH(R$7),Assumptions!$G28)&gt;=R$7, DATE(YEAR(R$7),MONTH(R$7),Assumptions!$G28)&lt;=R$8),
              AND(DATE(YEAR(R$8),MONTH(R$8),Assumptions!$G28)&gt;=R$7, DATE(YEAR(R$8),MONTH(R$8),Assumptions!$G28)&lt;=R$8)
            ),
          "Yes","No"),
          IF(
            Assumptions!$F28="Last X day of month",
            IF(
              AND(
                WEEKDAY(R$7,2)&lt;=MATCH(Assumptions!$J28,{"Monday","Tuesday","Wednesday","Thursday","Friday"},0),
                WEEKDAY(R$8,2)&gt;=MATCH(Assumptions!$J28,{"Monday","Tuesday","Wednesday","Thursday","Friday"},0),
                (R$7+(MATCH(Assumptions!$J28,{"Monday","Tuesday","Wednesday","Thursday","Friday"},0)-WEEKDAY(R$7,2)))+7&gt;EOMONTH((R$7+(MATCH(Assumptions!$J28,{"Monday","Tuesday","Wednesday","Thursday","Friday"},0)-WEEKDAY(R$7,2))),0)
              ),
            "Yes","No"),
            IF(
              Assumptions!$F28="Weekly",
              IF(
                AND(
                  WEEKDAY(R$7,2)&lt;=MATCH(Assumptions!$J28,{"Monday","Tuesday","Wednesday","Thursday","Friday"},0),
                  WEEKDAY(R$8,2)&gt;=MATCH(Assumptions!$J28,{"Monday","Tuesday","Wednesday","Thursday","Friday"},0)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AND(Assumptions!$I28&gt;=R$7, Assumptions!$I28&lt;=R$8),
                    AND(
                      Assumptions!$I28&lt;R$7,
                      MOD(INT((R$7-(Assumptions!$I28-WEEKDAY(Assumptions!$I28,2)+1))/7),2)=0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AND(Assumptions!$I28&gt;=R$7, Assumptions!$I28&lt;=R$8),
                      AND(
                        Assumptions!$I28&lt;R$7,
                        MOD(INT((R$7-(Assumptions!$I28-WEEKDAY(Assumptions!$I28,2)+1))/7),3)=0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ISNUMBER(MATCH(MONTH(R$7),IF(Assumptions!$H28="Jan / Apr / Jul / Oct",{1,4,7,10},IF(Assumptions!$H28="Feb / May / Aug / Nov",{2,5,8,11},{3,6,9,12})),0)),
                          DATE(YEAR(R$7),MONTH(R$7),Assumptions!$G28)&gt;=R$7,
                          DATE(YEAR(R$7),MONTH(R$7),Assumptions!$G28)&lt;=R$8
                        ),
                        AND(
                          ISNUMBER(MATCH(MONTH(R$8),IF(Assumptions!$H28="Jan / Apr / Jul / Oct",{1,4,7,10},IF(Assumptions!$H28="Feb / May / Aug / Nov",{2,5,8,11},{3,6,9,12})),0)),
                          DATE(YEAR(R$8),MONTH(R$8),Assumptions!$G28)&gt;=R$7,
                          DATE(YEAR(R$8),MONTH(R$8),Assumptions!$G28)&lt;=R$8
                        )
                      ),
                    "Yes","No"),
                  "No")
                )
              )
            )
          )
        )
      )
    )
  )
)</f>
        <v>No</v>
      </c>
      <c r="S16" s="59" t="str">
        <f>IF(
  Assumptions!$K28="Off",
  "No",
  IF(
    Assumptions!$F28="I will phase manually",
    "No",
    IF(
      Assumptions!$F28="Last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Assumptions!$F28="End of month",
        IF(
          OR(
            AND(EOMONTH(S$7,0)&gt;=S$7, EOMONTH(S$7,0)&lt;=S$8),
            AND(EOMONTH(S$8,0)&gt;=S$7, EOMONTH(S$8,0)&lt;=S$8)
          ),
        "Yes","No"),
        IF(
          Assumptions!$F28="Specific day of month",
          IF(
            OR(
              AND(DATE(YEAR(S$7),MONTH(S$7),Assumptions!$G28)&gt;=S$7, DATE(YEAR(S$7),MONTH(S$7),Assumptions!$G28)&lt;=S$8),
              AND(DATE(YEAR(S$8),MONTH(S$8),Assumptions!$G28)&gt;=S$7, DATE(YEAR(S$8),MONTH(S$8),Assumptions!$G28)&lt;=S$8)
            ),
          "Yes","No"),
          IF(
            Assumptions!$F28="Last X day of month",
            IF(
              AND(
                WEEKDAY(S$7,2)&lt;=MATCH(Assumptions!$J28,{"Monday","Tuesday","Wednesday","Thursday","Friday"},0),
                WEEKDAY(S$8,2)&gt;=MATCH(Assumptions!$J28,{"Monday","Tuesday","Wednesday","Thursday","Friday"},0),
                (S$7+(MATCH(Assumptions!$J28,{"Monday","Tuesday","Wednesday","Thursday","Friday"},0)-WEEKDAY(S$7,2)))+7&gt;EOMONTH((S$7+(MATCH(Assumptions!$J28,{"Monday","Tuesday","Wednesday","Thursday","Friday"},0)-WEEKDAY(S$7,2))),0)
              ),
            "Yes","No"),
            IF(
              Assumptions!$F28="Weekly",
              IF(
                AND(
                  WEEKDAY(S$7,2)&lt;=MATCH(Assumptions!$J28,{"Monday","Tuesday","Wednesday","Thursday","Friday"},0),
                  WEEKDAY(S$8,2)&gt;=MATCH(Assumptions!$J28,{"Monday","Tuesday","Wednesday","Thursday","Friday"},0)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AND(Assumptions!$I28&gt;=S$7, Assumptions!$I28&lt;=S$8),
                    AND(
                      Assumptions!$I28&lt;S$7,
                      MOD(INT((S$7-(Assumptions!$I28-WEEKDAY(Assumptions!$I28,2)+1))/7),2)=0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AND(Assumptions!$I28&gt;=S$7, Assumptions!$I28&lt;=S$8),
                      AND(
                        Assumptions!$I28&lt;S$7,
                        MOD(INT((S$7-(Assumptions!$I28-WEEKDAY(Assumptions!$I28,2)+1))/7),3)=0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ISNUMBER(MATCH(MONTH(S$7),IF(Assumptions!$H28="Jan / Apr / Jul / Oct",{1,4,7,10},IF(Assumptions!$H28="Feb / May / Aug / Nov",{2,5,8,11},{3,6,9,12})),0)),
                          DATE(YEAR(S$7),MONTH(S$7),Assumptions!$G28)&gt;=S$7,
                          DATE(YEAR(S$7),MONTH(S$7),Assumptions!$G28)&lt;=S$8
                        ),
                        AND(
                          ISNUMBER(MATCH(MONTH(S$8),IF(Assumptions!$H28="Jan / Apr / Jul / Oct",{1,4,7,10},IF(Assumptions!$H28="Feb / May / Aug / Nov",{2,5,8,11},{3,6,9,12})),0)),
                          DATE(YEAR(S$8),MONTH(S$8),Assumptions!$G28)&gt;=S$7,
                          DATE(YEAR(S$8),MONTH(S$8),Assumptions!$G28)&lt;=S$8
                        )
                      ),
                    "Yes","No"),
                  "No")
                )
              )
            )
          )
        )
      )
    )
  )
)</f>
        <v>No</v>
      </c>
      <c r="T16" s="59" t="s">
        <v>124</v>
      </c>
    </row>
    <row r="17" spans="3:20" hidden="1" outlineLevel="1" x14ac:dyDescent="0.25">
      <c r="C17" s="58">
        <f>Assumptions!D29</f>
        <v>0</v>
      </c>
      <c r="D17" s="58"/>
      <c r="E17" s="58"/>
      <c r="F17" s="58"/>
      <c r="G17" s="59" t="str">
        <f>IF(
  Assumptions!$K29="Off",
  "No",
  IF(
    Assumptions!$F29="I will phase manually",
    "No",
    IF(
      Assumptions!$F29="Last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Assumptions!$F29="End of month",
        IF(
          OR(
            AND(EOMONTH(G$7,0)&gt;=G$7, EOMONTH(G$7,0)&lt;=G$8),
            AND(EOMONTH(G$8,0)&gt;=G$7, EOMONTH(G$8,0)&lt;=G$8)
          ),
        "Yes","No"),
        IF(
          Assumptions!$F29="Specific day of month",
          IF(
            OR(
              AND(DATE(YEAR(G$7),MONTH(G$7),Assumptions!$G29)&gt;=G$7, DATE(YEAR(G$7),MONTH(G$7),Assumptions!$G29)&lt;=G$8),
              AND(DATE(YEAR(G$8),MONTH(G$8),Assumptions!$G29)&gt;=G$7, DATE(YEAR(G$8),MONTH(G$8),Assumptions!$G29)&lt;=G$8)
            ),
          "Yes","No"),
          IF(
            Assumptions!$F29="Last X day of month",
            IF(
              AND(
                WEEKDAY(G$7,2)&lt;=MATCH(Assumptions!$J29,{"Monday","Tuesday","Wednesday","Thursday","Friday"},0),
                WEEKDAY(G$8,2)&gt;=MATCH(Assumptions!$J29,{"Monday","Tuesday","Wednesday","Thursday","Friday"},0),
                (G$7+(MATCH(Assumptions!$J29,{"Monday","Tuesday","Wednesday","Thursday","Friday"},0)-WEEKDAY(G$7,2)))+7&gt;EOMONTH((G$7+(MATCH(Assumptions!$J29,{"Monday","Tuesday","Wednesday","Thursday","Friday"},0)-WEEKDAY(G$7,2))),0)
              ),
            "Yes","No"),
            IF(
              Assumptions!$F29="Weekly",
              IF(
                AND(
                  WEEKDAY(G$7,2)&lt;=MATCH(Assumptions!$J29,{"Monday","Tuesday","Wednesday","Thursday","Friday"},0),
                  WEEKDAY(G$8,2)&gt;=MATCH(Assumptions!$J29,{"Monday","Tuesday","Wednesday","Thursday","Friday"},0)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AND(Assumptions!$I29&gt;=G$7, Assumptions!$I29&lt;=G$8),
                    AND(
                      Assumptions!$I29&lt;G$7,
                      MOD(INT((G$7-(Assumptions!$I29-WEEKDAY(Assumptions!$I29,2)+1))/7),2)=0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AND(Assumptions!$I29&gt;=G$7, Assumptions!$I29&lt;=G$8),
                      AND(
                        Assumptions!$I29&lt;G$7,
                        MOD(INT((G$7-(Assumptions!$I29-WEEKDAY(Assumptions!$I29,2)+1))/7),3)=0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ISNUMBER(MATCH(MONTH(G$7),IF(Assumptions!$H29="Jan / Apr / Jul / Oct",{1,4,7,10},IF(Assumptions!$H29="Feb / May / Aug / Nov",{2,5,8,11},{3,6,9,12})),0)),
                          DATE(YEAR(G$7),MONTH(G$7),Assumptions!$G29)&gt;=G$7,
                          DATE(YEAR(G$7),MONTH(G$7),Assumptions!$G29)&lt;=G$8
                        ),
                        AND(
                          ISNUMBER(MATCH(MONTH(G$8),IF(Assumptions!$H29="Jan / Apr / Jul / Oct",{1,4,7,10},IF(Assumptions!$H29="Feb / May / Aug / Nov",{2,5,8,11},{3,6,9,12})),0)),
                          DATE(YEAR(G$8),MONTH(G$8),Assumptions!$G29)&gt;=G$7,
                          DATE(YEAR(G$8),MONTH(G$8),Assumptions!$G29)&lt;=G$8
                        )
                      ),
                    "Yes","No"),
                  "No")
                )
              )
            )
          )
        )
      )
    )
  )
)</f>
        <v>No</v>
      </c>
      <c r="H17" s="59" t="str">
        <f>IF(
  Assumptions!$K29="Off",
  "No",
  IF(
    Assumptions!$F29="I will phase manually",
    "No",
    IF(
      Assumptions!$F29="Last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Assumptions!$F29="End of month",
        IF(
          OR(
            AND(EOMONTH(H$7,0)&gt;=H$7, EOMONTH(H$7,0)&lt;=H$8),
            AND(EOMONTH(H$8,0)&gt;=H$7, EOMONTH(H$8,0)&lt;=H$8)
          ),
        "Yes","No"),
        IF(
          Assumptions!$F29="Specific day of month",
          IF(
            OR(
              AND(DATE(YEAR(H$7),MONTH(H$7),Assumptions!$G29)&gt;=H$7, DATE(YEAR(H$7),MONTH(H$7),Assumptions!$G29)&lt;=H$8),
              AND(DATE(YEAR(H$8),MONTH(H$8),Assumptions!$G29)&gt;=H$7, DATE(YEAR(H$8),MONTH(H$8),Assumptions!$G29)&lt;=H$8)
            ),
          "Yes","No"),
          IF(
            Assumptions!$F29="Last X day of month",
            IF(
              AND(
                WEEKDAY(H$7,2)&lt;=MATCH(Assumptions!$J29,{"Monday","Tuesday","Wednesday","Thursday","Friday"},0),
                WEEKDAY(H$8,2)&gt;=MATCH(Assumptions!$J29,{"Monday","Tuesday","Wednesday","Thursday","Friday"},0),
                (H$7+(MATCH(Assumptions!$J29,{"Monday","Tuesday","Wednesday","Thursday","Friday"},0)-WEEKDAY(H$7,2)))+7&gt;EOMONTH((H$7+(MATCH(Assumptions!$J29,{"Monday","Tuesday","Wednesday","Thursday","Friday"},0)-WEEKDAY(H$7,2))),0)
              ),
            "Yes","No"),
            IF(
              Assumptions!$F29="Weekly",
              IF(
                AND(
                  WEEKDAY(H$7,2)&lt;=MATCH(Assumptions!$J29,{"Monday","Tuesday","Wednesday","Thursday","Friday"},0),
                  WEEKDAY(H$8,2)&gt;=MATCH(Assumptions!$J29,{"Monday","Tuesday","Wednesday","Thursday","Friday"},0)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AND(Assumptions!$I29&gt;=H$7, Assumptions!$I29&lt;=H$8),
                    AND(
                      Assumptions!$I29&lt;H$7,
                      MOD(INT((H$7-(Assumptions!$I29-WEEKDAY(Assumptions!$I29,2)+1))/7),2)=0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AND(Assumptions!$I29&gt;=H$7, Assumptions!$I29&lt;=H$8),
                      AND(
                        Assumptions!$I29&lt;H$7,
                        MOD(INT((H$7-(Assumptions!$I29-WEEKDAY(Assumptions!$I29,2)+1))/7),3)=0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ISNUMBER(MATCH(MONTH(H$7),IF(Assumptions!$H29="Jan / Apr / Jul / Oct",{1,4,7,10},IF(Assumptions!$H29="Feb / May / Aug / Nov",{2,5,8,11},{3,6,9,12})),0)),
                          DATE(YEAR(H$7),MONTH(H$7),Assumptions!$G29)&gt;=H$7,
                          DATE(YEAR(H$7),MONTH(H$7),Assumptions!$G29)&lt;=H$8
                        ),
                        AND(
                          ISNUMBER(MATCH(MONTH(H$8),IF(Assumptions!$H29="Jan / Apr / Jul / Oct",{1,4,7,10},IF(Assumptions!$H29="Feb / May / Aug / Nov",{2,5,8,11},{3,6,9,12})),0)),
                          DATE(YEAR(H$8),MONTH(H$8),Assumptions!$G29)&gt;=H$7,
                          DATE(YEAR(H$8),MONTH(H$8),Assumptions!$G29)&lt;=H$8
                        )
                      ),
                    "Yes","No"),
                  "No")
                )
              )
            )
          )
        )
      )
    )
  )
)</f>
        <v>No</v>
      </c>
      <c r="I17" s="59" t="str">
        <f>IF(
  Assumptions!$K29="Off",
  "No",
  IF(
    Assumptions!$F29="I will phase manually",
    "No",
    IF(
      Assumptions!$F29="Last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Assumptions!$F29="End of month",
        IF(
          OR(
            AND(EOMONTH(I$7,0)&gt;=I$7, EOMONTH(I$7,0)&lt;=I$8),
            AND(EOMONTH(I$8,0)&gt;=I$7, EOMONTH(I$8,0)&lt;=I$8)
          ),
        "Yes","No"),
        IF(
          Assumptions!$F29="Specific day of month",
          IF(
            OR(
              AND(DATE(YEAR(I$7),MONTH(I$7),Assumptions!$G29)&gt;=I$7, DATE(YEAR(I$7),MONTH(I$7),Assumptions!$G29)&lt;=I$8),
              AND(DATE(YEAR(I$8),MONTH(I$8),Assumptions!$G29)&gt;=I$7, DATE(YEAR(I$8),MONTH(I$8),Assumptions!$G29)&lt;=I$8)
            ),
          "Yes","No"),
          IF(
            Assumptions!$F29="Last X day of month",
            IF(
              AND(
                WEEKDAY(I$7,2)&lt;=MATCH(Assumptions!$J29,{"Monday","Tuesday","Wednesday","Thursday","Friday"},0),
                WEEKDAY(I$8,2)&gt;=MATCH(Assumptions!$J29,{"Monday","Tuesday","Wednesday","Thursday","Friday"},0),
                (I$7+(MATCH(Assumptions!$J29,{"Monday","Tuesday","Wednesday","Thursday","Friday"},0)-WEEKDAY(I$7,2)))+7&gt;EOMONTH((I$7+(MATCH(Assumptions!$J29,{"Monday","Tuesday","Wednesday","Thursday","Friday"},0)-WEEKDAY(I$7,2))),0)
              ),
            "Yes","No"),
            IF(
              Assumptions!$F29="Weekly",
              IF(
                AND(
                  WEEKDAY(I$7,2)&lt;=MATCH(Assumptions!$J29,{"Monday","Tuesday","Wednesday","Thursday","Friday"},0),
                  WEEKDAY(I$8,2)&gt;=MATCH(Assumptions!$J29,{"Monday","Tuesday","Wednesday","Thursday","Friday"},0)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AND(Assumptions!$I29&gt;=I$7, Assumptions!$I29&lt;=I$8),
                    AND(
                      Assumptions!$I29&lt;I$7,
                      MOD(INT((I$7-(Assumptions!$I29-WEEKDAY(Assumptions!$I29,2)+1))/7),2)=0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AND(Assumptions!$I29&gt;=I$7, Assumptions!$I29&lt;=I$8),
                      AND(
                        Assumptions!$I29&lt;I$7,
                        MOD(INT((I$7-(Assumptions!$I29-WEEKDAY(Assumptions!$I29,2)+1))/7),3)=0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ISNUMBER(MATCH(MONTH(I$7),IF(Assumptions!$H29="Jan / Apr / Jul / Oct",{1,4,7,10},IF(Assumptions!$H29="Feb / May / Aug / Nov",{2,5,8,11},{3,6,9,12})),0)),
                          DATE(YEAR(I$7),MONTH(I$7),Assumptions!$G29)&gt;=I$7,
                          DATE(YEAR(I$7),MONTH(I$7),Assumptions!$G29)&lt;=I$8
                        ),
                        AND(
                          ISNUMBER(MATCH(MONTH(I$8),IF(Assumptions!$H29="Jan / Apr / Jul / Oct",{1,4,7,10},IF(Assumptions!$H29="Feb / May / Aug / Nov",{2,5,8,11},{3,6,9,12})),0)),
                          DATE(YEAR(I$8),MONTH(I$8),Assumptions!$G29)&gt;=I$7,
                          DATE(YEAR(I$8),MONTH(I$8),Assumptions!$G29)&lt;=I$8
                        )
                      ),
                    "Yes","No"),
                  "No")
                )
              )
            )
          )
        )
      )
    )
  )
)</f>
        <v>No</v>
      </c>
      <c r="J17" s="59" t="str">
        <f>IF(
  Assumptions!$K29="Off",
  "No",
  IF(
    Assumptions!$F29="I will phase manually",
    "No",
    IF(
      Assumptions!$F29="Last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Assumptions!$F29="End of month",
        IF(
          OR(
            AND(EOMONTH(J$7,0)&gt;=J$7, EOMONTH(J$7,0)&lt;=J$8),
            AND(EOMONTH(J$8,0)&gt;=J$7, EOMONTH(J$8,0)&lt;=J$8)
          ),
        "Yes","No"),
        IF(
          Assumptions!$F29="Specific day of month",
          IF(
            OR(
              AND(DATE(YEAR(J$7),MONTH(J$7),Assumptions!$G29)&gt;=J$7, DATE(YEAR(J$7),MONTH(J$7),Assumptions!$G29)&lt;=J$8),
              AND(DATE(YEAR(J$8),MONTH(J$8),Assumptions!$G29)&gt;=J$7, DATE(YEAR(J$8),MONTH(J$8),Assumptions!$G29)&lt;=J$8)
            ),
          "Yes","No"),
          IF(
            Assumptions!$F29="Last X day of month",
            IF(
              AND(
                WEEKDAY(J$7,2)&lt;=MATCH(Assumptions!$J29,{"Monday","Tuesday","Wednesday","Thursday","Friday"},0),
                WEEKDAY(J$8,2)&gt;=MATCH(Assumptions!$J29,{"Monday","Tuesday","Wednesday","Thursday","Friday"},0),
                (J$7+(MATCH(Assumptions!$J29,{"Monday","Tuesday","Wednesday","Thursday","Friday"},0)-WEEKDAY(J$7,2)))+7&gt;EOMONTH((J$7+(MATCH(Assumptions!$J29,{"Monday","Tuesday","Wednesday","Thursday","Friday"},0)-WEEKDAY(J$7,2))),0)
              ),
            "Yes","No"),
            IF(
              Assumptions!$F29="Weekly",
              IF(
                AND(
                  WEEKDAY(J$7,2)&lt;=MATCH(Assumptions!$J29,{"Monday","Tuesday","Wednesday","Thursday","Friday"},0),
                  WEEKDAY(J$8,2)&gt;=MATCH(Assumptions!$J29,{"Monday","Tuesday","Wednesday","Thursday","Friday"},0)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AND(Assumptions!$I29&gt;=J$7, Assumptions!$I29&lt;=J$8),
                    AND(
                      Assumptions!$I29&lt;J$7,
                      MOD(INT((J$7-(Assumptions!$I29-WEEKDAY(Assumptions!$I29,2)+1))/7),2)=0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AND(Assumptions!$I29&gt;=J$7, Assumptions!$I29&lt;=J$8),
                      AND(
                        Assumptions!$I29&lt;J$7,
                        MOD(INT((J$7-(Assumptions!$I29-WEEKDAY(Assumptions!$I29,2)+1))/7),3)=0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ISNUMBER(MATCH(MONTH(J$7),IF(Assumptions!$H29="Jan / Apr / Jul / Oct",{1,4,7,10},IF(Assumptions!$H29="Feb / May / Aug / Nov",{2,5,8,11},{3,6,9,12})),0)),
                          DATE(YEAR(J$7),MONTH(J$7),Assumptions!$G29)&gt;=J$7,
                          DATE(YEAR(J$7),MONTH(J$7),Assumptions!$G29)&lt;=J$8
                        ),
                        AND(
                          ISNUMBER(MATCH(MONTH(J$8),IF(Assumptions!$H29="Jan / Apr / Jul / Oct",{1,4,7,10},IF(Assumptions!$H29="Feb / May / Aug / Nov",{2,5,8,11},{3,6,9,12})),0)),
                          DATE(YEAR(J$8),MONTH(J$8),Assumptions!$G29)&gt;=J$7,
                          DATE(YEAR(J$8),MONTH(J$8),Assumptions!$G29)&lt;=J$8
                        )
                      ),
                    "Yes","No"),
                  "No")
                )
              )
            )
          )
        )
      )
    )
  )
)</f>
        <v>No</v>
      </c>
      <c r="K17" s="59" t="str">
        <f>IF(
  Assumptions!$K29="Off",
  "No",
  IF(
    Assumptions!$F29="I will phase manually",
    "No",
    IF(
      Assumptions!$F29="Last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Assumptions!$F29="End of month",
        IF(
          OR(
            AND(EOMONTH(K$7,0)&gt;=K$7, EOMONTH(K$7,0)&lt;=K$8),
            AND(EOMONTH(K$8,0)&gt;=K$7, EOMONTH(K$8,0)&lt;=K$8)
          ),
        "Yes","No"),
        IF(
          Assumptions!$F29="Specific day of month",
          IF(
            OR(
              AND(DATE(YEAR(K$7),MONTH(K$7),Assumptions!$G29)&gt;=K$7, DATE(YEAR(K$7),MONTH(K$7),Assumptions!$G29)&lt;=K$8),
              AND(DATE(YEAR(K$8),MONTH(K$8),Assumptions!$G29)&gt;=K$7, DATE(YEAR(K$8),MONTH(K$8),Assumptions!$G29)&lt;=K$8)
            ),
          "Yes","No"),
          IF(
            Assumptions!$F29="Last X day of month",
            IF(
              AND(
                WEEKDAY(K$7,2)&lt;=MATCH(Assumptions!$J29,{"Monday","Tuesday","Wednesday","Thursday","Friday"},0),
                WEEKDAY(K$8,2)&gt;=MATCH(Assumptions!$J29,{"Monday","Tuesday","Wednesday","Thursday","Friday"},0),
                (K$7+(MATCH(Assumptions!$J29,{"Monday","Tuesday","Wednesday","Thursday","Friday"},0)-WEEKDAY(K$7,2)))+7&gt;EOMONTH((K$7+(MATCH(Assumptions!$J29,{"Monday","Tuesday","Wednesday","Thursday","Friday"},0)-WEEKDAY(K$7,2))),0)
              ),
            "Yes","No"),
            IF(
              Assumptions!$F29="Weekly",
              IF(
                AND(
                  WEEKDAY(K$7,2)&lt;=MATCH(Assumptions!$J29,{"Monday","Tuesday","Wednesday","Thursday","Friday"},0),
                  WEEKDAY(K$8,2)&gt;=MATCH(Assumptions!$J29,{"Monday","Tuesday","Wednesday","Thursday","Friday"},0)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AND(Assumptions!$I29&gt;=K$7, Assumptions!$I29&lt;=K$8),
                    AND(
                      Assumptions!$I29&lt;K$7,
                      MOD(INT((K$7-(Assumptions!$I29-WEEKDAY(Assumptions!$I29,2)+1))/7),2)=0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AND(Assumptions!$I29&gt;=K$7, Assumptions!$I29&lt;=K$8),
                      AND(
                        Assumptions!$I29&lt;K$7,
                        MOD(INT((K$7-(Assumptions!$I29-WEEKDAY(Assumptions!$I29,2)+1))/7),3)=0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ISNUMBER(MATCH(MONTH(K$7),IF(Assumptions!$H29="Jan / Apr / Jul / Oct",{1,4,7,10},IF(Assumptions!$H29="Feb / May / Aug / Nov",{2,5,8,11},{3,6,9,12})),0)),
                          DATE(YEAR(K$7),MONTH(K$7),Assumptions!$G29)&gt;=K$7,
                          DATE(YEAR(K$7),MONTH(K$7),Assumptions!$G29)&lt;=K$8
                        ),
                        AND(
                          ISNUMBER(MATCH(MONTH(K$8),IF(Assumptions!$H29="Jan / Apr / Jul / Oct",{1,4,7,10},IF(Assumptions!$H29="Feb / May / Aug / Nov",{2,5,8,11},{3,6,9,12})),0)),
                          DATE(YEAR(K$8),MONTH(K$8),Assumptions!$G29)&gt;=K$7,
                          DATE(YEAR(K$8),MONTH(K$8),Assumptions!$G29)&lt;=K$8
                        )
                      ),
                    "Yes","No"),
                  "No")
                )
              )
            )
          )
        )
      )
    )
  )
)</f>
        <v>No</v>
      </c>
      <c r="L17" s="59" t="str">
        <f>IF(
  Assumptions!$K29="Off",
  "No",
  IF(
    Assumptions!$F29="I will phase manually",
    "No",
    IF(
      Assumptions!$F29="Last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Assumptions!$F29="End of month",
        IF(
          OR(
            AND(EOMONTH(L$7,0)&gt;=L$7, EOMONTH(L$7,0)&lt;=L$8),
            AND(EOMONTH(L$8,0)&gt;=L$7, EOMONTH(L$8,0)&lt;=L$8)
          ),
        "Yes","No"),
        IF(
          Assumptions!$F29="Specific day of month",
          IF(
            OR(
              AND(DATE(YEAR(L$7),MONTH(L$7),Assumptions!$G29)&gt;=L$7, DATE(YEAR(L$7),MONTH(L$7),Assumptions!$G29)&lt;=L$8),
              AND(DATE(YEAR(L$8),MONTH(L$8),Assumptions!$G29)&gt;=L$7, DATE(YEAR(L$8),MONTH(L$8),Assumptions!$G29)&lt;=L$8)
            ),
          "Yes","No"),
          IF(
            Assumptions!$F29="Last X day of month",
            IF(
              AND(
                WEEKDAY(L$7,2)&lt;=MATCH(Assumptions!$J29,{"Monday","Tuesday","Wednesday","Thursday","Friday"},0),
                WEEKDAY(L$8,2)&gt;=MATCH(Assumptions!$J29,{"Monday","Tuesday","Wednesday","Thursday","Friday"},0),
                (L$7+(MATCH(Assumptions!$J29,{"Monday","Tuesday","Wednesday","Thursday","Friday"},0)-WEEKDAY(L$7,2)))+7&gt;EOMONTH((L$7+(MATCH(Assumptions!$J29,{"Monday","Tuesday","Wednesday","Thursday","Friday"},0)-WEEKDAY(L$7,2))),0)
              ),
            "Yes","No"),
            IF(
              Assumptions!$F29="Weekly",
              IF(
                AND(
                  WEEKDAY(L$7,2)&lt;=MATCH(Assumptions!$J29,{"Monday","Tuesday","Wednesday","Thursday","Friday"},0),
                  WEEKDAY(L$8,2)&gt;=MATCH(Assumptions!$J29,{"Monday","Tuesday","Wednesday","Thursday","Friday"},0)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AND(Assumptions!$I29&gt;=L$7, Assumptions!$I29&lt;=L$8),
                    AND(
                      Assumptions!$I29&lt;L$7,
                      MOD(INT((L$7-(Assumptions!$I29-WEEKDAY(Assumptions!$I29,2)+1))/7),2)=0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AND(Assumptions!$I29&gt;=L$7, Assumptions!$I29&lt;=L$8),
                      AND(
                        Assumptions!$I29&lt;L$7,
                        MOD(INT((L$7-(Assumptions!$I29-WEEKDAY(Assumptions!$I29,2)+1))/7),3)=0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ISNUMBER(MATCH(MONTH(L$7),IF(Assumptions!$H29="Jan / Apr / Jul / Oct",{1,4,7,10},IF(Assumptions!$H29="Feb / May / Aug / Nov",{2,5,8,11},{3,6,9,12})),0)),
                          DATE(YEAR(L$7),MONTH(L$7),Assumptions!$G29)&gt;=L$7,
                          DATE(YEAR(L$7),MONTH(L$7),Assumptions!$G29)&lt;=L$8
                        ),
                        AND(
                          ISNUMBER(MATCH(MONTH(L$8),IF(Assumptions!$H29="Jan / Apr / Jul / Oct",{1,4,7,10},IF(Assumptions!$H29="Feb / May / Aug / Nov",{2,5,8,11},{3,6,9,12})),0)),
                          DATE(YEAR(L$8),MONTH(L$8),Assumptions!$G29)&gt;=L$7,
                          DATE(YEAR(L$8),MONTH(L$8),Assumptions!$G29)&lt;=L$8
                        )
                      ),
                    "Yes","No"),
                  "No")
                )
              )
            )
          )
        )
      )
    )
  )
)</f>
        <v>No</v>
      </c>
      <c r="M17" s="59" t="str">
        <f>IF(
  Assumptions!$K29="Off",
  "No",
  IF(
    Assumptions!$F29="I will phase manually",
    "No",
    IF(
      Assumptions!$F29="Last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Assumptions!$F29="End of month",
        IF(
          OR(
            AND(EOMONTH(M$7,0)&gt;=M$7, EOMONTH(M$7,0)&lt;=M$8),
            AND(EOMONTH(M$8,0)&gt;=M$7, EOMONTH(M$8,0)&lt;=M$8)
          ),
        "Yes","No"),
        IF(
          Assumptions!$F29="Specific day of month",
          IF(
            OR(
              AND(DATE(YEAR(M$7),MONTH(M$7),Assumptions!$G29)&gt;=M$7, DATE(YEAR(M$7),MONTH(M$7),Assumptions!$G29)&lt;=M$8),
              AND(DATE(YEAR(M$8),MONTH(M$8),Assumptions!$G29)&gt;=M$7, DATE(YEAR(M$8),MONTH(M$8),Assumptions!$G29)&lt;=M$8)
            ),
          "Yes","No"),
          IF(
            Assumptions!$F29="Last X day of month",
            IF(
              AND(
                WEEKDAY(M$7,2)&lt;=MATCH(Assumptions!$J29,{"Monday","Tuesday","Wednesday","Thursday","Friday"},0),
                WEEKDAY(M$8,2)&gt;=MATCH(Assumptions!$J29,{"Monday","Tuesday","Wednesday","Thursday","Friday"},0),
                (M$7+(MATCH(Assumptions!$J29,{"Monday","Tuesday","Wednesday","Thursday","Friday"},0)-WEEKDAY(M$7,2)))+7&gt;EOMONTH((M$7+(MATCH(Assumptions!$J29,{"Monday","Tuesday","Wednesday","Thursday","Friday"},0)-WEEKDAY(M$7,2))),0)
              ),
            "Yes","No"),
            IF(
              Assumptions!$F29="Weekly",
              IF(
                AND(
                  WEEKDAY(M$7,2)&lt;=MATCH(Assumptions!$J29,{"Monday","Tuesday","Wednesday","Thursday","Friday"},0),
                  WEEKDAY(M$8,2)&gt;=MATCH(Assumptions!$J29,{"Monday","Tuesday","Wednesday","Thursday","Friday"},0)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AND(Assumptions!$I29&gt;=M$7, Assumptions!$I29&lt;=M$8),
                    AND(
                      Assumptions!$I29&lt;M$7,
                      MOD(INT((M$7-(Assumptions!$I29-WEEKDAY(Assumptions!$I29,2)+1))/7),2)=0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AND(Assumptions!$I29&gt;=M$7, Assumptions!$I29&lt;=M$8),
                      AND(
                        Assumptions!$I29&lt;M$7,
                        MOD(INT((M$7-(Assumptions!$I29-WEEKDAY(Assumptions!$I29,2)+1))/7),3)=0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ISNUMBER(MATCH(MONTH(M$7),IF(Assumptions!$H29="Jan / Apr / Jul / Oct",{1,4,7,10},IF(Assumptions!$H29="Feb / May / Aug / Nov",{2,5,8,11},{3,6,9,12})),0)),
                          DATE(YEAR(M$7),MONTH(M$7),Assumptions!$G29)&gt;=M$7,
                          DATE(YEAR(M$7),MONTH(M$7),Assumptions!$G29)&lt;=M$8
                        ),
                        AND(
                          ISNUMBER(MATCH(MONTH(M$8),IF(Assumptions!$H29="Jan / Apr / Jul / Oct",{1,4,7,10},IF(Assumptions!$H29="Feb / May / Aug / Nov",{2,5,8,11},{3,6,9,12})),0)),
                          DATE(YEAR(M$8),MONTH(M$8),Assumptions!$G29)&gt;=M$7,
                          DATE(YEAR(M$8),MONTH(M$8),Assumptions!$G29)&lt;=M$8
                        )
                      ),
                    "Yes","No"),
                  "No")
                )
              )
            )
          )
        )
      )
    )
  )
)</f>
        <v>No</v>
      </c>
      <c r="N17" s="59" t="str">
        <f>IF(
  Assumptions!$K29="Off",
  "No",
  IF(
    Assumptions!$F29="I will phase manually",
    "No",
    IF(
      Assumptions!$F29="Last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Assumptions!$F29="End of month",
        IF(
          OR(
            AND(EOMONTH(N$7,0)&gt;=N$7, EOMONTH(N$7,0)&lt;=N$8),
            AND(EOMONTH(N$8,0)&gt;=N$7, EOMONTH(N$8,0)&lt;=N$8)
          ),
        "Yes","No"),
        IF(
          Assumptions!$F29="Specific day of month",
          IF(
            OR(
              AND(DATE(YEAR(N$7),MONTH(N$7),Assumptions!$G29)&gt;=N$7, DATE(YEAR(N$7),MONTH(N$7),Assumptions!$G29)&lt;=N$8),
              AND(DATE(YEAR(N$8),MONTH(N$8),Assumptions!$G29)&gt;=N$7, DATE(YEAR(N$8),MONTH(N$8),Assumptions!$G29)&lt;=N$8)
            ),
          "Yes","No"),
          IF(
            Assumptions!$F29="Last X day of month",
            IF(
              AND(
                WEEKDAY(N$7,2)&lt;=MATCH(Assumptions!$J29,{"Monday","Tuesday","Wednesday","Thursday","Friday"},0),
                WEEKDAY(N$8,2)&gt;=MATCH(Assumptions!$J29,{"Monday","Tuesday","Wednesday","Thursday","Friday"},0),
                (N$7+(MATCH(Assumptions!$J29,{"Monday","Tuesday","Wednesday","Thursday","Friday"},0)-WEEKDAY(N$7,2)))+7&gt;EOMONTH((N$7+(MATCH(Assumptions!$J29,{"Monday","Tuesday","Wednesday","Thursday","Friday"},0)-WEEKDAY(N$7,2))),0)
              ),
            "Yes","No"),
            IF(
              Assumptions!$F29="Weekly",
              IF(
                AND(
                  WEEKDAY(N$7,2)&lt;=MATCH(Assumptions!$J29,{"Monday","Tuesday","Wednesday","Thursday","Friday"},0),
                  WEEKDAY(N$8,2)&gt;=MATCH(Assumptions!$J29,{"Monday","Tuesday","Wednesday","Thursday","Friday"},0)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AND(Assumptions!$I29&gt;=N$7, Assumptions!$I29&lt;=N$8),
                    AND(
                      Assumptions!$I29&lt;N$7,
                      MOD(INT((N$7-(Assumptions!$I29-WEEKDAY(Assumptions!$I29,2)+1))/7),2)=0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AND(Assumptions!$I29&gt;=N$7, Assumptions!$I29&lt;=N$8),
                      AND(
                        Assumptions!$I29&lt;N$7,
                        MOD(INT((N$7-(Assumptions!$I29-WEEKDAY(Assumptions!$I29,2)+1))/7),3)=0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ISNUMBER(MATCH(MONTH(N$7),IF(Assumptions!$H29="Jan / Apr / Jul / Oct",{1,4,7,10},IF(Assumptions!$H29="Feb / May / Aug / Nov",{2,5,8,11},{3,6,9,12})),0)),
                          DATE(YEAR(N$7),MONTH(N$7),Assumptions!$G29)&gt;=N$7,
                          DATE(YEAR(N$7),MONTH(N$7),Assumptions!$G29)&lt;=N$8
                        ),
                        AND(
                          ISNUMBER(MATCH(MONTH(N$8),IF(Assumptions!$H29="Jan / Apr / Jul / Oct",{1,4,7,10},IF(Assumptions!$H29="Feb / May / Aug / Nov",{2,5,8,11},{3,6,9,12})),0)),
                          DATE(YEAR(N$8),MONTH(N$8),Assumptions!$G29)&gt;=N$7,
                          DATE(YEAR(N$8),MONTH(N$8),Assumptions!$G29)&lt;=N$8
                        )
                      ),
                    "Yes","No"),
                  "No")
                )
              )
            )
          )
        )
      )
    )
  )
)</f>
        <v>No</v>
      </c>
      <c r="O17" s="59" t="str">
        <f>IF(
  Assumptions!$K29="Off",
  "No",
  IF(
    Assumptions!$F29="I will phase manually",
    "No",
    IF(
      Assumptions!$F29="Last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Assumptions!$F29="End of month",
        IF(
          OR(
            AND(EOMONTH(O$7,0)&gt;=O$7, EOMONTH(O$7,0)&lt;=O$8),
            AND(EOMONTH(O$8,0)&gt;=O$7, EOMONTH(O$8,0)&lt;=O$8)
          ),
        "Yes","No"),
        IF(
          Assumptions!$F29="Specific day of month",
          IF(
            OR(
              AND(DATE(YEAR(O$7),MONTH(O$7),Assumptions!$G29)&gt;=O$7, DATE(YEAR(O$7),MONTH(O$7),Assumptions!$G29)&lt;=O$8),
              AND(DATE(YEAR(O$8),MONTH(O$8),Assumptions!$G29)&gt;=O$7, DATE(YEAR(O$8),MONTH(O$8),Assumptions!$G29)&lt;=O$8)
            ),
          "Yes","No"),
          IF(
            Assumptions!$F29="Last X day of month",
            IF(
              AND(
                WEEKDAY(O$7,2)&lt;=MATCH(Assumptions!$J29,{"Monday","Tuesday","Wednesday","Thursday","Friday"},0),
                WEEKDAY(O$8,2)&gt;=MATCH(Assumptions!$J29,{"Monday","Tuesday","Wednesday","Thursday","Friday"},0),
                (O$7+(MATCH(Assumptions!$J29,{"Monday","Tuesday","Wednesday","Thursday","Friday"},0)-WEEKDAY(O$7,2)))+7&gt;EOMONTH((O$7+(MATCH(Assumptions!$J29,{"Monday","Tuesday","Wednesday","Thursday","Friday"},0)-WEEKDAY(O$7,2))),0)
              ),
            "Yes","No"),
            IF(
              Assumptions!$F29="Weekly",
              IF(
                AND(
                  WEEKDAY(O$7,2)&lt;=MATCH(Assumptions!$J29,{"Monday","Tuesday","Wednesday","Thursday","Friday"},0),
                  WEEKDAY(O$8,2)&gt;=MATCH(Assumptions!$J29,{"Monday","Tuesday","Wednesday","Thursday","Friday"},0)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AND(Assumptions!$I29&gt;=O$7, Assumptions!$I29&lt;=O$8),
                    AND(
                      Assumptions!$I29&lt;O$7,
                      MOD(INT((O$7-(Assumptions!$I29-WEEKDAY(Assumptions!$I29,2)+1))/7),2)=0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AND(Assumptions!$I29&gt;=O$7, Assumptions!$I29&lt;=O$8),
                      AND(
                        Assumptions!$I29&lt;O$7,
                        MOD(INT((O$7-(Assumptions!$I29-WEEKDAY(Assumptions!$I29,2)+1))/7),3)=0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ISNUMBER(MATCH(MONTH(O$7),IF(Assumptions!$H29="Jan / Apr / Jul / Oct",{1,4,7,10},IF(Assumptions!$H29="Feb / May / Aug / Nov",{2,5,8,11},{3,6,9,12})),0)),
                          DATE(YEAR(O$7),MONTH(O$7),Assumptions!$G29)&gt;=O$7,
                          DATE(YEAR(O$7),MONTH(O$7),Assumptions!$G29)&lt;=O$8
                        ),
                        AND(
                          ISNUMBER(MATCH(MONTH(O$8),IF(Assumptions!$H29="Jan / Apr / Jul / Oct",{1,4,7,10},IF(Assumptions!$H29="Feb / May / Aug / Nov",{2,5,8,11},{3,6,9,12})),0)),
                          DATE(YEAR(O$8),MONTH(O$8),Assumptions!$G29)&gt;=O$7,
                          DATE(YEAR(O$8),MONTH(O$8),Assumptions!$G29)&lt;=O$8
                        )
                      ),
                    "Yes","No"),
                  "No")
                )
              )
            )
          )
        )
      )
    )
  )
)</f>
        <v>No</v>
      </c>
      <c r="P17" s="59" t="str">
        <f>IF(
  Assumptions!$K29="Off",
  "No",
  IF(
    Assumptions!$F29="I will phase manually",
    "No",
    IF(
      Assumptions!$F29="Last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Assumptions!$F29="End of month",
        IF(
          OR(
            AND(EOMONTH(P$7,0)&gt;=P$7, EOMONTH(P$7,0)&lt;=P$8),
            AND(EOMONTH(P$8,0)&gt;=P$7, EOMONTH(P$8,0)&lt;=P$8)
          ),
        "Yes","No"),
        IF(
          Assumptions!$F29="Specific day of month",
          IF(
            OR(
              AND(DATE(YEAR(P$7),MONTH(P$7),Assumptions!$G29)&gt;=P$7, DATE(YEAR(P$7),MONTH(P$7),Assumptions!$G29)&lt;=P$8),
              AND(DATE(YEAR(P$8),MONTH(P$8),Assumptions!$G29)&gt;=P$7, DATE(YEAR(P$8),MONTH(P$8),Assumptions!$G29)&lt;=P$8)
            ),
          "Yes","No"),
          IF(
            Assumptions!$F29="Last X day of month",
            IF(
              AND(
                WEEKDAY(P$7,2)&lt;=MATCH(Assumptions!$J29,{"Monday","Tuesday","Wednesday","Thursday","Friday"},0),
                WEEKDAY(P$8,2)&gt;=MATCH(Assumptions!$J29,{"Monday","Tuesday","Wednesday","Thursday","Friday"},0),
                (P$7+(MATCH(Assumptions!$J29,{"Monday","Tuesday","Wednesday","Thursday","Friday"},0)-WEEKDAY(P$7,2)))+7&gt;EOMONTH((P$7+(MATCH(Assumptions!$J29,{"Monday","Tuesday","Wednesday","Thursday","Friday"},0)-WEEKDAY(P$7,2))),0)
              ),
            "Yes","No"),
            IF(
              Assumptions!$F29="Weekly",
              IF(
                AND(
                  WEEKDAY(P$7,2)&lt;=MATCH(Assumptions!$J29,{"Monday","Tuesday","Wednesday","Thursday","Friday"},0),
                  WEEKDAY(P$8,2)&gt;=MATCH(Assumptions!$J29,{"Monday","Tuesday","Wednesday","Thursday","Friday"},0)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AND(Assumptions!$I29&gt;=P$7, Assumptions!$I29&lt;=P$8),
                    AND(
                      Assumptions!$I29&lt;P$7,
                      MOD(INT((P$7-(Assumptions!$I29-WEEKDAY(Assumptions!$I29,2)+1))/7),2)=0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AND(Assumptions!$I29&gt;=P$7, Assumptions!$I29&lt;=P$8),
                      AND(
                        Assumptions!$I29&lt;P$7,
                        MOD(INT((P$7-(Assumptions!$I29-WEEKDAY(Assumptions!$I29,2)+1))/7),3)=0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ISNUMBER(MATCH(MONTH(P$7),IF(Assumptions!$H29="Jan / Apr / Jul / Oct",{1,4,7,10},IF(Assumptions!$H29="Feb / May / Aug / Nov",{2,5,8,11},{3,6,9,12})),0)),
                          DATE(YEAR(P$7),MONTH(P$7),Assumptions!$G29)&gt;=P$7,
                          DATE(YEAR(P$7),MONTH(P$7),Assumptions!$G29)&lt;=P$8
                        ),
                        AND(
                          ISNUMBER(MATCH(MONTH(P$8),IF(Assumptions!$H29="Jan / Apr / Jul / Oct",{1,4,7,10},IF(Assumptions!$H29="Feb / May / Aug / Nov",{2,5,8,11},{3,6,9,12})),0)),
                          DATE(YEAR(P$8),MONTH(P$8),Assumptions!$G29)&gt;=P$7,
                          DATE(YEAR(P$8),MONTH(P$8),Assumptions!$G29)&lt;=P$8
                        )
                      ),
                    "Yes","No"),
                  "No")
                )
              )
            )
          )
        )
      )
    )
  )
)</f>
        <v>No</v>
      </c>
      <c r="Q17" s="59" t="str">
        <f>IF(
  Assumptions!$K29="Off",
  "No",
  IF(
    Assumptions!$F29="I will phase manually",
    "No",
    IF(
      Assumptions!$F29="Last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Assumptions!$F29="End of month",
        IF(
          OR(
            AND(EOMONTH(Q$7,0)&gt;=Q$7, EOMONTH(Q$7,0)&lt;=Q$8),
            AND(EOMONTH(Q$8,0)&gt;=Q$7, EOMONTH(Q$8,0)&lt;=Q$8)
          ),
        "Yes","No"),
        IF(
          Assumptions!$F29="Specific day of month",
          IF(
            OR(
              AND(DATE(YEAR(Q$7),MONTH(Q$7),Assumptions!$G29)&gt;=Q$7, DATE(YEAR(Q$7),MONTH(Q$7),Assumptions!$G29)&lt;=Q$8),
              AND(DATE(YEAR(Q$8),MONTH(Q$8),Assumptions!$G29)&gt;=Q$7, DATE(YEAR(Q$8),MONTH(Q$8),Assumptions!$G29)&lt;=Q$8)
            ),
          "Yes","No"),
          IF(
            Assumptions!$F29="Last X day of month",
            IF(
              AND(
                WEEKDAY(Q$7,2)&lt;=MATCH(Assumptions!$J29,{"Monday","Tuesday","Wednesday","Thursday","Friday"},0),
                WEEKDAY(Q$8,2)&gt;=MATCH(Assumptions!$J29,{"Monday","Tuesday","Wednesday","Thursday","Friday"},0),
                (Q$7+(MATCH(Assumptions!$J29,{"Monday","Tuesday","Wednesday","Thursday","Friday"},0)-WEEKDAY(Q$7,2)))+7&gt;EOMONTH((Q$7+(MATCH(Assumptions!$J29,{"Monday","Tuesday","Wednesday","Thursday","Friday"},0)-WEEKDAY(Q$7,2))),0)
              ),
            "Yes","No"),
            IF(
              Assumptions!$F29="Weekly",
              IF(
                AND(
                  WEEKDAY(Q$7,2)&lt;=MATCH(Assumptions!$J29,{"Monday","Tuesday","Wednesday","Thursday","Friday"},0),
                  WEEKDAY(Q$8,2)&gt;=MATCH(Assumptions!$J29,{"Monday","Tuesday","Wednesday","Thursday","Friday"},0)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AND(Assumptions!$I29&gt;=Q$7, Assumptions!$I29&lt;=Q$8),
                    AND(
                      Assumptions!$I29&lt;Q$7,
                      MOD(INT((Q$7-(Assumptions!$I29-WEEKDAY(Assumptions!$I29,2)+1))/7),2)=0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AND(Assumptions!$I29&gt;=Q$7, Assumptions!$I29&lt;=Q$8),
                      AND(
                        Assumptions!$I29&lt;Q$7,
                        MOD(INT((Q$7-(Assumptions!$I29-WEEKDAY(Assumptions!$I29,2)+1))/7),3)=0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ISNUMBER(MATCH(MONTH(Q$7),IF(Assumptions!$H29="Jan / Apr / Jul / Oct",{1,4,7,10},IF(Assumptions!$H29="Feb / May / Aug / Nov",{2,5,8,11},{3,6,9,12})),0)),
                          DATE(YEAR(Q$7),MONTH(Q$7),Assumptions!$G29)&gt;=Q$7,
                          DATE(YEAR(Q$7),MONTH(Q$7),Assumptions!$G29)&lt;=Q$8
                        ),
                        AND(
                          ISNUMBER(MATCH(MONTH(Q$8),IF(Assumptions!$H29="Jan / Apr / Jul / Oct",{1,4,7,10},IF(Assumptions!$H29="Feb / May / Aug / Nov",{2,5,8,11},{3,6,9,12})),0)),
                          DATE(YEAR(Q$8),MONTH(Q$8),Assumptions!$G29)&gt;=Q$7,
                          DATE(YEAR(Q$8),MONTH(Q$8),Assumptions!$G29)&lt;=Q$8
                        )
                      ),
                    "Yes","No"),
                  "No")
                )
              )
            )
          )
        )
      )
    )
  )
)</f>
        <v>No</v>
      </c>
      <c r="R17" s="59" t="str">
        <f>IF(
  Assumptions!$K29="Off",
  "No",
  IF(
    Assumptions!$F29="I will phase manually",
    "No",
    IF(
      Assumptions!$F29="Last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Assumptions!$F29="End of month",
        IF(
          OR(
            AND(EOMONTH(R$7,0)&gt;=R$7, EOMONTH(R$7,0)&lt;=R$8),
            AND(EOMONTH(R$8,0)&gt;=R$7, EOMONTH(R$8,0)&lt;=R$8)
          ),
        "Yes","No"),
        IF(
          Assumptions!$F29="Specific day of month",
          IF(
            OR(
              AND(DATE(YEAR(R$7),MONTH(R$7),Assumptions!$G29)&gt;=R$7, DATE(YEAR(R$7),MONTH(R$7),Assumptions!$G29)&lt;=R$8),
              AND(DATE(YEAR(R$8),MONTH(R$8),Assumptions!$G29)&gt;=R$7, DATE(YEAR(R$8),MONTH(R$8),Assumptions!$G29)&lt;=R$8)
            ),
          "Yes","No"),
          IF(
            Assumptions!$F29="Last X day of month",
            IF(
              AND(
                WEEKDAY(R$7,2)&lt;=MATCH(Assumptions!$J29,{"Monday","Tuesday","Wednesday","Thursday","Friday"},0),
                WEEKDAY(R$8,2)&gt;=MATCH(Assumptions!$J29,{"Monday","Tuesday","Wednesday","Thursday","Friday"},0),
                (R$7+(MATCH(Assumptions!$J29,{"Monday","Tuesday","Wednesday","Thursday","Friday"},0)-WEEKDAY(R$7,2)))+7&gt;EOMONTH((R$7+(MATCH(Assumptions!$J29,{"Monday","Tuesday","Wednesday","Thursday","Friday"},0)-WEEKDAY(R$7,2))),0)
              ),
            "Yes","No"),
            IF(
              Assumptions!$F29="Weekly",
              IF(
                AND(
                  WEEKDAY(R$7,2)&lt;=MATCH(Assumptions!$J29,{"Monday","Tuesday","Wednesday","Thursday","Friday"},0),
                  WEEKDAY(R$8,2)&gt;=MATCH(Assumptions!$J29,{"Monday","Tuesday","Wednesday","Thursday","Friday"},0)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AND(Assumptions!$I29&gt;=R$7, Assumptions!$I29&lt;=R$8),
                    AND(
                      Assumptions!$I29&lt;R$7,
                      MOD(INT((R$7-(Assumptions!$I29-WEEKDAY(Assumptions!$I29,2)+1))/7),2)=0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AND(Assumptions!$I29&gt;=R$7, Assumptions!$I29&lt;=R$8),
                      AND(
                        Assumptions!$I29&lt;R$7,
                        MOD(INT((R$7-(Assumptions!$I29-WEEKDAY(Assumptions!$I29,2)+1))/7),3)=0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ISNUMBER(MATCH(MONTH(R$7),IF(Assumptions!$H29="Jan / Apr / Jul / Oct",{1,4,7,10},IF(Assumptions!$H29="Feb / May / Aug / Nov",{2,5,8,11},{3,6,9,12})),0)),
                          DATE(YEAR(R$7),MONTH(R$7),Assumptions!$G29)&gt;=R$7,
                          DATE(YEAR(R$7),MONTH(R$7),Assumptions!$G29)&lt;=R$8
                        ),
                        AND(
                          ISNUMBER(MATCH(MONTH(R$8),IF(Assumptions!$H29="Jan / Apr / Jul / Oct",{1,4,7,10},IF(Assumptions!$H29="Feb / May / Aug / Nov",{2,5,8,11},{3,6,9,12})),0)),
                          DATE(YEAR(R$8),MONTH(R$8),Assumptions!$G29)&gt;=R$7,
                          DATE(YEAR(R$8),MONTH(R$8),Assumptions!$G29)&lt;=R$8
                        )
                      ),
                    "Yes","No"),
                  "No")
                )
              )
            )
          )
        )
      )
    )
  )
)</f>
        <v>No</v>
      </c>
      <c r="S17" s="59" t="str">
        <f>IF(
  Assumptions!$K29="Off",
  "No",
  IF(
    Assumptions!$F29="I will phase manually",
    "No",
    IF(
      Assumptions!$F29="Last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Assumptions!$F29="End of month",
        IF(
          OR(
            AND(EOMONTH(S$7,0)&gt;=S$7, EOMONTH(S$7,0)&lt;=S$8),
            AND(EOMONTH(S$8,0)&gt;=S$7, EOMONTH(S$8,0)&lt;=S$8)
          ),
        "Yes","No"),
        IF(
          Assumptions!$F29="Specific day of month",
          IF(
            OR(
              AND(DATE(YEAR(S$7),MONTH(S$7),Assumptions!$G29)&gt;=S$7, DATE(YEAR(S$7),MONTH(S$7),Assumptions!$G29)&lt;=S$8),
              AND(DATE(YEAR(S$8),MONTH(S$8),Assumptions!$G29)&gt;=S$7, DATE(YEAR(S$8),MONTH(S$8),Assumptions!$G29)&lt;=S$8)
            ),
          "Yes","No"),
          IF(
            Assumptions!$F29="Last X day of month",
            IF(
              AND(
                WEEKDAY(S$7,2)&lt;=MATCH(Assumptions!$J29,{"Monday","Tuesday","Wednesday","Thursday","Friday"},0),
                WEEKDAY(S$8,2)&gt;=MATCH(Assumptions!$J29,{"Monday","Tuesday","Wednesday","Thursday","Friday"},0),
                (S$7+(MATCH(Assumptions!$J29,{"Monday","Tuesday","Wednesday","Thursday","Friday"},0)-WEEKDAY(S$7,2)))+7&gt;EOMONTH((S$7+(MATCH(Assumptions!$J29,{"Monday","Tuesday","Wednesday","Thursday","Friday"},0)-WEEKDAY(S$7,2))),0)
              ),
            "Yes","No"),
            IF(
              Assumptions!$F29="Weekly",
              IF(
                AND(
                  WEEKDAY(S$7,2)&lt;=MATCH(Assumptions!$J29,{"Monday","Tuesday","Wednesday","Thursday","Friday"},0),
                  WEEKDAY(S$8,2)&gt;=MATCH(Assumptions!$J29,{"Monday","Tuesday","Wednesday","Thursday","Friday"},0)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AND(Assumptions!$I29&gt;=S$7, Assumptions!$I29&lt;=S$8),
                    AND(
                      Assumptions!$I29&lt;S$7,
                      MOD(INT((S$7-(Assumptions!$I29-WEEKDAY(Assumptions!$I29,2)+1))/7),2)=0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AND(Assumptions!$I29&gt;=S$7, Assumptions!$I29&lt;=S$8),
                      AND(
                        Assumptions!$I29&lt;S$7,
                        MOD(INT((S$7-(Assumptions!$I29-WEEKDAY(Assumptions!$I29,2)+1))/7),3)=0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ISNUMBER(MATCH(MONTH(S$7),IF(Assumptions!$H29="Jan / Apr / Jul / Oct",{1,4,7,10},IF(Assumptions!$H29="Feb / May / Aug / Nov",{2,5,8,11},{3,6,9,12})),0)),
                          DATE(YEAR(S$7),MONTH(S$7),Assumptions!$G29)&gt;=S$7,
                          DATE(YEAR(S$7),MONTH(S$7),Assumptions!$G29)&lt;=S$8
                        ),
                        AND(
                          ISNUMBER(MATCH(MONTH(S$8),IF(Assumptions!$H29="Jan / Apr / Jul / Oct",{1,4,7,10},IF(Assumptions!$H29="Feb / May / Aug / Nov",{2,5,8,11},{3,6,9,12})),0)),
                          DATE(YEAR(S$8),MONTH(S$8),Assumptions!$G29)&gt;=S$7,
                          DATE(YEAR(S$8),MONTH(S$8),Assumptions!$G29)&lt;=S$8
                        )
                      ),
                    "Yes","No"),
                  "No")
                )
              )
            )
          )
        )
      )
    )
  )
)</f>
        <v>No</v>
      </c>
      <c r="T17" s="59" t="s">
        <v>124</v>
      </c>
    </row>
    <row r="18" spans="3:20" hidden="1" outlineLevel="1" x14ac:dyDescent="0.25">
      <c r="C18" s="58">
        <f>Assumptions!D30</f>
        <v>0</v>
      </c>
      <c r="D18" s="58"/>
      <c r="E18" s="58"/>
      <c r="F18" s="58"/>
      <c r="G18" s="59" t="str">
        <f>IF(
  Assumptions!$K30="Off",
  "No",
  IF(
    Assumptions!$F30="I will phase manually",
    "No",
    IF(
      Assumptions!$F30="Last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Assumptions!$F30="End of month",
        IF(
          OR(
            AND(EOMONTH(G$7,0)&gt;=G$7, EOMONTH(G$7,0)&lt;=G$8),
            AND(EOMONTH(G$8,0)&gt;=G$7, EOMONTH(G$8,0)&lt;=G$8)
          ),
        "Yes","No"),
        IF(
          Assumptions!$F30="Specific day of month",
          IF(
            OR(
              AND(DATE(YEAR(G$7),MONTH(G$7),Assumptions!$G30)&gt;=G$7, DATE(YEAR(G$7),MONTH(G$7),Assumptions!$G30)&lt;=G$8),
              AND(DATE(YEAR(G$8),MONTH(G$8),Assumptions!$G30)&gt;=G$7, DATE(YEAR(G$8),MONTH(G$8),Assumptions!$G30)&lt;=G$8)
            ),
          "Yes","No"),
          IF(
            Assumptions!$F30="Last X day of month",
            IF(
              AND(
                WEEKDAY(G$7,2)&lt;=MATCH(Assumptions!$J30,{"Monday","Tuesday","Wednesday","Thursday","Friday"},0),
                WEEKDAY(G$8,2)&gt;=MATCH(Assumptions!$J30,{"Monday","Tuesday","Wednesday","Thursday","Friday"},0),
                (G$7+(MATCH(Assumptions!$J30,{"Monday","Tuesday","Wednesday","Thursday","Friday"},0)-WEEKDAY(G$7,2)))+7&gt;EOMONTH((G$7+(MATCH(Assumptions!$J30,{"Monday","Tuesday","Wednesday","Thursday","Friday"},0)-WEEKDAY(G$7,2))),0)
              ),
            "Yes","No"),
            IF(
              Assumptions!$F30="Weekly",
              IF(
                AND(
                  WEEKDAY(G$7,2)&lt;=MATCH(Assumptions!$J30,{"Monday","Tuesday","Wednesday","Thursday","Friday"},0),
                  WEEKDAY(G$8,2)&gt;=MATCH(Assumptions!$J30,{"Monday","Tuesday","Wednesday","Thursday","Friday"},0)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AND(Assumptions!$I30&gt;=G$7, Assumptions!$I30&lt;=G$8),
                    AND(
                      Assumptions!$I30&lt;G$7,
                      MOD(INT((G$7-(Assumptions!$I30-WEEKDAY(Assumptions!$I30,2)+1))/7),2)=0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AND(Assumptions!$I30&gt;=G$7, Assumptions!$I30&lt;=G$8),
                      AND(
                        Assumptions!$I30&lt;G$7,
                        MOD(INT((G$7-(Assumptions!$I30-WEEKDAY(Assumptions!$I30,2)+1))/7),3)=0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ISNUMBER(MATCH(MONTH(G$7),IF(Assumptions!$H30="Jan / Apr / Jul / Oct",{1,4,7,10},IF(Assumptions!$H30="Feb / May / Aug / Nov",{2,5,8,11},{3,6,9,12})),0)),
                          DATE(YEAR(G$7),MONTH(G$7),Assumptions!$G30)&gt;=G$7,
                          DATE(YEAR(G$7),MONTH(G$7),Assumptions!$G30)&lt;=G$8
                        ),
                        AND(
                          ISNUMBER(MATCH(MONTH(G$8),IF(Assumptions!$H30="Jan / Apr / Jul / Oct",{1,4,7,10},IF(Assumptions!$H30="Feb / May / Aug / Nov",{2,5,8,11},{3,6,9,12})),0)),
                          DATE(YEAR(G$8),MONTH(G$8),Assumptions!$G30)&gt;=G$7,
                          DATE(YEAR(G$8),MONTH(G$8),Assumptions!$G30)&lt;=G$8
                        )
                      ),
                    "Yes","No"),
                  "No")
                )
              )
            )
          )
        )
      )
    )
  )
)</f>
        <v>No</v>
      </c>
      <c r="H18" s="59" t="str">
        <f>IF(
  Assumptions!$K30="Off",
  "No",
  IF(
    Assumptions!$F30="I will phase manually",
    "No",
    IF(
      Assumptions!$F30="Last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Assumptions!$F30="End of month",
        IF(
          OR(
            AND(EOMONTH(H$7,0)&gt;=H$7, EOMONTH(H$7,0)&lt;=H$8),
            AND(EOMONTH(H$8,0)&gt;=H$7, EOMONTH(H$8,0)&lt;=H$8)
          ),
        "Yes","No"),
        IF(
          Assumptions!$F30="Specific day of month",
          IF(
            OR(
              AND(DATE(YEAR(H$7),MONTH(H$7),Assumptions!$G30)&gt;=H$7, DATE(YEAR(H$7),MONTH(H$7),Assumptions!$G30)&lt;=H$8),
              AND(DATE(YEAR(H$8),MONTH(H$8),Assumptions!$G30)&gt;=H$7, DATE(YEAR(H$8),MONTH(H$8),Assumptions!$G30)&lt;=H$8)
            ),
          "Yes","No"),
          IF(
            Assumptions!$F30="Last X day of month",
            IF(
              AND(
                WEEKDAY(H$7,2)&lt;=MATCH(Assumptions!$J30,{"Monday","Tuesday","Wednesday","Thursday","Friday"},0),
                WEEKDAY(H$8,2)&gt;=MATCH(Assumptions!$J30,{"Monday","Tuesday","Wednesday","Thursday","Friday"},0),
                (H$7+(MATCH(Assumptions!$J30,{"Monday","Tuesday","Wednesday","Thursday","Friday"},0)-WEEKDAY(H$7,2)))+7&gt;EOMONTH((H$7+(MATCH(Assumptions!$J30,{"Monday","Tuesday","Wednesday","Thursday","Friday"},0)-WEEKDAY(H$7,2))),0)
              ),
            "Yes","No"),
            IF(
              Assumptions!$F30="Weekly",
              IF(
                AND(
                  WEEKDAY(H$7,2)&lt;=MATCH(Assumptions!$J30,{"Monday","Tuesday","Wednesday","Thursday","Friday"},0),
                  WEEKDAY(H$8,2)&gt;=MATCH(Assumptions!$J30,{"Monday","Tuesday","Wednesday","Thursday","Friday"},0)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AND(Assumptions!$I30&gt;=H$7, Assumptions!$I30&lt;=H$8),
                    AND(
                      Assumptions!$I30&lt;H$7,
                      MOD(INT((H$7-(Assumptions!$I30-WEEKDAY(Assumptions!$I30,2)+1))/7),2)=0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AND(Assumptions!$I30&gt;=H$7, Assumptions!$I30&lt;=H$8),
                      AND(
                        Assumptions!$I30&lt;H$7,
                        MOD(INT((H$7-(Assumptions!$I30-WEEKDAY(Assumptions!$I30,2)+1))/7),3)=0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ISNUMBER(MATCH(MONTH(H$7),IF(Assumptions!$H30="Jan / Apr / Jul / Oct",{1,4,7,10},IF(Assumptions!$H30="Feb / May / Aug / Nov",{2,5,8,11},{3,6,9,12})),0)),
                          DATE(YEAR(H$7),MONTH(H$7),Assumptions!$G30)&gt;=H$7,
                          DATE(YEAR(H$7),MONTH(H$7),Assumptions!$G30)&lt;=H$8
                        ),
                        AND(
                          ISNUMBER(MATCH(MONTH(H$8),IF(Assumptions!$H30="Jan / Apr / Jul / Oct",{1,4,7,10},IF(Assumptions!$H30="Feb / May / Aug / Nov",{2,5,8,11},{3,6,9,12})),0)),
                          DATE(YEAR(H$8),MONTH(H$8),Assumptions!$G30)&gt;=H$7,
                          DATE(YEAR(H$8),MONTH(H$8),Assumptions!$G30)&lt;=H$8
                        )
                      ),
                    "Yes","No"),
                  "No")
                )
              )
            )
          )
        )
      )
    )
  )
)</f>
        <v>No</v>
      </c>
      <c r="I18" s="59" t="str">
        <f>IF(
  Assumptions!$K30="Off",
  "No",
  IF(
    Assumptions!$F30="I will phase manually",
    "No",
    IF(
      Assumptions!$F30="Last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Assumptions!$F30="End of month",
        IF(
          OR(
            AND(EOMONTH(I$7,0)&gt;=I$7, EOMONTH(I$7,0)&lt;=I$8),
            AND(EOMONTH(I$8,0)&gt;=I$7, EOMONTH(I$8,0)&lt;=I$8)
          ),
        "Yes","No"),
        IF(
          Assumptions!$F30="Specific day of month",
          IF(
            OR(
              AND(DATE(YEAR(I$7),MONTH(I$7),Assumptions!$G30)&gt;=I$7, DATE(YEAR(I$7),MONTH(I$7),Assumptions!$G30)&lt;=I$8),
              AND(DATE(YEAR(I$8),MONTH(I$8),Assumptions!$G30)&gt;=I$7, DATE(YEAR(I$8),MONTH(I$8),Assumptions!$G30)&lt;=I$8)
            ),
          "Yes","No"),
          IF(
            Assumptions!$F30="Last X day of month",
            IF(
              AND(
                WEEKDAY(I$7,2)&lt;=MATCH(Assumptions!$J30,{"Monday","Tuesday","Wednesday","Thursday","Friday"},0),
                WEEKDAY(I$8,2)&gt;=MATCH(Assumptions!$J30,{"Monday","Tuesday","Wednesday","Thursday","Friday"},0),
                (I$7+(MATCH(Assumptions!$J30,{"Monday","Tuesday","Wednesday","Thursday","Friday"},0)-WEEKDAY(I$7,2)))+7&gt;EOMONTH((I$7+(MATCH(Assumptions!$J30,{"Monday","Tuesday","Wednesday","Thursday","Friday"},0)-WEEKDAY(I$7,2))),0)
              ),
            "Yes","No"),
            IF(
              Assumptions!$F30="Weekly",
              IF(
                AND(
                  WEEKDAY(I$7,2)&lt;=MATCH(Assumptions!$J30,{"Monday","Tuesday","Wednesday","Thursday","Friday"},0),
                  WEEKDAY(I$8,2)&gt;=MATCH(Assumptions!$J30,{"Monday","Tuesday","Wednesday","Thursday","Friday"},0)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AND(Assumptions!$I30&gt;=I$7, Assumptions!$I30&lt;=I$8),
                    AND(
                      Assumptions!$I30&lt;I$7,
                      MOD(INT((I$7-(Assumptions!$I30-WEEKDAY(Assumptions!$I30,2)+1))/7),2)=0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AND(Assumptions!$I30&gt;=I$7, Assumptions!$I30&lt;=I$8),
                      AND(
                        Assumptions!$I30&lt;I$7,
                        MOD(INT((I$7-(Assumptions!$I30-WEEKDAY(Assumptions!$I30,2)+1))/7),3)=0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ISNUMBER(MATCH(MONTH(I$7),IF(Assumptions!$H30="Jan / Apr / Jul / Oct",{1,4,7,10},IF(Assumptions!$H30="Feb / May / Aug / Nov",{2,5,8,11},{3,6,9,12})),0)),
                          DATE(YEAR(I$7),MONTH(I$7),Assumptions!$G30)&gt;=I$7,
                          DATE(YEAR(I$7),MONTH(I$7),Assumptions!$G30)&lt;=I$8
                        ),
                        AND(
                          ISNUMBER(MATCH(MONTH(I$8),IF(Assumptions!$H30="Jan / Apr / Jul / Oct",{1,4,7,10},IF(Assumptions!$H30="Feb / May / Aug / Nov",{2,5,8,11},{3,6,9,12})),0)),
                          DATE(YEAR(I$8),MONTH(I$8),Assumptions!$G30)&gt;=I$7,
                          DATE(YEAR(I$8),MONTH(I$8),Assumptions!$G30)&lt;=I$8
                        )
                      ),
                    "Yes","No"),
                  "No")
                )
              )
            )
          )
        )
      )
    )
  )
)</f>
        <v>No</v>
      </c>
      <c r="J18" s="59" t="str">
        <f>IF(
  Assumptions!$K30="Off",
  "No",
  IF(
    Assumptions!$F30="I will phase manually",
    "No",
    IF(
      Assumptions!$F30="Last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Assumptions!$F30="End of month",
        IF(
          OR(
            AND(EOMONTH(J$7,0)&gt;=J$7, EOMONTH(J$7,0)&lt;=J$8),
            AND(EOMONTH(J$8,0)&gt;=J$7, EOMONTH(J$8,0)&lt;=J$8)
          ),
        "Yes","No"),
        IF(
          Assumptions!$F30="Specific day of month",
          IF(
            OR(
              AND(DATE(YEAR(J$7),MONTH(J$7),Assumptions!$G30)&gt;=J$7, DATE(YEAR(J$7),MONTH(J$7),Assumptions!$G30)&lt;=J$8),
              AND(DATE(YEAR(J$8),MONTH(J$8),Assumptions!$G30)&gt;=J$7, DATE(YEAR(J$8),MONTH(J$8),Assumptions!$G30)&lt;=J$8)
            ),
          "Yes","No"),
          IF(
            Assumptions!$F30="Last X day of month",
            IF(
              AND(
                WEEKDAY(J$7,2)&lt;=MATCH(Assumptions!$J30,{"Monday","Tuesday","Wednesday","Thursday","Friday"},0),
                WEEKDAY(J$8,2)&gt;=MATCH(Assumptions!$J30,{"Monday","Tuesday","Wednesday","Thursday","Friday"},0),
                (J$7+(MATCH(Assumptions!$J30,{"Monday","Tuesday","Wednesday","Thursday","Friday"},0)-WEEKDAY(J$7,2)))+7&gt;EOMONTH((J$7+(MATCH(Assumptions!$J30,{"Monday","Tuesday","Wednesday","Thursday","Friday"},0)-WEEKDAY(J$7,2))),0)
              ),
            "Yes","No"),
            IF(
              Assumptions!$F30="Weekly",
              IF(
                AND(
                  WEEKDAY(J$7,2)&lt;=MATCH(Assumptions!$J30,{"Monday","Tuesday","Wednesday","Thursday","Friday"},0),
                  WEEKDAY(J$8,2)&gt;=MATCH(Assumptions!$J30,{"Monday","Tuesday","Wednesday","Thursday","Friday"},0)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AND(Assumptions!$I30&gt;=J$7, Assumptions!$I30&lt;=J$8),
                    AND(
                      Assumptions!$I30&lt;J$7,
                      MOD(INT((J$7-(Assumptions!$I30-WEEKDAY(Assumptions!$I30,2)+1))/7),2)=0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AND(Assumptions!$I30&gt;=J$7, Assumptions!$I30&lt;=J$8),
                      AND(
                        Assumptions!$I30&lt;J$7,
                        MOD(INT((J$7-(Assumptions!$I30-WEEKDAY(Assumptions!$I30,2)+1))/7),3)=0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ISNUMBER(MATCH(MONTH(J$7),IF(Assumptions!$H30="Jan / Apr / Jul / Oct",{1,4,7,10},IF(Assumptions!$H30="Feb / May / Aug / Nov",{2,5,8,11},{3,6,9,12})),0)),
                          DATE(YEAR(J$7),MONTH(J$7),Assumptions!$G30)&gt;=J$7,
                          DATE(YEAR(J$7),MONTH(J$7),Assumptions!$G30)&lt;=J$8
                        ),
                        AND(
                          ISNUMBER(MATCH(MONTH(J$8),IF(Assumptions!$H30="Jan / Apr / Jul / Oct",{1,4,7,10},IF(Assumptions!$H30="Feb / May / Aug / Nov",{2,5,8,11},{3,6,9,12})),0)),
                          DATE(YEAR(J$8),MONTH(J$8),Assumptions!$G30)&gt;=J$7,
                          DATE(YEAR(J$8),MONTH(J$8),Assumptions!$G30)&lt;=J$8
                        )
                      ),
                    "Yes","No"),
                  "No")
                )
              )
            )
          )
        )
      )
    )
  )
)</f>
        <v>No</v>
      </c>
      <c r="K18" s="59" t="str">
        <f>IF(
  Assumptions!$K30="Off",
  "No",
  IF(
    Assumptions!$F30="I will phase manually",
    "No",
    IF(
      Assumptions!$F30="Last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Assumptions!$F30="End of month",
        IF(
          OR(
            AND(EOMONTH(K$7,0)&gt;=K$7, EOMONTH(K$7,0)&lt;=K$8),
            AND(EOMONTH(K$8,0)&gt;=K$7, EOMONTH(K$8,0)&lt;=K$8)
          ),
        "Yes","No"),
        IF(
          Assumptions!$F30="Specific day of month",
          IF(
            OR(
              AND(DATE(YEAR(K$7),MONTH(K$7),Assumptions!$G30)&gt;=K$7, DATE(YEAR(K$7),MONTH(K$7),Assumptions!$G30)&lt;=K$8),
              AND(DATE(YEAR(K$8),MONTH(K$8),Assumptions!$G30)&gt;=K$7, DATE(YEAR(K$8),MONTH(K$8),Assumptions!$G30)&lt;=K$8)
            ),
          "Yes","No"),
          IF(
            Assumptions!$F30="Last X day of month",
            IF(
              AND(
                WEEKDAY(K$7,2)&lt;=MATCH(Assumptions!$J30,{"Monday","Tuesday","Wednesday","Thursday","Friday"},0),
                WEEKDAY(K$8,2)&gt;=MATCH(Assumptions!$J30,{"Monday","Tuesday","Wednesday","Thursday","Friday"},0),
                (K$7+(MATCH(Assumptions!$J30,{"Monday","Tuesday","Wednesday","Thursday","Friday"},0)-WEEKDAY(K$7,2)))+7&gt;EOMONTH((K$7+(MATCH(Assumptions!$J30,{"Monday","Tuesday","Wednesday","Thursday","Friday"},0)-WEEKDAY(K$7,2))),0)
              ),
            "Yes","No"),
            IF(
              Assumptions!$F30="Weekly",
              IF(
                AND(
                  WEEKDAY(K$7,2)&lt;=MATCH(Assumptions!$J30,{"Monday","Tuesday","Wednesday","Thursday","Friday"},0),
                  WEEKDAY(K$8,2)&gt;=MATCH(Assumptions!$J30,{"Monday","Tuesday","Wednesday","Thursday","Friday"},0)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AND(Assumptions!$I30&gt;=K$7, Assumptions!$I30&lt;=K$8),
                    AND(
                      Assumptions!$I30&lt;K$7,
                      MOD(INT((K$7-(Assumptions!$I30-WEEKDAY(Assumptions!$I30,2)+1))/7),2)=0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AND(Assumptions!$I30&gt;=K$7, Assumptions!$I30&lt;=K$8),
                      AND(
                        Assumptions!$I30&lt;K$7,
                        MOD(INT((K$7-(Assumptions!$I30-WEEKDAY(Assumptions!$I30,2)+1))/7),3)=0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ISNUMBER(MATCH(MONTH(K$7),IF(Assumptions!$H30="Jan / Apr / Jul / Oct",{1,4,7,10},IF(Assumptions!$H30="Feb / May / Aug / Nov",{2,5,8,11},{3,6,9,12})),0)),
                          DATE(YEAR(K$7),MONTH(K$7),Assumptions!$G30)&gt;=K$7,
                          DATE(YEAR(K$7),MONTH(K$7),Assumptions!$G30)&lt;=K$8
                        ),
                        AND(
                          ISNUMBER(MATCH(MONTH(K$8),IF(Assumptions!$H30="Jan / Apr / Jul / Oct",{1,4,7,10},IF(Assumptions!$H30="Feb / May / Aug / Nov",{2,5,8,11},{3,6,9,12})),0)),
                          DATE(YEAR(K$8),MONTH(K$8),Assumptions!$G30)&gt;=K$7,
                          DATE(YEAR(K$8),MONTH(K$8),Assumptions!$G30)&lt;=K$8
                        )
                      ),
                    "Yes","No"),
                  "No")
                )
              )
            )
          )
        )
      )
    )
  )
)</f>
        <v>No</v>
      </c>
      <c r="L18" s="59" t="str">
        <f>IF(
  Assumptions!$K30="Off",
  "No",
  IF(
    Assumptions!$F30="I will phase manually",
    "No",
    IF(
      Assumptions!$F30="Last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Assumptions!$F30="End of month",
        IF(
          OR(
            AND(EOMONTH(L$7,0)&gt;=L$7, EOMONTH(L$7,0)&lt;=L$8),
            AND(EOMONTH(L$8,0)&gt;=L$7, EOMONTH(L$8,0)&lt;=L$8)
          ),
        "Yes","No"),
        IF(
          Assumptions!$F30="Specific day of month",
          IF(
            OR(
              AND(DATE(YEAR(L$7),MONTH(L$7),Assumptions!$G30)&gt;=L$7, DATE(YEAR(L$7),MONTH(L$7),Assumptions!$G30)&lt;=L$8),
              AND(DATE(YEAR(L$8),MONTH(L$8),Assumptions!$G30)&gt;=L$7, DATE(YEAR(L$8),MONTH(L$8),Assumptions!$G30)&lt;=L$8)
            ),
          "Yes","No"),
          IF(
            Assumptions!$F30="Last X day of month",
            IF(
              AND(
                WEEKDAY(L$7,2)&lt;=MATCH(Assumptions!$J30,{"Monday","Tuesday","Wednesday","Thursday","Friday"},0),
                WEEKDAY(L$8,2)&gt;=MATCH(Assumptions!$J30,{"Monday","Tuesday","Wednesday","Thursday","Friday"},0),
                (L$7+(MATCH(Assumptions!$J30,{"Monday","Tuesday","Wednesday","Thursday","Friday"},0)-WEEKDAY(L$7,2)))+7&gt;EOMONTH((L$7+(MATCH(Assumptions!$J30,{"Monday","Tuesday","Wednesday","Thursday","Friday"},0)-WEEKDAY(L$7,2))),0)
              ),
            "Yes","No"),
            IF(
              Assumptions!$F30="Weekly",
              IF(
                AND(
                  WEEKDAY(L$7,2)&lt;=MATCH(Assumptions!$J30,{"Monday","Tuesday","Wednesday","Thursday","Friday"},0),
                  WEEKDAY(L$8,2)&gt;=MATCH(Assumptions!$J30,{"Monday","Tuesday","Wednesday","Thursday","Friday"},0)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AND(Assumptions!$I30&gt;=L$7, Assumptions!$I30&lt;=L$8),
                    AND(
                      Assumptions!$I30&lt;L$7,
                      MOD(INT((L$7-(Assumptions!$I30-WEEKDAY(Assumptions!$I30,2)+1))/7),2)=0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AND(Assumptions!$I30&gt;=L$7, Assumptions!$I30&lt;=L$8),
                      AND(
                        Assumptions!$I30&lt;L$7,
                        MOD(INT((L$7-(Assumptions!$I30-WEEKDAY(Assumptions!$I30,2)+1))/7),3)=0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ISNUMBER(MATCH(MONTH(L$7),IF(Assumptions!$H30="Jan / Apr / Jul / Oct",{1,4,7,10},IF(Assumptions!$H30="Feb / May / Aug / Nov",{2,5,8,11},{3,6,9,12})),0)),
                          DATE(YEAR(L$7),MONTH(L$7),Assumptions!$G30)&gt;=L$7,
                          DATE(YEAR(L$7),MONTH(L$7),Assumptions!$G30)&lt;=L$8
                        ),
                        AND(
                          ISNUMBER(MATCH(MONTH(L$8),IF(Assumptions!$H30="Jan / Apr / Jul / Oct",{1,4,7,10},IF(Assumptions!$H30="Feb / May / Aug / Nov",{2,5,8,11},{3,6,9,12})),0)),
                          DATE(YEAR(L$8),MONTH(L$8),Assumptions!$G30)&gt;=L$7,
                          DATE(YEAR(L$8),MONTH(L$8),Assumptions!$G30)&lt;=L$8
                        )
                      ),
                    "Yes","No"),
                  "No")
                )
              )
            )
          )
        )
      )
    )
  )
)</f>
        <v>No</v>
      </c>
      <c r="M18" s="59" t="str">
        <f>IF(
  Assumptions!$K30="Off",
  "No",
  IF(
    Assumptions!$F30="I will phase manually",
    "No",
    IF(
      Assumptions!$F30="Last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Assumptions!$F30="End of month",
        IF(
          OR(
            AND(EOMONTH(M$7,0)&gt;=M$7, EOMONTH(M$7,0)&lt;=M$8),
            AND(EOMONTH(M$8,0)&gt;=M$7, EOMONTH(M$8,0)&lt;=M$8)
          ),
        "Yes","No"),
        IF(
          Assumptions!$F30="Specific day of month",
          IF(
            OR(
              AND(DATE(YEAR(M$7),MONTH(M$7),Assumptions!$G30)&gt;=M$7, DATE(YEAR(M$7),MONTH(M$7),Assumptions!$G30)&lt;=M$8),
              AND(DATE(YEAR(M$8),MONTH(M$8),Assumptions!$G30)&gt;=M$7, DATE(YEAR(M$8),MONTH(M$8),Assumptions!$G30)&lt;=M$8)
            ),
          "Yes","No"),
          IF(
            Assumptions!$F30="Last X day of month",
            IF(
              AND(
                WEEKDAY(M$7,2)&lt;=MATCH(Assumptions!$J30,{"Monday","Tuesday","Wednesday","Thursday","Friday"},0),
                WEEKDAY(M$8,2)&gt;=MATCH(Assumptions!$J30,{"Monday","Tuesday","Wednesday","Thursday","Friday"},0),
                (M$7+(MATCH(Assumptions!$J30,{"Monday","Tuesday","Wednesday","Thursday","Friday"},0)-WEEKDAY(M$7,2)))+7&gt;EOMONTH((M$7+(MATCH(Assumptions!$J30,{"Monday","Tuesday","Wednesday","Thursday","Friday"},0)-WEEKDAY(M$7,2))),0)
              ),
            "Yes","No"),
            IF(
              Assumptions!$F30="Weekly",
              IF(
                AND(
                  WEEKDAY(M$7,2)&lt;=MATCH(Assumptions!$J30,{"Monday","Tuesday","Wednesday","Thursday","Friday"},0),
                  WEEKDAY(M$8,2)&gt;=MATCH(Assumptions!$J30,{"Monday","Tuesday","Wednesday","Thursday","Friday"},0)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AND(Assumptions!$I30&gt;=M$7, Assumptions!$I30&lt;=M$8),
                    AND(
                      Assumptions!$I30&lt;M$7,
                      MOD(INT((M$7-(Assumptions!$I30-WEEKDAY(Assumptions!$I30,2)+1))/7),2)=0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AND(Assumptions!$I30&gt;=M$7, Assumptions!$I30&lt;=M$8),
                      AND(
                        Assumptions!$I30&lt;M$7,
                        MOD(INT((M$7-(Assumptions!$I30-WEEKDAY(Assumptions!$I30,2)+1))/7),3)=0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ISNUMBER(MATCH(MONTH(M$7),IF(Assumptions!$H30="Jan / Apr / Jul / Oct",{1,4,7,10},IF(Assumptions!$H30="Feb / May / Aug / Nov",{2,5,8,11},{3,6,9,12})),0)),
                          DATE(YEAR(M$7),MONTH(M$7),Assumptions!$G30)&gt;=M$7,
                          DATE(YEAR(M$7),MONTH(M$7),Assumptions!$G30)&lt;=M$8
                        ),
                        AND(
                          ISNUMBER(MATCH(MONTH(M$8),IF(Assumptions!$H30="Jan / Apr / Jul / Oct",{1,4,7,10},IF(Assumptions!$H30="Feb / May / Aug / Nov",{2,5,8,11},{3,6,9,12})),0)),
                          DATE(YEAR(M$8),MONTH(M$8),Assumptions!$G30)&gt;=M$7,
                          DATE(YEAR(M$8),MONTH(M$8),Assumptions!$G30)&lt;=M$8
                        )
                      ),
                    "Yes","No"),
                  "No")
                )
              )
            )
          )
        )
      )
    )
  )
)</f>
        <v>No</v>
      </c>
      <c r="N18" s="59" t="str">
        <f>IF(
  Assumptions!$K30="Off",
  "No",
  IF(
    Assumptions!$F30="I will phase manually",
    "No",
    IF(
      Assumptions!$F30="Last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Assumptions!$F30="End of month",
        IF(
          OR(
            AND(EOMONTH(N$7,0)&gt;=N$7, EOMONTH(N$7,0)&lt;=N$8),
            AND(EOMONTH(N$8,0)&gt;=N$7, EOMONTH(N$8,0)&lt;=N$8)
          ),
        "Yes","No"),
        IF(
          Assumptions!$F30="Specific day of month",
          IF(
            OR(
              AND(DATE(YEAR(N$7),MONTH(N$7),Assumptions!$G30)&gt;=N$7, DATE(YEAR(N$7),MONTH(N$7),Assumptions!$G30)&lt;=N$8),
              AND(DATE(YEAR(N$8),MONTH(N$8),Assumptions!$G30)&gt;=N$7, DATE(YEAR(N$8),MONTH(N$8),Assumptions!$G30)&lt;=N$8)
            ),
          "Yes","No"),
          IF(
            Assumptions!$F30="Last X day of month",
            IF(
              AND(
                WEEKDAY(N$7,2)&lt;=MATCH(Assumptions!$J30,{"Monday","Tuesday","Wednesday","Thursday","Friday"},0),
                WEEKDAY(N$8,2)&gt;=MATCH(Assumptions!$J30,{"Monday","Tuesday","Wednesday","Thursday","Friday"},0),
                (N$7+(MATCH(Assumptions!$J30,{"Monday","Tuesday","Wednesday","Thursday","Friday"},0)-WEEKDAY(N$7,2)))+7&gt;EOMONTH((N$7+(MATCH(Assumptions!$J30,{"Monday","Tuesday","Wednesday","Thursday","Friday"},0)-WEEKDAY(N$7,2))),0)
              ),
            "Yes","No"),
            IF(
              Assumptions!$F30="Weekly",
              IF(
                AND(
                  WEEKDAY(N$7,2)&lt;=MATCH(Assumptions!$J30,{"Monday","Tuesday","Wednesday","Thursday","Friday"},0),
                  WEEKDAY(N$8,2)&gt;=MATCH(Assumptions!$J30,{"Monday","Tuesday","Wednesday","Thursday","Friday"},0)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AND(Assumptions!$I30&gt;=N$7, Assumptions!$I30&lt;=N$8),
                    AND(
                      Assumptions!$I30&lt;N$7,
                      MOD(INT((N$7-(Assumptions!$I30-WEEKDAY(Assumptions!$I30,2)+1))/7),2)=0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AND(Assumptions!$I30&gt;=N$7, Assumptions!$I30&lt;=N$8),
                      AND(
                        Assumptions!$I30&lt;N$7,
                        MOD(INT((N$7-(Assumptions!$I30-WEEKDAY(Assumptions!$I30,2)+1))/7),3)=0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ISNUMBER(MATCH(MONTH(N$7),IF(Assumptions!$H30="Jan / Apr / Jul / Oct",{1,4,7,10},IF(Assumptions!$H30="Feb / May / Aug / Nov",{2,5,8,11},{3,6,9,12})),0)),
                          DATE(YEAR(N$7),MONTH(N$7),Assumptions!$G30)&gt;=N$7,
                          DATE(YEAR(N$7),MONTH(N$7),Assumptions!$G30)&lt;=N$8
                        ),
                        AND(
                          ISNUMBER(MATCH(MONTH(N$8),IF(Assumptions!$H30="Jan / Apr / Jul / Oct",{1,4,7,10},IF(Assumptions!$H30="Feb / May / Aug / Nov",{2,5,8,11},{3,6,9,12})),0)),
                          DATE(YEAR(N$8),MONTH(N$8),Assumptions!$G30)&gt;=N$7,
                          DATE(YEAR(N$8),MONTH(N$8),Assumptions!$G30)&lt;=N$8
                        )
                      ),
                    "Yes","No"),
                  "No")
                )
              )
            )
          )
        )
      )
    )
  )
)</f>
        <v>No</v>
      </c>
      <c r="O18" s="59" t="str">
        <f>IF(
  Assumptions!$K30="Off",
  "No",
  IF(
    Assumptions!$F30="I will phase manually",
    "No",
    IF(
      Assumptions!$F30="Last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Assumptions!$F30="End of month",
        IF(
          OR(
            AND(EOMONTH(O$7,0)&gt;=O$7, EOMONTH(O$7,0)&lt;=O$8),
            AND(EOMONTH(O$8,0)&gt;=O$7, EOMONTH(O$8,0)&lt;=O$8)
          ),
        "Yes","No"),
        IF(
          Assumptions!$F30="Specific day of month",
          IF(
            OR(
              AND(DATE(YEAR(O$7),MONTH(O$7),Assumptions!$G30)&gt;=O$7, DATE(YEAR(O$7),MONTH(O$7),Assumptions!$G30)&lt;=O$8),
              AND(DATE(YEAR(O$8),MONTH(O$8),Assumptions!$G30)&gt;=O$7, DATE(YEAR(O$8),MONTH(O$8),Assumptions!$G30)&lt;=O$8)
            ),
          "Yes","No"),
          IF(
            Assumptions!$F30="Last X day of month",
            IF(
              AND(
                WEEKDAY(O$7,2)&lt;=MATCH(Assumptions!$J30,{"Monday","Tuesday","Wednesday","Thursday","Friday"},0),
                WEEKDAY(O$8,2)&gt;=MATCH(Assumptions!$J30,{"Monday","Tuesday","Wednesday","Thursday","Friday"},0),
                (O$7+(MATCH(Assumptions!$J30,{"Monday","Tuesday","Wednesday","Thursday","Friday"},0)-WEEKDAY(O$7,2)))+7&gt;EOMONTH((O$7+(MATCH(Assumptions!$J30,{"Monday","Tuesday","Wednesday","Thursday","Friday"},0)-WEEKDAY(O$7,2))),0)
              ),
            "Yes","No"),
            IF(
              Assumptions!$F30="Weekly",
              IF(
                AND(
                  WEEKDAY(O$7,2)&lt;=MATCH(Assumptions!$J30,{"Monday","Tuesday","Wednesday","Thursday","Friday"},0),
                  WEEKDAY(O$8,2)&gt;=MATCH(Assumptions!$J30,{"Monday","Tuesday","Wednesday","Thursday","Friday"},0)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AND(Assumptions!$I30&gt;=O$7, Assumptions!$I30&lt;=O$8),
                    AND(
                      Assumptions!$I30&lt;O$7,
                      MOD(INT((O$7-(Assumptions!$I30-WEEKDAY(Assumptions!$I30,2)+1))/7),2)=0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AND(Assumptions!$I30&gt;=O$7, Assumptions!$I30&lt;=O$8),
                      AND(
                        Assumptions!$I30&lt;O$7,
                        MOD(INT((O$7-(Assumptions!$I30-WEEKDAY(Assumptions!$I30,2)+1))/7),3)=0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ISNUMBER(MATCH(MONTH(O$7),IF(Assumptions!$H30="Jan / Apr / Jul / Oct",{1,4,7,10},IF(Assumptions!$H30="Feb / May / Aug / Nov",{2,5,8,11},{3,6,9,12})),0)),
                          DATE(YEAR(O$7),MONTH(O$7),Assumptions!$G30)&gt;=O$7,
                          DATE(YEAR(O$7),MONTH(O$7),Assumptions!$G30)&lt;=O$8
                        ),
                        AND(
                          ISNUMBER(MATCH(MONTH(O$8),IF(Assumptions!$H30="Jan / Apr / Jul / Oct",{1,4,7,10},IF(Assumptions!$H30="Feb / May / Aug / Nov",{2,5,8,11},{3,6,9,12})),0)),
                          DATE(YEAR(O$8),MONTH(O$8),Assumptions!$G30)&gt;=O$7,
                          DATE(YEAR(O$8),MONTH(O$8),Assumptions!$G30)&lt;=O$8
                        )
                      ),
                    "Yes","No"),
                  "No")
                )
              )
            )
          )
        )
      )
    )
  )
)</f>
        <v>No</v>
      </c>
      <c r="P18" s="59" t="str">
        <f>IF(
  Assumptions!$K30="Off",
  "No",
  IF(
    Assumptions!$F30="I will phase manually",
    "No",
    IF(
      Assumptions!$F30="Last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Assumptions!$F30="End of month",
        IF(
          OR(
            AND(EOMONTH(P$7,0)&gt;=P$7, EOMONTH(P$7,0)&lt;=P$8),
            AND(EOMONTH(P$8,0)&gt;=P$7, EOMONTH(P$8,0)&lt;=P$8)
          ),
        "Yes","No"),
        IF(
          Assumptions!$F30="Specific day of month",
          IF(
            OR(
              AND(DATE(YEAR(P$7),MONTH(P$7),Assumptions!$G30)&gt;=P$7, DATE(YEAR(P$7),MONTH(P$7),Assumptions!$G30)&lt;=P$8),
              AND(DATE(YEAR(P$8),MONTH(P$8),Assumptions!$G30)&gt;=P$7, DATE(YEAR(P$8),MONTH(P$8),Assumptions!$G30)&lt;=P$8)
            ),
          "Yes","No"),
          IF(
            Assumptions!$F30="Last X day of month",
            IF(
              AND(
                WEEKDAY(P$7,2)&lt;=MATCH(Assumptions!$J30,{"Monday","Tuesday","Wednesday","Thursday","Friday"},0),
                WEEKDAY(P$8,2)&gt;=MATCH(Assumptions!$J30,{"Monday","Tuesday","Wednesday","Thursday","Friday"},0),
                (P$7+(MATCH(Assumptions!$J30,{"Monday","Tuesday","Wednesday","Thursday","Friday"},0)-WEEKDAY(P$7,2)))+7&gt;EOMONTH((P$7+(MATCH(Assumptions!$J30,{"Monday","Tuesday","Wednesday","Thursday","Friday"},0)-WEEKDAY(P$7,2))),0)
              ),
            "Yes","No"),
            IF(
              Assumptions!$F30="Weekly",
              IF(
                AND(
                  WEEKDAY(P$7,2)&lt;=MATCH(Assumptions!$J30,{"Monday","Tuesday","Wednesday","Thursday","Friday"},0),
                  WEEKDAY(P$8,2)&gt;=MATCH(Assumptions!$J30,{"Monday","Tuesday","Wednesday","Thursday","Friday"},0)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AND(Assumptions!$I30&gt;=P$7, Assumptions!$I30&lt;=P$8),
                    AND(
                      Assumptions!$I30&lt;P$7,
                      MOD(INT((P$7-(Assumptions!$I30-WEEKDAY(Assumptions!$I30,2)+1))/7),2)=0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AND(Assumptions!$I30&gt;=P$7, Assumptions!$I30&lt;=P$8),
                      AND(
                        Assumptions!$I30&lt;P$7,
                        MOD(INT((P$7-(Assumptions!$I30-WEEKDAY(Assumptions!$I30,2)+1))/7),3)=0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ISNUMBER(MATCH(MONTH(P$7),IF(Assumptions!$H30="Jan / Apr / Jul / Oct",{1,4,7,10},IF(Assumptions!$H30="Feb / May / Aug / Nov",{2,5,8,11},{3,6,9,12})),0)),
                          DATE(YEAR(P$7),MONTH(P$7),Assumptions!$G30)&gt;=P$7,
                          DATE(YEAR(P$7),MONTH(P$7),Assumptions!$G30)&lt;=P$8
                        ),
                        AND(
                          ISNUMBER(MATCH(MONTH(P$8),IF(Assumptions!$H30="Jan / Apr / Jul / Oct",{1,4,7,10},IF(Assumptions!$H30="Feb / May / Aug / Nov",{2,5,8,11},{3,6,9,12})),0)),
                          DATE(YEAR(P$8),MONTH(P$8),Assumptions!$G30)&gt;=P$7,
                          DATE(YEAR(P$8),MONTH(P$8),Assumptions!$G30)&lt;=P$8
                        )
                      ),
                    "Yes","No"),
                  "No")
                )
              )
            )
          )
        )
      )
    )
  )
)</f>
        <v>No</v>
      </c>
      <c r="Q18" s="59" t="str">
        <f>IF(
  Assumptions!$K30="Off",
  "No",
  IF(
    Assumptions!$F30="I will phase manually",
    "No",
    IF(
      Assumptions!$F30="Last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Assumptions!$F30="End of month",
        IF(
          OR(
            AND(EOMONTH(Q$7,0)&gt;=Q$7, EOMONTH(Q$7,0)&lt;=Q$8),
            AND(EOMONTH(Q$8,0)&gt;=Q$7, EOMONTH(Q$8,0)&lt;=Q$8)
          ),
        "Yes","No"),
        IF(
          Assumptions!$F30="Specific day of month",
          IF(
            OR(
              AND(DATE(YEAR(Q$7),MONTH(Q$7),Assumptions!$G30)&gt;=Q$7, DATE(YEAR(Q$7),MONTH(Q$7),Assumptions!$G30)&lt;=Q$8),
              AND(DATE(YEAR(Q$8),MONTH(Q$8),Assumptions!$G30)&gt;=Q$7, DATE(YEAR(Q$8),MONTH(Q$8),Assumptions!$G30)&lt;=Q$8)
            ),
          "Yes","No"),
          IF(
            Assumptions!$F30="Last X day of month",
            IF(
              AND(
                WEEKDAY(Q$7,2)&lt;=MATCH(Assumptions!$J30,{"Monday","Tuesday","Wednesday","Thursday","Friday"},0),
                WEEKDAY(Q$8,2)&gt;=MATCH(Assumptions!$J30,{"Monday","Tuesday","Wednesday","Thursday","Friday"},0),
                (Q$7+(MATCH(Assumptions!$J30,{"Monday","Tuesday","Wednesday","Thursday","Friday"},0)-WEEKDAY(Q$7,2)))+7&gt;EOMONTH((Q$7+(MATCH(Assumptions!$J30,{"Monday","Tuesday","Wednesday","Thursday","Friday"},0)-WEEKDAY(Q$7,2))),0)
              ),
            "Yes","No"),
            IF(
              Assumptions!$F30="Weekly",
              IF(
                AND(
                  WEEKDAY(Q$7,2)&lt;=MATCH(Assumptions!$J30,{"Monday","Tuesday","Wednesday","Thursday","Friday"},0),
                  WEEKDAY(Q$8,2)&gt;=MATCH(Assumptions!$J30,{"Monday","Tuesday","Wednesday","Thursday","Friday"},0)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AND(Assumptions!$I30&gt;=Q$7, Assumptions!$I30&lt;=Q$8),
                    AND(
                      Assumptions!$I30&lt;Q$7,
                      MOD(INT((Q$7-(Assumptions!$I30-WEEKDAY(Assumptions!$I30,2)+1))/7),2)=0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AND(Assumptions!$I30&gt;=Q$7, Assumptions!$I30&lt;=Q$8),
                      AND(
                        Assumptions!$I30&lt;Q$7,
                        MOD(INT((Q$7-(Assumptions!$I30-WEEKDAY(Assumptions!$I30,2)+1))/7),3)=0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ISNUMBER(MATCH(MONTH(Q$7),IF(Assumptions!$H30="Jan / Apr / Jul / Oct",{1,4,7,10},IF(Assumptions!$H30="Feb / May / Aug / Nov",{2,5,8,11},{3,6,9,12})),0)),
                          DATE(YEAR(Q$7),MONTH(Q$7),Assumptions!$G30)&gt;=Q$7,
                          DATE(YEAR(Q$7),MONTH(Q$7),Assumptions!$G30)&lt;=Q$8
                        ),
                        AND(
                          ISNUMBER(MATCH(MONTH(Q$8),IF(Assumptions!$H30="Jan / Apr / Jul / Oct",{1,4,7,10},IF(Assumptions!$H30="Feb / May / Aug / Nov",{2,5,8,11},{3,6,9,12})),0)),
                          DATE(YEAR(Q$8),MONTH(Q$8),Assumptions!$G30)&gt;=Q$7,
                          DATE(YEAR(Q$8),MONTH(Q$8),Assumptions!$G30)&lt;=Q$8
                        )
                      ),
                    "Yes","No"),
                  "No")
                )
              )
            )
          )
        )
      )
    )
  )
)</f>
        <v>No</v>
      </c>
      <c r="R18" s="59" t="str">
        <f>IF(
  Assumptions!$K30="Off",
  "No",
  IF(
    Assumptions!$F30="I will phase manually",
    "No",
    IF(
      Assumptions!$F30="Last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Assumptions!$F30="End of month",
        IF(
          OR(
            AND(EOMONTH(R$7,0)&gt;=R$7, EOMONTH(R$7,0)&lt;=R$8),
            AND(EOMONTH(R$8,0)&gt;=R$7, EOMONTH(R$8,0)&lt;=R$8)
          ),
        "Yes","No"),
        IF(
          Assumptions!$F30="Specific day of month",
          IF(
            OR(
              AND(DATE(YEAR(R$7),MONTH(R$7),Assumptions!$G30)&gt;=R$7, DATE(YEAR(R$7),MONTH(R$7),Assumptions!$G30)&lt;=R$8),
              AND(DATE(YEAR(R$8),MONTH(R$8),Assumptions!$G30)&gt;=R$7, DATE(YEAR(R$8),MONTH(R$8),Assumptions!$G30)&lt;=R$8)
            ),
          "Yes","No"),
          IF(
            Assumptions!$F30="Last X day of month",
            IF(
              AND(
                WEEKDAY(R$7,2)&lt;=MATCH(Assumptions!$J30,{"Monday","Tuesday","Wednesday","Thursday","Friday"},0),
                WEEKDAY(R$8,2)&gt;=MATCH(Assumptions!$J30,{"Monday","Tuesday","Wednesday","Thursday","Friday"},0),
                (R$7+(MATCH(Assumptions!$J30,{"Monday","Tuesday","Wednesday","Thursday","Friday"},0)-WEEKDAY(R$7,2)))+7&gt;EOMONTH((R$7+(MATCH(Assumptions!$J30,{"Monday","Tuesday","Wednesday","Thursday","Friday"},0)-WEEKDAY(R$7,2))),0)
              ),
            "Yes","No"),
            IF(
              Assumptions!$F30="Weekly",
              IF(
                AND(
                  WEEKDAY(R$7,2)&lt;=MATCH(Assumptions!$J30,{"Monday","Tuesday","Wednesday","Thursday","Friday"},0),
                  WEEKDAY(R$8,2)&gt;=MATCH(Assumptions!$J30,{"Monday","Tuesday","Wednesday","Thursday","Friday"},0)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AND(Assumptions!$I30&gt;=R$7, Assumptions!$I30&lt;=R$8),
                    AND(
                      Assumptions!$I30&lt;R$7,
                      MOD(INT((R$7-(Assumptions!$I30-WEEKDAY(Assumptions!$I30,2)+1))/7),2)=0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AND(Assumptions!$I30&gt;=R$7, Assumptions!$I30&lt;=R$8),
                      AND(
                        Assumptions!$I30&lt;R$7,
                        MOD(INT((R$7-(Assumptions!$I30-WEEKDAY(Assumptions!$I30,2)+1))/7),3)=0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ISNUMBER(MATCH(MONTH(R$7),IF(Assumptions!$H30="Jan / Apr / Jul / Oct",{1,4,7,10},IF(Assumptions!$H30="Feb / May / Aug / Nov",{2,5,8,11},{3,6,9,12})),0)),
                          DATE(YEAR(R$7),MONTH(R$7),Assumptions!$G30)&gt;=R$7,
                          DATE(YEAR(R$7),MONTH(R$7),Assumptions!$G30)&lt;=R$8
                        ),
                        AND(
                          ISNUMBER(MATCH(MONTH(R$8),IF(Assumptions!$H30="Jan / Apr / Jul / Oct",{1,4,7,10},IF(Assumptions!$H30="Feb / May / Aug / Nov",{2,5,8,11},{3,6,9,12})),0)),
                          DATE(YEAR(R$8),MONTH(R$8),Assumptions!$G30)&gt;=R$7,
                          DATE(YEAR(R$8),MONTH(R$8),Assumptions!$G30)&lt;=R$8
                        )
                      ),
                    "Yes","No"),
                  "No")
                )
              )
            )
          )
        )
      )
    )
  )
)</f>
        <v>No</v>
      </c>
      <c r="S18" s="59" t="str">
        <f>IF(
  Assumptions!$K30="Off",
  "No",
  IF(
    Assumptions!$F30="I will phase manually",
    "No",
    IF(
      Assumptions!$F30="Last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Assumptions!$F30="End of month",
        IF(
          OR(
            AND(EOMONTH(S$7,0)&gt;=S$7, EOMONTH(S$7,0)&lt;=S$8),
            AND(EOMONTH(S$8,0)&gt;=S$7, EOMONTH(S$8,0)&lt;=S$8)
          ),
        "Yes","No"),
        IF(
          Assumptions!$F30="Specific day of month",
          IF(
            OR(
              AND(DATE(YEAR(S$7),MONTH(S$7),Assumptions!$G30)&gt;=S$7, DATE(YEAR(S$7),MONTH(S$7),Assumptions!$G30)&lt;=S$8),
              AND(DATE(YEAR(S$8),MONTH(S$8),Assumptions!$G30)&gt;=S$7, DATE(YEAR(S$8),MONTH(S$8),Assumptions!$G30)&lt;=S$8)
            ),
          "Yes","No"),
          IF(
            Assumptions!$F30="Last X day of month",
            IF(
              AND(
                WEEKDAY(S$7,2)&lt;=MATCH(Assumptions!$J30,{"Monday","Tuesday","Wednesday","Thursday","Friday"},0),
                WEEKDAY(S$8,2)&gt;=MATCH(Assumptions!$J30,{"Monday","Tuesday","Wednesday","Thursday","Friday"},0),
                (S$7+(MATCH(Assumptions!$J30,{"Monday","Tuesday","Wednesday","Thursday","Friday"},0)-WEEKDAY(S$7,2)))+7&gt;EOMONTH((S$7+(MATCH(Assumptions!$J30,{"Monday","Tuesday","Wednesday","Thursday","Friday"},0)-WEEKDAY(S$7,2))),0)
              ),
            "Yes","No"),
            IF(
              Assumptions!$F30="Weekly",
              IF(
                AND(
                  WEEKDAY(S$7,2)&lt;=MATCH(Assumptions!$J30,{"Monday","Tuesday","Wednesday","Thursday","Friday"},0),
                  WEEKDAY(S$8,2)&gt;=MATCH(Assumptions!$J30,{"Monday","Tuesday","Wednesday","Thursday","Friday"},0)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AND(Assumptions!$I30&gt;=S$7, Assumptions!$I30&lt;=S$8),
                    AND(
                      Assumptions!$I30&lt;S$7,
                      MOD(INT((S$7-(Assumptions!$I30-WEEKDAY(Assumptions!$I30,2)+1))/7),2)=0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AND(Assumptions!$I30&gt;=S$7, Assumptions!$I30&lt;=S$8),
                      AND(
                        Assumptions!$I30&lt;S$7,
                        MOD(INT((S$7-(Assumptions!$I30-WEEKDAY(Assumptions!$I30,2)+1))/7),3)=0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ISNUMBER(MATCH(MONTH(S$7),IF(Assumptions!$H30="Jan / Apr / Jul / Oct",{1,4,7,10},IF(Assumptions!$H30="Feb / May / Aug / Nov",{2,5,8,11},{3,6,9,12})),0)),
                          DATE(YEAR(S$7),MONTH(S$7),Assumptions!$G30)&gt;=S$7,
                          DATE(YEAR(S$7),MONTH(S$7),Assumptions!$G30)&lt;=S$8
                        ),
                        AND(
                          ISNUMBER(MATCH(MONTH(S$8),IF(Assumptions!$H30="Jan / Apr / Jul / Oct",{1,4,7,10},IF(Assumptions!$H30="Feb / May / Aug / Nov",{2,5,8,11},{3,6,9,12})),0)),
                          DATE(YEAR(S$8),MONTH(S$8),Assumptions!$G30)&gt;=S$7,
                          DATE(YEAR(S$8),MONTH(S$8),Assumptions!$G30)&lt;=S$8
                        )
                      ),
                    "Yes","No"),
                  "No")
                )
              )
            )
          )
        )
      )
    )
  )
)</f>
        <v>No</v>
      </c>
      <c r="T18" s="59" t="s">
        <v>124</v>
      </c>
    </row>
    <row r="19" spans="3:20" hidden="1" outlineLevel="1" x14ac:dyDescent="0.25">
      <c r="C19" s="58">
        <f>Assumptions!D31</f>
        <v>0</v>
      </c>
      <c r="D19" s="58"/>
      <c r="E19" s="58"/>
      <c r="F19" s="58"/>
      <c r="G19" s="59" t="str">
        <f>IF(
  Assumptions!$K31="Off",
  "No",
  IF(
    Assumptions!$F31="I will phase manually",
    "No",
    IF(
      Assumptions!$F31="Last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Assumptions!$F31="End of month",
        IF(
          OR(
            AND(EOMONTH(G$7,0)&gt;=G$7, EOMONTH(G$7,0)&lt;=G$8),
            AND(EOMONTH(G$8,0)&gt;=G$7, EOMONTH(G$8,0)&lt;=G$8)
          ),
        "Yes","No"),
        IF(
          Assumptions!$F31="Specific day of month",
          IF(
            OR(
              AND(DATE(YEAR(G$7),MONTH(G$7),Assumptions!$G31)&gt;=G$7, DATE(YEAR(G$7),MONTH(G$7),Assumptions!$G31)&lt;=G$8),
              AND(DATE(YEAR(G$8),MONTH(G$8),Assumptions!$G31)&gt;=G$7, DATE(YEAR(G$8),MONTH(G$8),Assumptions!$G31)&lt;=G$8)
            ),
          "Yes","No"),
          IF(
            Assumptions!$F31="Last X day of month",
            IF(
              AND(
                WEEKDAY(G$7,2)&lt;=MATCH(Assumptions!$J31,{"Monday","Tuesday","Wednesday","Thursday","Friday"},0),
                WEEKDAY(G$8,2)&gt;=MATCH(Assumptions!$J31,{"Monday","Tuesday","Wednesday","Thursday","Friday"},0),
                (G$7+(MATCH(Assumptions!$J31,{"Monday","Tuesday","Wednesday","Thursday","Friday"},0)-WEEKDAY(G$7,2)))+7&gt;EOMONTH((G$7+(MATCH(Assumptions!$J31,{"Monday","Tuesday","Wednesday","Thursday","Friday"},0)-WEEKDAY(G$7,2))),0)
              ),
            "Yes","No"),
            IF(
              Assumptions!$F31="Weekly",
              IF(
                AND(
                  WEEKDAY(G$7,2)&lt;=MATCH(Assumptions!$J31,{"Monday","Tuesday","Wednesday","Thursday","Friday"},0),
                  WEEKDAY(G$8,2)&gt;=MATCH(Assumptions!$J31,{"Monday","Tuesday","Wednesday","Thursday","Friday"},0)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AND(Assumptions!$I31&gt;=G$7, Assumptions!$I31&lt;=G$8),
                    AND(
                      Assumptions!$I31&lt;G$7,
                      MOD(INT((G$7-(Assumptions!$I31-WEEKDAY(Assumptions!$I31,2)+1))/7),2)=0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AND(Assumptions!$I31&gt;=G$7, Assumptions!$I31&lt;=G$8),
                      AND(
                        Assumptions!$I31&lt;G$7,
                        MOD(INT((G$7-(Assumptions!$I31-WEEKDAY(Assumptions!$I31,2)+1))/7),3)=0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ISNUMBER(MATCH(MONTH(G$7),IF(Assumptions!$H31="Jan / Apr / Jul / Oct",{1,4,7,10},IF(Assumptions!$H31="Feb / May / Aug / Nov",{2,5,8,11},{3,6,9,12})),0)),
                          DATE(YEAR(G$7),MONTH(G$7),Assumptions!$G31)&gt;=G$7,
                          DATE(YEAR(G$7),MONTH(G$7),Assumptions!$G31)&lt;=G$8
                        ),
                        AND(
                          ISNUMBER(MATCH(MONTH(G$8),IF(Assumptions!$H31="Jan / Apr / Jul / Oct",{1,4,7,10},IF(Assumptions!$H31="Feb / May / Aug / Nov",{2,5,8,11},{3,6,9,12})),0)),
                          DATE(YEAR(G$8),MONTH(G$8),Assumptions!$G31)&gt;=G$7,
                          DATE(YEAR(G$8),MONTH(G$8),Assumptions!$G31)&lt;=G$8
                        )
                      ),
                    "Yes","No"),
                  "No")
                )
              )
            )
          )
        )
      )
    )
  )
)</f>
        <v>No</v>
      </c>
      <c r="H19" s="59" t="str">
        <f>IF(
  Assumptions!$K31="Off",
  "No",
  IF(
    Assumptions!$F31="I will phase manually",
    "No",
    IF(
      Assumptions!$F31="Last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Assumptions!$F31="End of month",
        IF(
          OR(
            AND(EOMONTH(H$7,0)&gt;=H$7, EOMONTH(H$7,0)&lt;=H$8),
            AND(EOMONTH(H$8,0)&gt;=H$7, EOMONTH(H$8,0)&lt;=H$8)
          ),
        "Yes","No"),
        IF(
          Assumptions!$F31="Specific day of month",
          IF(
            OR(
              AND(DATE(YEAR(H$7),MONTH(H$7),Assumptions!$G31)&gt;=H$7, DATE(YEAR(H$7),MONTH(H$7),Assumptions!$G31)&lt;=H$8),
              AND(DATE(YEAR(H$8),MONTH(H$8),Assumptions!$G31)&gt;=H$7, DATE(YEAR(H$8),MONTH(H$8),Assumptions!$G31)&lt;=H$8)
            ),
          "Yes","No"),
          IF(
            Assumptions!$F31="Last X day of month",
            IF(
              AND(
                WEEKDAY(H$7,2)&lt;=MATCH(Assumptions!$J31,{"Monday","Tuesday","Wednesday","Thursday","Friday"},0),
                WEEKDAY(H$8,2)&gt;=MATCH(Assumptions!$J31,{"Monday","Tuesday","Wednesday","Thursday","Friday"},0),
                (H$7+(MATCH(Assumptions!$J31,{"Monday","Tuesday","Wednesday","Thursday","Friday"},0)-WEEKDAY(H$7,2)))+7&gt;EOMONTH((H$7+(MATCH(Assumptions!$J31,{"Monday","Tuesday","Wednesday","Thursday","Friday"},0)-WEEKDAY(H$7,2))),0)
              ),
            "Yes","No"),
            IF(
              Assumptions!$F31="Weekly",
              IF(
                AND(
                  WEEKDAY(H$7,2)&lt;=MATCH(Assumptions!$J31,{"Monday","Tuesday","Wednesday","Thursday","Friday"},0),
                  WEEKDAY(H$8,2)&gt;=MATCH(Assumptions!$J31,{"Monday","Tuesday","Wednesday","Thursday","Friday"},0)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AND(Assumptions!$I31&gt;=H$7, Assumptions!$I31&lt;=H$8),
                    AND(
                      Assumptions!$I31&lt;H$7,
                      MOD(INT((H$7-(Assumptions!$I31-WEEKDAY(Assumptions!$I31,2)+1))/7),2)=0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AND(Assumptions!$I31&gt;=H$7, Assumptions!$I31&lt;=H$8),
                      AND(
                        Assumptions!$I31&lt;H$7,
                        MOD(INT((H$7-(Assumptions!$I31-WEEKDAY(Assumptions!$I31,2)+1))/7),3)=0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ISNUMBER(MATCH(MONTH(H$7),IF(Assumptions!$H31="Jan / Apr / Jul / Oct",{1,4,7,10},IF(Assumptions!$H31="Feb / May / Aug / Nov",{2,5,8,11},{3,6,9,12})),0)),
                          DATE(YEAR(H$7),MONTH(H$7),Assumptions!$G31)&gt;=H$7,
                          DATE(YEAR(H$7),MONTH(H$7),Assumptions!$G31)&lt;=H$8
                        ),
                        AND(
                          ISNUMBER(MATCH(MONTH(H$8),IF(Assumptions!$H31="Jan / Apr / Jul / Oct",{1,4,7,10},IF(Assumptions!$H31="Feb / May / Aug / Nov",{2,5,8,11},{3,6,9,12})),0)),
                          DATE(YEAR(H$8),MONTH(H$8),Assumptions!$G31)&gt;=H$7,
                          DATE(YEAR(H$8),MONTH(H$8),Assumptions!$G31)&lt;=H$8
                        )
                      ),
                    "Yes","No"),
                  "No")
                )
              )
            )
          )
        )
      )
    )
  )
)</f>
        <v>No</v>
      </c>
      <c r="I19" s="59" t="str">
        <f>IF(
  Assumptions!$K31="Off",
  "No",
  IF(
    Assumptions!$F31="I will phase manually",
    "No",
    IF(
      Assumptions!$F31="Last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Assumptions!$F31="End of month",
        IF(
          OR(
            AND(EOMONTH(I$7,0)&gt;=I$7, EOMONTH(I$7,0)&lt;=I$8),
            AND(EOMONTH(I$8,0)&gt;=I$7, EOMONTH(I$8,0)&lt;=I$8)
          ),
        "Yes","No"),
        IF(
          Assumptions!$F31="Specific day of month",
          IF(
            OR(
              AND(DATE(YEAR(I$7),MONTH(I$7),Assumptions!$G31)&gt;=I$7, DATE(YEAR(I$7),MONTH(I$7),Assumptions!$G31)&lt;=I$8),
              AND(DATE(YEAR(I$8),MONTH(I$8),Assumptions!$G31)&gt;=I$7, DATE(YEAR(I$8),MONTH(I$8),Assumptions!$G31)&lt;=I$8)
            ),
          "Yes","No"),
          IF(
            Assumptions!$F31="Last X day of month",
            IF(
              AND(
                WEEKDAY(I$7,2)&lt;=MATCH(Assumptions!$J31,{"Monday","Tuesday","Wednesday","Thursday","Friday"},0),
                WEEKDAY(I$8,2)&gt;=MATCH(Assumptions!$J31,{"Monday","Tuesday","Wednesday","Thursday","Friday"},0),
                (I$7+(MATCH(Assumptions!$J31,{"Monday","Tuesday","Wednesday","Thursday","Friday"},0)-WEEKDAY(I$7,2)))+7&gt;EOMONTH((I$7+(MATCH(Assumptions!$J31,{"Monday","Tuesday","Wednesday","Thursday","Friday"},0)-WEEKDAY(I$7,2))),0)
              ),
            "Yes","No"),
            IF(
              Assumptions!$F31="Weekly",
              IF(
                AND(
                  WEEKDAY(I$7,2)&lt;=MATCH(Assumptions!$J31,{"Monday","Tuesday","Wednesday","Thursday","Friday"},0),
                  WEEKDAY(I$8,2)&gt;=MATCH(Assumptions!$J31,{"Monday","Tuesday","Wednesday","Thursday","Friday"},0)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AND(Assumptions!$I31&gt;=I$7, Assumptions!$I31&lt;=I$8),
                    AND(
                      Assumptions!$I31&lt;I$7,
                      MOD(INT((I$7-(Assumptions!$I31-WEEKDAY(Assumptions!$I31,2)+1))/7),2)=0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AND(Assumptions!$I31&gt;=I$7, Assumptions!$I31&lt;=I$8),
                      AND(
                        Assumptions!$I31&lt;I$7,
                        MOD(INT((I$7-(Assumptions!$I31-WEEKDAY(Assumptions!$I31,2)+1))/7),3)=0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ISNUMBER(MATCH(MONTH(I$7),IF(Assumptions!$H31="Jan / Apr / Jul / Oct",{1,4,7,10},IF(Assumptions!$H31="Feb / May / Aug / Nov",{2,5,8,11},{3,6,9,12})),0)),
                          DATE(YEAR(I$7),MONTH(I$7),Assumptions!$G31)&gt;=I$7,
                          DATE(YEAR(I$7),MONTH(I$7),Assumptions!$G31)&lt;=I$8
                        ),
                        AND(
                          ISNUMBER(MATCH(MONTH(I$8),IF(Assumptions!$H31="Jan / Apr / Jul / Oct",{1,4,7,10},IF(Assumptions!$H31="Feb / May / Aug / Nov",{2,5,8,11},{3,6,9,12})),0)),
                          DATE(YEAR(I$8),MONTH(I$8),Assumptions!$G31)&gt;=I$7,
                          DATE(YEAR(I$8),MONTH(I$8),Assumptions!$G31)&lt;=I$8
                        )
                      ),
                    "Yes","No"),
                  "No")
                )
              )
            )
          )
        )
      )
    )
  )
)</f>
        <v>No</v>
      </c>
      <c r="J19" s="59" t="str">
        <f>IF(
  Assumptions!$K31="Off",
  "No",
  IF(
    Assumptions!$F31="I will phase manually",
    "No",
    IF(
      Assumptions!$F31="Last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Assumptions!$F31="End of month",
        IF(
          OR(
            AND(EOMONTH(J$7,0)&gt;=J$7, EOMONTH(J$7,0)&lt;=J$8),
            AND(EOMONTH(J$8,0)&gt;=J$7, EOMONTH(J$8,0)&lt;=J$8)
          ),
        "Yes","No"),
        IF(
          Assumptions!$F31="Specific day of month",
          IF(
            OR(
              AND(DATE(YEAR(J$7),MONTH(J$7),Assumptions!$G31)&gt;=J$7, DATE(YEAR(J$7),MONTH(J$7),Assumptions!$G31)&lt;=J$8),
              AND(DATE(YEAR(J$8),MONTH(J$8),Assumptions!$G31)&gt;=J$7, DATE(YEAR(J$8),MONTH(J$8),Assumptions!$G31)&lt;=J$8)
            ),
          "Yes","No"),
          IF(
            Assumptions!$F31="Last X day of month",
            IF(
              AND(
                WEEKDAY(J$7,2)&lt;=MATCH(Assumptions!$J31,{"Monday","Tuesday","Wednesday","Thursday","Friday"},0),
                WEEKDAY(J$8,2)&gt;=MATCH(Assumptions!$J31,{"Monday","Tuesday","Wednesday","Thursday","Friday"},0),
                (J$7+(MATCH(Assumptions!$J31,{"Monday","Tuesday","Wednesday","Thursday","Friday"},0)-WEEKDAY(J$7,2)))+7&gt;EOMONTH((J$7+(MATCH(Assumptions!$J31,{"Monday","Tuesday","Wednesday","Thursday","Friday"},0)-WEEKDAY(J$7,2))),0)
              ),
            "Yes","No"),
            IF(
              Assumptions!$F31="Weekly",
              IF(
                AND(
                  WEEKDAY(J$7,2)&lt;=MATCH(Assumptions!$J31,{"Monday","Tuesday","Wednesday","Thursday","Friday"},0),
                  WEEKDAY(J$8,2)&gt;=MATCH(Assumptions!$J31,{"Monday","Tuesday","Wednesday","Thursday","Friday"},0)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AND(Assumptions!$I31&gt;=J$7, Assumptions!$I31&lt;=J$8),
                    AND(
                      Assumptions!$I31&lt;J$7,
                      MOD(INT((J$7-(Assumptions!$I31-WEEKDAY(Assumptions!$I31,2)+1))/7),2)=0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AND(Assumptions!$I31&gt;=J$7, Assumptions!$I31&lt;=J$8),
                      AND(
                        Assumptions!$I31&lt;J$7,
                        MOD(INT((J$7-(Assumptions!$I31-WEEKDAY(Assumptions!$I31,2)+1))/7),3)=0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ISNUMBER(MATCH(MONTH(J$7),IF(Assumptions!$H31="Jan / Apr / Jul / Oct",{1,4,7,10},IF(Assumptions!$H31="Feb / May / Aug / Nov",{2,5,8,11},{3,6,9,12})),0)),
                          DATE(YEAR(J$7),MONTH(J$7),Assumptions!$G31)&gt;=J$7,
                          DATE(YEAR(J$7),MONTH(J$7),Assumptions!$G31)&lt;=J$8
                        ),
                        AND(
                          ISNUMBER(MATCH(MONTH(J$8),IF(Assumptions!$H31="Jan / Apr / Jul / Oct",{1,4,7,10},IF(Assumptions!$H31="Feb / May / Aug / Nov",{2,5,8,11},{3,6,9,12})),0)),
                          DATE(YEAR(J$8),MONTH(J$8),Assumptions!$G31)&gt;=J$7,
                          DATE(YEAR(J$8),MONTH(J$8),Assumptions!$G31)&lt;=J$8
                        )
                      ),
                    "Yes","No"),
                  "No")
                )
              )
            )
          )
        )
      )
    )
  )
)</f>
        <v>No</v>
      </c>
      <c r="K19" s="59" t="str">
        <f>IF(
  Assumptions!$K31="Off",
  "No",
  IF(
    Assumptions!$F31="I will phase manually",
    "No",
    IF(
      Assumptions!$F31="Last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Assumptions!$F31="End of month",
        IF(
          OR(
            AND(EOMONTH(K$7,0)&gt;=K$7, EOMONTH(K$7,0)&lt;=K$8),
            AND(EOMONTH(K$8,0)&gt;=K$7, EOMONTH(K$8,0)&lt;=K$8)
          ),
        "Yes","No"),
        IF(
          Assumptions!$F31="Specific day of month",
          IF(
            OR(
              AND(DATE(YEAR(K$7),MONTH(K$7),Assumptions!$G31)&gt;=K$7, DATE(YEAR(K$7),MONTH(K$7),Assumptions!$G31)&lt;=K$8),
              AND(DATE(YEAR(K$8),MONTH(K$8),Assumptions!$G31)&gt;=K$7, DATE(YEAR(K$8),MONTH(K$8),Assumptions!$G31)&lt;=K$8)
            ),
          "Yes","No"),
          IF(
            Assumptions!$F31="Last X day of month",
            IF(
              AND(
                WEEKDAY(K$7,2)&lt;=MATCH(Assumptions!$J31,{"Monday","Tuesday","Wednesday","Thursday","Friday"},0),
                WEEKDAY(K$8,2)&gt;=MATCH(Assumptions!$J31,{"Monday","Tuesday","Wednesday","Thursday","Friday"},0),
                (K$7+(MATCH(Assumptions!$J31,{"Monday","Tuesday","Wednesday","Thursday","Friday"},0)-WEEKDAY(K$7,2)))+7&gt;EOMONTH((K$7+(MATCH(Assumptions!$J31,{"Monday","Tuesday","Wednesday","Thursday","Friday"},0)-WEEKDAY(K$7,2))),0)
              ),
            "Yes","No"),
            IF(
              Assumptions!$F31="Weekly",
              IF(
                AND(
                  WEEKDAY(K$7,2)&lt;=MATCH(Assumptions!$J31,{"Monday","Tuesday","Wednesday","Thursday","Friday"},0),
                  WEEKDAY(K$8,2)&gt;=MATCH(Assumptions!$J31,{"Monday","Tuesday","Wednesday","Thursday","Friday"},0)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AND(Assumptions!$I31&gt;=K$7, Assumptions!$I31&lt;=K$8),
                    AND(
                      Assumptions!$I31&lt;K$7,
                      MOD(INT((K$7-(Assumptions!$I31-WEEKDAY(Assumptions!$I31,2)+1))/7),2)=0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AND(Assumptions!$I31&gt;=K$7, Assumptions!$I31&lt;=K$8),
                      AND(
                        Assumptions!$I31&lt;K$7,
                        MOD(INT((K$7-(Assumptions!$I31-WEEKDAY(Assumptions!$I31,2)+1))/7),3)=0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ISNUMBER(MATCH(MONTH(K$7),IF(Assumptions!$H31="Jan / Apr / Jul / Oct",{1,4,7,10},IF(Assumptions!$H31="Feb / May / Aug / Nov",{2,5,8,11},{3,6,9,12})),0)),
                          DATE(YEAR(K$7),MONTH(K$7),Assumptions!$G31)&gt;=K$7,
                          DATE(YEAR(K$7),MONTH(K$7),Assumptions!$G31)&lt;=K$8
                        ),
                        AND(
                          ISNUMBER(MATCH(MONTH(K$8),IF(Assumptions!$H31="Jan / Apr / Jul / Oct",{1,4,7,10},IF(Assumptions!$H31="Feb / May / Aug / Nov",{2,5,8,11},{3,6,9,12})),0)),
                          DATE(YEAR(K$8),MONTH(K$8),Assumptions!$G31)&gt;=K$7,
                          DATE(YEAR(K$8),MONTH(K$8),Assumptions!$G31)&lt;=K$8
                        )
                      ),
                    "Yes","No"),
                  "No")
                )
              )
            )
          )
        )
      )
    )
  )
)</f>
        <v>No</v>
      </c>
      <c r="L19" s="59" t="str">
        <f>IF(
  Assumptions!$K31="Off",
  "No",
  IF(
    Assumptions!$F31="I will phase manually",
    "No",
    IF(
      Assumptions!$F31="Last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Assumptions!$F31="End of month",
        IF(
          OR(
            AND(EOMONTH(L$7,0)&gt;=L$7, EOMONTH(L$7,0)&lt;=L$8),
            AND(EOMONTH(L$8,0)&gt;=L$7, EOMONTH(L$8,0)&lt;=L$8)
          ),
        "Yes","No"),
        IF(
          Assumptions!$F31="Specific day of month",
          IF(
            OR(
              AND(DATE(YEAR(L$7),MONTH(L$7),Assumptions!$G31)&gt;=L$7, DATE(YEAR(L$7),MONTH(L$7),Assumptions!$G31)&lt;=L$8),
              AND(DATE(YEAR(L$8),MONTH(L$8),Assumptions!$G31)&gt;=L$7, DATE(YEAR(L$8),MONTH(L$8),Assumptions!$G31)&lt;=L$8)
            ),
          "Yes","No"),
          IF(
            Assumptions!$F31="Last X day of month",
            IF(
              AND(
                WEEKDAY(L$7,2)&lt;=MATCH(Assumptions!$J31,{"Monday","Tuesday","Wednesday","Thursday","Friday"},0),
                WEEKDAY(L$8,2)&gt;=MATCH(Assumptions!$J31,{"Monday","Tuesday","Wednesday","Thursday","Friday"},0),
                (L$7+(MATCH(Assumptions!$J31,{"Monday","Tuesday","Wednesday","Thursday","Friday"},0)-WEEKDAY(L$7,2)))+7&gt;EOMONTH((L$7+(MATCH(Assumptions!$J31,{"Monday","Tuesday","Wednesday","Thursday","Friday"},0)-WEEKDAY(L$7,2))),0)
              ),
            "Yes","No"),
            IF(
              Assumptions!$F31="Weekly",
              IF(
                AND(
                  WEEKDAY(L$7,2)&lt;=MATCH(Assumptions!$J31,{"Monday","Tuesday","Wednesday","Thursday","Friday"},0),
                  WEEKDAY(L$8,2)&gt;=MATCH(Assumptions!$J31,{"Monday","Tuesday","Wednesday","Thursday","Friday"},0)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AND(Assumptions!$I31&gt;=L$7, Assumptions!$I31&lt;=L$8),
                    AND(
                      Assumptions!$I31&lt;L$7,
                      MOD(INT((L$7-(Assumptions!$I31-WEEKDAY(Assumptions!$I31,2)+1))/7),2)=0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AND(Assumptions!$I31&gt;=L$7, Assumptions!$I31&lt;=L$8),
                      AND(
                        Assumptions!$I31&lt;L$7,
                        MOD(INT((L$7-(Assumptions!$I31-WEEKDAY(Assumptions!$I31,2)+1))/7),3)=0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ISNUMBER(MATCH(MONTH(L$7),IF(Assumptions!$H31="Jan / Apr / Jul / Oct",{1,4,7,10},IF(Assumptions!$H31="Feb / May / Aug / Nov",{2,5,8,11},{3,6,9,12})),0)),
                          DATE(YEAR(L$7),MONTH(L$7),Assumptions!$G31)&gt;=L$7,
                          DATE(YEAR(L$7),MONTH(L$7),Assumptions!$G31)&lt;=L$8
                        ),
                        AND(
                          ISNUMBER(MATCH(MONTH(L$8),IF(Assumptions!$H31="Jan / Apr / Jul / Oct",{1,4,7,10},IF(Assumptions!$H31="Feb / May / Aug / Nov",{2,5,8,11},{3,6,9,12})),0)),
                          DATE(YEAR(L$8),MONTH(L$8),Assumptions!$G31)&gt;=L$7,
                          DATE(YEAR(L$8),MONTH(L$8),Assumptions!$G31)&lt;=L$8
                        )
                      ),
                    "Yes","No"),
                  "No")
                )
              )
            )
          )
        )
      )
    )
  )
)</f>
        <v>No</v>
      </c>
      <c r="M19" s="59" t="str">
        <f>IF(
  Assumptions!$K31="Off",
  "No",
  IF(
    Assumptions!$F31="I will phase manually",
    "No",
    IF(
      Assumptions!$F31="Last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Assumptions!$F31="End of month",
        IF(
          OR(
            AND(EOMONTH(M$7,0)&gt;=M$7, EOMONTH(M$7,0)&lt;=M$8),
            AND(EOMONTH(M$8,0)&gt;=M$7, EOMONTH(M$8,0)&lt;=M$8)
          ),
        "Yes","No"),
        IF(
          Assumptions!$F31="Specific day of month",
          IF(
            OR(
              AND(DATE(YEAR(M$7),MONTH(M$7),Assumptions!$G31)&gt;=M$7, DATE(YEAR(M$7),MONTH(M$7),Assumptions!$G31)&lt;=M$8),
              AND(DATE(YEAR(M$8),MONTH(M$8),Assumptions!$G31)&gt;=M$7, DATE(YEAR(M$8),MONTH(M$8),Assumptions!$G31)&lt;=M$8)
            ),
          "Yes","No"),
          IF(
            Assumptions!$F31="Last X day of month",
            IF(
              AND(
                WEEKDAY(M$7,2)&lt;=MATCH(Assumptions!$J31,{"Monday","Tuesday","Wednesday","Thursday","Friday"},0),
                WEEKDAY(M$8,2)&gt;=MATCH(Assumptions!$J31,{"Monday","Tuesday","Wednesday","Thursday","Friday"},0),
                (M$7+(MATCH(Assumptions!$J31,{"Monday","Tuesday","Wednesday","Thursday","Friday"},0)-WEEKDAY(M$7,2)))+7&gt;EOMONTH((M$7+(MATCH(Assumptions!$J31,{"Monday","Tuesday","Wednesday","Thursday","Friday"},0)-WEEKDAY(M$7,2))),0)
              ),
            "Yes","No"),
            IF(
              Assumptions!$F31="Weekly",
              IF(
                AND(
                  WEEKDAY(M$7,2)&lt;=MATCH(Assumptions!$J31,{"Monday","Tuesday","Wednesday","Thursday","Friday"},0),
                  WEEKDAY(M$8,2)&gt;=MATCH(Assumptions!$J31,{"Monday","Tuesday","Wednesday","Thursday","Friday"},0)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AND(Assumptions!$I31&gt;=M$7, Assumptions!$I31&lt;=M$8),
                    AND(
                      Assumptions!$I31&lt;M$7,
                      MOD(INT((M$7-(Assumptions!$I31-WEEKDAY(Assumptions!$I31,2)+1))/7),2)=0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AND(Assumptions!$I31&gt;=M$7, Assumptions!$I31&lt;=M$8),
                      AND(
                        Assumptions!$I31&lt;M$7,
                        MOD(INT((M$7-(Assumptions!$I31-WEEKDAY(Assumptions!$I31,2)+1))/7),3)=0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ISNUMBER(MATCH(MONTH(M$7),IF(Assumptions!$H31="Jan / Apr / Jul / Oct",{1,4,7,10},IF(Assumptions!$H31="Feb / May / Aug / Nov",{2,5,8,11},{3,6,9,12})),0)),
                          DATE(YEAR(M$7),MONTH(M$7),Assumptions!$G31)&gt;=M$7,
                          DATE(YEAR(M$7),MONTH(M$7),Assumptions!$G31)&lt;=M$8
                        ),
                        AND(
                          ISNUMBER(MATCH(MONTH(M$8),IF(Assumptions!$H31="Jan / Apr / Jul / Oct",{1,4,7,10},IF(Assumptions!$H31="Feb / May / Aug / Nov",{2,5,8,11},{3,6,9,12})),0)),
                          DATE(YEAR(M$8),MONTH(M$8),Assumptions!$G31)&gt;=M$7,
                          DATE(YEAR(M$8),MONTH(M$8),Assumptions!$G31)&lt;=M$8
                        )
                      ),
                    "Yes","No"),
                  "No")
                )
              )
            )
          )
        )
      )
    )
  )
)</f>
        <v>No</v>
      </c>
      <c r="N19" s="59" t="str">
        <f>IF(
  Assumptions!$K31="Off",
  "No",
  IF(
    Assumptions!$F31="I will phase manually",
    "No",
    IF(
      Assumptions!$F31="Last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Assumptions!$F31="End of month",
        IF(
          OR(
            AND(EOMONTH(N$7,0)&gt;=N$7, EOMONTH(N$7,0)&lt;=N$8),
            AND(EOMONTH(N$8,0)&gt;=N$7, EOMONTH(N$8,0)&lt;=N$8)
          ),
        "Yes","No"),
        IF(
          Assumptions!$F31="Specific day of month",
          IF(
            OR(
              AND(DATE(YEAR(N$7),MONTH(N$7),Assumptions!$G31)&gt;=N$7, DATE(YEAR(N$7),MONTH(N$7),Assumptions!$G31)&lt;=N$8),
              AND(DATE(YEAR(N$8),MONTH(N$8),Assumptions!$G31)&gt;=N$7, DATE(YEAR(N$8),MONTH(N$8),Assumptions!$G31)&lt;=N$8)
            ),
          "Yes","No"),
          IF(
            Assumptions!$F31="Last X day of month",
            IF(
              AND(
                WEEKDAY(N$7,2)&lt;=MATCH(Assumptions!$J31,{"Monday","Tuesday","Wednesday","Thursday","Friday"},0),
                WEEKDAY(N$8,2)&gt;=MATCH(Assumptions!$J31,{"Monday","Tuesday","Wednesday","Thursday","Friday"},0),
                (N$7+(MATCH(Assumptions!$J31,{"Monday","Tuesday","Wednesday","Thursday","Friday"},0)-WEEKDAY(N$7,2)))+7&gt;EOMONTH((N$7+(MATCH(Assumptions!$J31,{"Monday","Tuesday","Wednesday","Thursday","Friday"},0)-WEEKDAY(N$7,2))),0)
              ),
            "Yes","No"),
            IF(
              Assumptions!$F31="Weekly",
              IF(
                AND(
                  WEEKDAY(N$7,2)&lt;=MATCH(Assumptions!$J31,{"Monday","Tuesday","Wednesday","Thursday","Friday"},0),
                  WEEKDAY(N$8,2)&gt;=MATCH(Assumptions!$J31,{"Monday","Tuesday","Wednesday","Thursday","Friday"},0)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AND(Assumptions!$I31&gt;=N$7, Assumptions!$I31&lt;=N$8),
                    AND(
                      Assumptions!$I31&lt;N$7,
                      MOD(INT((N$7-(Assumptions!$I31-WEEKDAY(Assumptions!$I31,2)+1))/7),2)=0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AND(Assumptions!$I31&gt;=N$7, Assumptions!$I31&lt;=N$8),
                      AND(
                        Assumptions!$I31&lt;N$7,
                        MOD(INT((N$7-(Assumptions!$I31-WEEKDAY(Assumptions!$I31,2)+1))/7),3)=0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ISNUMBER(MATCH(MONTH(N$7),IF(Assumptions!$H31="Jan / Apr / Jul / Oct",{1,4,7,10},IF(Assumptions!$H31="Feb / May / Aug / Nov",{2,5,8,11},{3,6,9,12})),0)),
                          DATE(YEAR(N$7),MONTH(N$7),Assumptions!$G31)&gt;=N$7,
                          DATE(YEAR(N$7),MONTH(N$7),Assumptions!$G31)&lt;=N$8
                        ),
                        AND(
                          ISNUMBER(MATCH(MONTH(N$8),IF(Assumptions!$H31="Jan / Apr / Jul / Oct",{1,4,7,10},IF(Assumptions!$H31="Feb / May / Aug / Nov",{2,5,8,11},{3,6,9,12})),0)),
                          DATE(YEAR(N$8),MONTH(N$8),Assumptions!$G31)&gt;=N$7,
                          DATE(YEAR(N$8),MONTH(N$8),Assumptions!$G31)&lt;=N$8
                        )
                      ),
                    "Yes","No"),
                  "No")
                )
              )
            )
          )
        )
      )
    )
  )
)</f>
        <v>No</v>
      </c>
      <c r="O19" s="59" t="str">
        <f>IF(
  Assumptions!$K31="Off",
  "No",
  IF(
    Assumptions!$F31="I will phase manually",
    "No",
    IF(
      Assumptions!$F31="Last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Assumptions!$F31="End of month",
        IF(
          OR(
            AND(EOMONTH(O$7,0)&gt;=O$7, EOMONTH(O$7,0)&lt;=O$8),
            AND(EOMONTH(O$8,0)&gt;=O$7, EOMONTH(O$8,0)&lt;=O$8)
          ),
        "Yes","No"),
        IF(
          Assumptions!$F31="Specific day of month",
          IF(
            OR(
              AND(DATE(YEAR(O$7),MONTH(O$7),Assumptions!$G31)&gt;=O$7, DATE(YEAR(O$7),MONTH(O$7),Assumptions!$G31)&lt;=O$8),
              AND(DATE(YEAR(O$8),MONTH(O$8),Assumptions!$G31)&gt;=O$7, DATE(YEAR(O$8),MONTH(O$8),Assumptions!$G31)&lt;=O$8)
            ),
          "Yes","No"),
          IF(
            Assumptions!$F31="Last X day of month",
            IF(
              AND(
                WEEKDAY(O$7,2)&lt;=MATCH(Assumptions!$J31,{"Monday","Tuesday","Wednesday","Thursday","Friday"},0),
                WEEKDAY(O$8,2)&gt;=MATCH(Assumptions!$J31,{"Monday","Tuesday","Wednesday","Thursday","Friday"},0),
                (O$7+(MATCH(Assumptions!$J31,{"Monday","Tuesday","Wednesday","Thursday","Friday"},0)-WEEKDAY(O$7,2)))+7&gt;EOMONTH((O$7+(MATCH(Assumptions!$J31,{"Monday","Tuesday","Wednesday","Thursday","Friday"},0)-WEEKDAY(O$7,2))),0)
              ),
            "Yes","No"),
            IF(
              Assumptions!$F31="Weekly",
              IF(
                AND(
                  WEEKDAY(O$7,2)&lt;=MATCH(Assumptions!$J31,{"Monday","Tuesday","Wednesday","Thursday","Friday"},0),
                  WEEKDAY(O$8,2)&gt;=MATCH(Assumptions!$J31,{"Monday","Tuesday","Wednesday","Thursday","Friday"},0)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AND(Assumptions!$I31&gt;=O$7, Assumptions!$I31&lt;=O$8),
                    AND(
                      Assumptions!$I31&lt;O$7,
                      MOD(INT((O$7-(Assumptions!$I31-WEEKDAY(Assumptions!$I31,2)+1))/7),2)=0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AND(Assumptions!$I31&gt;=O$7, Assumptions!$I31&lt;=O$8),
                      AND(
                        Assumptions!$I31&lt;O$7,
                        MOD(INT((O$7-(Assumptions!$I31-WEEKDAY(Assumptions!$I31,2)+1))/7),3)=0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ISNUMBER(MATCH(MONTH(O$7),IF(Assumptions!$H31="Jan / Apr / Jul / Oct",{1,4,7,10},IF(Assumptions!$H31="Feb / May / Aug / Nov",{2,5,8,11},{3,6,9,12})),0)),
                          DATE(YEAR(O$7),MONTH(O$7),Assumptions!$G31)&gt;=O$7,
                          DATE(YEAR(O$7),MONTH(O$7),Assumptions!$G31)&lt;=O$8
                        ),
                        AND(
                          ISNUMBER(MATCH(MONTH(O$8),IF(Assumptions!$H31="Jan / Apr / Jul / Oct",{1,4,7,10},IF(Assumptions!$H31="Feb / May / Aug / Nov",{2,5,8,11},{3,6,9,12})),0)),
                          DATE(YEAR(O$8),MONTH(O$8),Assumptions!$G31)&gt;=O$7,
                          DATE(YEAR(O$8),MONTH(O$8),Assumptions!$G31)&lt;=O$8
                        )
                      ),
                    "Yes","No"),
                  "No")
                )
              )
            )
          )
        )
      )
    )
  )
)</f>
        <v>No</v>
      </c>
      <c r="P19" s="59" t="str">
        <f>IF(
  Assumptions!$K31="Off",
  "No",
  IF(
    Assumptions!$F31="I will phase manually",
    "No",
    IF(
      Assumptions!$F31="Last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Assumptions!$F31="End of month",
        IF(
          OR(
            AND(EOMONTH(P$7,0)&gt;=P$7, EOMONTH(P$7,0)&lt;=P$8),
            AND(EOMONTH(P$8,0)&gt;=P$7, EOMONTH(P$8,0)&lt;=P$8)
          ),
        "Yes","No"),
        IF(
          Assumptions!$F31="Specific day of month",
          IF(
            OR(
              AND(DATE(YEAR(P$7),MONTH(P$7),Assumptions!$G31)&gt;=P$7, DATE(YEAR(P$7),MONTH(P$7),Assumptions!$G31)&lt;=P$8),
              AND(DATE(YEAR(P$8),MONTH(P$8),Assumptions!$G31)&gt;=P$7, DATE(YEAR(P$8),MONTH(P$8),Assumptions!$G31)&lt;=P$8)
            ),
          "Yes","No"),
          IF(
            Assumptions!$F31="Last X day of month",
            IF(
              AND(
                WEEKDAY(P$7,2)&lt;=MATCH(Assumptions!$J31,{"Monday","Tuesday","Wednesday","Thursday","Friday"},0),
                WEEKDAY(P$8,2)&gt;=MATCH(Assumptions!$J31,{"Monday","Tuesday","Wednesday","Thursday","Friday"},0),
                (P$7+(MATCH(Assumptions!$J31,{"Monday","Tuesday","Wednesday","Thursday","Friday"},0)-WEEKDAY(P$7,2)))+7&gt;EOMONTH((P$7+(MATCH(Assumptions!$J31,{"Monday","Tuesday","Wednesday","Thursday","Friday"},0)-WEEKDAY(P$7,2))),0)
              ),
            "Yes","No"),
            IF(
              Assumptions!$F31="Weekly",
              IF(
                AND(
                  WEEKDAY(P$7,2)&lt;=MATCH(Assumptions!$J31,{"Monday","Tuesday","Wednesday","Thursday","Friday"},0),
                  WEEKDAY(P$8,2)&gt;=MATCH(Assumptions!$J31,{"Monday","Tuesday","Wednesday","Thursday","Friday"},0)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AND(Assumptions!$I31&gt;=P$7, Assumptions!$I31&lt;=P$8),
                    AND(
                      Assumptions!$I31&lt;P$7,
                      MOD(INT((P$7-(Assumptions!$I31-WEEKDAY(Assumptions!$I31,2)+1))/7),2)=0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AND(Assumptions!$I31&gt;=P$7, Assumptions!$I31&lt;=P$8),
                      AND(
                        Assumptions!$I31&lt;P$7,
                        MOD(INT((P$7-(Assumptions!$I31-WEEKDAY(Assumptions!$I31,2)+1))/7),3)=0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ISNUMBER(MATCH(MONTH(P$7),IF(Assumptions!$H31="Jan / Apr / Jul / Oct",{1,4,7,10},IF(Assumptions!$H31="Feb / May / Aug / Nov",{2,5,8,11},{3,6,9,12})),0)),
                          DATE(YEAR(P$7),MONTH(P$7),Assumptions!$G31)&gt;=P$7,
                          DATE(YEAR(P$7),MONTH(P$7),Assumptions!$G31)&lt;=P$8
                        ),
                        AND(
                          ISNUMBER(MATCH(MONTH(P$8),IF(Assumptions!$H31="Jan / Apr / Jul / Oct",{1,4,7,10},IF(Assumptions!$H31="Feb / May / Aug / Nov",{2,5,8,11},{3,6,9,12})),0)),
                          DATE(YEAR(P$8),MONTH(P$8),Assumptions!$G31)&gt;=P$7,
                          DATE(YEAR(P$8),MONTH(P$8),Assumptions!$G31)&lt;=P$8
                        )
                      ),
                    "Yes","No"),
                  "No")
                )
              )
            )
          )
        )
      )
    )
  )
)</f>
        <v>No</v>
      </c>
      <c r="Q19" s="59" t="str">
        <f>IF(
  Assumptions!$K31="Off",
  "No",
  IF(
    Assumptions!$F31="I will phase manually",
    "No",
    IF(
      Assumptions!$F31="Last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Assumptions!$F31="End of month",
        IF(
          OR(
            AND(EOMONTH(Q$7,0)&gt;=Q$7, EOMONTH(Q$7,0)&lt;=Q$8),
            AND(EOMONTH(Q$8,0)&gt;=Q$7, EOMONTH(Q$8,0)&lt;=Q$8)
          ),
        "Yes","No"),
        IF(
          Assumptions!$F31="Specific day of month",
          IF(
            OR(
              AND(DATE(YEAR(Q$7),MONTH(Q$7),Assumptions!$G31)&gt;=Q$7, DATE(YEAR(Q$7),MONTH(Q$7),Assumptions!$G31)&lt;=Q$8),
              AND(DATE(YEAR(Q$8),MONTH(Q$8),Assumptions!$G31)&gt;=Q$7, DATE(YEAR(Q$8),MONTH(Q$8),Assumptions!$G31)&lt;=Q$8)
            ),
          "Yes","No"),
          IF(
            Assumptions!$F31="Last X day of month",
            IF(
              AND(
                WEEKDAY(Q$7,2)&lt;=MATCH(Assumptions!$J31,{"Monday","Tuesday","Wednesday","Thursday","Friday"},0),
                WEEKDAY(Q$8,2)&gt;=MATCH(Assumptions!$J31,{"Monday","Tuesday","Wednesday","Thursday","Friday"},0),
                (Q$7+(MATCH(Assumptions!$J31,{"Monday","Tuesday","Wednesday","Thursday","Friday"},0)-WEEKDAY(Q$7,2)))+7&gt;EOMONTH((Q$7+(MATCH(Assumptions!$J31,{"Monday","Tuesday","Wednesday","Thursday","Friday"},0)-WEEKDAY(Q$7,2))),0)
              ),
            "Yes","No"),
            IF(
              Assumptions!$F31="Weekly",
              IF(
                AND(
                  WEEKDAY(Q$7,2)&lt;=MATCH(Assumptions!$J31,{"Monday","Tuesday","Wednesday","Thursday","Friday"},0),
                  WEEKDAY(Q$8,2)&gt;=MATCH(Assumptions!$J31,{"Monday","Tuesday","Wednesday","Thursday","Friday"},0)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AND(Assumptions!$I31&gt;=Q$7, Assumptions!$I31&lt;=Q$8),
                    AND(
                      Assumptions!$I31&lt;Q$7,
                      MOD(INT((Q$7-(Assumptions!$I31-WEEKDAY(Assumptions!$I31,2)+1))/7),2)=0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AND(Assumptions!$I31&gt;=Q$7, Assumptions!$I31&lt;=Q$8),
                      AND(
                        Assumptions!$I31&lt;Q$7,
                        MOD(INT((Q$7-(Assumptions!$I31-WEEKDAY(Assumptions!$I31,2)+1))/7),3)=0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ISNUMBER(MATCH(MONTH(Q$7),IF(Assumptions!$H31="Jan / Apr / Jul / Oct",{1,4,7,10},IF(Assumptions!$H31="Feb / May / Aug / Nov",{2,5,8,11},{3,6,9,12})),0)),
                          DATE(YEAR(Q$7),MONTH(Q$7),Assumptions!$G31)&gt;=Q$7,
                          DATE(YEAR(Q$7),MONTH(Q$7),Assumptions!$G31)&lt;=Q$8
                        ),
                        AND(
                          ISNUMBER(MATCH(MONTH(Q$8),IF(Assumptions!$H31="Jan / Apr / Jul / Oct",{1,4,7,10},IF(Assumptions!$H31="Feb / May / Aug / Nov",{2,5,8,11},{3,6,9,12})),0)),
                          DATE(YEAR(Q$8),MONTH(Q$8),Assumptions!$G31)&gt;=Q$7,
                          DATE(YEAR(Q$8),MONTH(Q$8),Assumptions!$G31)&lt;=Q$8
                        )
                      ),
                    "Yes","No"),
                  "No")
                )
              )
            )
          )
        )
      )
    )
  )
)</f>
        <v>No</v>
      </c>
      <c r="R19" s="59" t="str">
        <f>IF(
  Assumptions!$K31="Off",
  "No",
  IF(
    Assumptions!$F31="I will phase manually",
    "No",
    IF(
      Assumptions!$F31="Last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Assumptions!$F31="End of month",
        IF(
          OR(
            AND(EOMONTH(R$7,0)&gt;=R$7, EOMONTH(R$7,0)&lt;=R$8),
            AND(EOMONTH(R$8,0)&gt;=R$7, EOMONTH(R$8,0)&lt;=R$8)
          ),
        "Yes","No"),
        IF(
          Assumptions!$F31="Specific day of month",
          IF(
            OR(
              AND(DATE(YEAR(R$7),MONTH(R$7),Assumptions!$G31)&gt;=R$7, DATE(YEAR(R$7),MONTH(R$7),Assumptions!$G31)&lt;=R$8),
              AND(DATE(YEAR(R$8),MONTH(R$8),Assumptions!$G31)&gt;=R$7, DATE(YEAR(R$8),MONTH(R$8),Assumptions!$G31)&lt;=R$8)
            ),
          "Yes","No"),
          IF(
            Assumptions!$F31="Last X day of month",
            IF(
              AND(
                WEEKDAY(R$7,2)&lt;=MATCH(Assumptions!$J31,{"Monday","Tuesday","Wednesday","Thursday","Friday"},0),
                WEEKDAY(R$8,2)&gt;=MATCH(Assumptions!$J31,{"Monday","Tuesday","Wednesday","Thursday","Friday"},0),
                (R$7+(MATCH(Assumptions!$J31,{"Monday","Tuesday","Wednesday","Thursday","Friday"},0)-WEEKDAY(R$7,2)))+7&gt;EOMONTH((R$7+(MATCH(Assumptions!$J31,{"Monday","Tuesday","Wednesday","Thursday","Friday"},0)-WEEKDAY(R$7,2))),0)
              ),
            "Yes","No"),
            IF(
              Assumptions!$F31="Weekly",
              IF(
                AND(
                  WEEKDAY(R$7,2)&lt;=MATCH(Assumptions!$J31,{"Monday","Tuesday","Wednesday","Thursday","Friday"},0),
                  WEEKDAY(R$8,2)&gt;=MATCH(Assumptions!$J31,{"Monday","Tuesday","Wednesday","Thursday","Friday"},0)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AND(Assumptions!$I31&gt;=R$7, Assumptions!$I31&lt;=R$8),
                    AND(
                      Assumptions!$I31&lt;R$7,
                      MOD(INT((R$7-(Assumptions!$I31-WEEKDAY(Assumptions!$I31,2)+1))/7),2)=0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AND(Assumptions!$I31&gt;=R$7, Assumptions!$I31&lt;=R$8),
                      AND(
                        Assumptions!$I31&lt;R$7,
                        MOD(INT((R$7-(Assumptions!$I31-WEEKDAY(Assumptions!$I31,2)+1))/7),3)=0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ISNUMBER(MATCH(MONTH(R$7),IF(Assumptions!$H31="Jan / Apr / Jul / Oct",{1,4,7,10},IF(Assumptions!$H31="Feb / May / Aug / Nov",{2,5,8,11},{3,6,9,12})),0)),
                          DATE(YEAR(R$7),MONTH(R$7),Assumptions!$G31)&gt;=R$7,
                          DATE(YEAR(R$7),MONTH(R$7),Assumptions!$G31)&lt;=R$8
                        ),
                        AND(
                          ISNUMBER(MATCH(MONTH(R$8),IF(Assumptions!$H31="Jan / Apr / Jul / Oct",{1,4,7,10},IF(Assumptions!$H31="Feb / May / Aug / Nov",{2,5,8,11},{3,6,9,12})),0)),
                          DATE(YEAR(R$8),MONTH(R$8),Assumptions!$G31)&gt;=R$7,
                          DATE(YEAR(R$8),MONTH(R$8),Assumptions!$G31)&lt;=R$8
                        )
                      ),
                    "Yes","No"),
                  "No")
                )
              )
            )
          )
        )
      )
    )
  )
)</f>
        <v>No</v>
      </c>
      <c r="S19" s="59" t="str">
        <f>IF(
  Assumptions!$K31="Off",
  "No",
  IF(
    Assumptions!$F31="I will phase manually",
    "No",
    IF(
      Assumptions!$F31="Last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Assumptions!$F31="End of month",
        IF(
          OR(
            AND(EOMONTH(S$7,0)&gt;=S$7, EOMONTH(S$7,0)&lt;=S$8),
            AND(EOMONTH(S$8,0)&gt;=S$7, EOMONTH(S$8,0)&lt;=S$8)
          ),
        "Yes","No"),
        IF(
          Assumptions!$F31="Specific day of month",
          IF(
            OR(
              AND(DATE(YEAR(S$7),MONTH(S$7),Assumptions!$G31)&gt;=S$7, DATE(YEAR(S$7),MONTH(S$7),Assumptions!$G31)&lt;=S$8),
              AND(DATE(YEAR(S$8),MONTH(S$8),Assumptions!$G31)&gt;=S$7, DATE(YEAR(S$8),MONTH(S$8),Assumptions!$G31)&lt;=S$8)
            ),
          "Yes","No"),
          IF(
            Assumptions!$F31="Last X day of month",
            IF(
              AND(
                WEEKDAY(S$7,2)&lt;=MATCH(Assumptions!$J31,{"Monday","Tuesday","Wednesday","Thursday","Friday"},0),
                WEEKDAY(S$8,2)&gt;=MATCH(Assumptions!$J31,{"Monday","Tuesday","Wednesday","Thursday","Friday"},0),
                (S$7+(MATCH(Assumptions!$J31,{"Monday","Tuesday","Wednesday","Thursday","Friday"},0)-WEEKDAY(S$7,2)))+7&gt;EOMONTH((S$7+(MATCH(Assumptions!$J31,{"Monday","Tuesday","Wednesday","Thursday","Friday"},0)-WEEKDAY(S$7,2))),0)
              ),
            "Yes","No"),
            IF(
              Assumptions!$F31="Weekly",
              IF(
                AND(
                  WEEKDAY(S$7,2)&lt;=MATCH(Assumptions!$J31,{"Monday","Tuesday","Wednesday","Thursday","Friday"},0),
                  WEEKDAY(S$8,2)&gt;=MATCH(Assumptions!$J31,{"Monday","Tuesday","Wednesday","Thursday","Friday"},0)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AND(Assumptions!$I31&gt;=S$7, Assumptions!$I31&lt;=S$8),
                    AND(
                      Assumptions!$I31&lt;S$7,
                      MOD(INT((S$7-(Assumptions!$I31-WEEKDAY(Assumptions!$I31,2)+1))/7),2)=0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AND(Assumptions!$I31&gt;=S$7, Assumptions!$I31&lt;=S$8),
                      AND(
                        Assumptions!$I31&lt;S$7,
                        MOD(INT((S$7-(Assumptions!$I31-WEEKDAY(Assumptions!$I31,2)+1))/7),3)=0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ISNUMBER(MATCH(MONTH(S$7),IF(Assumptions!$H31="Jan / Apr / Jul / Oct",{1,4,7,10},IF(Assumptions!$H31="Feb / May / Aug / Nov",{2,5,8,11},{3,6,9,12})),0)),
                          DATE(YEAR(S$7),MONTH(S$7),Assumptions!$G31)&gt;=S$7,
                          DATE(YEAR(S$7),MONTH(S$7),Assumptions!$G31)&lt;=S$8
                        ),
                        AND(
                          ISNUMBER(MATCH(MONTH(S$8),IF(Assumptions!$H31="Jan / Apr / Jul / Oct",{1,4,7,10},IF(Assumptions!$H31="Feb / May / Aug / Nov",{2,5,8,11},{3,6,9,12})),0)),
                          DATE(YEAR(S$8),MONTH(S$8),Assumptions!$G31)&gt;=S$7,
                          DATE(YEAR(S$8),MONTH(S$8),Assumptions!$G31)&lt;=S$8
                        )
                      ),
                    "Yes","No"),
                  "No")
                )
              )
            )
          )
        )
      )
    )
  )
)</f>
        <v>No</v>
      </c>
      <c r="T19" s="59" t="s">
        <v>124</v>
      </c>
    </row>
    <row r="20" spans="3:20" hidden="1" outlineLevel="1" x14ac:dyDescent="0.25">
      <c r="C20" s="58">
        <f>Assumptions!D32</f>
        <v>0</v>
      </c>
      <c r="D20" s="58"/>
      <c r="E20" s="58"/>
      <c r="F20" s="58"/>
      <c r="G20" s="59" t="str">
        <f>IF(
  Assumptions!$K32="Off",
  "No",
  IF(
    Assumptions!$F32="I will phase manually",
    "No",
    IF(
      Assumptions!$F32="Last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Assumptions!$F32="End of month",
        IF(
          OR(
            AND(EOMONTH(G$7,0)&gt;=G$7, EOMONTH(G$7,0)&lt;=G$8),
            AND(EOMONTH(G$8,0)&gt;=G$7, EOMONTH(G$8,0)&lt;=G$8)
          ),
        "Yes","No"),
        IF(
          Assumptions!$F32="Specific day of month",
          IF(
            OR(
              AND(DATE(YEAR(G$7),MONTH(G$7),Assumptions!$G32)&gt;=G$7, DATE(YEAR(G$7),MONTH(G$7),Assumptions!$G32)&lt;=G$8),
              AND(DATE(YEAR(G$8),MONTH(G$8),Assumptions!$G32)&gt;=G$7, DATE(YEAR(G$8),MONTH(G$8),Assumptions!$G32)&lt;=G$8)
            ),
          "Yes","No"),
          IF(
            Assumptions!$F32="Last X day of month",
            IF(
              AND(
                WEEKDAY(G$7,2)&lt;=MATCH(Assumptions!$J32,{"Monday","Tuesday","Wednesday","Thursday","Friday"},0),
                WEEKDAY(G$8,2)&gt;=MATCH(Assumptions!$J32,{"Monday","Tuesday","Wednesday","Thursday","Friday"},0),
                (G$7+(MATCH(Assumptions!$J32,{"Monday","Tuesday","Wednesday","Thursday","Friday"},0)-WEEKDAY(G$7,2)))+7&gt;EOMONTH((G$7+(MATCH(Assumptions!$J32,{"Monday","Tuesday","Wednesday","Thursday","Friday"},0)-WEEKDAY(G$7,2))),0)
              ),
            "Yes","No"),
            IF(
              Assumptions!$F32="Weekly",
              IF(
                AND(
                  WEEKDAY(G$7,2)&lt;=MATCH(Assumptions!$J32,{"Monday","Tuesday","Wednesday","Thursday","Friday"},0),
                  WEEKDAY(G$8,2)&gt;=MATCH(Assumptions!$J32,{"Monday","Tuesday","Wednesday","Thursday","Friday"},0)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AND(Assumptions!$I32&gt;=G$7, Assumptions!$I32&lt;=G$8),
                    AND(
                      Assumptions!$I32&lt;G$7,
                      MOD(INT((G$7-(Assumptions!$I32-WEEKDAY(Assumptions!$I32,2)+1))/7),2)=0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AND(Assumptions!$I32&gt;=G$7, Assumptions!$I32&lt;=G$8),
                      AND(
                        Assumptions!$I32&lt;G$7,
                        MOD(INT((G$7-(Assumptions!$I32-WEEKDAY(Assumptions!$I32,2)+1))/7),3)=0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ISNUMBER(MATCH(MONTH(G$7),IF(Assumptions!$H32="Jan / Apr / Jul / Oct",{1,4,7,10},IF(Assumptions!$H32="Feb / May / Aug / Nov",{2,5,8,11},{3,6,9,12})),0)),
                          DATE(YEAR(G$7),MONTH(G$7),Assumptions!$G32)&gt;=G$7,
                          DATE(YEAR(G$7),MONTH(G$7),Assumptions!$G32)&lt;=G$8
                        ),
                        AND(
                          ISNUMBER(MATCH(MONTH(G$8),IF(Assumptions!$H32="Jan / Apr / Jul / Oct",{1,4,7,10},IF(Assumptions!$H32="Feb / May / Aug / Nov",{2,5,8,11},{3,6,9,12})),0)),
                          DATE(YEAR(G$8),MONTH(G$8),Assumptions!$G32)&gt;=G$7,
                          DATE(YEAR(G$8),MONTH(G$8),Assumptions!$G32)&lt;=G$8
                        )
                      ),
                    "Yes","No"),
                  "No")
                )
              )
            )
          )
        )
      )
    )
  )
)</f>
        <v>No</v>
      </c>
      <c r="H20" s="59" t="str">
        <f>IF(
  Assumptions!$K32="Off",
  "No",
  IF(
    Assumptions!$F32="I will phase manually",
    "No",
    IF(
      Assumptions!$F32="Last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Assumptions!$F32="End of month",
        IF(
          OR(
            AND(EOMONTH(H$7,0)&gt;=H$7, EOMONTH(H$7,0)&lt;=H$8),
            AND(EOMONTH(H$8,0)&gt;=H$7, EOMONTH(H$8,0)&lt;=H$8)
          ),
        "Yes","No"),
        IF(
          Assumptions!$F32="Specific day of month",
          IF(
            OR(
              AND(DATE(YEAR(H$7),MONTH(H$7),Assumptions!$G32)&gt;=H$7, DATE(YEAR(H$7),MONTH(H$7),Assumptions!$G32)&lt;=H$8),
              AND(DATE(YEAR(H$8),MONTH(H$8),Assumptions!$G32)&gt;=H$7, DATE(YEAR(H$8),MONTH(H$8),Assumptions!$G32)&lt;=H$8)
            ),
          "Yes","No"),
          IF(
            Assumptions!$F32="Last X day of month",
            IF(
              AND(
                WEEKDAY(H$7,2)&lt;=MATCH(Assumptions!$J32,{"Monday","Tuesday","Wednesday","Thursday","Friday"},0),
                WEEKDAY(H$8,2)&gt;=MATCH(Assumptions!$J32,{"Monday","Tuesday","Wednesday","Thursday","Friday"},0),
                (H$7+(MATCH(Assumptions!$J32,{"Monday","Tuesday","Wednesday","Thursday","Friday"},0)-WEEKDAY(H$7,2)))+7&gt;EOMONTH((H$7+(MATCH(Assumptions!$J32,{"Monday","Tuesday","Wednesday","Thursday","Friday"},0)-WEEKDAY(H$7,2))),0)
              ),
            "Yes","No"),
            IF(
              Assumptions!$F32="Weekly",
              IF(
                AND(
                  WEEKDAY(H$7,2)&lt;=MATCH(Assumptions!$J32,{"Monday","Tuesday","Wednesday","Thursday","Friday"},0),
                  WEEKDAY(H$8,2)&gt;=MATCH(Assumptions!$J32,{"Monday","Tuesday","Wednesday","Thursday","Friday"},0)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AND(Assumptions!$I32&gt;=H$7, Assumptions!$I32&lt;=H$8),
                    AND(
                      Assumptions!$I32&lt;H$7,
                      MOD(INT((H$7-(Assumptions!$I32-WEEKDAY(Assumptions!$I32,2)+1))/7),2)=0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AND(Assumptions!$I32&gt;=H$7, Assumptions!$I32&lt;=H$8),
                      AND(
                        Assumptions!$I32&lt;H$7,
                        MOD(INT((H$7-(Assumptions!$I32-WEEKDAY(Assumptions!$I32,2)+1))/7),3)=0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ISNUMBER(MATCH(MONTH(H$7),IF(Assumptions!$H32="Jan / Apr / Jul / Oct",{1,4,7,10},IF(Assumptions!$H32="Feb / May / Aug / Nov",{2,5,8,11},{3,6,9,12})),0)),
                          DATE(YEAR(H$7),MONTH(H$7),Assumptions!$G32)&gt;=H$7,
                          DATE(YEAR(H$7),MONTH(H$7),Assumptions!$G32)&lt;=H$8
                        ),
                        AND(
                          ISNUMBER(MATCH(MONTH(H$8),IF(Assumptions!$H32="Jan / Apr / Jul / Oct",{1,4,7,10},IF(Assumptions!$H32="Feb / May / Aug / Nov",{2,5,8,11},{3,6,9,12})),0)),
                          DATE(YEAR(H$8),MONTH(H$8),Assumptions!$G32)&gt;=H$7,
                          DATE(YEAR(H$8),MONTH(H$8),Assumptions!$G32)&lt;=H$8
                        )
                      ),
                    "Yes","No"),
                  "No")
                )
              )
            )
          )
        )
      )
    )
  )
)</f>
        <v>No</v>
      </c>
      <c r="I20" s="59" t="str">
        <f>IF(
  Assumptions!$K32="Off",
  "No",
  IF(
    Assumptions!$F32="I will phase manually",
    "No",
    IF(
      Assumptions!$F32="Last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Assumptions!$F32="End of month",
        IF(
          OR(
            AND(EOMONTH(I$7,0)&gt;=I$7, EOMONTH(I$7,0)&lt;=I$8),
            AND(EOMONTH(I$8,0)&gt;=I$7, EOMONTH(I$8,0)&lt;=I$8)
          ),
        "Yes","No"),
        IF(
          Assumptions!$F32="Specific day of month",
          IF(
            OR(
              AND(DATE(YEAR(I$7),MONTH(I$7),Assumptions!$G32)&gt;=I$7, DATE(YEAR(I$7),MONTH(I$7),Assumptions!$G32)&lt;=I$8),
              AND(DATE(YEAR(I$8),MONTH(I$8),Assumptions!$G32)&gt;=I$7, DATE(YEAR(I$8),MONTH(I$8),Assumptions!$G32)&lt;=I$8)
            ),
          "Yes","No"),
          IF(
            Assumptions!$F32="Last X day of month",
            IF(
              AND(
                WEEKDAY(I$7,2)&lt;=MATCH(Assumptions!$J32,{"Monday","Tuesday","Wednesday","Thursday","Friday"},0),
                WEEKDAY(I$8,2)&gt;=MATCH(Assumptions!$J32,{"Monday","Tuesday","Wednesday","Thursday","Friday"},0),
                (I$7+(MATCH(Assumptions!$J32,{"Monday","Tuesday","Wednesday","Thursday","Friday"},0)-WEEKDAY(I$7,2)))+7&gt;EOMONTH((I$7+(MATCH(Assumptions!$J32,{"Monday","Tuesday","Wednesday","Thursday","Friday"},0)-WEEKDAY(I$7,2))),0)
              ),
            "Yes","No"),
            IF(
              Assumptions!$F32="Weekly",
              IF(
                AND(
                  WEEKDAY(I$7,2)&lt;=MATCH(Assumptions!$J32,{"Monday","Tuesday","Wednesday","Thursday","Friday"},0),
                  WEEKDAY(I$8,2)&gt;=MATCH(Assumptions!$J32,{"Monday","Tuesday","Wednesday","Thursday","Friday"},0)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AND(Assumptions!$I32&gt;=I$7, Assumptions!$I32&lt;=I$8),
                    AND(
                      Assumptions!$I32&lt;I$7,
                      MOD(INT((I$7-(Assumptions!$I32-WEEKDAY(Assumptions!$I32,2)+1))/7),2)=0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AND(Assumptions!$I32&gt;=I$7, Assumptions!$I32&lt;=I$8),
                      AND(
                        Assumptions!$I32&lt;I$7,
                        MOD(INT((I$7-(Assumptions!$I32-WEEKDAY(Assumptions!$I32,2)+1))/7),3)=0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ISNUMBER(MATCH(MONTH(I$7),IF(Assumptions!$H32="Jan / Apr / Jul / Oct",{1,4,7,10},IF(Assumptions!$H32="Feb / May / Aug / Nov",{2,5,8,11},{3,6,9,12})),0)),
                          DATE(YEAR(I$7),MONTH(I$7),Assumptions!$G32)&gt;=I$7,
                          DATE(YEAR(I$7),MONTH(I$7),Assumptions!$G32)&lt;=I$8
                        ),
                        AND(
                          ISNUMBER(MATCH(MONTH(I$8),IF(Assumptions!$H32="Jan / Apr / Jul / Oct",{1,4,7,10},IF(Assumptions!$H32="Feb / May / Aug / Nov",{2,5,8,11},{3,6,9,12})),0)),
                          DATE(YEAR(I$8),MONTH(I$8),Assumptions!$G32)&gt;=I$7,
                          DATE(YEAR(I$8),MONTH(I$8),Assumptions!$G32)&lt;=I$8
                        )
                      ),
                    "Yes","No"),
                  "No")
                )
              )
            )
          )
        )
      )
    )
  )
)</f>
        <v>No</v>
      </c>
      <c r="J20" s="59" t="str">
        <f>IF(
  Assumptions!$K32="Off",
  "No",
  IF(
    Assumptions!$F32="I will phase manually",
    "No",
    IF(
      Assumptions!$F32="Last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Assumptions!$F32="End of month",
        IF(
          OR(
            AND(EOMONTH(J$7,0)&gt;=J$7, EOMONTH(J$7,0)&lt;=J$8),
            AND(EOMONTH(J$8,0)&gt;=J$7, EOMONTH(J$8,0)&lt;=J$8)
          ),
        "Yes","No"),
        IF(
          Assumptions!$F32="Specific day of month",
          IF(
            OR(
              AND(DATE(YEAR(J$7),MONTH(J$7),Assumptions!$G32)&gt;=J$7, DATE(YEAR(J$7),MONTH(J$7),Assumptions!$G32)&lt;=J$8),
              AND(DATE(YEAR(J$8),MONTH(J$8),Assumptions!$G32)&gt;=J$7, DATE(YEAR(J$8),MONTH(J$8),Assumptions!$G32)&lt;=J$8)
            ),
          "Yes","No"),
          IF(
            Assumptions!$F32="Last X day of month",
            IF(
              AND(
                WEEKDAY(J$7,2)&lt;=MATCH(Assumptions!$J32,{"Monday","Tuesday","Wednesday","Thursday","Friday"},0),
                WEEKDAY(J$8,2)&gt;=MATCH(Assumptions!$J32,{"Monday","Tuesday","Wednesday","Thursday","Friday"},0),
                (J$7+(MATCH(Assumptions!$J32,{"Monday","Tuesday","Wednesday","Thursday","Friday"},0)-WEEKDAY(J$7,2)))+7&gt;EOMONTH((J$7+(MATCH(Assumptions!$J32,{"Monday","Tuesday","Wednesday","Thursday","Friday"},0)-WEEKDAY(J$7,2))),0)
              ),
            "Yes","No"),
            IF(
              Assumptions!$F32="Weekly",
              IF(
                AND(
                  WEEKDAY(J$7,2)&lt;=MATCH(Assumptions!$J32,{"Monday","Tuesday","Wednesday","Thursday","Friday"},0),
                  WEEKDAY(J$8,2)&gt;=MATCH(Assumptions!$J32,{"Monday","Tuesday","Wednesday","Thursday","Friday"},0)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AND(Assumptions!$I32&gt;=J$7, Assumptions!$I32&lt;=J$8),
                    AND(
                      Assumptions!$I32&lt;J$7,
                      MOD(INT((J$7-(Assumptions!$I32-WEEKDAY(Assumptions!$I32,2)+1))/7),2)=0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AND(Assumptions!$I32&gt;=J$7, Assumptions!$I32&lt;=J$8),
                      AND(
                        Assumptions!$I32&lt;J$7,
                        MOD(INT((J$7-(Assumptions!$I32-WEEKDAY(Assumptions!$I32,2)+1))/7),3)=0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ISNUMBER(MATCH(MONTH(J$7),IF(Assumptions!$H32="Jan / Apr / Jul / Oct",{1,4,7,10},IF(Assumptions!$H32="Feb / May / Aug / Nov",{2,5,8,11},{3,6,9,12})),0)),
                          DATE(YEAR(J$7),MONTH(J$7),Assumptions!$G32)&gt;=J$7,
                          DATE(YEAR(J$7),MONTH(J$7),Assumptions!$G32)&lt;=J$8
                        ),
                        AND(
                          ISNUMBER(MATCH(MONTH(J$8),IF(Assumptions!$H32="Jan / Apr / Jul / Oct",{1,4,7,10},IF(Assumptions!$H32="Feb / May / Aug / Nov",{2,5,8,11},{3,6,9,12})),0)),
                          DATE(YEAR(J$8),MONTH(J$8),Assumptions!$G32)&gt;=J$7,
                          DATE(YEAR(J$8),MONTH(J$8),Assumptions!$G32)&lt;=J$8
                        )
                      ),
                    "Yes","No"),
                  "No")
                )
              )
            )
          )
        )
      )
    )
  )
)</f>
        <v>No</v>
      </c>
      <c r="K20" s="59" t="str">
        <f>IF(
  Assumptions!$K32="Off",
  "No",
  IF(
    Assumptions!$F32="I will phase manually",
    "No",
    IF(
      Assumptions!$F32="Last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Assumptions!$F32="End of month",
        IF(
          OR(
            AND(EOMONTH(K$7,0)&gt;=K$7, EOMONTH(K$7,0)&lt;=K$8),
            AND(EOMONTH(K$8,0)&gt;=K$7, EOMONTH(K$8,0)&lt;=K$8)
          ),
        "Yes","No"),
        IF(
          Assumptions!$F32="Specific day of month",
          IF(
            OR(
              AND(DATE(YEAR(K$7),MONTH(K$7),Assumptions!$G32)&gt;=K$7, DATE(YEAR(K$7),MONTH(K$7),Assumptions!$G32)&lt;=K$8),
              AND(DATE(YEAR(K$8),MONTH(K$8),Assumptions!$G32)&gt;=K$7, DATE(YEAR(K$8),MONTH(K$8),Assumptions!$G32)&lt;=K$8)
            ),
          "Yes","No"),
          IF(
            Assumptions!$F32="Last X day of month",
            IF(
              AND(
                WEEKDAY(K$7,2)&lt;=MATCH(Assumptions!$J32,{"Monday","Tuesday","Wednesday","Thursday","Friday"},0),
                WEEKDAY(K$8,2)&gt;=MATCH(Assumptions!$J32,{"Monday","Tuesday","Wednesday","Thursday","Friday"},0),
                (K$7+(MATCH(Assumptions!$J32,{"Monday","Tuesday","Wednesday","Thursday","Friday"},0)-WEEKDAY(K$7,2)))+7&gt;EOMONTH((K$7+(MATCH(Assumptions!$J32,{"Monday","Tuesday","Wednesday","Thursday","Friday"},0)-WEEKDAY(K$7,2))),0)
              ),
            "Yes","No"),
            IF(
              Assumptions!$F32="Weekly",
              IF(
                AND(
                  WEEKDAY(K$7,2)&lt;=MATCH(Assumptions!$J32,{"Monday","Tuesday","Wednesday","Thursday","Friday"},0),
                  WEEKDAY(K$8,2)&gt;=MATCH(Assumptions!$J32,{"Monday","Tuesday","Wednesday","Thursday","Friday"},0)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AND(Assumptions!$I32&gt;=K$7, Assumptions!$I32&lt;=K$8),
                    AND(
                      Assumptions!$I32&lt;K$7,
                      MOD(INT((K$7-(Assumptions!$I32-WEEKDAY(Assumptions!$I32,2)+1))/7),2)=0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AND(Assumptions!$I32&gt;=K$7, Assumptions!$I32&lt;=K$8),
                      AND(
                        Assumptions!$I32&lt;K$7,
                        MOD(INT((K$7-(Assumptions!$I32-WEEKDAY(Assumptions!$I32,2)+1))/7),3)=0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ISNUMBER(MATCH(MONTH(K$7),IF(Assumptions!$H32="Jan / Apr / Jul / Oct",{1,4,7,10},IF(Assumptions!$H32="Feb / May / Aug / Nov",{2,5,8,11},{3,6,9,12})),0)),
                          DATE(YEAR(K$7),MONTH(K$7),Assumptions!$G32)&gt;=K$7,
                          DATE(YEAR(K$7),MONTH(K$7),Assumptions!$G32)&lt;=K$8
                        ),
                        AND(
                          ISNUMBER(MATCH(MONTH(K$8),IF(Assumptions!$H32="Jan / Apr / Jul / Oct",{1,4,7,10},IF(Assumptions!$H32="Feb / May / Aug / Nov",{2,5,8,11},{3,6,9,12})),0)),
                          DATE(YEAR(K$8),MONTH(K$8),Assumptions!$G32)&gt;=K$7,
                          DATE(YEAR(K$8),MONTH(K$8),Assumptions!$G32)&lt;=K$8
                        )
                      ),
                    "Yes","No"),
                  "No")
                )
              )
            )
          )
        )
      )
    )
  )
)</f>
        <v>No</v>
      </c>
      <c r="L20" s="59" t="str">
        <f>IF(
  Assumptions!$K32="Off",
  "No",
  IF(
    Assumptions!$F32="I will phase manually",
    "No",
    IF(
      Assumptions!$F32="Last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Assumptions!$F32="End of month",
        IF(
          OR(
            AND(EOMONTH(L$7,0)&gt;=L$7, EOMONTH(L$7,0)&lt;=L$8),
            AND(EOMONTH(L$8,0)&gt;=L$7, EOMONTH(L$8,0)&lt;=L$8)
          ),
        "Yes","No"),
        IF(
          Assumptions!$F32="Specific day of month",
          IF(
            OR(
              AND(DATE(YEAR(L$7),MONTH(L$7),Assumptions!$G32)&gt;=L$7, DATE(YEAR(L$7),MONTH(L$7),Assumptions!$G32)&lt;=L$8),
              AND(DATE(YEAR(L$8),MONTH(L$8),Assumptions!$G32)&gt;=L$7, DATE(YEAR(L$8),MONTH(L$8),Assumptions!$G32)&lt;=L$8)
            ),
          "Yes","No"),
          IF(
            Assumptions!$F32="Last X day of month",
            IF(
              AND(
                WEEKDAY(L$7,2)&lt;=MATCH(Assumptions!$J32,{"Monday","Tuesday","Wednesday","Thursday","Friday"},0),
                WEEKDAY(L$8,2)&gt;=MATCH(Assumptions!$J32,{"Monday","Tuesday","Wednesday","Thursday","Friday"},0),
                (L$7+(MATCH(Assumptions!$J32,{"Monday","Tuesday","Wednesday","Thursday","Friday"},0)-WEEKDAY(L$7,2)))+7&gt;EOMONTH((L$7+(MATCH(Assumptions!$J32,{"Monday","Tuesday","Wednesday","Thursday","Friday"},0)-WEEKDAY(L$7,2))),0)
              ),
            "Yes","No"),
            IF(
              Assumptions!$F32="Weekly",
              IF(
                AND(
                  WEEKDAY(L$7,2)&lt;=MATCH(Assumptions!$J32,{"Monday","Tuesday","Wednesday","Thursday","Friday"},0),
                  WEEKDAY(L$8,2)&gt;=MATCH(Assumptions!$J32,{"Monday","Tuesday","Wednesday","Thursday","Friday"},0)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AND(Assumptions!$I32&gt;=L$7, Assumptions!$I32&lt;=L$8),
                    AND(
                      Assumptions!$I32&lt;L$7,
                      MOD(INT((L$7-(Assumptions!$I32-WEEKDAY(Assumptions!$I32,2)+1))/7),2)=0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AND(Assumptions!$I32&gt;=L$7, Assumptions!$I32&lt;=L$8),
                      AND(
                        Assumptions!$I32&lt;L$7,
                        MOD(INT((L$7-(Assumptions!$I32-WEEKDAY(Assumptions!$I32,2)+1))/7),3)=0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ISNUMBER(MATCH(MONTH(L$7),IF(Assumptions!$H32="Jan / Apr / Jul / Oct",{1,4,7,10},IF(Assumptions!$H32="Feb / May / Aug / Nov",{2,5,8,11},{3,6,9,12})),0)),
                          DATE(YEAR(L$7),MONTH(L$7),Assumptions!$G32)&gt;=L$7,
                          DATE(YEAR(L$7),MONTH(L$7),Assumptions!$G32)&lt;=L$8
                        ),
                        AND(
                          ISNUMBER(MATCH(MONTH(L$8),IF(Assumptions!$H32="Jan / Apr / Jul / Oct",{1,4,7,10},IF(Assumptions!$H32="Feb / May / Aug / Nov",{2,5,8,11},{3,6,9,12})),0)),
                          DATE(YEAR(L$8),MONTH(L$8),Assumptions!$G32)&gt;=L$7,
                          DATE(YEAR(L$8),MONTH(L$8),Assumptions!$G32)&lt;=L$8
                        )
                      ),
                    "Yes","No"),
                  "No")
                )
              )
            )
          )
        )
      )
    )
  )
)</f>
        <v>No</v>
      </c>
      <c r="M20" s="59" t="str">
        <f>IF(
  Assumptions!$K32="Off",
  "No",
  IF(
    Assumptions!$F32="I will phase manually",
    "No",
    IF(
      Assumptions!$F32="Last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Assumptions!$F32="End of month",
        IF(
          OR(
            AND(EOMONTH(M$7,0)&gt;=M$7, EOMONTH(M$7,0)&lt;=M$8),
            AND(EOMONTH(M$8,0)&gt;=M$7, EOMONTH(M$8,0)&lt;=M$8)
          ),
        "Yes","No"),
        IF(
          Assumptions!$F32="Specific day of month",
          IF(
            OR(
              AND(DATE(YEAR(M$7),MONTH(M$7),Assumptions!$G32)&gt;=M$7, DATE(YEAR(M$7),MONTH(M$7),Assumptions!$G32)&lt;=M$8),
              AND(DATE(YEAR(M$8),MONTH(M$8),Assumptions!$G32)&gt;=M$7, DATE(YEAR(M$8),MONTH(M$8),Assumptions!$G32)&lt;=M$8)
            ),
          "Yes","No"),
          IF(
            Assumptions!$F32="Last X day of month",
            IF(
              AND(
                WEEKDAY(M$7,2)&lt;=MATCH(Assumptions!$J32,{"Monday","Tuesday","Wednesday","Thursday","Friday"},0),
                WEEKDAY(M$8,2)&gt;=MATCH(Assumptions!$J32,{"Monday","Tuesday","Wednesday","Thursday","Friday"},0),
                (M$7+(MATCH(Assumptions!$J32,{"Monday","Tuesday","Wednesday","Thursday","Friday"},0)-WEEKDAY(M$7,2)))+7&gt;EOMONTH((M$7+(MATCH(Assumptions!$J32,{"Monday","Tuesday","Wednesday","Thursday","Friday"},0)-WEEKDAY(M$7,2))),0)
              ),
            "Yes","No"),
            IF(
              Assumptions!$F32="Weekly",
              IF(
                AND(
                  WEEKDAY(M$7,2)&lt;=MATCH(Assumptions!$J32,{"Monday","Tuesday","Wednesday","Thursday","Friday"},0),
                  WEEKDAY(M$8,2)&gt;=MATCH(Assumptions!$J32,{"Monday","Tuesday","Wednesday","Thursday","Friday"},0)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AND(Assumptions!$I32&gt;=M$7, Assumptions!$I32&lt;=M$8),
                    AND(
                      Assumptions!$I32&lt;M$7,
                      MOD(INT((M$7-(Assumptions!$I32-WEEKDAY(Assumptions!$I32,2)+1))/7),2)=0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AND(Assumptions!$I32&gt;=M$7, Assumptions!$I32&lt;=M$8),
                      AND(
                        Assumptions!$I32&lt;M$7,
                        MOD(INT((M$7-(Assumptions!$I32-WEEKDAY(Assumptions!$I32,2)+1))/7),3)=0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ISNUMBER(MATCH(MONTH(M$7),IF(Assumptions!$H32="Jan / Apr / Jul / Oct",{1,4,7,10},IF(Assumptions!$H32="Feb / May / Aug / Nov",{2,5,8,11},{3,6,9,12})),0)),
                          DATE(YEAR(M$7),MONTH(M$7),Assumptions!$G32)&gt;=M$7,
                          DATE(YEAR(M$7),MONTH(M$7),Assumptions!$G32)&lt;=M$8
                        ),
                        AND(
                          ISNUMBER(MATCH(MONTH(M$8),IF(Assumptions!$H32="Jan / Apr / Jul / Oct",{1,4,7,10},IF(Assumptions!$H32="Feb / May / Aug / Nov",{2,5,8,11},{3,6,9,12})),0)),
                          DATE(YEAR(M$8),MONTH(M$8),Assumptions!$G32)&gt;=M$7,
                          DATE(YEAR(M$8),MONTH(M$8),Assumptions!$G32)&lt;=M$8
                        )
                      ),
                    "Yes","No"),
                  "No")
                )
              )
            )
          )
        )
      )
    )
  )
)</f>
        <v>No</v>
      </c>
      <c r="N20" s="59" t="str">
        <f>IF(
  Assumptions!$K32="Off",
  "No",
  IF(
    Assumptions!$F32="I will phase manually",
    "No",
    IF(
      Assumptions!$F32="Last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Assumptions!$F32="End of month",
        IF(
          OR(
            AND(EOMONTH(N$7,0)&gt;=N$7, EOMONTH(N$7,0)&lt;=N$8),
            AND(EOMONTH(N$8,0)&gt;=N$7, EOMONTH(N$8,0)&lt;=N$8)
          ),
        "Yes","No"),
        IF(
          Assumptions!$F32="Specific day of month",
          IF(
            OR(
              AND(DATE(YEAR(N$7),MONTH(N$7),Assumptions!$G32)&gt;=N$7, DATE(YEAR(N$7),MONTH(N$7),Assumptions!$G32)&lt;=N$8),
              AND(DATE(YEAR(N$8),MONTH(N$8),Assumptions!$G32)&gt;=N$7, DATE(YEAR(N$8),MONTH(N$8),Assumptions!$G32)&lt;=N$8)
            ),
          "Yes","No"),
          IF(
            Assumptions!$F32="Last X day of month",
            IF(
              AND(
                WEEKDAY(N$7,2)&lt;=MATCH(Assumptions!$J32,{"Monday","Tuesday","Wednesday","Thursday","Friday"},0),
                WEEKDAY(N$8,2)&gt;=MATCH(Assumptions!$J32,{"Monday","Tuesday","Wednesday","Thursday","Friday"},0),
                (N$7+(MATCH(Assumptions!$J32,{"Monday","Tuesday","Wednesday","Thursday","Friday"},0)-WEEKDAY(N$7,2)))+7&gt;EOMONTH((N$7+(MATCH(Assumptions!$J32,{"Monday","Tuesday","Wednesday","Thursday","Friday"},0)-WEEKDAY(N$7,2))),0)
              ),
            "Yes","No"),
            IF(
              Assumptions!$F32="Weekly",
              IF(
                AND(
                  WEEKDAY(N$7,2)&lt;=MATCH(Assumptions!$J32,{"Monday","Tuesday","Wednesday","Thursday","Friday"},0),
                  WEEKDAY(N$8,2)&gt;=MATCH(Assumptions!$J32,{"Monday","Tuesday","Wednesday","Thursday","Friday"},0)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AND(Assumptions!$I32&gt;=N$7, Assumptions!$I32&lt;=N$8),
                    AND(
                      Assumptions!$I32&lt;N$7,
                      MOD(INT((N$7-(Assumptions!$I32-WEEKDAY(Assumptions!$I32,2)+1))/7),2)=0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AND(Assumptions!$I32&gt;=N$7, Assumptions!$I32&lt;=N$8),
                      AND(
                        Assumptions!$I32&lt;N$7,
                        MOD(INT((N$7-(Assumptions!$I32-WEEKDAY(Assumptions!$I32,2)+1))/7),3)=0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ISNUMBER(MATCH(MONTH(N$7),IF(Assumptions!$H32="Jan / Apr / Jul / Oct",{1,4,7,10},IF(Assumptions!$H32="Feb / May / Aug / Nov",{2,5,8,11},{3,6,9,12})),0)),
                          DATE(YEAR(N$7),MONTH(N$7),Assumptions!$G32)&gt;=N$7,
                          DATE(YEAR(N$7),MONTH(N$7),Assumptions!$G32)&lt;=N$8
                        ),
                        AND(
                          ISNUMBER(MATCH(MONTH(N$8),IF(Assumptions!$H32="Jan / Apr / Jul / Oct",{1,4,7,10},IF(Assumptions!$H32="Feb / May / Aug / Nov",{2,5,8,11},{3,6,9,12})),0)),
                          DATE(YEAR(N$8),MONTH(N$8),Assumptions!$G32)&gt;=N$7,
                          DATE(YEAR(N$8),MONTH(N$8),Assumptions!$G32)&lt;=N$8
                        )
                      ),
                    "Yes","No"),
                  "No")
                )
              )
            )
          )
        )
      )
    )
  )
)</f>
        <v>No</v>
      </c>
      <c r="O20" s="59" t="str">
        <f>IF(
  Assumptions!$K32="Off",
  "No",
  IF(
    Assumptions!$F32="I will phase manually",
    "No",
    IF(
      Assumptions!$F32="Last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Assumptions!$F32="End of month",
        IF(
          OR(
            AND(EOMONTH(O$7,0)&gt;=O$7, EOMONTH(O$7,0)&lt;=O$8),
            AND(EOMONTH(O$8,0)&gt;=O$7, EOMONTH(O$8,0)&lt;=O$8)
          ),
        "Yes","No"),
        IF(
          Assumptions!$F32="Specific day of month",
          IF(
            OR(
              AND(DATE(YEAR(O$7),MONTH(O$7),Assumptions!$G32)&gt;=O$7, DATE(YEAR(O$7),MONTH(O$7),Assumptions!$G32)&lt;=O$8),
              AND(DATE(YEAR(O$8),MONTH(O$8),Assumptions!$G32)&gt;=O$7, DATE(YEAR(O$8),MONTH(O$8),Assumptions!$G32)&lt;=O$8)
            ),
          "Yes","No"),
          IF(
            Assumptions!$F32="Last X day of month",
            IF(
              AND(
                WEEKDAY(O$7,2)&lt;=MATCH(Assumptions!$J32,{"Monday","Tuesday","Wednesday","Thursday","Friday"},0),
                WEEKDAY(O$8,2)&gt;=MATCH(Assumptions!$J32,{"Monday","Tuesday","Wednesday","Thursday","Friday"},0),
                (O$7+(MATCH(Assumptions!$J32,{"Monday","Tuesday","Wednesday","Thursday","Friday"},0)-WEEKDAY(O$7,2)))+7&gt;EOMONTH((O$7+(MATCH(Assumptions!$J32,{"Monday","Tuesday","Wednesday","Thursday","Friday"},0)-WEEKDAY(O$7,2))),0)
              ),
            "Yes","No"),
            IF(
              Assumptions!$F32="Weekly",
              IF(
                AND(
                  WEEKDAY(O$7,2)&lt;=MATCH(Assumptions!$J32,{"Monday","Tuesday","Wednesday","Thursday","Friday"},0),
                  WEEKDAY(O$8,2)&gt;=MATCH(Assumptions!$J32,{"Monday","Tuesday","Wednesday","Thursday","Friday"},0)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AND(Assumptions!$I32&gt;=O$7, Assumptions!$I32&lt;=O$8),
                    AND(
                      Assumptions!$I32&lt;O$7,
                      MOD(INT((O$7-(Assumptions!$I32-WEEKDAY(Assumptions!$I32,2)+1))/7),2)=0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AND(Assumptions!$I32&gt;=O$7, Assumptions!$I32&lt;=O$8),
                      AND(
                        Assumptions!$I32&lt;O$7,
                        MOD(INT((O$7-(Assumptions!$I32-WEEKDAY(Assumptions!$I32,2)+1))/7),3)=0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ISNUMBER(MATCH(MONTH(O$7),IF(Assumptions!$H32="Jan / Apr / Jul / Oct",{1,4,7,10},IF(Assumptions!$H32="Feb / May / Aug / Nov",{2,5,8,11},{3,6,9,12})),0)),
                          DATE(YEAR(O$7),MONTH(O$7),Assumptions!$G32)&gt;=O$7,
                          DATE(YEAR(O$7),MONTH(O$7),Assumptions!$G32)&lt;=O$8
                        ),
                        AND(
                          ISNUMBER(MATCH(MONTH(O$8),IF(Assumptions!$H32="Jan / Apr / Jul / Oct",{1,4,7,10},IF(Assumptions!$H32="Feb / May / Aug / Nov",{2,5,8,11},{3,6,9,12})),0)),
                          DATE(YEAR(O$8),MONTH(O$8),Assumptions!$G32)&gt;=O$7,
                          DATE(YEAR(O$8),MONTH(O$8),Assumptions!$G32)&lt;=O$8
                        )
                      ),
                    "Yes","No"),
                  "No")
                )
              )
            )
          )
        )
      )
    )
  )
)</f>
        <v>No</v>
      </c>
      <c r="P20" s="59" t="str">
        <f>IF(
  Assumptions!$K32="Off",
  "No",
  IF(
    Assumptions!$F32="I will phase manually",
    "No",
    IF(
      Assumptions!$F32="Last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Assumptions!$F32="End of month",
        IF(
          OR(
            AND(EOMONTH(P$7,0)&gt;=P$7, EOMONTH(P$7,0)&lt;=P$8),
            AND(EOMONTH(P$8,0)&gt;=P$7, EOMONTH(P$8,0)&lt;=P$8)
          ),
        "Yes","No"),
        IF(
          Assumptions!$F32="Specific day of month",
          IF(
            OR(
              AND(DATE(YEAR(P$7),MONTH(P$7),Assumptions!$G32)&gt;=P$7, DATE(YEAR(P$7),MONTH(P$7),Assumptions!$G32)&lt;=P$8),
              AND(DATE(YEAR(P$8),MONTH(P$8),Assumptions!$G32)&gt;=P$7, DATE(YEAR(P$8),MONTH(P$8),Assumptions!$G32)&lt;=P$8)
            ),
          "Yes","No"),
          IF(
            Assumptions!$F32="Last X day of month",
            IF(
              AND(
                WEEKDAY(P$7,2)&lt;=MATCH(Assumptions!$J32,{"Monday","Tuesday","Wednesday","Thursday","Friday"},0),
                WEEKDAY(P$8,2)&gt;=MATCH(Assumptions!$J32,{"Monday","Tuesday","Wednesday","Thursday","Friday"},0),
                (P$7+(MATCH(Assumptions!$J32,{"Monday","Tuesday","Wednesday","Thursday","Friday"},0)-WEEKDAY(P$7,2)))+7&gt;EOMONTH((P$7+(MATCH(Assumptions!$J32,{"Monday","Tuesday","Wednesday","Thursday","Friday"},0)-WEEKDAY(P$7,2))),0)
              ),
            "Yes","No"),
            IF(
              Assumptions!$F32="Weekly",
              IF(
                AND(
                  WEEKDAY(P$7,2)&lt;=MATCH(Assumptions!$J32,{"Monday","Tuesday","Wednesday","Thursday","Friday"},0),
                  WEEKDAY(P$8,2)&gt;=MATCH(Assumptions!$J32,{"Monday","Tuesday","Wednesday","Thursday","Friday"},0)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AND(Assumptions!$I32&gt;=P$7, Assumptions!$I32&lt;=P$8),
                    AND(
                      Assumptions!$I32&lt;P$7,
                      MOD(INT((P$7-(Assumptions!$I32-WEEKDAY(Assumptions!$I32,2)+1))/7),2)=0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AND(Assumptions!$I32&gt;=P$7, Assumptions!$I32&lt;=P$8),
                      AND(
                        Assumptions!$I32&lt;P$7,
                        MOD(INT((P$7-(Assumptions!$I32-WEEKDAY(Assumptions!$I32,2)+1))/7),3)=0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ISNUMBER(MATCH(MONTH(P$7),IF(Assumptions!$H32="Jan / Apr / Jul / Oct",{1,4,7,10},IF(Assumptions!$H32="Feb / May / Aug / Nov",{2,5,8,11},{3,6,9,12})),0)),
                          DATE(YEAR(P$7),MONTH(P$7),Assumptions!$G32)&gt;=P$7,
                          DATE(YEAR(P$7),MONTH(P$7),Assumptions!$G32)&lt;=P$8
                        ),
                        AND(
                          ISNUMBER(MATCH(MONTH(P$8),IF(Assumptions!$H32="Jan / Apr / Jul / Oct",{1,4,7,10},IF(Assumptions!$H32="Feb / May / Aug / Nov",{2,5,8,11},{3,6,9,12})),0)),
                          DATE(YEAR(P$8),MONTH(P$8),Assumptions!$G32)&gt;=P$7,
                          DATE(YEAR(P$8),MONTH(P$8),Assumptions!$G32)&lt;=P$8
                        )
                      ),
                    "Yes","No"),
                  "No")
                )
              )
            )
          )
        )
      )
    )
  )
)</f>
        <v>No</v>
      </c>
      <c r="Q20" s="59" t="str">
        <f>IF(
  Assumptions!$K32="Off",
  "No",
  IF(
    Assumptions!$F32="I will phase manually",
    "No",
    IF(
      Assumptions!$F32="Last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Assumptions!$F32="End of month",
        IF(
          OR(
            AND(EOMONTH(Q$7,0)&gt;=Q$7, EOMONTH(Q$7,0)&lt;=Q$8),
            AND(EOMONTH(Q$8,0)&gt;=Q$7, EOMONTH(Q$8,0)&lt;=Q$8)
          ),
        "Yes","No"),
        IF(
          Assumptions!$F32="Specific day of month",
          IF(
            OR(
              AND(DATE(YEAR(Q$7),MONTH(Q$7),Assumptions!$G32)&gt;=Q$7, DATE(YEAR(Q$7),MONTH(Q$7),Assumptions!$G32)&lt;=Q$8),
              AND(DATE(YEAR(Q$8),MONTH(Q$8),Assumptions!$G32)&gt;=Q$7, DATE(YEAR(Q$8),MONTH(Q$8),Assumptions!$G32)&lt;=Q$8)
            ),
          "Yes","No"),
          IF(
            Assumptions!$F32="Last X day of month",
            IF(
              AND(
                WEEKDAY(Q$7,2)&lt;=MATCH(Assumptions!$J32,{"Monday","Tuesday","Wednesday","Thursday","Friday"},0),
                WEEKDAY(Q$8,2)&gt;=MATCH(Assumptions!$J32,{"Monday","Tuesday","Wednesday","Thursday","Friday"},0),
                (Q$7+(MATCH(Assumptions!$J32,{"Monday","Tuesday","Wednesday","Thursday","Friday"},0)-WEEKDAY(Q$7,2)))+7&gt;EOMONTH((Q$7+(MATCH(Assumptions!$J32,{"Monday","Tuesday","Wednesday","Thursday","Friday"},0)-WEEKDAY(Q$7,2))),0)
              ),
            "Yes","No"),
            IF(
              Assumptions!$F32="Weekly",
              IF(
                AND(
                  WEEKDAY(Q$7,2)&lt;=MATCH(Assumptions!$J32,{"Monday","Tuesday","Wednesday","Thursday","Friday"},0),
                  WEEKDAY(Q$8,2)&gt;=MATCH(Assumptions!$J32,{"Monday","Tuesday","Wednesday","Thursday","Friday"},0)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AND(Assumptions!$I32&gt;=Q$7, Assumptions!$I32&lt;=Q$8),
                    AND(
                      Assumptions!$I32&lt;Q$7,
                      MOD(INT((Q$7-(Assumptions!$I32-WEEKDAY(Assumptions!$I32,2)+1))/7),2)=0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AND(Assumptions!$I32&gt;=Q$7, Assumptions!$I32&lt;=Q$8),
                      AND(
                        Assumptions!$I32&lt;Q$7,
                        MOD(INT((Q$7-(Assumptions!$I32-WEEKDAY(Assumptions!$I32,2)+1))/7),3)=0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ISNUMBER(MATCH(MONTH(Q$7),IF(Assumptions!$H32="Jan / Apr / Jul / Oct",{1,4,7,10},IF(Assumptions!$H32="Feb / May / Aug / Nov",{2,5,8,11},{3,6,9,12})),0)),
                          DATE(YEAR(Q$7),MONTH(Q$7),Assumptions!$G32)&gt;=Q$7,
                          DATE(YEAR(Q$7),MONTH(Q$7),Assumptions!$G32)&lt;=Q$8
                        ),
                        AND(
                          ISNUMBER(MATCH(MONTH(Q$8),IF(Assumptions!$H32="Jan / Apr / Jul / Oct",{1,4,7,10},IF(Assumptions!$H32="Feb / May / Aug / Nov",{2,5,8,11},{3,6,9,12})),0)),
                          DATE(YEAR(Q$8),MONTH(Q$8),Assumptions!$G32)&gt;=Q$7,
                          DATE(YEAR(Q$8),MONTH(Q$8),Assumptions!$G32)&lt;=Q$8
                        )
                      ),
                    "Yes","No"),
                  "No")
                )
              )
            )
          )
        )
      )
    )
  )
)</f>
        <v>No</v>
      </c>
      <c r="R20" s="59" t="str">
        <f>IF(
  Assumptions!$K32="Off",
  "No",
  IF(
    Assumptions!$F32="I will phase manually",
    "No",
    IF(
      Assumptions!$F32="Last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Assumptions!$F32="End of month",
        IF(
          OR(
            AND(EOMONTH(R$7,0)&gt;=R$7, EOMONTH(R$7,0)&lt;=R$8),
            AND(EOMONTH(R$8,0)&gt;=R$7, EOMONTH(R$8,0)&lt;=R$8)
          ),
        "Yes","No"),
        IF(
          Assumptions!$F32="Specific day of month",
          IF(
            OR(
              AND(DATE(YEAR(R$7),MONTH(R$7),Assumptions!$G32)&gt;=R$7, DATE(YEAR(R$7),MONTH(R$7),Assumptions!$G32)&lt;=R$8),
              AND(DATE(YEAR(R$8),MONTH(R$8),Assumptions!$G32)&gt;=R$7, DATE(YEAR(R$8),MONTH(R$8),Assumptions!$G32)&lt;=R$8)
            ),
          "Yes","No"),
          IF(
            Assumptions!$F32="Last X day of month",
            IF(
              AND(
                WEEKDAY(R$7,2)&lt;=MATCH(Assumptions!$J32,{"Monday","Tuesday","Wednesday","Thursday","Friday"},0),
                WEEKDAY(R$8,2)&gt;=MATCH(Assumptions!$J32,{"Monday","Tuesday","Wednesday","Thursday","Friday"},0),
                (R$7+(MATCH(Assumptions!$J32,{"Monday","Tuesday","Wednesday","Thursday","Friday"},0)-WEEKDAY(R$7,2)))+7&gt;EOMONTH((R$7+(MATCH(Assumptions!$J32,{"Monday","Tuesday","Wednesday","Thursday","Friday"},0)-WEEKDAY(R$7,2))),0)
              ),
            "Yes","No"),
            IF(
              Assumptions!$F32="Weekly",
              IF(
                AND(
                  WEEKDAY(R$7,2)&lt;=MATCH(Assumptions!$J32,{"Monday","Tuesday","Wednesday","Thursday","Friday"},0),
                  WEEKDAY(R$8,2)&gt;=MATCH(Assumptions!$J32,{"Monday","Tuesday","Wednesday","Thursday","Friday"},0)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AND(Assumptions!$I32&gt;=R$7, Assumptions!$I32&lt;=R$8),
                    AND(
                      Assumptions!$I32&lt;R$7,
                      MOD(INT((R$7-(Assumptions!$I32-WEEKDAY(Assumptions!$I32,2)+1))/7),2)=0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AND(Assumptions!$I32&gt;=R$7, Assumptions!$I32&lt;=R$8),
                      AND(
                        Assumptions!$I32&lt;R$7,
                        MOD(INT((R$7-(Assumptions!$I32-WEEKDAY(Assumptions!$I32,2)+1))/7),3)=0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ISNUMBER(MATCH(MONTH(R$7),IF(Assumptions!$H32="Jan / Apr / Jul / Oct",{1,4,7,10},IF(Assumptions!$H32="Feb / May / Aug / Nov",{2,5,8,11},{3,6,9,12})),0)),
                          DATE(YEAR(R$7),MONTH(R$7),Assumptions!$G32)&gt;=R$7,
                          DATE(YEAR(R$7),MONTH(R$7),Assumptions!$G32)&lt;=R$8
                        ),
                        AND(
                          ISNUMBER(MATCH(MONTH(R$8),IF(Assumptions!$H32="Jan / Apr / Jul / Oct",{1,4,7,10},IF(Assumptions!$H32="Feb / May / Aug / Nov",{2,5,8,11},{3,6,9,12})),0)),
                          DATE(YEAR(R$8),MONTH(R$8),Assumptions!$G32)&gt;=R$7,
                          DATE(YEAR(R$8),MONTH(R$8),Assumptions!$G32)&lt;=R$8
                        )
                      ),
                    "Yes","No"),
                  "No")
                )
              )
            )
          )
        )
      )
    )
  )
)</f>
        <v>No</v>
      </c>
      <c r="S20" s="59" t="str">
        <f>IF(
  Assumptions!$K32="Off",
  "No",
  IF(
    Assumptions!$F32="I will phase manually",
    "No",
    IF(
      Assumptions!$F32="Last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Assumptions!$F32="End of month",
        IF(
          OR(
            AND(EOMONTH(S$7,0)&gt;=S$7, EOMONTH(S$7,0)&lt;=S$8),
            AND(EOMONTH(S$8,0)&gt;=S$7, EOMONTH(S$8,0)&lt;=S$8)
          ),
        "Yes","No"),
        IF(
          Assumptions!$F32="Specific day of month",
          IF(
            OR(
              AND(DATE(YEAR(S$7),MONTH(S$7),Assumptions!$G32)&gt;=S$7, DATE(YEAR(S$7),MONTH(S$7),Assumptions!$G32)&lt;=S$8),
              AND(DATE(YEAR(S$8),MONTH(S$8),Assumptions!$G32)&gt;=S$7, DATE(YEAR(S$8),MONTH(S$8),Assumptions!$G32)&lt;=S$8)
            ),
          "Yes","No"),
          IF(
            Assumptions!$F32="Last X day of month",
            IF(
              AND(
                WEEKDAY(S$7,2)&lt;=MATCH(Assumptions!$J32,{"Monday","Tuesday","Wednesday","Thursday","Friday"},0),
                WEEKDAY(S$8,2)&gt;=MATCH(Assumptions!$J32,{"Monday","Tuesday","Wednesday","Thursday","Friday"},0),
                (S$7+(MATCH(Assumptions!$J32,{"Monday","Tuesday","Wednesday","Thursday","Friday"},0)-WEEKDAY(S$7,2)))+7&gt;EOMONTH((S$7+(MATCH(Assumptions!$J32,{"Monday","Tuesday","Wednesday","Thursday","Friday"},0)-WEEKDAY(S$7,2))),0)
              ),
            "Yes","No"),
            IF(
              Assumptions!$F32="Weekly",
              IF(
                AND(
                  WEEKDAY(S$7,2)&lt;=MATCH(Assumptions!$J32,{"Monday","Tuesday","Wednesday","Thursday","Friday"},0),
                  WEEKDAY(S$8,2)&gt;=MATCH(Assumptions!$J32,{"Monday","Tuesday","Wednesday","Thursday","Friday"},0)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AND(Assumptions!$I32&gt;=S$7, Assumptions!$I32&lt;=S$8),
                    AND(
                      Assumptions!$I32&lt;S$7,
                      MOD(INT((S$7-(Assumptions!$I32-WEEKDAY(Assumptions!$I32,2)+1))/7),2)=0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AND(Assumptions!$I32&gt;=S$7, Assumptions!$I32&lt;=S$8),
                      AND(
                        Assumptions!$I32&lt;S$7,
                        MOD(INT((S$7-(Assumptions!$I32-WEEKDAY(Assumptions!$I32,2)+1))/7),3)=0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ISNUMBER(MATCH(MONTH(S$7),IF(Assumptions!$H32="Jan / Apr / Jul / Oct",{1,4,7,10},IF(Assumptions!$H32="Feb / May / Aug / Nov",{2,5,8,11},{3,6,9,12})),0)),
                          DATE(YEAR(S$7),MONTH(S$7),Assumptions!$G32)&gt;=S$7,
                          DATE(YEAR(S$7),MONTH(S$7),Assumptions!$G32)&lt;=S$8
                        ),
                        AND(
                          ISNUMBER(MATCH(MONTH(S$8),IF(Assumptions!$H32="Jan / Apr / Jul / Oct",{1,4,7,10},IF(Assumptions!$H32="Feb / May / Aug / Nov",{2,5,8,11},{3,6,9,12})),0)),
                          DATE(YEAR(S$8),MONTH(S$8),Assumptions!$G32)&gt;=S$7,
                          DATE(YEAR(S$8),MONTH(S$8),Assumptions!$G32)&lt;=S$8
                        )
                      ),
                    "Yes","No"),
                  "No")
                )
              )
            )
          )
        )
      )
    )
  )
)</f>
        <v>No</v>
      </c>
      <c r="T20" s="59" t="s">
        <v>124</v>
      </c>
    </row>
    <row r="21" spans="3:20" hidden="1" outlineLevel="1" x14ac:dyDescent="0.25">
      <c r="C21" s="58">
        <f>Assumptions!D33</f>
        <v>0</v>
      </c>
      <c r="D21" s="58"/>
      <c r="E21" s="58"/>
      <c r="F21" s="58"/>
      <c r="G21" s="59" t="str">
        <f>IF(
  Assumptions!$K33="Off",
  "No",
  IF(
    Assumptions!$F33="I will phase manually",
    "No",
    IF(
      Assumptions!$F33="Last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Assumptions!$F33="End of month",
        IF(
          OR(
            AND(EOMONTH(G$7,0)&gt;=G$7, EOMONTH(G$7,0)&lt;=G$8),
            AND(EOMONTH(G$8,0)&gt;=G$7, EOMONTH(G$8,0)&lt;=G$8)
          ),
        "Yes","No"),
        IF(
          Assumptions!$F33="Specific day of month",
          IF(
            OR(
              AND(DATE(YEAR(G$7),MONTH(G$7),Assumptions!$G33)&gt;=G$7, DATE(YEAR(G$7),MONTH(G$7),Assumptions!$G33)&lt;=G$8),
              AND(DATE(YEAR(G$8),MONTH(G$8),Assumptions!$G33)&gt;=G$7, DATE(YEAR(G$8),MONTH(G$8),Assumptions!$G33)&lt;=G$8)
            ),
          "Yes","No"),
          IF(
            Assumptions!$F33="Last X day of month",
            IF(
              AND(
                WEEKDAY(G$7,2)&lt;=MATCH(Assumptions!$J33,{"Monday","Tuesday","Wednesday","Thursday","Friday"},0),
                WEEKDAY(G$8,2)&gt;=MATCH(Assumptions!$J33,{"Monday","Tuesday","Wednesday","Thursday","Friday"},0),
                (G$7+(MATCH(Assumptions!$J33,{"Monday","Tuesday","Wednesday","Thursday","Friday"},0)-WEEKDAY(G$7,2)))+7&gt;EOMONTH((G$7+(MATCH(Assumptions!$J33,{"Monday","Tuesday","Wednesday","Thursday","Friday"},0)-WEEKDAY(G$7,2))),0)
              ),
            "Yes","No"),
            IF(
              Assumptions!$F33="Weekly",
              IF(
                AND(
                  WEEKDAY(G$7,2)&lt;=MATCH(Assumptions!$J33,{"Monday","Tuesday","Wednesday","Thursday","Friday"},0),
                  WEEKDAY(G$8,2)&gt;=MATCH(Assumptions!$J33,{"Monday","Tuesday","Wednesday","Thursday","Friday"},0)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AND(Assumptions!$I33&gt;=G$7, Assumptions!$I33&lt;=G$8),
                    AND(
                      Assumptions!$I33&lt;G$7,
                      MOD(INT((G$7-(Assumptions!$I33-WEEKDAY(Assumptions!$I33,2)+1))/7),2)=0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AND(Assumptions!$I33&gt;=G$7, Assumptions!$I33&lt;=G$8),
                      AND(
                        Assumptions!$I33&lt;G$7,
                        MOD(INT((G$7-(Assumptions!$I33-WEEKDAY(Assumptions!$I33,2)+1))/7),3)=0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ISNUMBER(MATCH(MONTH(G$7),IF(Assumptions!$H33="Jan / Apr / Jul / Oct",{1,4,7,10},IF(Assumptions!$H33="Feb / May / Aug / Nov",{2,5,8,11},{3,6,9,12})),0)),
                          DATE(YEAR(G$7),MONTH(G$7),Assumptions!$G33)&gt;=G$7,
                          DATE(YEAR(G$7),MONTH(G$7),Assumptions!$G33)&lt;=G$8
                        ),
                        AND(
                          ISNUMBER(MATCH(MONTH(G$8),IF(Assumptions!$H33="Jan / Apr / Jul / Oct",{1,4,7,10},IF(Assumptions!$H33="Feb / May / Aug / Nov",{2,5,8,11},{3,6,9,12})),0)),
                          DATE(YEAR(G$8),MONTH(G$8),Assumptions!$G33)&gt;=G$7,
                          DATE(YEAR(G$8),MONTH(G$8),Assumptions!$G33)&lt;=G$8
                        )
                      ),
                    "Yes","No"),
                  "No")
                )
              )
            )
          )
        )
      )
    )
  )
)</f>
        <v>No</v>
      </c>
      <c r="H21" s="59" t="str">
        <f>IF(
  Assumptions!$K33="Off",
  "No",
  IF(
    Assumptions!$F33="I will phase manually",
    "No",
    IF(
      Assumptions!$F33="Last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Assumptions!$F33="End of month",
        IF(
          OR(
            AND(EOMONTH(H$7,0)&gt;=H$7, EOMONTH(H$7,0)&lt;=H$8),
            AND(EOMONTH(H$8,0)&gt;=H$7, EOMONTH(H$8,0)&lt;=H$8)
          ),
        "Yes","No"),
        IF(
          Assumptions!$F33="Specific day of month",
          IF(
            OR(
              AND(DATE(YEAR(H$7),MONTH(H$7),Assumptions!$G33)&gt;=H$7, DATE(YEAR(H$7),MONTH(H$7),Assumptions!$G33)&lt;=H$8),
              AND(DATE(YEAR(H$8),MONTH(H$8),Assumptions!$G33)&gt;=H$7, DATE(YEAR(H$8),MONTH(H$8),Assumptions!$G33)&lt;=H$8)
            ),
          "Yes","No"),
          IF(
            Assumptions!$F33="Last X day of month",
            IF(
              AND(
                WEEKDAY(H$7,2)&lt;=MATCH(Assumptions!$J33,{"Monday","Tuesday","Wednesday","Thursday","Friday"},0),
                WEEKDAY(H$8,2)&gt;=MATCH(Assumptions!$J33,{"Monday","Tuesday","Wednesday","Thursday","Friday"},0),
                (H$7+(MATCH(Assumptions!$J33,{"Monday","Tuesday","Wednesday","Thursday","Friday"},0)-WEEKDAY(H$7,2)))+7&gt;EOMONTH((H$7+(MATCH(Assumptions!$J33,{"Monday","Tuesday","Wednesday","Thursday","Friday"},0)-WEEKDAY(H$7,2))),0)
              ),
            "Yes","No"),
            IF(
              Assumptions!$F33="Weekly",
              IF(
                AND(
                  WEEKDAY(H$7,2)&lt;=MATCH(Assumptions!$J33,{"Monday","Tuesday","Wednesday","Thursday","Friday"},0),
                  WEEKDAY(H$8,2)&gt;=MATCH(Assumptions!$J33,{"Monday","Tuesday","Wednesday","Thursday","Friday"},0)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AND(Assumptions!$I33&gt;=H$7, Assumptions!$I33&lt;=H$8),
                    AND(
                      Assumptions!$I33&lt;H$7,
                      MOD(INT((H$7-(Assumptions!$I33-WEEKDAY(Assumptions!$I33,2)+1))/7),2)=0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AND(Assumptions!$I33&gt;=H$7, Assumptions!$I33&lt;=H$8),
                      AND(
                        Assumptions!$I33&lt;H$7,
                        MOD(INT((H$7-(Assumptions!$I33-WEEKDAY(Assumptions!$I33,2)+1))/7),3)=0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ISNUMBER(MATCH(MONTH(H$7),IF(Assumptions!$H33="Jan / Apr / Jul / Oct",{1,4,7,10},IF(Assumptions!$H33="Feb / May / Aug / Nov",{2,5,8,11},{3,6,9,12})),0)),
                          DATE(YEAR(H$7),MONTH(H$7),Assumptions!$G33)&gt;=H$7,
                          DATE(YEAR(H$7),MONTH(H$7),Assumptions!$G33)&lt;=H$8
                        ),
                        AND(
                          ISNUMBER(MATCH(MONTH(H$8),IF(Assumptions!$H33="Jan / Apr / Jul / Oct",{1,4,7,10},IF(Assumptions!$H33="Feb / May / Aug / Nov",{2,5,8,11},{3,6,9,12})),0)),
                          DATE(YEAR(H$8),MONTH(H$8),Assumptions!$G33)&gt;=H$7,
                          DATE(YEAR(H$8),MONTH(H$8),Assumptions!$G33)&lt;=H$8
                        )
                      ),
                    "Yes","No"),
                  "No")
                )
              )
            )
          )
        )
      )
    )
  )
)</f>
        <v>No</v>
      </c>
      <c r="I21" s="59" t="str">
        <f>IF(
  Assumptions!$K33="Off",
  "No",
  IF(
    Assumptions!$F33="I will phase manually",
    "No",
    IF(
      Assumptions!$F33="Last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Assumptions!$F33="End of month",
        IF(
          OR(
            AND(EOMONTH(I$7,0)&gt;=I$7, EOMONTH(I$7,0)&lt;=I$8),
            AND(EOMONTH(I$8,0)&gt;=I$7, EOMONTH(I$8,0)&lt;=I$8)
          ),
        "Yes","No"),
        IF(
          Assumptions!$F33="Specific day of month",
          IF(
            OR(
              AND(DATE(YEAR(I$7),MONTH(I$7),Assumptions!$G33)&gt;=I$7, DATE(YEAR(I$7),MONTH(I$7),Assumptions!$G33)&lt;=I$8),
              AND(DATE(YEAR(I$8),MONTH(I$8),Assumptions!$G33)&gt;=I$7, DATE(YEAR(I$8),MONTH(I$8),Assumptions!$G33)&lt;=I$8)
            ),
          "Yes","No"),
          IF(
            Assumptions!$F33="Last X day of month",
            IF(
              AND(
                WEEKDAY(I$7,2)&lt;=MATCH(Assumptions!$J33,{"Monday","Tuesday","Wednesday","Thursday","Friday"},0),
                WEEKDAY(I$8,2)&gt;=MATCH(Assumptions!$J33,{"Monday","Tuesday","Wednesday","Thursday","Friday"},0),
                (I$7+(MATCH(Assumptions!$J33,{"Monday","Tuesday","Wednesday","Thursday","Friday"},0)-WEEKDAY(I$7,2)))+7&gt;EOMONTH((I$7+(MATCH(Assumptions!$J33,{"Monday","Tuesday","Wednesday","Thursday","Friday"},0)-WEEKDAY(I$7,2))),0)
              ),
            "Yes","No"),
            IF(
              Assumptions!$F33="Weekly",
              IF(
                AND(
                  WEEKDAY(I$7,2)&lt;=MATCH(Assumptions!$J33,{"Monday","Tuesday","Wednesday","Thursday","Friday"},0),
                  WEEKDAY(I$8,2)&gt;=MATCH(Assumptions!$J33,{"Monday","Tuesday","Wednesday","Thursday","Friday"},0)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AND(Assumptions!$I33&gt;=I$7, Assumptions!$I33&lt;=I$8),
                    AND(
                      Assumptions!$I33&lt;I$7,
                      MOD(INT((I$7-(Assumptions!$I33-WEEKDAY(Assumptions!$I33,2)+1))/7),2)=0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AND(Assumptions!$I33&gt;=I$7, Assumptions!$I33&lt;=I$8),
                      AND(
                        Assumptions!$I33&lt;I$7,
                        MOD(INT((I$7-(Assumptions!$I33-WEEKDAY(Assumptions!$I33,2)+1))/7),3)=0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ISNUMBER(MATCH(MONTH(I$7),IF(Assumptions!$H33="Jan / Apr / Jul / Oct",{1,4,7,10},IF(Assumptions!$H33="Feb / May / Aug / Nov",{2,5,8,11},{3,6,9,12})),0)),
                          DATE(YEAR(I$7),MONTH(I$7),Assumptions!$G33)&gt;=I$7,
                          DATE(YEAR(I$7),MONTH(I$7),Assumptions!$G33)&lt;=I$8
                        ),
                        AND(
                          ISNUMBER(MATCH(MONTH(I$8),IF(Assumptions!$H33="Jan / Apr / Jul / Oct",{1,4,7,10},IF(Assumptions!$H33="Feb / May / Aug / Nov",{2,5,8,11},{3,6,9,12})),0)),
                          DATE(YEAR(I$8),MONTH(I$8),Assumptions!$G33)&gt;=I$7,
                          DATE(YEAR(I$8),MONTH(I$8),Assumptions!$G33)&lt;=I$8
                        )
                      ),
                    "Yes","No"),
                  "No")
                )
              )
            )
          )
        )
      )
    )
  )
)</f>
        <v>No</v>
      </c>
      <c r="J21" s="59" t="str">
        <f>IF(
  Assumptions!$K33="Off",
  "No",
  IF(
    Assumptions!$F33="I will phase manually",
    "No",
    IF(
      Assumptions!$F33="Last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Assumptions!$F33="End of month",
        IF(
          OR(
            AND(EOMONTH(J$7,0)&gt;=J$7, EOMONTH(J$7,0)&lt;=J$8),
            AND(EOMONTH(J$8,0)&gt;=J$7, EOMONTH(J$8,0)&lt;=J$8)
          ),
        "Yes","No"),
        IF(
          Assumptions!$F33="Specific day of month",
          IF(
            OR(
              AND(DATE(YEAR(J$7),MONTH(J$7),Assumptions!$G33)&gt;=J$7, DATE(YEAR(J$7),MONTH(J$7),Assumptions!$G33)&lt;=J$8),
              AND(DATE(YEAR(J$8),MONTH(J$8),Assumptions!$G33)&gt;=J$7, DATE(YEAR(J$8),MONTH(J$8),Assumptions!$G33)&lt;=J$8)
            ),
          "Yes","No"),
          IF(
            Assumptions!$F33="Last X day of month",
            IF(
              AND(
                WEEKDAY(J$7,2)&lt;=MATCH(Assumptions!$J33,{"Monday","Tuesday","Wednesday","Thursday","Friday"},0),
                WEEKDAY(J$8,2)&gt;=MATCH(Assumptions!$J33,{"Monday","Tuesday","Wednesday","Thursday","Friday"},0),
                (J$7+(MATCH(Assumptions!$J33,{"Monday","Tuesday","Wednesday","Thursday","Friday"},0)-WEEKDAY(J$7,2)))+7&gt;EOMONTH((J$7+(MATCH(Assumptions!$J33,{"Monday","Tuesday","Wednesday","Thursday","Friday"},0)-WEEKDAY(J$7,2))),0)
              ),
            "Yes","No"),
            IF(
              Assumptions!$F33="Weekly",
              IF(
                AND(
                  WEEKDAY(J$7,2)&lt;=MATCH(Assumptions!$J33,{"Monday","Tuesday","Wednesday","Thursday","Friday"},0),
                  WEEKDAY(J$8,2)&gt;=MATCH(Assumptions!$J33,{"Monday","Tuesday","Wednesday","Thursday","Friday"},0)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AND(Assumptions!$I33&gt;=J$7, Assumptions!$I33&lt;=J$8),
                    AND(
                      Assumptions!$I33&lt;J$7,
                      MOD(INT((J$7-(Assumptions!$I33-WEEKDAY(Assumptions!$I33,2)+1))/7),2)=0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AND(Assumptions!$I33&gt;=J$7, Assumptions!$I33&lt;=J$8),
                      AND(
                        Assumptions!$I33&lt;J$7,
                        MOD(INT((J$7-(Assumptions!$I33-WEEKDAY(Assumptions!$I33,2)+1))/7),3)=0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ISNUMBER(MATCH(MONTH(J$7),IF(Assumptions!$H33="Jan / Apr / Jul / Oct",{1,4,7,10},IF(Assumptions!$H33="Feb / May / Aug / Nov",{2,5,8,11},{3,6,9,12})),0)),
                          DATE(YEAR(J$7),MONTH(J$7),Assumptions!$G33)&gt;=J$7,
                          DATE(YEAR(J$7),MONTH(J$7),Assumptions!$G33)&lt;=J$8
                        ),
                        AND(
                          ISNUMBER(MATCH(MONTH(J$8),IF(Assumptions!$H33="Jan / Apr / Jul / Oct",{1,4,7,10},IF(Assumptions!$H33="Feb / May / Aug / Nov",{2,5,8,11},{3,6,9,12})),0)),
                          DATE(YEAR(J$8),MONTH(J$8),Assumptions!$G33)&gt;=J$7,
                          DATE(YEAR(J$8),MONTH(J$8),Assumptions!$G33)&lt;=J$8
                        )
                      ),
                    "Yes","No"),
                  "No")
                )
              )
            )
          )
        )
      )
    )
  )
)</f>
        <v>No</v>
      </c>
      <c r="K21" s="59" t="str">
        <f>IF(
  Assumptions!$K33="Off",
  "No",
  IF(
    Assumptions!$F33="I will phase manually",
    "No",
    IF(
      Assumptions!$F33="Last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Assumptions!$F33="End of month",
        IF(
          OR(
            AND(EOMONTH(K$7,0)&gt;=K$7, EOMONTH(K$7,0)&lt;=K$8),
            AND(EOMONTH(K$8,0)&gt;=K$7, EOMONTH(K$8,0)&lt;=K$8)
          ),
        "Yes","No"),
        IF(
          Assumptions!$F33="Specific day of month",
          IF(
            OR(
              AND(DATE(YEAR(K$7),MONTH(K$7),Assumptions!$G33)&gt;=K$7, DATE(YEAR(K$7),MONTH(K$7),Assumptions!$G33)&lt;=K$8),
              AND(DATE(YEAR(K$8),MONTH(K$8),Assumptions!$G33)&gt;=K$7, DATE(YEAR(K$8),MONTH(K$8),Assumptions!$G33)&lt;=K$8)
            ),
          "Yes","No"),
          IF(
            Assumptions!$F33="Last X day of month",
            IF(
              AND(
                WEEKDAY(K$7,2)&lt;=MATCH(Assumptions!$J33,{"Monday","Tuesday","Wednesday","Thursday","Friday"},0),
                WEEKDAY(K$8,2)&gt;=MATCH(Assumptions!$J33,{"Monday","Tuesday","Wednesday","Thursday","Friday"},0),
                (K$7+(MATCH(Assumptions!$J33,{"Monday","Tuesday","Wednesday","Thursday","Friday"},0)-WEEKDAY(K$7,2)))+7&gt;EOMONTH((K$7+(MATCH(Assumptions!$J33,{"Monday","Tuesday","Wednesday","Thursday","Friday"},0)-WEEKDAY(K$7,2))),0)
              ),
            "Yes","No"),
            IF(
              Assumptions!$F33="Weekly",
              IF(
                AND(
                  WEEKDAY(K$7,2)&lt;=MATCH(Assumptions!$J33,{"Monday","Tuesday","Wednesday","Thursday","Friday"},0),
                  WEEKDAY(K$8,2)&gt;=MATCH(Assumptions!$J33,{"Monday","Tuesday","Wednesday","Thursday","Friday"},0)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AND(Assumptions!$I33&gt;=K$7, Assumptions!$I33&lt;=K$8),
                    AND(
                      Assumptions!$I33&lt;K$7,
                      MOD(INT((K$7-(Assumptions!$I33-WEEKDAY(Assumptions!$I33,2)+1))/7),2)=0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AND(Assumptions!$I33&gt;=K$7, Assumptions!$I33&lt;=K$8),
                      AND(
                        Assumptions!$I33&lt;K$7,
                        MOD(INT((K$7-(Assumptions!$I33-WEEKDAY(Assumptions!$I33,2)+1))/7),3)=0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ISNUMBER(MATCH(MONTH(K$7),IF(Assumptions!$H33="Jan / Apr / Jul / Oct",{1,4,7,10},IF(Assumptions!$H33="Feb / May / Aug / Nov",{2,5,8,11},{3,6,9,12})),0)),
                          DATE(YEAR(K$7),MONTH(K$7),Assumptions!$G33)&gt;=K$7,
                          DATE(YEAR(K$7),MONTH(K$7),Assumptions!$G33)&lt;=K$8
                        ),
                        AND(
                          ISNUMBER(MATCH(MONTH(K$8),IF(Assumptions!$H33="Jan / Apr / Jul / Oct",{1,4,7,10},IF(Assumptions!$H33="Feb / May / Aug / Nov",{2,5,8,11},{3,6,9,12})),0)),
                          DATE(YEAR(K$8),MONTH(K$8),Assumptions!$G33)&gt;=K$7,
                          DATE(YEAR(K$8),MONTH(K$8),Assumptions!$G33)&lt;=K$8
                        )
                      ),
                    "Yes","No"),
                  "No")
                )
              )
            )
          )
        )
      )
    )
  )
)</f>
        <v>No</v>
      </c>
      <c r="L21" s="59" t="str">
        <f>IF(
  Assumptions!$K33="Off",
  "No",
  IF(
    Assumptions!$F33="I will phase manually",
    "No",
    IF(
      Assumptions!$F33="Last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Assumptions!$F33="End of month",
        IF(
          OR(
            AND(EOMONTH(L$7,0)&gt;=L$7, EOMONTH(L$7,0)&lt;=L$8),
            AND(EOMONTH(L$8,0)&gt;=L$7, EOMONTH(L$8,0)&lt;=L$8)
          ),
        "Yes","No"),
        IF(
          Assumptions!$F33="Specific day of month",
          IF(
            OR(
              AND(DATE(YEAR(L$7),MONTH(L$7),Assumptions!$G33)&gt;=L$7, DATE(YEAR(L$7),MONTH(L$7),Assumptions!$G33)&lt;=L$8),
              AND(DATE(YEAR(L$8),MONTH(L$8),Assumptions!$G33)&gt;=L$7, DATE(YEAR(L$8),MONTH(L$8),Assumptions!$G33)&lt;=L$8)
            ),
          "Yes","No"),
          IF(
            Assumptions!$F33="Last X day of month",
            IF(
              AND(
                WEEKDAY(L$7,2)&lt;=MATCH(Assumptions!$J33,{"Monday","Tuesday","Wednesday","Thursday","Friday"},0),
                WEEKDAY(L$8,2)&gt;=MATCH(Assumptions!$J33,{"Monday","Tuesday","Wednesday","Thursday","Friday"},0),
                (L$7+(MATCH(Assumptions!$J33,{"Monday","Tuesday","Wednesday","Thursday","Friday"},0)-WEEKDAY(L$7,2)))+7&gt;EOMONTH((L$7+(MATCH(Assumptions!$J33,{"Monday","Tuesday","Wednesday","Thursday","Friday"},0)-WEEKDAY(L$7,2))),0)
              ),
            "Yes","No"),
            IF(
              Assumptions!$F33="Weekly",
              IF(
                AND(
                  WEEKDAY(L$7,2)&lt;=MATCH(Assumptions!$J33,{"Monday","Tuesday","Wednesday","Thursday","Friday"},0),
                  WEEKDAY(L$8,2)&gt;=MATCH(Assumptions!$J33,{"Monday","Tuesday","Wednesday","Thursday","Friday"},0)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AND(Assumptions!$I33&gt;=L$7, Assumptions!$I33&lt;=L$8),
                    AND(
                      Assumptions!$I33&lt;L$7,
                      MOD(INT((L$7-(Assumptions!$I33-WEEKDAY(Assumptions!$I33,2)+1))/7),2)=0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AND(Assumptions!$I33&gt;=L$7, Assumptions!$I33&lt;=L$8),
                      AND(
                        Assumptions!$I33&lt;L$7,
                        MOD(INT((L$7-(Assumptions!$I33-WEEKDAY(Assumptions!$I33,2)+1))/7),3)=0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ISNUMBER(MATCH(MONTH(L$7),IF(Assumptions!$H33="Jan / Apr / Jul / Oct",{1,4,7,10},IF(Assumptions!$H33="Feb / May / Aug / Nov",{2,5,8,11},{3,6,9,12})),0)),
                          DATE(YEAR(L$7),MONTH(L$7),Assumptions!$G33)&gt;=L$7,
                          DATE(YEAR(L$7),MONTH(L$7),Assumptions!$G33)&lt;=L$8
                        ),
                        AND(
                          ISNUMBER(MATCH(MONTH(L$8),IF(Assumptions!$H33="Jan / Apr / Jul / Oct",{1,4,7,10},IF(Assumptions!$H33="Feb / May / Aug / Nov",{2,5,8,11},{3,6,9,12})),0)),
                          DATE(YEAR(L$8),MONTH(L$8),Assumptions!$G33)&gt;=L$7,
                          DATE(YEAR(L$8),MONTH(L$8),Assumptions!$G33)&lt;=L$8
                        )
                      ),
                    "Yes","No"),
                  "No")
                )
              )
            )
          )
        )
      )
    )
  )
)</f>
        <v>No</v>
      </c>
      <c r="M21" s="59" t="str">
        <f>IF(
  Assumptions!$K33="Off",
  "No",
  IF(
    Assumptions!$F33="I will phase manually",
    "No",
    IF(
      Assumptions!$F33="Last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Assumptions!$F33="End of month",
        IF(
          OR(
            AND(EOMONTH(M$7,0)&gt;=M$7, EOMONTH(M$7,0)&lt;=M$8),
            AND(EOMONTH(M$8,0)&gt;=M$7, EOMONTH(M$8,0)&lt;=M$8)
          ),
        "Yes","No"),
        IF(
          Assumptions!$F33="Specific day of month",
          IF(
            OR(
              AND(DATE(YEAR(M$7),MONTH(M$7),Assumptions!$G33)&gt;=M$7, DATE(YEAR(M$7),MONTH(M$7),Assumptions!$G33)&lt;=M$8),
              AND(DATE(YEAR(M$8),MONTH(M$8),Assumptions!$G33)&gt;=M$7, DATE(YEAR(M$8),MONTH(M$8),Assumptions!$G33)&lt;=M$8)
            ),
          "Yes","No"),
          IF(
            Assumptions!$F33="Last X day of month",
            IF(
              AND(
                WEEKDAY(M$7,2)&lt;=MATCH(Assumptions!$J33,{"Monday","Tuesday","Wednesday","Thursday","Friday"},0),
                WEEKDAY(M$8,2)&gt;=MATCH(Assumptions!$J33,{"Monday","Tuesday","Wednesday","Thursday","Friday"},0),
                (M$7+(MATCH(Assumptions!$J33,{"Monday","Tuesday","Wednesday","Thursday","Friday"},0)-WEEKDAY(M$7,2)))+7&gt;EOMONTH((M$7+(MATCH(Assumptions!$J33,{"Monday","Tuesday","Wednesday","Thursday","Friday"},0)-WEEKDAY(M$7,2))),0)
              ),
            "Yes","No"),
            IF(
              Assumptions!$F33="Weekly",
              IF(
                AND(
                  WEEKDAY(M$7,2)&lt;=MATCH(Assumptions!$J33,{"Monday","Tuesday","Wednesday","Thursday","Friday"},0),
                  WEEKDAY(M$8,2)&gt;=MATCH(Assumptions!$J33,{"Monday","Tuesday","Wednesday","Thursday","Friday"},0)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AND(Assumptions!$I33&gt;=M$7, Assumptions!$I33&lt;=M$8),
                    AND(
                      Assumptions!$I33&lt;M$7,
                      MOD(INT((M$7-(Assumptions!$I33-WEEKDAY(Assumptions!$I33,2)+1))/7),2)=0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AND(Assumptions!$I33&gt;=M$7, Assumptions!$I33&lt;=M$8),
                      AND(
                        Assumptions!$I33&lt;M$7,
                        MOD(INT((M$7-(Assumptions!$I33-WEEKDAY(Assumptions!$I33,2)+1))/7),3)=0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ISNUMBER(MATCH(MONTH(M$7),IF(Assumptions!$H33="Jan / Apr / Jul / Oct",{1,4,7,10},IF(Assumptions!$H33="Feb / May / Aug / Nov",{2,5,8,11},{3,6,9,12})),0)),
                          DATE(YEAR(M$7),MONTH(M$7),Assumptions!$G33)&gt;=M$7,
                          DATE(YEAR(M$7),MONTH(M$7),Assumptions!$G33)&lt;=M$8
                        ),
                        AND(
                          ISNUMBER(MATCH(MONTH(M$8),IF(Assumptions!$H33="Jan / Apr / Jul / Oct",{1,4,7,10},IF(Assumptions!$H33="Feb / May / Aug / Nov",{2,5,8,11},{3,6,9,12})),0)),
                          DATE(YEAR(M$8),MONTH(M$8),Assumptions!$G33)&gt;=M$7,
                          DATE(YEAR(M$8),MONTH(M$8),Assumptions!$G33)&lt;=M$8
                        )
                      ),
                    "Yes","No"),
                  "No")
                )
              )
            )
          )
        )
      )
    )
  )
)</f>
        <v>No</v>
      </c>
      <c r="N21" s="59" t="str">
        <f>IF(
  Assumptions!$K33="Off",
  "No",
  IF(
    Assumptions!$F33="I will phase manually",
    "No",
    IF(
      Assumptions!$F33="Last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Assumptions!$F33="End of month",
        IF(
          OR(
            AND(EOMONTH(N$7,0)&gt;=N$7, EOMONTH(N$7,0)&lt;=N$8),
            AND(EOMONTH(N$8,0)&gt;=N$7, EOMONTH(N$8,0)&lt;=N$8)
          ),
        "Yes","No"),
        IF(
          Assumptions!$F33="Specific day of month",
          IF(
            OR(
              AND(DATE(YEAR(N$7),MONTH(N$7),Assumptions!$G33)&gt;=N$7, DATE(YEAR(N$7),MONTH(N$7),Assumptions!$G33)&lt;=N$8),
              AND(DATE(YEAR(N$8),MONTH(N$8),Assumptions!$G33)&gt;=N$7, DATE(YEAR(N$8),MONTH(N$8),Assumptions!$G33)&lt;=N$8)
            ),
          "Yes","No"),
          IF(
            Assumptions!$F33="Last X day of month",
            IF(
              AND(
                WEEKDAY(N$7,2)&lt;=MATCH(Assumptions!$J33,{"Monday","Tuesday","Wednesday","Thursday","Friday"},0),
                WEEKDAY(N$8,2)&gt;=MATCH(Assumptions!$J33,{"Monday","Tuesday","Wednesday","Thursday","Friday"},0),
                (N$7+(MATCH(Assumptions!$J33,{"Monday","Tuesday","Wednesday","Thursday","Friday"},0)-WEEKDAY(N$7,2)))+7&gt;EOMONTH((N$7+(MATCH(Assumptions!$J33,{"Monday","Tuesday","Wednesday","Thursday","Friday"},0)-WEEKDAY(N$7,2))),0)
              ),
            "Yes","No"),
            IF(
              Assumptions!$F33="Weekly",
              IF(
                AND(
                  WEEKDAY(N$7,2)&lt;=MATCH(Assumptions!$J33,{"Monday","Tuesday","Wednesday","Thursday","Friday"},0),
                  WEEKDAY(N$8,2)&gt;=MATCH(Assumptions!$J33,{"Monday","Tuesday","Wednesday","Thursday","Friday"},0)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AND(Assumptions!$I33&gt;=N$7, Assumptions!$I33&lt;=N$8),
                    AND(
                      Assumptions!$I33&lt;N$7,
                      MOD(INT((N$7-(Assumptions!$I33-WEEKDAY(Assumptions!$I33,2)+1))/7),2)=0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AND(Assumptions!$I33&gt;=N$7, Assumptions!$I33&lt;=N$8),
                      AND(
                        Assumptions!$I33&lt;N$7,
                        MOD(INT((N$7-(Assumptions!$I33-WEEKDAY(Assumptions!$I33,2)+1))/7),3)=0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ISNUMBER(MATCH(MONTH(N$7),IF(Assumptions!$H33="Jan / Apr / Jul / Oct",{1,4,7,10},IF(Assumptions!$H33="Feb / May / Aug / Nov",{2,5,8,11},{3,6,9,12})),0)),
                          DATE(YEAR(N$7),MONTH(N$7),Assumptions!$G33)&gt;=N$7,
                          DATE(YEAR(N$7),MONTH(N$7),Assumptions!$G33)&lt;=N$8
                        ),
                        AND(
                          ISNUMBER(MATCH(MONTH(N$8),IF(Assumptions!$H33="Jan / Apr / Jul / Oct",{1,4,7,10},IF(Assumptions!$H33="Feb / May / Aug / Nov",{2,5,8,11},{3,6,9,12})),0)),
                          DATE(YEAR(N$8),MONTH(N$8),Assumptions!$G33)&gt;=N$7,
                          DATE(YEAR(N$8),MONTH(N$8),Assumptions!$G33)&lt;=N$8
                        )
                      ),
                    "Yes","No"),
                  "No")
                )
              )
            )
          )
        )
      )
    )
  )
)</f>
        <v>No</v>
      </c>
      <c r="O21" s="59" t="str">
        <f>IF(
  Assumptions!$K33="Off",
  "No",
  IF(
    Assumptions!$F33="I will phase manually",
    "No",
    IF(
      Assumptions!$F33="Last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Assumptions!$F33="End of month",
        IF(
          OR(
            AND(EOMONTH(O$7,0)&gt;=O$7, EOMONTH(O$7,0)&lt;=O$8),
            AND(EOMONTH(O$8,0)&gt;=O$7, EOMONTH(O$8,0)&lt;=O$8)
          ),
        "Yes","No"),
        IF(
          Assumptions!$F33="Specific day of month",
          IF(
            OR(
              AND(DATE(YEAR(O$7),MONTH(O$7),Assumptions!$G33)&gt;=O$7, DATE(YEAR(O$7),MONTH(O$7),Assumptions!$G33)&lt;=O$8),
              AND(DATE(YEAR(O$8),MONTH(O$8),Assumptions!$G33)&gt;=O$7, DATE(YEAR(O$8),MONTH(O$8),Assumptions!$G33)&lt;=O$8)
            ),
          "Yes","No"),
          IF(
            Assumptions!$F33="Last X day of month",
            IF(
              AND(
                WEEKDAY(O$7,2)&lt;=MATCH(Assumptions!$J33,{"Monday","Tuesday","Wednesday","Thursday","Friday"},0),
                WEEKDAY(O$8,2)&gt;=MATCH(Assumptions!$J33,{"Monday","Tuesday","Wednesday","Thursday","Friday"},0),
                (O$7+(MATCH(Assumptions!$J33,{"Monday","Tuesday","Wednesday","Thursday","Friday"},0)-WEEKDAY(O$7,2)))+7&gt;EOMONTH((O$7+(MATCH(Assumptions!$J33,{"Monday","Tuesday","Wednesday","Thursday","Friday"},0)-WEEKDAY(O$7,2))),0)
              ),
            "Yes","No"),
            IF(
              Assumptions!$F33="Weekly",
              IF(
                AND(
                  WEEKDAY(O$7,2)&lt;=MATCH(Assumptions!$J33,{"Monday","Tuesday","Wednesday","Thursday","Friday"},0),
                  WEEKDAY(O$8,2)&gt;=MATCH(Assumptions!$J33,{"Monday","Tuesday","Wednesday","Thursday","Friday"},0)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AND(Assumptions!$I33&gt;=O$7, Assumptions!$I33&lt;=O$8),
                    AND(
                      Assumptions!$I33&lt;O$7,
                      MOD(INT((O$7-(Assumptions!$I33-WEEKDAY(Assumptions!$I33,2)+1))/7),2)=0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AND(Assumptions!$I33&gt;=O$7, Assumptions!$I33&lt;=O$8),
                      AND(
                        Assumptions!$I33&lt;O$7,
                        MOD(INT((O$7-(Assumptions!$I33-WEEKDAY(Assumptions!$I33,2)+1))/7),3)=0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ISNUMBER(MATCH(MONTH(O$7),IF(Assumptions!$H33="Jan / Apr / Jul / Oct",{1,4,7,10},IF(Assumptions!$H33="Feb / May / Aug / Nov",{2,5,8,11},{3,6,9,12})),0)),
                          DATE(YEAR(O$7),MONTH(O$7),Assumptions!$G33)&gt;=O$7,
                          DATE(YEAR(O$7),MONTH(O$7),Assumptions!$G33)&lt;=O$8
                        ),
                        AND(
                          ISNUMBER(MATCH(MONTH(O$8),IF(Assumptions!$H33="Jan / Apr / Jul / Oct",{1,4,7,10},IF(Assumptions!$H33="Feb / May / Aug / Nov",{2,5,8,11},{3,6,9,12})),0)),
                          DATE(YEAR(O$8),MONTH(O$8),Assumptions!$G33)&gt;=O$7,
                          DATE(YEAR(O$8),MONTH(O$8),Assumptions!$G33)&lt;=O$8
                        )
                      ),
                    "Yes","No"),
                  "No")
                )
              )
            )
          )
        )
      )
    )
  )
)</f>
        <v>No</v>
      </c>
      <c r="P21" s="59" t="str">
        <f>IF(
  Assumptions!$K33="Off",
  "No",
  IF(
    Assumptions!$F33="I will phase manually",
    "No",
    IF(
      Assumptions!$F33="Last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Assumptions!$F33="End of month",
        IF(
          OR(
            AND(EOMONTH(P$7,0)&gt;=P$7, EOMONTH(P$7,0)&lt;=P$8),
            AND(EOMONTH(P$8,0)&gt;=P$7, EOMONTH(P$8,0)&lt;=P$8)
          ),
        "Yes","No"),
        IF(
          Assumptions!$F33="Specific day of month",
          IF(
            OR(
              AND(DATE(YEAR(P$7),MONTH(P$7),Assumptions!$G33)&gt;=P$7, DATE(YEAR(P$7),MONTH(P$7),Assumptions!$G33)&lt;=P$8),
              AND(DATE(YEAR(P$8),MONTH(P$8),Assumptions!$G33)&gt;=P$7, DATE(YEAR(P$8),MONTH(P$8),Assumptions!$G33)&lt;=P$8)
            ),
          "Yes","No"),
          IF(
            Assumptions!$F33="Last X day of month",
            IF(
              AND(
                WEEKDAY(P$7,2)&lt;=MATCH(Assumptions!$J33,{"Monday","Tuesday","Wednesday","Thursday","Friday"},0),
                WEEKDAY(P$8,2)&gt;=MATCH(Assumptions!$J33,{"Monday","Tuesday","Wednesday","Thursday","Friday"},0),
                (P$7+(MATCH(Assumptions!$J33,{"Monday","Tuesday","Wednesday","Thursday","Friday"},0)-WEEKDAY(P$7,2)))+7&gt;EOMONTH((P$7+(MATCH(Assumptions!$J33,{"Monday","Tuesday","Wednesday","Thursday","Friday"},0)-WEEKDAY(P$7,2))),0)
              ),
            "Yes","No"),
            IF(
              Assumptions!$F33="Weekly",
              IF(
                AND(
                  WEEKDAY(P$7,2)&lt;=MATCH(Assumptions!$J33,{"Monday","Tuesday","Wednesday","Thursday","Friday"},0),
                  WEEKDAY(P$8,2)&gt;=MATCH(Assumptions!$J33,{"Monday","Tuesday","Wednesday","Thursday","Friday"},0)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AND(Assumptions!$I33&gt;=P$7, Assumptions!$I33&lt;=P$8),
                    AND(
                      Assumptions!$I33&lt;P$7,
                      MOD(INT((P$7-(Assumptions!$I33-WEEKDAY(Assumptions!$I33,2)+1))/7),2)=0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AND(Assumptions!$I33&gt;=P$7, Assumptions!$I33&lt;=P$8),
                      AND(
                        Assumptions!$I33&lt;P$7,
                        MOD(INT((P$7-(Assumptions!$I33-WEEKDAY(Assumptions!$I33,2)+1))/7),3)=0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ISNUMBER(MATCH(MONTH(P$7),IF(Assumptions!$H33="Jan / Apr / Jul / Oct",{1,4,7,10},IF(Assumptions!$H33="Feb / May / Aug / Nov",{2,5,8,11},{3,6,9,12})),0)),
                          DATE(YEAR(P$7),MONTH(P$7),Assumptions!$G33)&gt;=P$7,
                          DATE(YEAR(P$7),MONTH(P$7),Assumptions!$G33)&lt;=P$8
                        ),
                        AND(
                          ISNUMBER(MATCH(MONTH(P$8),IF(Assumptions!$H33="Jan / Apr / Jul / Oct",{1,4,7,10},IF(Assumptions!$H33="Feb / May / Aug / Nov",{2,5,8,11},{3,6,9,12})),0)),
                          DATE(YEAR(P$8),MONTH(P$8),Assumptions!$G33)&gt;=P$7,
                          DATE(YEAR(P$8),MONTH(P$8),Assumptions!$G33)&lt;=P$8
                        )
                      ),
                    "Yes","No"),
                  "No")
                )
              )
            )
          )
        )
      )
    )
  )
)</f>
        <v>No</v>
      </c>
      <c r="Q21" s="59" t="str">
        <f>IF(
  Assumptions!$K33="Off",
  "No",
  IF(
    Assumptions!$F33="I will phase manually",
    "No",
    IF(
      Assumptions!$F33="Last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Assumptions!$F33="End of month",
        IF(
          OR(
            AND(EOMONTH(Q$7,0)&gt;=Q$7, EOMONTH(Q$7,0)&lt;=Q$8),
            AND(EOMONTH(Q$8,0)&gt;=Q$7, EOMONTH(Q$8,0)&lt;=Q$8)
          ),
        "Yes","No"),
        IF(
          Assumptions!$F33="Specific day of month",
          IF(
            OR(
              AND(DATE(YEAR(Q$7),MONTH(Q$7),Assumptions!$G33)&gt;=Q$7, DATE(YEAR(Q$7),MONTH(Q$7),Assumptions!$G33)&lt;=Q$8),
              AND(DATE(YEAR(Q$8),MONTH(Q$8),Assumptions!$G33)&gt;=Q$7, DATE(YEAR(Q$8),MONTH(Q$8),Assumptions!$G33)&lt;=Q$8)
            ),
          "Yes","No"),
          IF(
            Assumptions!$F33="Last X day of month",
            IF(
              AND(
                WEEKDAY(Q$7,2)&lt;=MATCH(Assumptions!$J33,{"Monday","Tuesday","Wednesday","Thursday","Friday"},0),
                WEEKDAY(Q$8,2)&gt;=MATCH(Assumptions!$J33,{"Monday","Tuesday","Wednesday","Thursday","Friday"},0),
                (Q$7+(MATCH(Assumptions!$J33,{"Monday","Tuesday","Wednesday","Thursday","Friday"},0)-WEEKDAY(Q$7,2)))+7&gt;EOMONTH((Q$7+(MATCH(Assumptions!$J33,{"Monday","Tuesday","Wednesday","Thursday","Friday"},0)-WEEKDAY(Q$7,2))),0)
              ),
            "Yes","No"),
            IF(
              Assumptions!$F33="Weekly",
              IF(
                AND(
                  WEEKDAY(Q$7,2)&lt;=MATCH(Assumptions!$J33,{"Monday","Tuesday","Wednesday","Thursday","Friday"},0),
                  WEEKDAY(Q$8,2)&gt;=MATCH(Assumptions!$J33,{"Monday","Tuesday","Wednesday","Thursday","Friday"},0)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AND(Assumptions!$I33&gt;=Q$7, Assumptions!$I33&lt;=Q$8),
                    AND(
                      Assumptions!$I33&lt;Q$7,
                      MOD(INT((Q$7-(Assumptions!$I33-WEEKDAY(Assumptions!$I33,2)+1))/7),2)=0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AND(Assumptions!$I33&gt;=Q$7, Assumptions!$I33&lt;=Q$8),
                      AND(
                        Assumptions!$I33&lt;Q$7,
                        MOD(INT((Q$7-(Assumptions!$I33-WEEKDAY(Assumptions!$I33,2)+1))/7),3)=0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ISNUMBER(MATCH(MONTH(Q$7),IF(Assumptions!$H33="Jan / Apr / Jul / Oct",{1,4,7,10},IF(Assumptions!$H33="Feb / May / Aug / Nov",{2,5,8,11},{3,6,9,12})),0)),
                          DATE(YEAR(Q$7),MONTH(Q$7),Assumptions!$G33)&gt;=Q$7,
                          DATE(YEAR(Q$7),MONTH(Q$7),Assumptions!$G33)&lt;=Q$8
                        ),
                        AND(
                          ISNUMBER(MATCH(MONTH(Q$8),IF(Assumptions!$H33="Jan / Apr / Jul / Oct",{1,4,7,10},IF(Assumptions!$H33="Feb / May / Aug / Nov",{2,5,8,11},{3,6,9,12})),0)),
                          DATE(YEAR(Q$8),MONTH(Q$8),Assumptions!$G33)&gt;=Q$7,
                          DATE(YEAR(Q$8),MONTH(Q$8),Assumptions!$G33)&lt;=Q$8
                        )
                      ),
                    "Yes","No"),
                  "No")
                )
              )
            )
          )
        )
      )
    )
  )
)</f>
        <v>No</v>
      </c>
      <c r="R21" s="59" t="str">
        <f>IF(
  Assumptions!$K33="Off",
  "No",
  IF(
    Assumptions!$F33="I will phase manually",
    "No",
    IF(
      Assumptions!$F33="Last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Assumptions!$F33="End of month",
        IF(
          OR(
            AND(EOMONTH(R$7,0)&gt;=R$7, EOMONTH(R$7,0)&lt;=R$8),
            AND(EOMONTH(R$8,0)&gt;=R$7, EOMONTH(R$8,0)&lt;=R$8)
          ),
        "Yes","No"),
        IF(
          Assumptions!$F33="Specific day of month",
          IF(
            OR(
              AND(DATE(YEAR(R$7),MONTH(R$7),Assumptions!$G33)&gt;=R$7, DATE(YEAR(R$7),MONTH(R$7),Assumptions!$G33)&lt;=R$8),
              AND(DATE(YEAR(R$8),MONTH(R$8),Assumptions!$G33)&gt;=R$7, DATE(YEAR(R$8),MONTH(R$8),Assumptions!$G33)&lt;=R$8)
            ),
          "Yes","No"),
          IF(
            Assumptions!$F33="Last X day of month",
            IF(
              AND(
                WEEKDAY(R$7,2)&lt;=MATCH(Assumptions!$J33,{"Monday","Tuesday","Wednesday","Thursday","Friday"},0),
                WEEKDAY(R$8,2)&gt;=MATCH(Assumptions!$J33,{"Monday","Tuesday","Wednesday","Thursday","Friday"},0),
                (R$7+(MATCH(Assumptions!$J33,{"Monday","Tuesday","Wednesday","Thursday","Friday"},0)-WEEKDAY(R$7,2)))+7&gt;EOMONTH((R$7+(MATCH(Assumptions!$J33,{"Monday","Tuesday","Wednesday","Thursday","Friday"},0)-WEEKDAY(R$7,2))),0)
              ),
            "Yes","No"),
            IF(
              Assumptions!$F33="Weekly",
              IF(
                AND(
                  WEEKDAY(R$7,2)&lt;=MATCH(Assumptions!$J33,{"Monday","Tuesday","Wednesday","Thursday","Friday"},0),
                  WEEKDAY(R$8,2)&gt;=MATCH(Assumptions!$J33,{"Monday","Tuesday","Wednesday","Thursday","Friday"},0)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AND(Assumptions!$I33&gt;=R$7, Assumptions!$I33&lt;=R$8),
                    AND(
                      Assumptions!$I33&lt;R$7,
                      MOD(INT((R$7-(Assumptions!$I33-WEEKDAY(Assumptions!$I33,2)+1))/7),2)=0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AND(Assumptions!$I33&gt;=R$7, Assumptions!$I33&lt;=R$8),
                      AND(
                        Assumptions!$I33&lt;R$7,
                        MOD(INT((R$7-(Assumptions!$I33-WEEKDAY(Assumptions!$I33,2)+1))/7),3)=0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ISNUMBER(MATCH(MONTH(R$7),IF(Assumptions!$H33="Jan / Apr / Jul / Oct",{1,4,7,10},IF(Assumptions!$H33="Feb / May / Aug / Nov",{2,5,8,11},{3,6,9,12})),0)),
                          DATE(YEAR(R$7),MONTH(R$7),Assumptions!$G33)&gt;=R$7,
                          DATE(YEAR(R$7),MONTH(R$7),Assumptions!$G33)&lt;=R$8
                        ),
                        AND(
                          ISNUMBER(MATCH(MONTH(R$8),IF(Assumptions!$H33="Jan / Apr / Jul / Oct",{1,4,7,10},IF(Assumptions!$H33="Feb / May / Aug / Nov",{2,5,8,11},{3,6,9,12})),0)),
                          DATE(YEAR(R$8),MONTH(R$8),Assumptions!$G33)&gt;=R$7,
                          DATE(YEAR(R$8),MONTH(R$8),Assumptions!$G33)&lt;=R$8
                        )
                      ),
                    "Yes","No"),
                  "No")
                )
              )
            )
          )
        )
      )
    )
  )
)</f>
        <v>No</v>
      </c>
      <c r="S21" s="59" t="str">
        <f>IF(
  Assumptions!$K33="Off",
  "No",
  IF(
    Assumptions!$F33="I will phase manually",
    "No",
    IF(
      Assumptions!$F33="Last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Assumptions!$F33="End of month",
        IF(
          OR(
            AND(EOMONTH(S$7,0)&gt;=S$7, EOMONTH(S$7,0)&lt;=S$8),
            AND(EOMONTH(S$8,0)&gt;=S$7, EOMONTH(S$8,0)&lt;=S$8)
          ),
        "Yes","No"),
        IF(
          Assumptions!$F33="Specific day of month",
          IF(
            OR(
              AND(DATE(YEAR(S$7),MONTH(S$7),Assumptions!$G33)&gt;=S$7, DATE(YEAR(S$7),MONTH(S$7),Assumptions!$G33)&lt;=S$8),
              AND(DATE(YEAR(S$8),MONTH(S$8),Assumptions!$G33)&gt;=S$7, DATE(YEAR(S$8),MONTH(S$8),Assumptions!$G33)&lt;=S$8)
            ),
          "Yes","No"),
          IF(
            Assumptions!$F33="Last X day of month",
            IF(
              AND(
                WEEKDAY(S$7,2)&lt;=MATCH(Assumptions!$J33,{"Monday","Tuesday","Wednesday","Thursday","Friday"},0),
                WEEKDAY(S$8,2)&gt;=MATCH(Assumptions!$J33,{"Monday","Tuesday","Wednesday","Thursday","Friday"},0),
                (S$7+(MATCH(Assumptions!$J33,{"Monday","Tuesday","Wednesday","Thursday","Friday"},0)-WEEKDAY(S$7,2)))+7&gt;EOMONTH((S$7+(MATCH(Assumptions!$J33,{"Monday","Tuesday","Wednesday","Thursday","Friday"},0)-WEEKDAY(S$7,2))),0)
              ),
            "Yes","No"),
            IF(
              Assumptions!$F33="Weekly",
              IF(
                AND(
                  WEEKDAY(S$7,2)&lt;=MATCH(Assumptions!$J33,{"Monday","Tuesday","Wednesday","Thursday","Friday"},0),
                  WEEKDAY(S$8,2)&gt;=MATCH(Assumptions!$J33,{"Monday","Tuesday","Wednesday","Thursday","Friday"},0)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AND(Assumptions!$I33&gt;=S$7, Assumptions!$I33&lt;=S$8),
                    AND(
                      Assumptions!$I33&lt;S$7,
                      MOD(INT((S$7-(Assumptions!$I33-WEEKDAY(Assumptions!$I33,2)+1))/7),2)=0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AND(Assumptions!$I33&gt;=S$7, Assumptions!$I33&lt;=S$8),
                      AND(
                        Assumptions!$I33&lt;S$7,
                        MOD(INT((S$7-(Assumptions!$I33-WEEKDAY(Assumptions!$I33,2)+1))/7),3)=0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ISNUMBER(MATCH(MONTH(S$7),IF(Assumptions!$H33="Jan / Apr / Jul / Oct",{1,4,7,10},IF(Assumptions!$H33="Feb / May / Aug / Nov",{2,5,8,11},{3,6,9,12})),0)),
                          DATE(YEAR(S$7),MONTH(S$7),Assumptions!$G33)&gt;=S$7,
                          DATE(YEAR(S$7),MONTH(S$7),Assumptions!$G33)&lt;=S$8
                        ),
                        AND(
                          ISNUMBER(MATCH(MONTH(S$8),IF(Assumptions!$H33="Jan / Apr / Jul / Oct",{1,4,7,10},IF(Assumptions!$H33="Feb / May / Aug / Nov",{2,5,8,11},{3,6,9,12})),0)),
                          DATE(YEAR(S$8),MONTH(S$8),Assumptions!$G33)&gt;=S$7,
                          DATE(YEAR(S$8),MONTH(S$8),Assumptions!$G33)&lt;=S$8
                        )
                      ),
                    "Yes","No"),
                  "No")
                )
              )
            )
          )
        )
      )
    )
  )
)</f>
        <v>No</v>
      </c>
      <c r="T21" s="59" t="s">
        <v>124</v>
      </c>
    </row>
    <row r="22" spans="3:20" hidden="1" outlineLevel="1" x14ac:dyDescent="0.25">
      <c r="C22" s="58">
        <f>Assumptions!D34</f>
        <v>0</v>
      </c>
      <c r="D22" s="58"/>
      <c r="E22" s="58"/>
      <c r="F22" s="58"/>
      <c r="G22" s="59" t="str">
        <f>IF(
  Assumptions!$K34="Off",
  "No",
  IF(
    Assumptions!$F34="I will phase manually",
    "No",
    IF(
      Assumptions!$F34="Last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Assumptions!$F34="End of month",
        IF(
          OR(
            AND(EOMONTH(G$7,0)&gt;=G$7, EOMONTH(G$7,0)&lt;=G$8),
            AND(EOMONTH(G$8,0)&gt;=G$7, EOMONTH(G$8,0)&lt;=G$8)
          ),
        "Yes","No"),
        IF(
          Assumptions!$F34="Specific day of month",
          IF(
            OR(
              AND(DATE(YEAR(G$7),MONTH(G$7),Assumptions!$G34)&gt;=G$7, DATE(YEAR(G$7),MONTH(G$7),Assumptions!$G34)&lt;=G$8),
              AND(DATE(YEAR(G$8),MONTH(G$8),Assumptions!$G34)&gt;=G$7, DATE(YEAR(G$8),MONTH(G$8),Assumptions!$G34)&lt;=G$8)
            ),
          "Yes","No"),
          IF(
            Assumptions!$F34="Last X day of month",
            IF(
              AND(
                WEEKDAY(G$7,2)&lt;=MATCH(Assumptions!$J34,{"Monday","Tuesday","Wednesday","Thursday","Friday"},0),
                WEEKDAY(G$8,2)&gt;=MATCH(Assumptions!$J34,{"Monday","Tuesday","Wednesday","Thursday","Friday"},0),
                (G$7+(MATCH(Assumptions!$J34,{"Monday","Tuesday","Wednesday","Thursday","Friday"},0)-WEEKDAY(G$7,2)))+7&gt;EOMONTH((G$7+(MATCH(Assumptions!$J34,{"Monday","Tuesday","Wednesday","Thursday","Friday"},0)-WEEKDAY(G$7,2))),0)
              ),
            "Yes","No"),
            IF(
              Assumptions!$F34="Weekly",
              IF(
                AND(
                  WEEKDAY(G$7,2)&lt;=MATCH(Assumptions!$J34,{"Monday","Tuesday","Wednesday","Thursday","Friday"},0),
                  WEEKDAY(G$8,2)&gt;=MATCH(Assumptions!$J34,{"Monday","Tuesday","Wednesday","Thursday","Friday"},0)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AND(Assumptions!$I34&gt;=G$7, Assumptions!$I34&lt;=G$8),
                    AND(
                      Assumptions!$I34&lt;G$7,
                      MOD(INT((G$7-(Assumptions!$I34-WEEKDAY(Assumptions!$I34,2)+1))/7),2)=0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AND(Assumptions!$I34&gt;=G$7, Assumptions!$I34&lt;=G$8),
                      AND(
                        Assumptions!$I34&lt;G$7,
                        MOD(INT((G$7-(Assumptions!$I34-WEEKDAY(Assumptions!$I34,2)+1))/7),3)=0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ISNUMBER(MATCH(MONTH(G$7),IF(Assumptions!$H34="Jan / Apr / Jul / Oct",{1,4,7,10},IF(Assumptions!$H34="Feb / May / Aug / Nov",{2,5,8,11},{3,6,9,12})),0)),
                          DATE(YEAR(G$7),MONTH(G$7),Assumptions!$G34)&gt;=G$7,
                          DATE(YEAR(G$7),MONTH(G$7),Assumptions!$G34)&lt;=G$8
                        ),
                        AND(
                          ISNUMBER(MATCH(MONTH(G$8),IF(Assumptions!$H34="Jan / Apr / Jul / Oct",{1,4,7,10},IF(Assumptions!$H34="Feb / May / Aug / Nov",{2,5,8,11},{3,6,9,12})),0)),
                          DATE(YEAR(G$8),MONTH(G$8),Assumptions!$G34)&gt;=G$7,
                          DATE(YEAR(G$8),MONTH(G$8),Assumptions!$G34)&lt;=G$8
                        )
                      ),
                    "Yes","No"),
                  "No")
                )
              )
            )
          )
        )
      )
    )
  )
)</f>
        <v>No</v>
      </c>
      <c r="H22" s="59" t="str">
        <f>IF(
  Assumptions!$K34="Off",
  "No",
  IF(
    Assumptions!$F34="I will phase manually",
    "No",
    IF(
      Assumptions!$F34="Last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Assumptions!$F34="End of month",
        IF(
          OR(
            AND(EOMONTH(H$7,0)&gt;=H$7, EOMONTH(H$7,0)&lt;=H$8),
            AND(EOMONTH(H$8,0)&gt;=H$7, EOMONTH(H$8,0)&lt;=H$8)
          ),
        "Yes","No"),
        IF(
          Assumptions!$F34="Specific day of month",
          IF(
            OR(
              AND(DATE(YEAR(H$7),MONTH(H$7),Assumptions!$G34)&gt;=H$7, DATE(YEAR(H$7),MONTH(H$7),Assumptions!$G34)&lt;=H$8),
              AND(DATE(YEAR(H$8),MONTH(H$8),Assumptions!$G34)&gt;=H$7, DATE(YEAR(H$8),MONTH(H$8),Assumptions!$G34)&lt;=H$8)
            ),
          "Yes","No"),
          IF(
            Assumptions!$F34="Last X day of month",
            IF(
              AND(
                WEEKDAY(H$7,2)&lt;=MATCH(Assumptions!$J34,{"Monday","Tuesday","Wednesday","Thursday","Friday"},0),
                WEEKDAY(H$8,2)&gt;=MATCH(Assumptions!$J34,{"Monday","Tuesday","Wednesday","Thursday","Friday"},0),
                (H$7+(MATCH(Assumptions!$J34,{"Monday","Tuesday","Wednesday","Thursday","Friday"},0)-WEEKDAY(H$7,2)))+7&gt;EOMONTH((H$7+(MATCH(Assumptions!$J34,{"Monday","Tuesday","Wednesday","Thursday","Friday"},0)-WEEKDAY(H$7,2))),0)
              ),
            "Yes","No"),
            IF(
              Assumptions!$F34="Weekly",
              IF(
                AND(
                  WEEKDAY(H$7,2)&lt;=MATCH(Assumptions!$J34,{"Monday","Tuesday","Wednesday","Thursday","Friday"},0),
                  WEEKDAY(H$8,2)&gt;=MATCH(Assumptions!$J34,{"Monday","Tuesday","Wednesday","Thursday","Friday"},0)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AND(Assumptions!$I34&gt;=H$7, Assumptions!$I34&lt;=H$8),
                    AND(
                      Assumptions!$I34&lt;H$7,
                      MOD(INT((H$7-(Assumptions!$I34-WEEKDAY(Assumptions!$I34,2)+1))/7),2)=0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AND(Assumptions!$I34&gt;=H$7, Assumptions!$I34&lt;=H$8),
                      AND(
                        Assumptions!$I34&lt;H$7,
                        MOD(INT((H$7-(Assumptions!$I34-WEEKDAY(Assumptions!$I34,2)+1))/7),3)=0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ISNUMBER(MATCH(MONTH(H$7),IF(Assumptions!$H34="Jan / Apr / Jul / Oct",{1,4,7,10},IF(Assumptions!$H34="Feb / May / Aug / Nov",{2,5,8,11},{3,6,9,12})),0)),
                          DATE(YEAR(H$7),MONTH(H$7),Assumptions!$G34)&gt;=H$7,
                          DATE(YEAR(H$7),MONTH(H$7),Assumptions!$G34)&lt;=H$8
                        ),
                        AND(
                          ISNUMBER(MATCH(MONTH(H$8),IF(Assumptions!$H34="Jan / Apr / Jul / Oct",{1,4,7,10},IF(Assumptions!$H34="Feb / May / Aug / Nov",{2,5,8,11},{3,6,9,12})),0)),
                          DATE(YEAR(H$8),MONTH(H$8),Assumptions!$G34)&gt;=H$7,
                          DATE(YEAR(H$8),MONTH(H$8),Assumptions!$G34)&lt;=H$8
                        )
                      ),
                    "Yes","No"),
                  "No")
                )
              )
            )
          )
        )
      )
    )
  )
)</f>
        <v>No</v>
      </c>
      <c r="I22" s="59" t="str">
        <f>IF(
  Assumptions!$K34="Off",
  "No",
  IF(
    Assumptions!$F34="I will phase manually",
    "No",
    IF(
      Assumptions!$F34="Last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Assumptions!$F34="End of month",
        IF(
          OR(
            AND(EOMONTH(I$7,0)&gt;=I$7, EOMONTH(I$7,0)&lt;=I$8),
            AND(EOMONTH(I$8,0)&gt;=I$7, EOMONTH(I$8,0)&lt;=I$8)
          ),
        "Yes","No"),
        IF(
          Assumptions!$F34="Specific day of month",
          IF(
            OR(
              AND(DATE(YEAR(I$7),MONTH(I$7),Assumptions!$G34)&gt;=I$7, DATE(YEAR(I$7),MONTH(I$7),Assumptions!$G34)&lt;=I$8),
              AND(DATE(YEAR(I$8),MONTH(I$8),Assumptions!$G34)&gt;=I$7, DATE(YEAR(I$8),MONTH(I$8),Assumptions!$G34)&lt;=I$8)
            ),
          "Yes","No"),
          IF(
            Assumptions!$F34="Last X day of month",
            IF(
              AND(
                WEEKDAY(I$7,2)&lt;=MATCH(Assumptions!$J34,{"Monday","Tuesday","Wednesday","Thursday","Friday"},0),
                WEEKDAY(I$8,2)&gt;=MATCH(Assumptions!$J34,{"Monday","Tuesday","Wednesday","Thursday","Friday"},0),
                (I$7+(MATCH(Assumptions!$J34,{"Monday","Tuesday","Wednesday","Thursday","Friday"},0)-WEEKDAY(I$7,2)))+7&gt;EOMONTH((I$7+(MATCH(Assumptions!$J34,{"Monday","Tuesday","Wednesday","Thursday","Friday"},0)-WEEKDAY(I$7,2))),0)
              ),
            "Yes","No"),
            IF(
              Assumptions!$F34="Weekly",
              IF(
                AND(
                  WEEKDAY(I$7,2)&lt;=MATCH(Assumptions!$J34,{"Monday","Tuesday","Wednesday","Thursday","Friday"},0),
                  WEEKDAY(I$8,2)&gt;=MATCH(Assumptions!$J34,{"Monday","Tuesday","Wednesday","Thursday","Friday"},0)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AND(Assumptions!$I34&gt;=I$7, Assumptions!$I34&lt;=I$8),
                    AND(
                      Assumptions!$I34&lt;I$7,
                      MOD(INT((I$7-(Assumptions!$I34-WEEKDAY(Assumptions!$I34,2)+1))/7),2)=0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AND(Assumptions!$I34&gt;=I$7, Assumptions!$I34&lt;=I$8),
                      AND(
                        Assumptions!$I34&lt;I$7,
                        MOD(INT((I$7-(Assumptions!$I34-WEEKDAY(Assumptions!$I34,2)+1))/7),3)=0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ISNUMBER(MATCH(MONTH(I$7),IF(Assumptions!$H34="Jan / Apr / Jul / Oct",{1,4,7,10},IF(Assumptions!$H34="Feb / May / Aug / Nov",{2,5,8,11},{3,6,9,12})),0)),
                          DATE(YEAR(I$7),MONTH(I$7),Assumptions!$G34)&gt;=I$7,
                          DATE(YEAR(I$7),MONTH(I$7),Assumptions!$G34)&lt;=I$8
                        ),
                        AND(
                          ISNUMBER(MATCH(MONTH(I$8),IF(Assumptions!$H34="Jan / Apr / Jul / Oct",{1,4,7,10},IF(Assumptions!$H34="Feb / May / Aug / Nov",{2,5,8,11},{3,6,9,12})),0)),
                          DATE(YEAR(I$8),MONTH(I$8),Assumptions!$G34)&gt;=I$7,
                          DATE(YEAR(I$8),MONTH(I$8),Assumptions!$G34)&lt;=I$8
                        )
                      ),
                    "Yes","No"),
                  "No")
                )
              )
            )
          )
        )
      )
    )
  )
)</f>
        <v>No</v>
      </c>
      <c r="J22" s="59" t="str">
        <f>IF(
  Assumptions!$K34="Off",
  "No",
  IF(
    Assumptions!$F34="I will phase manually",
    "No",
    IF(
      Assumptions!$F34="Last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Assumptions!$F34="End of month",
        IF(
          OR(
            AND(EOMONTH(J$7,0)&gt;=J$7, EOMONTH(J$7,0)&lt;=J$8),
            AND(EOMONTH(J$8,0)&gt;=J$7, EOMONTH(J$8,0)&lt;=J$8)
          ),
        "Yes","No"),
        IF(
          Assumptions!$F34="Specific day of month",
          IF(
            OR(
              AND(DATE(YEAR(J$7),MONTH(J$7),Assumptions!$G34)&gt;=J$7, DATE(YEAR(J$7),MONTH(J$7),Assumptions!$G34)&lt;=J$8),
              AND(DATE(YEAR(J$8),MONTH(J$8),Assumptions!$G34)&gt;=J$7, DATE(YEAR(J$8),MONTH(J$8),Assumptions!$G34)&lt;=J$8)
            ),
          "Yes","No"),
          IF(
            Assumptions!$F34="Last X day of month",
            IF(
              AND(
                WEEKDAY(J$7,2)&lt;=MATCH(Assumptions!$J34,{"Monday","Tuesday","Wednesday","Thursday","Friday"},0),
                WEEKDAY(J$8,2)&gt;=MATCH(Assumptions!$J34,{"Monday","Tuesday","Wednesday","Thursday","Friday"},0),
                (J$7+(MATCH(Assumptions!$J34,{"Monday","Tuesday","Wednesday","Thursday","Friday"},0)-WEEKDAY(J$7,2)))+7&gt;EOMONTH((J$7+(MATCH(Assumptions!$J34,{"Monday","Tuesday","Wednesday","Thursday","Friday"},0)-WEEKDAY(J$7,2))),0)
              ),
            "Yes","No"),
            IF(
              Assumptions!$F34="Weekly",
              IF(
                AND(
                  WEEKDAY(J$7,2)&lt;=MATCH(Assumptions!$J34,{"Monday","Tuesday","Wednesday","Thursday","Friday"},0),
                  WEEKDAY(J$8,2)&gt;=MATCH(Assumptions!$J34,{"Monday","Tuesday","Wednesday","Thursday","Friday"},0)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AND(Assumptions!$I34&gt;=J$7, Assumptions!$I34&lt;=J$8),
                    AND(
                      Assumptions!$I34&lt;J$7,
                      MOD(INT((J$7-(Assumptions!$I34-WEEKDAY(Assumptions!$I34,2)+1))/7),2)=0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AND(Assumptions!$I34&gt;=J$7, Assumptions!$I34&lt;=J$8),
                      AND(
                        Assumptions!$I34&lt;J$7,
                        MOD(INT((J$7-(Assumptions!$I34-WEEKDAY(Assumptions!$I34,2)+1))/7),3)=0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ISNUMBER(MATCH(MONTH(J$7),IF(Assumptions!$H34="Jan / Apr / Jul / Oct",{1,4,7,10},IF(Assumptions!$H34="Feb / May / Aug / Nov",{2,5,8,11},{3,6,9,12})),0)),
                          DATE(YEAR(J$7),MONTH(J$7),Assumptions!$G34)&gt;=J$7,
                          DATE(YEAR(J$7),MONTH(J$7),Assumptions!$G34)&lt;=J$8
                        ),
                        AND(
                          ISNUMBER(MATCH(MONTH(J$8),IF(Assumptions!$H34="Jan / Apr / Jul / Oct",{1,4,7,10},IF(Assumptions!$H34="Feb / May / Aug / Nov",{2,5,8,11},{3,6,9,12})),0)),
                          DATE(YEAR(J$8),MONTH(J$8),Assumptions!$G34)&gt;=J$7,
                          DATE(YEAR(J$8),MONTH(J$8),Assumptions!$G34)&lt;=J$8
                        )
                      ),
                    "Yes","No"),
                  "No")
                )
              )
            )
          )
        )
      )
    )
  )
)</f>
        <v>No</v>
      </c>
      <c r="K22" s="59" t="str">
        <f>IF(
  Assumptions!$K34="Off",
  "No",
  IF(
    Assumptions!$F34="I will phase manually",
    "No",
    IF(
      Assumptions!$F34="Last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Assumptions!$F34="End of month",
        IF(
          OR(
            AND(EOMONTH(K$7,0)&gt;=K$7, EOMONTH(K$7,0)&lt;=K$8),
            AND(EOMONTH(K$8,0)&gt;=K$7, EOMONTH(K$8,0)&lt;=K$8)
          ),
        "Yes","No"),
        IF(
          Assumptions!$F34="Specific day of month",
          IF(
            OR(
              AND(DATE(YEAR(K$7),MONTH(K$7),Assumptions!$G34)&gt;=K$7, DATE(YEAR(K$7),MONTH(K$7),Assumptions!$G34)&lt;=K$8),
              AND(DATE(YEAR(K$8),MONTH(K$8),Assumptions!$G34)&gt;=K$7, DATE(YEAR(K$8),MONTH(K$8),Assumptions!$G34)&lt;=K$8)
            ),
          "Yes","No"),
          IF(
            Assumptions!$F34="Last X day of month",
            IF(
              AND(
                WEEKDAY(K$7,2)&lt;=MATCH(Assumptions!$J34,{"Monday","Tuesday","Wednesday","Thursday","Friday"},0),
                WEEKDAY(K$8,2)&gt;=MATCH(Assumptions!$J34,{"Monday","Tuesday","Wednesday","Thursday","Friday"},0),
                (K$7+(MATCH(Assumptions!$J34,{"Monday","Tuesday","Wednesday","Thursday","Friday"},0)-WEEKDAY(K$7,2)))+7&gt;EOMONTH((K$7+(MATCH(Assumptions!$J34,{"Monday","Tuesday","Wednesday","Thursday","Friday"},0)-WEEKDAY(K$7,2))),0)
              ),
            "Yes","No"),
            IF(
              Assumptions!$F34="Weekly",
              IF(
                AND(
                  WEEKDAY(K$7,2)&lt;=MATCH(Assumptions!$J34,{"Monday","Tuesday","Wednesday","Thursday","Friday"},0),
                  WEEKDAY(K$8,2)&gt;=MATCH(Assumptions!$J34,{"Monday","Tuesday","Wednesday","Thursday","Friday"},0)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AND(Assumptions!$I34&gt;=K$7, Assumptions!$I34&lt;=K$8),
                    AND(
                      Assumptions!$I34&lt;K$7,
                      MOD(INT((K$7-(Assumptions!$I34-WEEKDAY(Assumptions!$I34,2)+1))/7),2)=0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AND(Assumptions!$I34&gt;=K$7, Assumptions!$I34&lt;=K$8),
                      AND(
                        Assumptions!$I34&lt;K$7,
                        MOD(INT((K$7-(Assumptions!$I34-WEEKDAY(Assumptions!$I34,2)+1))/7),3)=0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ISNUMBER(MATCH(MONTH(K$7),IF(Assumptions!$H34="Jan / Apr / Jul / Oct",{1,4,7,10},IF(Assumptions!$H34="Feb / May / Aug / Nov",{2,5,8,11},{3,6,9,12})),0)),
                          DATE(YEAR(K$7),MONTH(K$7),Assumptions!$G34)&gt;=K$7,
                          DATE(YEAR(K$7),MONTH(K$7),Assumptions!$G34)&lt;=K$8
                        ),
                        AND(
                          ISNUMBER(MATCH(MONTH(K$8),IF(Assumptions!$H34="Jan / Apr / Jul / Oct",{1,4,7,10},IF(Assumptions!$H34="Feb / May / Aug / Nov",{2,5,8,11},{3,6,9,12})),0)),
                          DATE(YEAR(K$8),MONTH(K$8),Assumptions!$G34)&gt;=K$7,
                          DATE(YEAR(K$8),MONTH(K$8),Assumptions!$G34)&lt;=K$8
                        )
                      ),
                    "Yes","No"),
                  "No")
                )
              )
            )
          )
        )
      )
    )
  )
)</f>
        <v>No</v>
      </c>
      <c r="L22" s="59" t="str">
        <f>IF(
  Assumptions!$K34="Off",
  "No",
  IF(
    Assumptions!$F34="I will phase manually",
    "No",
    IF(
      Assumptions!$F34="Last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Assumptions!$F34="End of month",
        IF(
          OR(
            AND(EOMONTH(L$7,0)&gt;=L$7, EOMONTH(L$7,0)&lt;=L$8),
            AND(EOMONTH(L$8,0)&gt;=L$7, EOMONTH(L$8,0)&lt;=L$8)
          ),
        "Yes","No"),
        IF(
          Assumptions!$F34="Specific day of month",
          IF(
            OR(
              AND(DATE(YEAR(L$7),MONTH(L$7),Assumptions!$G34)&gt;=L$7, DATE(YEAR(L$7),MONTH(L$7),Assumptions!$G34)&lt;=L$8),
              AND(DATE(YEAR(L$8),MONTH(L$8),Assumptions!$G34)&gt;=L$7, DATE(YEAR(L$8),MONTH(L$8),Assumptions!$G34)&lt;=L$8)
            ),
          "Yes","No"),
          IF(
            Assumptions!$F34="Last X day of month",
            IF(
              AND(
                WEEKDAY(L$7,2)&lt;=MATCH(Assumptions!$J34,{"Monday","Tuesday","Wednesday","Thursday","Friday"},0),
                WEEKDAY(L$8,2)&gt;=MATCH(Assumptions!$J34,{"Monday","Tuesday","Wednesday","Thursday","Friday"},0),
                (L$7+(MATCH(Assumptions!$J34,{"Monday","Tuesday","Wednesday","Thursday","Friday"},0)-WEEKDAY(L$7,2)))+7&gt;EOMONTH((L$7+(MATCH(Assumptions!$J34,{"Monday","Tuesday","Wednesday","Thursday","Friday"},0)-WEEKDAY(L$7,2))),0)
              ),
            "Yes","No"),
            IF(
              Assumptions!$F34="Weekly",
              IF(
                AND(
                  WEEKDAY(L$7,2)&lt;=MATCH(Assumptions!$J34,{"Monday","Tuesday","Wednesday","Thursday","Friday"},0),
                  WEEKDAY(L$8,2)&gt;=MATCH(Assumptions!$J34,{"Monday","Tuesday","Wednesday","Thursday","Friday"},0)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AND(Assumptions!$I34&gt;=L$7, Assumptions!$I34&lt;=L$8),
                    AND(
                      Assumptions!$I34&lt;L$7,
                      MOD(INT((L$7-(Assumptions!$I34-WEEKDAY(Assumptions!$I34,2)+1))/7),2)=0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AND(Assumptions!$I34&gt;=L$7, Assumptions!$I34&lt;=L$8),
                      AND(
                        Assumptions!$I34&lt;L$7,
                        MOD(INT((L$7-(Assumptions!$I34-WEEKDAY(Assumptions!$I34,2)+1))/7),3)=0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ISNUMBER(MATCH(MONTH(L$7),IF(Assumptions!$H34="Jan / Apr / Jul / Oct",{1,4,7,10},IF(Assumptions!$H34="Feb / May / Aug / Nov",{2,5,8,11},{3,6,9,12})),0)),
                          DATE(YEAR(L$7),MONTH(L$7),Assumptions!$G34)&gt;=L$7,
                          DATE(YEAR(L$7),MONTH(L$7),Assumptions!$G34)&lt;=L$8
                        ),
                        AND(
                          ISNUMBER(MATCH(MONTH(L$8),IF(Assumptions!$H34="Jan / Apr / Jul / Oct",{1,4,7,10},IF(Assumptions!$H34="Feb / May / Aug / Nov",{2,5,8,11},{3,6,9,12})),0)),
                          DATE(YEAR(L$8),MONTH(L$8),Assumptions!$G34)&gt;=L$7,
                          DATE(YEAR(L$8),MONTH(L$8),Assumptions!$G34)&lt;=L$8
                        )
                      ),
                    "Yes","No"),
                  "No")
                )
              )
            )
          )
        )
      )
    )
  )
)</f>
        <v>No</v>
      </c>
      <c r="M22" s="59" t="str">
        <f>IF(
  Assumptions!$K34="Off",
  "No",
  IF(
    Assumptions!$F34="I will phase manually",
    "No",
    IF(
      Assumptions!$F34="Last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Assumptions!$F34="End of month",
        IF(
          OR(
            AND(EOMONTH(M$7,0)&gt;=M$7, EOMONTH(M$7,0)&lt;=M$8),
            AND(EOMONTH(M$8,0)&gt;=M$7, EOMONTH(M$8,0)&lt;=M$8)
          ),
        "Yes","No"),
        IF(
          Assumptions!$F34="Specific day of month",
          IF(
            OR(
              AND(DATE(YEAR(M$7),MONTH(M$7),Assumptions!$G34)&gt;=M$7, DATE(YEAR(M$7),MONTH(M$7),Assumptions!$G34)&lt;=M$8),
              AND(DATE(YEAR(M$8),MONTH(M$8),Assumptions!$G34)&gt;=M$7, DATE(YEAR(M$8),MONTH(M$8),Assumptions!$G34)&lt;=M$8)
            ),
          "Yes","No"),
          IF(
            Assumptions!$F34="Last X day of month",
            IF(
              AND(
                WEEKDAY(M$7,2)&lt;=MATCH(Assumptions!$J34,{"Monday","Tuesday","Wednesday","Thursday","Friday"},0),
                WEEKDAY(M$8,2)&gt;=MATCH(Assumptions!$J34,{"Monday","Tuesday","Wednesday","Thursday","Friday"},0),
                (M$7+(MATCH(Assumptions!$J34,{"Monday","Tuesday","Wednesday","Thursday","Friday"},0)-WEEKDAY(M$7,2)))+7&gt;EOMONTH((M$7+(MATCH(Assumptions!$J34,{"Monday","Tuesday","Wednesday","Thursday","Friday"},0)-WEEKDAY(M$7,2))),0)
              ),
            "Yes","No"),
            IF(
              Assumptions!$F34="Weekly",
              IF(
                AND(
                  WEEKDAY(M$7,2)&lt;=MATCH(Assumptions!$J34,{"Monday","Tuesday","Wednesday","Thursday","Friday"},0),
                  WEEKDAY(M$8,2)&gt;=MATCH(Assumptions!$J34,{"Monday","Tuesday","Wednesday","Thursday","Friday"},0)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AND(Assumptions!$I34&gt;=M$7, Assumptions!$I34&lt;=M$8),
                    AND(
                      Assumptions!$I34&lt;M$7,
                      MOD(INT((M$7-(Assumptions!$I34-WEEKDAY(Assumptions!$I34,2)+1))/7),2)=0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AND(Assumptions!$I34&gt;=M$7, Assumptions!$I34&lt;=M$8),
                      AND(
                        Assumptions!$I34&lt;M$7,
                        MOD(INT((M$7-(Assumptions!$I34-WEEKDAY(Assumptions!$I34,2)+1))/7),3)=0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ISNUMBER(MATCH(MONTH(M$7),IF(Assumptions!$H34="Jan / Apr / Jul / Oct",{1,4,7,10},IF(Assumptions!$H34="Feb / May / Aug / Nov",{2,5,8,11},{3,6,9,12})),0)),
                          DATE(YEAR(M$7),MONTH(M$7),Assumptions!$G34)&gt;=M$7,
                          DATE(YEAR(M$7),MONTH(M$7),Assumptions!$G34)&lt;=M$8
                        ),
                        AND(
                          ISNUMBER(MATCH(MONTH(M$8),IF(Assumptions!$H34="Jan / Apr / Jul / Oct",{1,4,7,10},IF(Assumptions!$H34="Feb / May / Aug / Nov",{2,5,8,11},{3,6,9,12})),0)),
                          DATE(YEAR(M$8),MONTH(M$8),Assumptions!$G34)&gt;=M$7,
                          DATE(YEAR(M$8),MONTH(M$8),Assumptions!$G34)&lt;=M$8
                        )
                      ),
                    "Yes","No"),
                  "No")
                )
              )
            )
          )
        )
      )
    )
  )
)</f>
        <v>No</v>
      </c>
      <c r="N22" s="59" t="str">
        <f>IF(
  Assumptions!$K34="Off",
  "No",
  IF(
    Assumptions!$F34="I will phase manually",
    "No",
    IF(
      Assumptions!$F34="Last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Assumptions!$F34="End of month",
        IF(
          OR(
            AND(EOMONTH(N$7,0)&gt;=N$7, EOMONTH(N$7,0)&lt;=N$8),
            AND(EOMONTH(N$8,0)&gt;=N$7, EOMONTH(N$8,0)&lt;=N$8)
          ),
        "Yes","No"),
        IF(
          Assumptions!$F34="Specific day of month",
          IF(
            OR(
              AND(DATE(YEAR(N$7),MONTH(N$7),Assumptions!$G34)&gt;=N$7, DATE(YEAR(N$7),MONTH(N$7),Assumptions!$G34)&lt;=N$8),
              AND(DATE(YEAR(N$8),MONTH(N$8),Assumptions!$G34)&gt;=N$7, DATE(YEAR(N$8),MONTH(N$8),Assumptions!$G34)&lt;=N$8)
            ),
          "Yes","No"),
          IF(
            Assumptions!$F34="Last X day of month",
            IF(
              AND(
                WEEKDAY(N$7,2)&lt;=MATCH(Assumptions!$J34,{"Monday","Tuesday","Wednesday","Thursday","Friday"},0),
                WEEKDAY(N$8,2)&gt;=MATCH(Assumptions!$J34,{"Monday","Tuesday","Wednesday","Thursday","Friday"},0),
                (N$7+(MATCH(Assumptions!$J34,{"Monday","Tuesday","Wednesday","Thursday","Friday"},0)-WEEKDAY(N$7,2)))+7&gt;EOMONTH((N$7+(MATCH(Assumptions!$J34,{"Monday","Tuesday","Wednesday","Thursday","Friday"},0)-WEEKDAY(N$7,2))),0)
              ),
            "Yes","No"),
            IF(
              Assumptions!$F34="Weekly",
              IF(
                AND(
                  WEEKDAY(N$7,2)&lt;=MATCH(Assumptions!$J34,{"Monday","Tuesday","Wednesday","Thursday","Friday"},0),
                  WEEKDAY(N$8,2)&gt;=MATCH(Assumptions!$J34,{"Monday","Tuesday","Wednesday","Thursday","Friday"},0)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AND(Assumptions!$I34&gt;=N$7, Assumptions!$I34&lt;=N$8),
                    AND(
                      Assumptions!$I34&lt;N$7,
                      MOD(INT((N$7-(Assumptions!$I34-WEEKDAY(Assumptions!$I34,2)+1))/7),2)=0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AND(Assumptions!$I34&gt;=N$7, Assumptions!$I34&lt;=N$8),
                      AND(
                        Assumptions!$I34&lt;N$7,
                        MOD(INT((N$7-(Assumptions!$I34-WEEKDAY(Assumptions!$I34,2)+1))/7),3)=0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ISNUMBER(MATCH(MONTH(N$7),IF(Assumptions!$H34="Jan / Apr / Jul / Oct",{1,4,7,10},IF(Assumptions!$H34="Feb / May / Aug / Nov",{2,5,8,11},{3,6,9,12})),0)),
                          DATE(YEAR(N$7),MONTH(N$7),Assumptions!$G34)&gt;=N$7,
                          DATE(YEAR(N$7),MONTH(N$7),Assumptions!$G34)&lt;=N$8
                        ),
                        AND(
                          ISNUMBER(MATCH(MONTH(N$8),IF(Assumptions!$H34="Jan / Apr / Jul / Oct",{1,4,7,10},IF(Assumptions!$H34="Feb / May / Aug / Nov",{2,5,8,11},{3,6,9,12})),0)),
                          DATE(YEAR(N$8),MONTH(N$8),Assumptions!$G34)&gt;=N$7,
                          DATE(YEAR(N$8),MONTH(N$8),Assumptions!$G34)&lt;=N$8
                        )
                      ),
                    "Yes","No"),
                  "No")
                )
              )
            )
          )
        )
      )
    )
  )
)</f>
        <v>No</v>
      </c>
      <c r="O22" s="59" t="str">
        <f>IF(
  Assumptions!$K34="Off",
  "No",
  IF(
    Assumptions!$F34="I will phase manually",
    "No",
    IF(
      Assumptions!$F34="Last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Assumptions!$F34="End of month",
        IF(
          OR(
            AND(EOMONTH(O$7,0)&gt;=O$7, EOMONTH(O$7,0)&lt;=O$8),
            AND(EOMONTH(O$8,0)&gt;=O$7, EOMONTH(O$8,0)&lt;=O$8)
          ),
        "Yes","No"),
        IF(
          Assumptions!$F34="Specific day of month",
          IF(
            OR(
              AND(DATE(YEAR(O$7),MONTH(O$7),Assumptions!$G34)&gt;=O$7, DATE(YEAR(O$7),MONTH(O$7),Assumptions!$G34)&lt;=O$8),
              AND(DATE(YEAR(O$8),MONTH(O$8),Assumptions!$G34)&gt;=O$7, DATE(YEAR(O$8),MONTH(O$8),Assumptions!$G34)&lt;=O$8)
            ),
          "Yes","No"),
          IF(
            Assumptions!$F34="Last X day of month",
            IF(
              AND(
                WEEKDAY(O$7,2)&lt;=MATCH(Assumptions!$J34,{"Monday","Tuesday","Wednesday","Thursday","Friday"},0),
                WEEKDAY(O$8,2)&gt;=MATCH(Assumptions!$J34,{"Monday","Tuesday","Wednesday","Thursday","Friday"},0),
                (O$7+(MATCH(Assumptions!$J34,{"Monday","Tuesday","Wednesday","Thursday","Friday"},0)-WEEKDAY(O$7,2)))+7&gt;EOMONTH((O$7+(MATCH(Assumptions!$J34,{"Monday","Tuesday","Wednesday","Thursday","Friday"},0)-WEEKDAY(O$7,2))),0)
              ),
            "Yes","No"),
            IF(
              Assumptions!$F34="Weekly",
              IF(
                AND(
                  WEEKDAY(O$7,2)&lt;=MATCH(Assumptions!$J34,{"Monday","Tuesday","Wednesday","Thursday","Friday"},0),
                  WEEKDAY(O$8,2)&gt;=MATCH(Assumptions!$J34,{"Monday","Tuesday","Wednesday","Thursday","Friday"},0)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AND(Assumptions!$I34&gt;=O$7, Assumptions!$I34&lt;=O$8),
                    AND(
                      Assumptions!$I34&lt;O$7,
                      MOD(INT((O$7-(Assumptions!$I34-WEEKDAY(Assumptions!$I34,2)+1))/7),2)=0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AND(Assumptions!$I34&gt;=O$7, Assumptions!$I34&lt;=O$8),
                      AND(
                        Assumptions!$I34&lt;O$7,
                        MOD(INT((O$7-(Assumptions!$I34-WEEKDAY(Assumptions!$I34,2)+1))/7),3)=0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ISNUMBER(MATCH(MONTH(O$7),IF(Assumptions!$H34="Jan / Apr / Jul / Oct",{1,4,7,10},IF(Assumptions!$H34="Feb / May / Aug / Nov",{2,5,8,11},{3,6,9,12})),0)),
                          DATE(YEAR(O$7),MONTH(O$7),Assumptions!$G34)&gt;=O$7,
                          DATE(YEAR(O$7),MONTH(O$7),Assumptions!$G34)&lt;=O$8
                        ),
                        AND(
                          ISNUMBER(MATCH(MONTH(O$8),IF(Assumptions!$H34="Jan / Apr / Jul / Oct",{1,4,7,10},IF(Assumptions!$H34="Feb / May / Aug / Nov",{2,5,8,11},{3,6,9,12})),0)),
                          DATE(YEAR(O$8),MONTH(O$8),Assumptions!$G34)&gt;=O$7,
                          DATE(YEAR(O$8),MONTH(O$8),Assumptions!$G34)&lt;=O$8
                        )
                      ),
                    "Yes","No"),
                  "No")
                )
              )
            )
          )
        )
      )
    )
  )
)</f>
        <v>No</v>
      </c>
      <c r="P22" s="59" t="str">
        <f>IF(
  Assumptions!$K34="Off",
  "No",
  IF(
    Assumptions!$F34="I will phase manually",
    "No",
    IF(
      Assumptions!$F34="Last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Assumptions!$F34="End of month",
        IF(
          OR(
            AND(EOMONTH(P$7,0)&gt;=P$7, EOMONTH(P$7,0)&lt;=P$8),
            AND(EOMONTH(P$8,0)&gt;=P$7, EOMONTH(P$8,0)&lt;=P$8)
          ),
        "Yes","No"),
        IF(
          Assumptions!$F34="Specific day of month",
          IF(
            OR(
              AND(DATE(YEAR(P$7),MONTH(P$7),Assumptions!$G34)&gt;=P$7, DATE(YEAR(P$7),MONTH(P$7),Assumptions!$G34)&lt;=P$8),
              AND(DATE(YEAR(P$8),MONTH(P$8),Assumptions!$G34)&gt;=P$7, DATE(YEAR(P$8),MONTH(P$8),Assumptions!$G34)&lt;=P$8)
            ),
          "Yes","No"),
          IF(
            Assumptions!$F34="Last X day of month",
            IF(
              AND(
                WEEKDAY(P$7,2)&lt;=MATCH(Assumptions!$J34,{"Monday","Tuesday","Wednesday","Thursday","Friday"},0),
                WEEKDAY(P$8,2)&gt;=MATCH(Assumptions!$J34,{"Monday","Tuesday","Wednesday","Thursday","Friday"},0),
                (P$7+(MATCH(Assumptions!$J34,{"Monday","Tuesday","Wednesday","Thursday","Friday"},0)-WEEKDAY(P$7,2)))+7&gt;EOMONTH((P$7+(MATCH(Assumptions!$J34,{"Monday","Tuesday","Wednesday","Thursday","Friday"},0)-WEEKDAY(P$7,2))),0)
              ),
            "Yes","No"),
            IF(
              Assumptions!$F34="Weekly",
              IF(
                AND(
                  WEEKDAY(P$7,2)&lt;=MATCH(Assumptions!$J34,{"Monday","Tuesday","Wednesday","Thursday","Friday"},0),
                  WEEKDAY(P$8,2)&gt;=MATCH(Assumptions!$J34,{"Monday","Tuesday","Wednesday","Thursday","Friday"},0)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AND(Assumptions!$I34&gt;=P$7, Assumptions!$I34&lt;=P$8),
                    AND(
                      Assumptions!$I34&lt;P$7,
                      MOD(INT((P$7-(Assumptions!$I34-WEEKDAY(Assumptions!$I34,2)+1))/7),2)=0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AND(Assumptions!$I34&gt;=P$7, Assumptions!$I34&lt;=P$8),
                      AND(
                        Assumptions!$I34&lt;P$7,
                        MOD(INT((P$7-(Assumptions!$I34-WEEKDAY(Assumptions!$I34,2)+1))/7),3)=0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ISNUMBER(MATCH(MONTH(P$7),IF(Assumptions!$H34="Jan / Apr / Jul / Oct",{1,4,7,10},IF(Assumptions!$H34="Feb / May / Aug / Nov",{2,5,8,11},{3,6,9,12})),0)),
                          DATE(YEAR(P$7),MONTH(P$7),Assumptions!$G34)&gt;=P$7,
                          DATE(YEAR(P$7),MONTH(P$7),Assumptions!$G34)&lt;=P$8
                        ),
                        AND(
                          ISNUMBER(MATCH(MONTH(P$8),IF(Assumptions!$H34="Jan / Apr / Jul / Oct",{1,4,7,10},IF(Assumptions!$H34="Feb / May / Aug / Nov",{2,5,8,11},{3,6,9,12})),0)),
                          DATE(YEAR(P$8),MONTH(P$8),Assumptions!$G34)&gt;=P$7,
                          DATE(YEAR(P$8),MONTH(P$8),Assumptions!$G34)&lt;=P$8
                        )
                      ),
                    "Yes","No"),
                  "No")
                )
              )
            )
          )
        )
      )
    )
  )
)</f>
        <v>No</v>
      </c>
      <c r="Q22" s="59" t="str">
        <f>IF(
  Assumptions!$K34="Off",
  "No",
  IF(
    Assumptions!$F34="I will phase manually",
    "No",
    IF(
      Assumptions!$F34="Last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Assumptions!$F34="End of month",
        IF(
          OR(
            AND(EOMONTH(Q$7,0)&gt;=Q$7, EOMONTH(Q$7,0)&lt;=Q$8),
            AND(EOMONTH(Q$8,0)&gt;=Q$7, EOMONTH(Q$8,0)&lt;=Q$8)
          ),
        "Yes","No"),
        IF(
          Assumptions!$F34="Specific day of month",
          IF(
            OR(
              AND(DATE(YEAR(Q$7),MONTH(Q$7),Assumptions!$G34)&gt;=Q$7, DATE(YEAR(Q$7),MONTH(Q$7),Assumptions!$G34)&lt;=Q$8),
              AND(DATE(YEAR(Q$8),MONTH(Q$8),Assumptions!$G34)&gt;=Q$7, DATE(YEAR(Q$8),MONTH(Q$8),Assumptions!$G34)&lt;=Q$8)
            ),
          "Yes","No"),
          IF(
            Assumptions!$F34="Last X day of month",
            IF(
              AND(
                WEEKDAY(Q$7,2)&lt;=MATCH(Assumptions!$J34,{"Monday","Tuesday","Wednesday","Thursday","Friday"},0),
                WEEKDAY(Q$8,2)&gt;=MATCH(Assumptions!$J34,{"Monday","Tuesday","Wednesday","Thursday","Friday"},0),
                (Q$7+(MATCH(Assumptions!$J34,{"Monday","Tuesday","Wednesday","Thursday","Friday"},0)-WEEKDAY(Q$7,2)))+7&gt;EOMONTH((Q$7+(MATCH(Assumptions!$J34,{"Monday","Tuesday","Wednesday","Thursday","Friday"},0)-WEEKDAY(Q$7,2))),0)
              ),
            "Yes","No"),
            IF(
              Assumptions!$F34="Weekly",
              IF(
                AND(
                  WEEKDAY(Q$7,2)&lt;=MATCH(Assumptions!$J34,{"Monday","Tuesday","Wednesday","Thursday","Friday"},0),
                  WEEKDAY(Q$8,2)&gt;=MATCH(Assumptions!$J34,{"Monday","Tuesday","Wednesday","Thursday","Friday"},0)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AND(Assumptions!$I34&gt;=Q$7, Assumptions!$I34&lt;=Q$8),
                    AND(
                      Assumptions!$I34&lt;Q$7,
                      MOD(INT((Q$7-(Assumptions!$I34-WEEKDAY(Assumptions!$I34,2)+1))/7),2)=0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AND(Assumptions!$I34&gt;=Q$7, Assumptions!$I34&lt;=Q$8),
                      AND(
                        Assumptions!$I34&lt;Q$7,
                        MOD(INT((Q$7-(Assumptions!$I34-WEEKDAY(Assumptions!$I34,2)+1))/7),3)=0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ISNUMBER(MATCH(MONTH(Q$7),IF(Assumptions!$H34="Jan / Apr / Jul / Oct",{1,4,7,10},IF(Assumptions!$H34="Feb / May / Aug / Nov",{2,5,8,11},{3,6,9,12})),0)),
                          DATE(YEAR(Q$7),MONTH(Q$7),Assumptions!$G34)&gt;=Q$7,
                          DATE(YEAR(Q$7),MONTH(Q$7),Assumptions!$G34)&lt;=Q$8
                        ),
                        AND(
                          ISNUMBER(MATCH(MONTH(Q$8),IF(Assumptions!$H34="Jan / Apr / Jul / Oct",{1,4,7,10},IF(Assumptions!$H34="Feb / May / Aug / Nov",{2,5,8,11},{3,6,9,12})),0)),
                          DATE(YEAR(Q$8),MONTH(Q$8),Assumptions!$G34)&gt;=Q$7,
                          DATE(YEAR(Q$8),MONTH(Q$8),Assumptions!$G34)&lt;=Q$8
                        )
                      ),
                    "Yes","No"),
                  "No")
                )
              )
            )
          )
        )
      )
    )
  )
)</f>
        <v>No</v>
      </c>
      <c r="R22" s="59" t="str">
        <f>IF(
  Assumptions!$K34="Off",
  "No",
  IF(
    Assumptions!$F34="I will phase manually",
    "No",
    IF(
      Assumptions!$F34="Last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Assumptions!$F34="End of month",
        IF(
          OR(
            AND(EOMONTH(R$7,0)&gt;=R$7, EOMONTH(R$7,0)&lt;=R$8),
            AND(EOMONTH(R$8,0)&gt;=R$7, EOMONTH(R$8,0)&lt;=R$8)
          ),
        "Yes","No"),
        IF(
          Assumptions!$F34="Specific day of month",
          IF(
            OR(
              AND(DATE(YEAR(R$7),MONTH(R$7),Assumptions!$G34)&gt;=R$7, DATE(YEAR(R$7),MONTH(R$7),Assumptions!$G34)&lt;=R$8),
              AND(DATE(YEAR(R$8),MONTH(R$8),Assumptions!$G34)&gt;=R$7, DATE(YEAR(R$8),MONTH(R$8),Assumptions!$G34)&lt;=R$8)
            ),
          "Yes","No"),
          IF(
            Assumptions!$F34="Last X day of month",
            IF(
              AND(
                WEEKDAY(R$7,2)&lt;=MATCH(Assumptions!$J34,{"Monday","Tuesday","Wednesday","Thursday","Friday"},0),
                WEEKDAY(R$8,2)&gt;=MATCH(Assumptions!$J34,{"Monday","Tuesday","Wednesday","Thursday","Friday"},0),
                (R$7+(MATCH(Assumptions!$J34,{"Monday","Tuesday","Wednesday","Thursday","Friday"},0)-WEEKDAY(R$7,2)))+7&gt;EOMONTH((R$7+(MATCH(Assumptions!$J34,{"Monday","Tuesday","Wednesday","Thursday","Friday"},0)-WEEKDAY(R$7,2))),0)
              ),
            "Yes","No"),
            IF(
              Assumptions!$F34="Weekly",
              IF(
                AND(
                  WEEKDAY(R$7,2)&lt;=MATCH(Assumptions!$J34,{"Monday","Tuesday","Wednesday","Thursday","Friday"},0),
                  WEEKDAY(R$8,2)&gt;=MATCH(Assumptions!$J34,{"Monday","Tuesday","Wednesday","Thursday","Friday"},0)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AND(Assumptions!$I34&gt;=R$7, Assumptions!$I34&lt;=R$8),
                    AND(
                      Assumptions!$I34&lt;R$7,
                      MOD(INT((R$7-(Assumptions!$I34-WEEKDAY(Assumptions!$I34,2)+1))/7),2)=0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AND(Assumptions!$I34&gt;=R$7, Assumptions!$I34&lt;=R$8),
                      AND(
                        Assumptions!$I34&lt;R$7,
                        MOD(INT((R$7-(Assumptions!$I34-WEEKDAY(Assumptions!$I34,2)+1))/7),3)=0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ISNUMBER(MATCH(MONTH(R$7),IF(Assumptions!$H34="Jan / Apr / Jul / Oct",{1,4,7,10},IF(Assumptions!$H34="Feb / May / Aug / Nov",{2,5,8,11},{3,6,9,12})),0)),
                          DATE(YEAR(R$7),MONTH(R$7),Assumptions!$G34)&gt;=R$7,
                          DATE(YEAR(R$7),MONTH(R$7),Assumptions!$G34)&lt;=R$8
                        ),
                        AND(
                          ISNUMBER(MATCH(MONTH(R$8),IF(Assumptions!$H34="Jan / Apr / Jul / Oct",{1,4,7,10},IF(Assumptions!$H34="Feb / May / Aug / Nov",{2,5,8,11},{3,6,9,12})),0)),
                          DATE(YEAR(R$8),MONTH(R$8),Assumptions!$G34)&gt;=R$7,
                          DATE(YEAR(R$8),MONTH(R$8),Assumptions!$G34)&lt;=R$8
                        )
                      ),
                    "Yes","No"),
                  "No")
                )
              )
            )
          )
        )
      )
    )
  )
)</f>
        <v>No</v>
      </c>
      <c r="S22" s="59" t="str">
        <f>IF(
  Assumptions!$K34="Off",
  "No",
  IF(
    Assumptions!$F34="I will phase manually",
    "No",
    IF(
      Assumptions!$F34="Last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Assumptions!$F34="End of month",
        IF(
          OR(
            AND(EOMONTH(S$7,0)&gt;=S$7, EOMONTH(S$7,0)&lt;=S$8),
            AND(EOMONTH(S$8,0)&gt;=S$7, EOMONTH(S$8,0)&lt;=S$8)
          ),
        "Yes","No"),
        IF(
          Assumptions!$F34="Specific day of month",
          IF(
            OR(
              AND(DATE(YEAR(S$7),MONTH(S$7),Assumptions!$G34)&gt;=S$7, DATE(YEAR(S$7),MONTH(S$7),Assumptions!$G34)&lt;=S$8),
              AND(DATE(YEAR(S$8),MONTH(S$8),Assumptions!$G34)&gt;=S$7, DATE(YEAR(S$8),MONTH(S$8),Assumptions!$G34)&lt;=S$8)
            ),
          "Yes","No"),
          IF(
            Assumptions!$F34="Last X day of month",
            IF(
              AND(
                WEEKDAY(S$7,2)&lt;=MATCH(Assumptions!$J34,{"Monday","Tuesday","Wednesday","Thursday","Friday"},0),
                WEEKDAY(S$8,2)&gt;=MATCH(Assumptions!$J34,{"Monday","Tuesday","Wednesday","Thursday","Friday"},0),
                (S$7+(MATCH(Assumptions!$J34,{"Monday","Tuesday","Wednesday","Thursday","Friday"},0)-WEEKDAY(S$7,2)))+7&gt;EOMONTH((S$7+(MATCH(Assumptions!$J34,{"Monday","Tuesday","Wednesday","Thursday","Friday"},0)-WEEKDAY(S$7,2))),0)
              ),
            "Yes","No"),
            IF(
              Assumptions!$F34="Weekly",
              IF(
                AND(
                  WEEKDAY(S$7,2)&lt;=MATCH(Assumptions!$J34,{"Monday","Tuesday","Wednesday","Thursday","Friday"},0),
                  WEEKDAY(S$8,2)&gt;=MATCH(Assumptions!$J34,{"Monday","Tuesday","Wednesday","Thursday","Friday"},0)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AND(Assumptions!$I34&gt;=S$7, Assumptions!$I34&lt;=S$8),
                    AND(
                      Assumptions!$I34&lt;S$7,
                      MOD(INT((S$7-(Assumptions!$I34-WEEKDAY(Assumptions!$I34,2)+1))/7),2)=0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AND(Assumptions!$I34&gt;=S$7, Assumptions!$I34&lt;=S$8),
                      AND(
                        Assumptions!$I34&lt;S$7,
                        MOD(INT((S$7-(Assumptions!$I34-WEEKDAY(Assumptions!$I34,2)+1))/7),3)=0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ISNUMBER(MATCH(MONTH(S$7),IF(Assumptions!$H34="Jan / Apr / Jul / Oct",{1,4,7,10},IF(Assumptions!$H34="Feb / May / Aug / Nov",{2,5,8,11},{3,6,9,12})),0)),
                          DATE(YEAR(S$7),MONTH(S$7),Assumptions!$G34)&gt;=S$7,
                          DATE(YEAR(S$7),MONTH(S$7),Assumptions!$G34)&lt;=S$8
                        ),
                        AND(
                          ISNUMBER(MATCH(MONTH(S$8),IF(Assumptions!$H34="Jan / Apr / Jul / Oct",{1,4,7,10},IF(Assumptions!$H34="Feb / May / Aug / Nov",{2,5,8,11},{3,6,9,12})),0)),
                          DATE(YEAR(S$8),MONTH(S$8),Assumptions!$G34)&gt;=S$7,
                          DATE(YEAR(S$8),MONTH(S$8),Assumptions!$G34)&lt;=S$8
                        )
                      ),
                    "Yes","No"),
                  "No")
                )
              )
            )
          )
        )
      )
    )
  )
)</f>
        <v>No</v>
      </c>
      <c r="T22" s="59" t="s">
        <v>124</v>
      </c>
    </row>
    <row r="23" spans="3:20" hidden="1" outlineLevel="1" x14ac:dyDescent="0.25">
      <c r="C23" s="58">
        <f>Assumptions!D35</f>
        <v>0</v>
      </c>
      <c r="D23" s="58"/>
      <c r="E23" s="58"/>
      <c r="F23" s="58"/>
      <c r="G23" s="59" t="str">
        <f>IF(
  Assumptions!$K35="Off",
  "No",
  IF(
    Assumptions!$F35="I will phase manually",
    "No",
    IF(
      Assumptions!$F35="Last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Assumptions!$F35="End of month",
        IF(
          OR(
            AND(EOMONTH(G$7,0)&gt;=G$7, EOMONTH(G$7,0)&lt;=G$8),
            AND(EOMONTH(G$8,0)&gt;=G$7, EOMONTH(G$8,0)&lt;=G$8)
          ),
        "Yes","No"),
        IF(
          Assumptions!$F35="Specific day of month",
          IF(
            OR(
              AND(DATE(YEAR(G$7),MONTH(G$7),Assumptions!$G35)&gt;=G$7, DATE(YEAR(G$7),MONTH(G$7),Assumptions!$G35)&lt;=G$8),
              AND(DATE(YEAR(G$8),MONTH(G$8),Assumptions!$G35)&gt;=G$7, DATE(YEAR(G$8),MONTH(G$8),Assumptions!$G35)&lt;=G$8)
            ),
          "Yes","No"),
          IF(
            Assumptions!$F35="Last X day of month",
            IF(
              AND(
                WEEKDAY(G$7,2)&lt;=MATCH(Assumptions!$J35,{"Monday","Tuesday","Wednesday","Thursday","Friday"},0),
                WEEKDAY(G$8,2)&gt;=MATCH(Assumptions!$J35,{"Monday","Tuesday","Wednesday","Thursday","Friday"},0),
                (G$7+(MATCH(Assumptions!$J35,{"Monday","Tuesday","Wednesday","Thursday","Friday"},0)-WEEKDAY(G$7,2)))+7&gt;EOMONTH((G$7+(MATCH(Assumptions!$J35,{"Monday","Tuesday","Wednesday","Thursday","Friday"},0)-WEEKDAY(G$7,2))),0)
              ),
            "Yes","No"),
            IF(
              Assumptions!$F35="Weekly",
              IF(
                AND(
                  WEEKDAY(G$7,2)&lt;=MATCH(Assumptions!$J35,{"Monday","Tuesday","Wednesday","Thursday","Friday"},0),
                  WEEKDAY(G$8,2)&gt;=MATCH(Assumptions!$J35,{"Monday","Tuesday","Wednesday","Thursday","Friday"},0)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AND(Assumptions!$I35&gt;=G$7, Assumptions!$I35&lt;=G$8),
                    AND(
                      Assumptions!$I35&lt;G$7,
                      MOD(INT((G$7-(Assumptions!$I35-WEEKDAY(Assumptions!$I35,2)+1))/7),2)=0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AND(Assumptions!$I35&gt;=G$7, Assumptions!$I35&lt;=G$8),
                      AND(
                        Assumptions!$I35&lt;G$7,
                        MOD(INT((G$7-(Assumptions!$I35-WEEKDAY(Assumptions!$I35,2)+1))/7),3)=0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ISNUMBER(MATCH(MONTH(G$7),IF(Assumptions!$H35="Jan / Apr / Jul / Oct",{1,4,7,10},IF(Assumptions!$H35="Feb / May / Aug / Nov",{2,5,8,11},{3,6,9,12})),0)),
                          DATE(YEAR(G$7),MONTH(G$7),Assumptions!$G35)&gt;=G$7,
                          DATE(YEAR(G$7),MONTH(G$7),Assumptions!$G35)&lt;=G$8
                        ),
                        AND(
                          ISNUMBER(MATCH(MONTH(G$8),IF(Assumptions!$H35="Jan / Apr / Jul / Oct",{1,4,7,10},IF(Assumptions!$H35="Feb / May / Aug / Nov",{2,5,8,11},{3,6,9,12})),0)),
                          DATE(YEAR(G$8),MONTH(G$8),Assumptions!$G35)&gt;=G$7,
                          DATE(YEAR(G$8),MONTH(G$8),Assumptions!$G35)&lt;=G$8
                        )
                      ),
                    "Yes","No"),
                  "No")
                )
              )
            )
          )
        )
      )
    )
  )
)</f>
        <v>No</v>
      </c>
      <c r="H23" s="59" t="str">
        <f>IF(
  Assumptions!$K35="Off",
  "No",
  IF(
    Assumptions!$F35="I will phase manually",
    "No",
    IF(
      Assumptions!$F35="Last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Assumptions!$F35="End of month",
        IF(
          OR(
            AND(EOMONTH(H$7,0)&gt;=H$7, EOMONTH(H$7,0)&lt;=H$8),
            AND(EOMONTH(H$8,0)&gt;=H$7, EOMONTH(H$8,0)&lt;=H$8)
          ),
        "Yes","No"),
        IF(
          Assumptions!$F35="Specific day of month",
          IF(
            OR(
              AND(DATE(YEAR(H$7),MONTH(H$7),Assumptions!$G35)&gt;=H$7, DATE(YEAR(H$7),MONTH(H$7),Assumptions!$G35)&lt;=H$8),
              AND(DATE(YEAR(H$8),MONTH(H$8),Assumptions!$G35)&gt;=H$7, DATE(YEAR(H$8),MONTH(H$8),Assumptions!$G35)&lt;=H$8)
            ),
          "Yes","No"),
          IF(
            Assumptions!$F35="Last X day of month",
            IF(
              AND(
                WEEKDAY(H$7,2)&lt;=MATCH(Assumptions!$J35,{"Monday","Tuesday","Wednesday","Thursday","Friday"},0),
                WEEKDAY(H$8,2)&gt;=MATCH(Assumptions!$J35,{"Monday","Tuesday","Wednesday","Thursday","Friday"},0),
                (H$7+(MATCH(Assumptions!$J35,{"Monday","Tuesday","Wednesday","Thursday","Friday"},0)-WEEKDAY(H$7,2)))+7&gt;EOMONTH((H$7+(MATCH(Assumptions!$J35,{"Monday","Tuesday","Wednesday","Thursday","Friday"},0)-WEEKDAY(H$7,2))),0)
              ),
            "Yes","No"),
            IF(
              Assumptions!$F35="Weekly",
              IF(
                AND(
                  WEEKDAY(H$7,2)&lt;=MATCH(Assumptions!$J35,{"Monday","Tuesday","Wednesday","Thursday","Friday"},0),
                  WEEKDAY(H$8,2)&gt;=MATCH(Assumptions!$J35,{"Monday","Tuesday","Wednesday","Thursday","Friday"},0)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AND(Assumptions!$I35&gt;=H$7, Assumptions!$I35&lt;=H$8),
                    AND(
                      Assumptions!$I35&lt;H$7,
                      MOD(INT((H$7-(Assumptions!$I35-WEEKDAY(Assumptions!$I35,2)+1))/7),2)=0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AND(Assumptions!$I35&gt;=H$7, Assumptions!$I35&lt;=H$8),
                      AND(
                        Assumptions!$I35&lt;H$7,
                        MOD(INT((H$7-(Assumptions!$I35-WEEKDAY(Assumptions!$I35,2)+1))/7),3)=0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ISNUMBER(MATCH(MONTH(H$7),IF(Assumptions!$H35="Jan / Apr / Jul / Oct",{1,4,7,10},IF(Assumptions!$H35="Feb / May / Aug / Nov",{2,5,8,11},{3,6,9,12})),0)),
                          DATE(YEAR(H$7),MONTH(H$7),Assumptions!$G35)&gt;=H$7,
                          DATE(YEAR(H$7),MONTH(H$7),Assumptions!$G35)&lt;=H$8
                        ),
                        AND(
                          ISNUMBER(MATCH(MONTH(H$8),IF(Assumptions!$H35="Jan / Apr / Jul / Oct",{1,4,7,10},IF(Assumptions!$H35="Feb / May / Aug / Nov",{2,5,8,11},{3,6,9,12})),0)),
                          DATE(YEAR(H$8),MONTH(H$8),Assumptions!$G35)&gt;=H$7,
                          DATE(YEAR(H$8),MONTH(H$8),Assumptions!$G35)&lt;=H$8
                        )
                      ),
                    "Yes","No"),
                  "No")
                )
              )
            )
          )
        )
      )
    )
  )
)</f>
        <v>No</v>
      </c>
      <c r="I23" s="59" t="str">
        <f>IF(
  Assumptions!$K35="Off",
  "No",
  IF(
    Assumptions!$F35="I will phase manually",
    "No",
    IF(
      Assumptions!$F35="Last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Assumptions!$F35="End of month",
        IF(
          OR(
            AND(EOMONTH(I$7,0)&gt;=I$7, EOMONTH(I$7,0)&lt;=I$8),
            AND(EOMONTH(I$8,0)&gt;=I$7, EOMONTH(I$8,0)&lt;=I$8)
          ),
        "Yes","No"),
        IF(
          Assumptions!$F35="Specific day of month",
          IF(
            OR(
              AND(DATE(YEAR(I$7),MONTH(I$7),Assumptions!$G35)&gt;=I$7, DATE(YEAR(I$7),MONTH(I$7),Assumptions!$G35)&lt;=I$8),
              AND(DATE(YEAR(I$8),MONTH(I$8),Assumptions!$G35)&gt;=I$7, DATE(YEAR(I$8),MONTH(I$8),Assumptions!$G35)&lt;=I$8)
            ),
          "Yes","No"),
          IF(
            Assumptions!$F35="Last X day of month",
            IF(
              AND(
                WEEKDAY(I$7,2)&lt;=MATCH(Assumptions!$J35,{"Monday","Tuesday","Wednesday","Thursday","Friday"},0),
                WEEKDAY(I$8,2)&gt;=MATCH(Assumptions!$J35,{"Monday","Tuesday","Wednesday","Thursday","Friday"},0),
                (I$7+(MATCH(Assumptions!$J35,{"Monday","Tuesday","Wednesday","Thursday","Friday"},0)-WEEKDAY(I$7,2)))+7&gt;EOMONTH((I$7+(MATCH(Assumptions!$J35,{"Monday","Tuesday","Wednesday","Thursday","Friday"},0)-WEEKDAY(I$7,2))),0)
              ),
            "Yes","No"),
            IF(
              Assumptions!$F35="Weekly",
              IF(
                AND(
                  WEEKDAY(I$7,2)&lt;=MATCH(Assumptions!$J35,{"Monday","Tuesday","Wednesday","Thursday","Friday"},0),
                  WEEKDAY(I$8,2)&gt;=MATCH(Assumptions!$J35,{"Monday","Tuesday","Wednesday","Thursday","Friday"},0)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AND(Assumptions!$I35&gt;=I$7, Assumptions!$I35&lt;=I$8),
                    AND(
                      Assumptions!$I35&lt;I$7,
                      MOD(INT((I$7-(Assumptions!$I35-WEEKDAY(Assumptions!$I35,2)+1))/7),2)=0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AND(Assumptions!$I35&gt;=I$7, Assumptions!$I35&lt;=I$8),
                      AND(
                        Assumptions!$I35&lt;I$7,
                        MOD(INT((I$7-(Assumptions!$I35-WEEKDAY(Assumptions!$I35,2)+1))/7),3)=0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ISNUMBER(MATCH(MONTH(I$7),IF(Assumptions!$H35="Jan / Apr / Jul / Oct",{1,4,7,10},IF(Assumptions!$H35="Feb / May / Aug / Nov",{2,5,8,11},{3,6,9,12})),0)),
                          DATE(YEAR(I$7),MONTH(I$7),Assumptions!$G35)&gt;=I$7,
                          DATE(YEAR(I$7),MONTH(I$7),Assumptions!$G35)&lt;=I$8
                        ),
                        AND(
                          ISNUMBER(MATCH(MONTH(I$8),IF(Assumptions!$H35="Jan / Apr / Jul / Oct",{1,4,7,10},IF(Assumptions!$H35="Feb / May / Aug / Nov",{2,5,8,11},{3,6,9,12})),0)),
                          DATE(YEAR(I$8),MONTH(I$8),Assumptions!$G35)&gt;=I$7,
                          DATE(YEAR(I$8),MONTH(I$8),Assumptions!$G35)&lt;=I$8
                        )
                      ),
                    "Yes","No"),
                  "No")
                )
              )
            )
          )
        )
      )
    )
  )
)</f>
        <v>No</v>
      </c>
      <c r="J23" s="59" t="str">
        <f>IF(
  Assumptions!$K35="Off",
  "No",
  IF(
    Assumptions!$F35="I will phase manually",
    "No",
    IF(
      Assumptions!$F35="Last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Assumptions!$F35="End of month",
        IF(
          OR(
            AND(EOMONTH(J$7,0)&gt;=J$7, EOMONTH(J$7,0)&lt;=J$8),
            AND(EOMONTH(J$8,0)&gt;=J$7, EOMONTH(J$8,0)&lt;=J$8)
          ),
        "Yes","No"),
        IF(
          Assumptions!$F35="Specific day of month",
          IF(
            OR(
              AND(DATE(YEAR(J$7),MONTH(J$7),Assumptions!$G35)&gt;=J$7, DATE(YEAR(J$7),MONTH(J$7),Assumptions!$G35)&lt;=J$8),
              AND(DATE(YEAR(J$8),MONTH(J$8),Assumptions!$G35)&gt;=J$7, DATE(YEAR(J$8),MONTH(J$8),Assumptions!$G35)&lt;=J$8)
            ),
          "Yes","No"),
          IF(
            Assumptions!$F35="Last X day of month",
            IF(
              AND(
                WEEKDAY(J$7,2)&lt;=MATCH(Assumptions!$J35,{"Monday","Tuesday","Wednesday","Thursday","Friday"},0),
                WEEKDAY(J$8,2)&gt;=MATCH(Assumptions!$J35,{"Monday","Tuesday","Wednesday","Thursday","Friday"},0),
                (J$7+(MATCH(Assumptions!$J35,{"Monday","Tuesday","Wednesday","Thursday","Friday"},0)-WEEKDAY(J$7,2)))+7&gt;EOMONTH((J$7+(MATCH(Assumptions!$J35,{"Monday","Tuesday","Wednesday","Thursday","Friday"},0)-WEEKDAY(J$7,2))),0)
              ),
            "Yes","No"),
            IF(
              Assumptions!$F35="Weekly",
              IF(
                AND(
                  WEEKDAY(J$7,2)&lt;=MATCH(Assumptions!$J35,{"Monday","Tuesday","Wednesday","Thursday","Friday"},0),
                  WEEKDAY(J$8,2)&gt;=MATCH(Assumptions!$J35,{"Monday","Tuesday","Wednesday","Thursday","Friday"},0)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AND(Assumptions!$I35&gt;=J$7, Assumptions!$I35&lt;=J$8),
                    AND(
                      Assumptions!$I35&lt;J$7,
                      MOD(INT((J$7-(Assumptions!$I35-WEEKDAY(Assumptions!$I35,2)+1))/7),2)=0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AND(Assumptions!$I35&gt;=J$7, Assumptions!$I35&lt;=J$8),
                      AND(
                        Assumptions!$I35&lt;J$7,
                        MOD(INT((J$7-(Assumptions!$I35-WEEKDAY(Assumptions!$I35,2)+1))/7),3)=0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ISNUMBER(MATCH(MONTH(J$7),IF(Assumptions!$H35="Jan / Apr / Jul / Oct",{1,4,7,10},IF(Assumptions!$H35="Feb / May / Aug / Nov",{2,5,8,11},{3,6,9,12})),0)),
                          DATE(YEAR(J$7),MONTH(J$7),Assumptions!$G35)&gt;=J$7,
                          DATE(YEAR(J$7),MONTH(J$7),Assumptions!$G35)&lt;=J$8
                        ),
                        AND(
                          ISNUMBER(MATCH(MONTH(J$8),IF(Assumptions!$H35="Jan / Apr / Jul / Oct",{1,4,7,10},IF(Assumptions!$H35="Feb / May / Aug / Nov",{2,5,8,11},{3,6,9,12})),0)),
                          DATE(YEAR(J$8),MONTH(J$8),Assumptions!$G35)&gt;=J$7,
                          DATE(YEAR(J$8),MONTH(J$8),Assumptions!$G35)&lt;=J$8
                        )
                      ),
                    "Yes","No"),
                  "No")
                )
              )
            )
          )
        )
      )
    )
  )
)</f>
        <v>No</v>
      </c>
      <c r="K23" s="59" t="str">
        <f>IF(
  Assumptions!$K35="Off",
  "No",
  IF(
    Assumptions!$F35="I will phase manually",
    "No",
    IF(
      Assumptions!$F35="Last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Assumptions!$F35="End of month",
        IF(
          OR(
            AND(EOMONTH(K$7,0)&gt;=K$7, EOMONTH(K$7,0)&lt;=K$8),
            AND(EOMONTH(K$8,0)&gt;=K$7, EOMONTH(K$8,0)&lt;=K$8)
          ),
        "Yes","No"),
        IF(
          Assumptions!$F35="Specific day of month",
          IF(
            OR(
              AND(DATE(YEAR(K$7),MONTH(K$7),Assumptions!$G35)&gt;=K$7, DATE(YEAR(K$7),MONTH(K$7),Assumptions!$G35)&lt;=K$8),
              AND(DATE(YEAR(K$8),MONTH(K$8),Assumptions!$G35)&gt;=K$7, DATE(YEAR(K$8),MONTH(K$8),Assumptions!$G35)&lt;=K$8)
            ),
          "Yes","No"),
          IF(
            Assumptions!$F35="Last X day of month",
            IF(
              AND(
                WEEKDAY(K$7,2)&lt;=MATCH(Assumptions!$J35,{"Monday","Tuesday","Wednesday","Thursday","Friday"},0),
                WEEKDAY(K$8,2)&gt;=MATCH(Assumptions!$J35,{"Monday","Tuesday","Wednesday","Thursday","Friday"},0),
                (K$7+(MATCH(Assumptions!$J35,{"Monday","Tuesday","Wednesday","Thursday","Friday"},0)-WEEKDAY(K$7,2)))+7&gt;EOMONTH((K$7+(MATCH(Assumptions!$J35,{"Monday","Tuesday","Wednesday","Thursday","Friday"},0)-WEEKDAY(K$7,2))),0)
              ),
            "Yes","No"),
            IF(
              Assumptions!$F35="Weekly",
              IF(
                AND(
                  WEEKDAY(K$7,2)&lt;=MATCH(Assumptions!$J35,{"Monday","Tuesday","Wednesday","Thursday","Friday"},0),
                  WEEKDAY(K$8,2)&gt;=MATCH(Assumptions!$J35,{"Monday","Tuesday","Wednesday","Thursday","Friday"},0)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AND(Assumptions!$I35&gt;=K$7, Assumptions!$I35&lt;=K$8),
                    AND(
                      Assumptions!$I35&lt;K$7,
                      MOD(INT((K$7-(Assumptions!$I35-WEEKDAY(Assumptions!$I35,2)+1))/7),2)=0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AND(Assumptions!$I35&gt;=K$7, Assumptions!$I35&lt;=K$8),
                      AND(
                        Assumptions!$I35&lt;K$7,
                        MOD(INT((K$7-(Assumptions!$I35-WEEKDAY(Assumptions!$I35,2)+1))/7),3)=0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ISNUMBER(MATCH(MONTH(K$7),IF(Assumptions!$H35="Jan / Apr / Jul / Oct",{1,4,7,10},IF(Assumptions!$H35="Feb / May / Aug / Nov",{2,5,8,11},{3,6,9,12})),0)),
                          DATE(YEAR(K$7),MONTH(K$7),Assumptions!$G35)&gt;=K$7,
                          DATE(YEAR(K$7),MONTH(K$7),Assumptions!$G35)&lt;=K$8
                        ),
                        AND(
                          ISNUMBER(MATCH(MONTH(K$8),IF(Assumptions!$H35="Jan / Apr / Jul / Oct",{1,4,7,10},IF(Assumptions!$H35="Feb / May / Aug / Nov",{2,5,8,11},{3,6,9,12})),0)),
                          DATE(YEAR(K$8),MONTH(K$8),Assumptions!$G35)&gt;=K$7,
                          DATE(YEAR(K$8),MONTH(K$8),Assumptions!$G35)&lt;=K$8
                        )
                      ),
                    "Yes","No"),
                  "No")
                )
              )
            )
          )
        )
      )
    )
  )
)</f>
        <v>No</v>
      </c>
      <c r="L23" s="59" t="str">
        <f>IF(
  Assumptions!$K35="Off",
  "No",
  IF(
    Assumptions!$F35="I will phase manually",
    "No",
    IF(
      Assumptions!$F35="Last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Assumptions!$F35="End of month",
        IF(
          OR(
            AND(EOMONTH(L$7,0)&gt;=L$7, EOMONTH(L$7,0)&lt;=L$8),
            AND(EOMONTH(L$8,0)&gt;=L$7, EOMONTH(L$8,0)&lt;=L$8)
          ),
        "Yes","No"),
        IF(
          Assumptions!$F35="Specific day of month",
          IF(
            OR(
              AND(DATE(YEAR(L$7),MONTH(L$7),Assumptions!$G35)&gt;=L$7, DATE(YEAR(L$7),MONTH(L$7),Assumptions!$G35)&lt;=L$8),
              AND(DATE(YEAR(L$8),MONTH(L$8),Assumptions!$G35)&gt;=L$7, DATE(YEAR(L$8),MONTH(L$8),Assumptions!$G35)&lt;=L$8)
            ),
          "Yes","No"),
          IF(
            Assumptions!$F35="Last X day of month",
            IF(
              AND(
                WEEKDAY(L$7,2)&lt;=MATCH(Assumptions!$J35,{"Monday","Tuesday","Wednesday","Thursday","Friday"},0),
                WEEKDAY(L$8,2)&gt;=MATCH(Assumptions!$J35,{"Monday","Tuesday","Wednesday","Thursday","Friday"},0),
                (L$7+(MATCH(Assumptions!$J35,{"Monday","Tuesday","Wednesday","Thursday","Friday"},0)-WEEKDAY(L$7,2)))+7&gt;EOMONTH((L$7+(MATCH(Assumptions!$J35,{"Monday","Tuesday","Wednesday","Thursday","Friday"},0)-WEEKDAY(L$7,2))),0)
              ),
            "Yes","No"),
            IF(
              Assumptions!$F35="Weekly",
              IF(
                AND(
                  WEEKDAY(L$7,2)&lt;=MATCH(Assumptions!$J35,{"Monday","Tuesday","Wednesday","Thursday","Friday"},0),
                  WEEKDAY(L$8,2)&gt;=MATCH(Assumptions!$J35,{"Monday","Tuesday","Wednesday","Thursday","Friday"},0)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AND(Assumptions!$I35&gt;=L$7, Assumptions!$I35&lt;=L$8),
                    AND(
                      Assumptions!$I35&lt;L$7,
                      MOD(INT((L$7-(Assumptions!$I35-WEEKDAY(Assumptions!$I35,2)+1))/7),2)=0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AND(Assumptions!$I35&gt;=L$7, Assumptions!$I35&lt;=L$8),
                      AND(
                        Assumptions!$I35&lt;L$7,
                        MOD(INT((L$7-(Assumptions!$I35-WEEKDAY(Assumptions!$I35,2)+1))/7),3)=0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ISNUMBER(MATCH(MONTH(L$7),IF(Assumptions!$H35="Jan / Apr / Jul / Oct",{1,4,7,10},IF(Assumptions!$H35="Feb / May / Aug / Nov",{2,5,8,11},{3,6,9,12})),0)),
                          DATE(YEAR(L$7),MONTH(L$7),Assumptions!$G35)&gt;=L$7,
                          DATE(YEAR(L$7),MONTH(L$7),Assumptions!$G35)&lt;=L$8
                        ),
                        AND(
                          ISNUMBER(MATCH(MONTH(L$8),IF(Assumptions!$H35="Jan / Apr / Jul / Oct",{1,4,7,10},IF(Assumptions!$H35="Feb / May / Aug / Nov",{2,5,8,11},{3,6,9,12})),0)),
                          DATE(YEAR(L$8),MONTH(L$8),Assumptions!$G35)&gt;=L$7,
                          DATE(YEAR(L$8),MONTH(L$8),Assumptions!$G35)&lt;=L$8
                        )
                      ),
                    "Yes","No"),
                  "No")
                )
              )
            )
          )
        )
      )
    )
  )
)</f>
        <v>No</v>
      </c>
      <c r="M23" s="59" t="str">
        <f>IF(
  Assumptions!$K35="Off",
  "No",
  IF(
    Assumptions!$F35="I will phase manually",
    "No",
    IF(
      Assumptions!$F35="Last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Assumptions!$F35="End of month",
        IF(
          OR(
            AND(EOMONTH(M$7,0)&gt;=M$7, EOMONTH(M$7,0)&lt;=M$8),
            AND(EOMONTH(M$8,0)&gt;=M$7, EOMONTH(M$8,0)&lt;=M$8)
          ),
        "Yes","No"),
        IF(
          Assumptions!$F35="Specific day of month",
          IF(
            OR(
              AND(DATE(YEAR(M$7),MONTH(M$7),Assumptions!$G35)&gt;=M$7, DATE(YEAR(M$7),MONTH(M$7),Assumptions!$G35)&lt;=M$8),
              AND(DATE(YEAR(M$8),MONTH(M$8),Assumptions!$G35)&gt;=M$7, DATE(YEAR(M$8),MONTH(M$8),Assumptions!$G35)&lt;=M$8)
            ),
          "Yes","No"),
          IF(
            Assumptions!$F35="Last X day of month",
            IF(
              AND(
                WEEKDAY(M$7,2)&lt;=MATCH(Assumptions!$J35,{"Monday","Tuesday","Wednesday","Thursday","Friday"},0),
                WEEKDAY(M$8,2)&gt;=MATCH(Assumptions!$J35,{"Monday","Tuesday","Wednesday","Thursday","Friday"},0),
                (M$7+(MATCH(Assumptions!$J35,{"Monday","Tuesday","Wednesday","Thursday","Friday"},0)-WEEKDAY(M$7,2)))+7&gt;EOMONTH((M$7+(MATCH(Assumptions!$J35,{"Monday","Tuesday","Wednesday","Thursday","Friday"},0)-WEEKDAY(M$7,2))),0)
              ),
            "Yes","No"),
            IF(
              Assumptions!$F35="Weekly",
              IF(
                AND(
                  WEEKDAY(M$7,2)&lt;=MATCH(Assumptions!$J35,{"Monday","Tuesday","Wednesday","Thursday","Friday"},0),
                  WEEKDAY(M$8,2)&gt;=MATCH(Assumptions!$J35,{"Monday","Tuesday","Wednesday","Thursday","Friday"},0)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AND(Assumptions!$I35&gt;=M$7, Assumptions!$I35&lt;=M$8),
                    AND(
                      Assumptions!$I35&lt;M$7,
                      MOD(INT((M$7-(Assumptions!$I35-WEEKDAY(Assumptions!$I35,2)+1))/7),2)=0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AND(Assumptions!$I35&gt;=M$7, Assumptions!$I35&lt;=M$8),
                      AND(
                        Assumptions!$I35&lt;M$7,
                        MOD(INT((M$7-(Assumptions!$I35-WEEKDAY(Assumptions!$I35,2)+1))/7),3)=0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ISNUMBER(MATCH(MONTH(M$7),IF(Assumptions!$H35="Jan / Apr / Jul / Oct",{1,4,7,10},IF(Assumptions!$H35="Feb / May / Aug / Nov",{2,5,8,11},{3,6,9,12})),0)),
                          DATE(YEAR(M$7),MONTH(M$7),Assumptions!$G35)&gt;=M$7,
                          DATE(YEAR(M$7),MONTH(M$7),Assumptions!$G35)&lt;=M$8
                        ),
                        AND(
                          ISNUMBER(MATCH(MONTH(M$8),IF(Assumptions!$H35="Jan / Apr / Jul / Oct",{1,4,7,10},IF(Assumptions!$H35="Feb / May / Aug / Nov",{2,5,8,11},{3,6,9,12})),0)),
                          DATE(YEAR(M$8),MONTH(M$8),Assumptions!$G35)&gt;=M$7,
                          DATE(YEAR(M$8),MONTH(M$8),Assumptions!$G35)&lt;=M$8
                        )
                      ),
                    "Yes","No"),
                  "No")
                )
              )
            )
          )
        )
      )
    )
  )
)</f>
        <v>No</v>
      </c>
      <c r="N23" s="59" t="str">
        <f>IF(
  Assumptions!$K35="Off",
  "No",
  IF(
    Assumptions!$F35="I will phase manually",
    "No",
    IF(
      Assumptions!$F35="Last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Assumptions!$F35="End of month",
        IF(
          OR(
            AND(EOMONTH(N$7,0)&gt;=N$7, EOMONTH(N$7,0)&lt;=N$8),
            AND(EOMONTH(N$8,0)&gt;=N$7, EOMONTH(N$8,0)&lt;=N$8)
          ),
        "Yes","No"),
        IF(
          Assumptions!$F35="Specific day of month",
          IF(
            OR(
              AND(DATE(YEAR(N$7),MONTH(N$7),Assumptions!$G35)&gt;=N$7, DATE(YEAR(N$7),MONTH(N$7),Assumptions!$G35)&lt;=N$8),
              AND(DATE(YEAR(N$8),MONTH(N$8),Assumptions!$G35)&gt;=N$7, DATE(YEAR(N$8),MONTH(N$8),Assumptions!$G35)&lt;=N$8)
            ),
          "Yes","No"),
          IF(
            Assumptions!$F35="Last X day of month",
            IF(
              AND(
                WEEKDAY(N$7,2)&lt;=MATCH(Assumptions!$J35,{"Monday","Tuesday","Wednesday","Thursday","Friday"},0),
                WEEKDAY(N$8,2)&gt;=MATCH(Assumptions!$J35,{"Monday","Tuesday","Wednesday","Thursday","Friday"},0),
                (N$7+(MATCH(Assumptions!$J35,{"Monday","Tuesday","Wednesday","Thursday","Friday"},0)-WEEKDAY(N$7,2)))+7&gt;EOMONTH((N$7+(MATCH(Assumptions!$J35,{"Monday","Tuesday","Wednesday","Thursday","Friday"},0)-WEEKDAY(N$7,2))),0)
              ),
            "Yes","No"),
            IF(
              Assumptions!$F35="Weekly",
              IF(
                AND(
                  WEEKDAY(N$7,2)&lt;=MATCH(Assumptions!$J35,{"Monday","Tuesday","Wednesday","Thursday","Friday"},0),
                  WEEKDAY(N$8,2)&gt;=MATCH(Assumptions!$J35,{"Monday","Tuesday","Wednesday","Thursday","Friday"},0)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AND(Assumptions!$I35&gt;=N$7, Assumptions!$I35&lt;=N$8),
                    AND(
                      Assumptions!$I35&lt;N$7,
                      MOD(INT((N$7-(Assumptions!$I35-WEEKDAY(Assumptions!$I35,2)+1))/7),2)=0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AND(Assumptions!$I35&gt;=N$7, Assumptions!$I35&lt;=N$8),
                      AND(
                        Assumptions!$I35&lt;N$7,
                        MOD(INT((N$7-(Assumptions!$I35-WEEKDAY(Assumptions!$I35,2)+1))/7),3)=0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ISNUMBER(MATCH(MONTH(N$7),IF(Assumptions!$H35="Jan / Apr / Jul / Oct",{1,4,7,10},IF(Assumptions!$H35="Feb / May / Aug / Nov",{2,5,8,11},{3,6,9,12})),0)),
                          DATE(YEAR(N$7),MONTH(N$7),Assumptions!$G35)&gt;=N$7,
                          DATE(YEAR(N$7),MONTH(N$7),Assumptions!$G35)&lt;=N$8
                        ),
                        AND(
                          ISNUMBER(MATCH(MONTH(N$8),IF(Assumptions!$H35="Jan / Apr / Jul / Oct",{1,4,7,10},IF(Assumptions!$H35="Feb / May / Aug / Nov",{2,5,8,11},{3,6,9,12})),0)),
                          DATE(YEAR(N$8),MONTH(N$8),Assumptions!$G35)&gt;=N$7,
                          DATE(YEAR(N$8),MONTH(N$8),Assumptions!$G35)&lt;=N$8
                        )
                      ),
                    "Yes","No"),
                  "No")
                )
              )
            )
          )
        )
      )
    )
  )
)</f>
        <v>No</v>
      </c>
      <c r="O23" s="59" t="str">
        <f>IF(
  Assumptions!$K35="Off",
  "No",
  IF(
    Assumptions!$F35="I will phase manually",
    "No",
    IF(
      Assumptions!$F35="Last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Assumptions!$F35="End of month",
        IF(
          OR(
            AND(EOMONTH(O$7,0)&gt;=O$7, EOMONTH(O$7,0)&lt;=O$8),
            AND(EOMONTH(O$8,0)&gt;=O$7, EOMONTH(O$8,0)&lt;=O$8)
          ),
        "Yes","No"),
        IF(
          Assumptions!$F35="Specific day of month",
          IF(
            OR(
              AND(DATE(YEAR(O$7),MONTH(O$7),Assumptions!$G35)&gt;=O$7, DATE(YEAR(O$7),MONTH(O$7),Assumptions!$G35)&lt;=O$8),
              AND(DATE(YEAR(O$8),MONTH(O$8),Assumptions!$G35)&gt;=O$7, DATE(YEAR(O$8),MONTH(O$8),Assumptions!$G35)&lt;=O$8)
            ),
          "Yes","No"),
          IF(
            Assumptions!$F35="Last X day of month",
            IF(
              AND(
                WEEKDAY(O$7,2)&lt;=MATCH(Assumptions!$J35,{"Monday","Tuesday","Wednesday","Thursday","Friday"},0),
                WEEKDAY(O$8,2)&gt;=MATCH(Assumptions!$J35,{"Monday","Tuesday","Wednesday","Thursday","Friday"},0),
                (O$7+(MATCH(Assumptions!$J35,{"Monday","Tuesday","Wednesday","Thursday","Friday"},0)-WEEKDAY(O$7,2)))+7&gt;EOMONTH((O$7+(MATCH(Assumptions!$J35,{"Monday","Tuesday","Wednesday","Thursday","Friday"},0)-WEEKDAY(O$7,2))),0)
              ),
            "Yes","No"),
            IF(
              Assumptions!$F35="Weekly",
              IF(
                AND(
                  WEEKDAY(O$7,2)&lt;=MATCH(Assumptions!$J35,{"Monday","Tuesday","Wednesday","Thursday","Friday"},0),
                  WEEKDAY(O$8,2)&gt;=MATCH(Assumptions!$J35,{"Monday","Tuesday","Wednesday","Thursday","Friday"},0)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AND(Assumptions!$I35&gt;=O$7, Assumptions!$I35&lt;=O$8),
                    AND(
                      Assumptions!$I35&lt;O$7,
                      MOD(INT((O$7-(Assumptions!$I35-WEEKDAY(Assumptions!$I35,2)+1))/7),2)=0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AND(Assumptions!$I35&gt;=O$7, Assumptions!$I35&lt;=O$8),
                      AND(
                        Assumptions!$I35&lt;O$7,
                        MOD(INT((O$7-(Assumptions!$I35-WEEKDAY(Assumptions!$I35,2)+1))/7),3)=0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ISNUMBER(MATCH(MONTH(O$7),IF(Assumptions!$H35="Jan / Apr / Jul / Oct",{1,4,7,10},IF(Assumptions!$H35="Feb / May / Aug / Nov",{2,5,8,11},{3,6,9,12})),0)),
                          DATE(YEAR(O$7),MONTH(O$7),Assumptions!$G35)&gt;=O$7,
                          DATE(YEAR(O$7),MONTH(O$7),Assumptions!$G35)&lt;=O$8
                        ),
                        AND(
                          ISNUMBER(MATCH(MONTH(O$8),IF(Assumptions!$H35="Jan / Apr / Jul / Oct",{1,4,7,10},IF(Assumptions!$H35="Feb / May / Aug / Nov",{2,5,8,11},{3,6,9,12})),0)),
                          DATE(YEAR(O$8),MONTH(O$8),Assumptions!$G35)&gt;=O$7,
                          DATE(YEAR(O$8),MONTH(O$8),Assumptions!$G35)&lt;=O$8
                        )
                      ),
                    "Yes","No"),
                  "No")
                )
              )
            )
          )
        )
      )
    )
  )
)</f>
        <v>No</v>
      </c>
      <c r="P23" s="59" t="str">
        <f>IF(
  Assumptions!$K35="Off",
  "No",
  IF(
    Assumptions!$F35="I will phase manually",
    "No",
    IF(
      Assumptions!$F35="Last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Assumptions!$F35="End of month",
        IF(
          OR(
            AND(EOMONTH(P$7,0)&gt;=P$7, EOMONTH(P$7,0)&lt;=P$8),
            AND(EOMONTH(P$8,0)&gt;=P$7, EOMONTH(P$8,0)&lt;=P$8)
          ),
        "Yes","No"),
        IF(
          Assumptions!$F35="Specific day of month",
          IF(
            OR(
              AND(DATE(YEAR(P$7),MONTH(P$7),Assumptions!$G35)&gt;=P$7, DATE(YEAR(P$7),MONTH(P$7),Assumptions!$G35)&lt;=P$8),
              AND(DATE(YEAR(P$8),MONTH(P$8),Assumptions!$G35)&gt;=P$7, DATE(YEAR(P$8),MONTH(P$8),Assumptions!$G35)&lt;=P$8)
            ),
          "Yes","No"),
          IF(
            Assumptions!$F35="Last X day of month",
            IF(
              AND(
                WEEKDAY(P$7,2)&lt;=MATCH(Assumptions!$J35,{"Monday","Tuesday","Wednesday","Thursday","Friday"},0),
                WEEKDAY(P$8,2)&gt;=MATCH(Assumptions!$J35,{"Monday","Tuesday","Wednesday","Thursday","Friday"},0),
                (P$7+(MATCH(Assumptions!$J35,{"Monday","Tuesday","Wednesday","Thursday","Friday"},0)-WEEKDAY(P$7,2)))+7&gt;EOMONTH((P$7+(MATCH(Assumptions!$J35,{"Monday","Tuesday","Wednesday","Thursday","Friday"},0)-WEEKDAY(P$7,2))),0)
              ),
            "Yes","No"),
            IF(
              Assumptions!$F35="Weekly",
              IF(
                AND(
                  WEEKDAY(P$7,2)&lt;=MATCH(Assumptions!$J35,{"Monday","Tuesday","Wednesday","Thursday","Friday"},0),
                  WEEKDAY(P$8,2)&gt;=MATCH(Assumptions!$J35,{"Monday","Tuesday","Wednesday","Thursday","Friday"},0)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AND(Assumptions!$I35&gt;=P$7, Assumptions!$I35&lt;=P$8),
                    AND(
                      Assumptions!$I35&lt;P$7,
                      MOD(INT((P$7-(Assumptions!$I35-WEEKDAY(Assumptions!$I35,2)+1))/7),2)=0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AND(Assumptions!$I35&gt;=P$7, Assumptions!$I35&lt;=P$8),
                      AND(
                        Assumptions!$I35&lt;P$7,
                        MOD(INT((P$7-(Assumptions!$I35-WEEKDAY(Assumptions!$I35,2)+1))/7),3)=0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ISNUMBER(MATCH(MONTH(P$7),IF(Assumptions!$H35="Jan / Apr / Jul / Oct",{1,4,7,10},IF(Assumptions!$H35="Feb / May / Aug / Nov",{2,5,8,11},{3,6,9,12})),0)),
                          DATE(YEAR(P$7),MONTH(P$7),Assumptions!$G35)&gt;=P$7,
                          DATE(YEAR(P$7),MONTH(P$7),Assumptions!$G35)&lt;=P$8
                        ),
                        AND(
                          ISNUMBER(MATCH(MONTH(P$8),IF(Assumptions!$H35="Jan / Apr / Jul / Oct",{1,4,7,10},IF(Assumptions!$H35="Feb / May / Aug / Nov",{2,5,8,11},{3,6,9,12})),0)),
                          DATE(YEAR(P$8),MONTH(P$8),Assumptions!$G35)&gt;=P$7,
                          DATE(YEAR(P$8),MONTH(P$8),Assumptions!$G35)&lt;=P$8
                        )
                      ),
                    "Yes","No"),
                  "No")
                )
              )
            )
          )
        )
      )
    )
  )
)</f>
        <v>No</v>
      </c>
      <c r="Q23" s="59" t="str">
        <f>IF(
  Assumptions!$K35="Off",
  "No",
  IF(
    Assumptions!$F35="I will phase manually",
    "No",
    IF(
      Assumptions!$F35="Last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Assumptions!$F35="End of month",
        IF(
          OR(
            AND(EOMONTH(Q$7,0)&gt;=Q$7, EOMONTH(Q$7,0)&lt;=Q$8),
            AND(EOMONTH(Q$8,0)&gt;=Q$7, EOMONTH(Q$8,0)&lt;=Q$8)
          ),
        "Yes","No"),
        IF(
          Assumptions!$F35="Specific day of month",
          IF(
            OR(
              AND(DATE(YEAR(Q$7),MONTH(Q$7),Assumptions!$G35)&gt;=Q$7, DATE(YEAR(Q$7),MONTH(Q$7),Assumptions!$G35)&lt;=Q$8),
              AND(DATE(YEAR(Q$8),MONTH(Q$8),Assumptions!$G35)&gt;=Q$7, DATE(YEAR(Q$8),MONTH(Q$8),Assumptions!$G35)&lt;=Q$8)
            ),
          "Yes","No"),
          IF(
            Assumptions!$F35="Last X day of month",
            IF(
              AND(
                WEEKDAY(Q$7,2)&lt;=MATCH(Assumptions!$J35,{"Monday","Tuesday","Wednesday","Thursday","Friday"},0),
                WEEKDAY(Q$8,2)&gt;=MATCH(Assumptions!$J35,{"Monday","Tuesday","Wednesday","Thursday","Friday"},0),
                (Q$7+(MATCH(Assumptions!$J35,{"Monday","Tuesday","Wednesday","Thursday","Friday"},0)-WEEKDAY(Q$7,2)))+7&gt;EOMONTH((Q$7+(MATCH(Assumptions!$J35,{"Monday","Tuesday","Wednesday","Thursday","Friday"},0)-WEEKDAY(Q$7,2))),0)
              ),
            "Yes","No"),
            IF(
              Assumptions!$F35="Weekly",
              IF(
                AND(
                  WEEKDAY(Q$7,2)&lt;=MATCH(Assumptions!$J35,{"Monday","Tuesday","Wednesday","Thursday","Friday"},0),
                  WEEKDAY(Q$8,2)&gt;=MATCH(Assumptions!$J35,{"Monday","Tuesday","Wednesday","Thursday","Friday"},0)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AND(Assumptions!$I35&gt;=Q$7, Assumptions!$I35&lt;=Q$8),
                    AND(
                      Assumptions!$I35&lt;Q$7,
                      MOD(INT((Q$7-(Assumptions!$I35-WEEKDAY(Assumptions!$I35,2)+1))/7),2)=0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AND(Assumptions!$I35&gt;=Q$7, Assumptions!$I35&lt;=Q$8),
                      AND(
                        Assumptions!$I35&lt;Q$7,
                        MOD(INT((Q$7-(Assumptions!$I35-WEEKDAY(Assumptions!$I35,2)+1))/7),3)=0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ISNUMBER(MATCH(MONTH(Q$7),IF(Assumptions!$H35="Jan / Apr / Jul / Oct",{1,4,7,10},IF(Assumptions!$H35="Feb / May / Aug / Nov",{2,5,8,11},{3,6,9,12})),0)),
                          DATE(YEAR(Q$7),MONTH(Q$7),Assumptions!$G35)&gt;=Q$7,
                          DATE(YEAR(Q$7),MONTH(Q$7),Assumptions!$G35)&lt;=Q$8
                        ),
                        AND(
                          ISNUMBER(MATCH(MONTH(Q$8),IF(Assumptions!$H35="Jan / Apr / Jul / Oct",{1,4,7,10},IF(Assumptions!$H35="Feb / May / Aug / Nov",{2,5,8,11},{3,6,9,12})),0)),
                          DATE(YEAR(Q$8),MONTH(Q$8),Assumptions!$G35)&gt;=Q$7,
                          DATE(YEAR(Q$8),MONTH(Q$8),Assumptions!$G35)&lt;=Q$8
                        )
                      ),
                    "Yes","No"),
                  "No")
                )
              )
            )
          )
        )
      )
    )
  )
)</f>
        <v>No</v>
      </c>
      <c r="R23" s="59" t="str">
        <f>IF(
  Assumptions!$K35="Off",
  "No",
  IF(
    Assumptions!$F35="I will phase manually",
    "No",
    IF(
      Assumptions!$F35="Last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Assumptions!$F35="End of month",
        IF(
          OR(
            AND(EOMONTH(R$7,0)&gt;=R$7, EOMONTH(R$7,0)&lt;=R$8),
            AND(EOMONTH(R$8,0)&gt;=R$7, EOMONTH(R$8,0)&lt;=R$8)
          ),
        "Yes","No"),
        IF(
          Assumptions!$F35="Specific day of month",
          IF(
            OR(
              AND(DATE(YEAR(R$7),MONTH(R$7),Assumptions!$G35)&gt;=R$7, DATE(YEAR(R$7),MONTH(R$7),Assumptions!$G35)&lt;=R$8),
              AND(DATE(YEAR(R$8),MONTH(R$8),Assumptions!$G35)&gt;=R$7, DATE(YEAR(R$8),MONTH(R$8),Assumptions!$G35)&lt;=R$8)
            ),
          "Yes","No"),
          IF(
            Assumptions!$F35="Last X day of month",
            IF(
              AND(
                WEEKDAY(R$7,2)&lt;=MATCH(Assumptions!$J35,{"Monday","Tuesday","Wednesday","Thursday","Friday"},0),
                WEEKDAY(R$8,2)&gt;=MATCH(Assumptions!$J35,{"Monday","Tuesday","Wednesday","Thursday","Friday"},0),
                (R$7+(MATCH(Assumptions!$J35,{"Monday","Tuesday","Wednesday","Thursday","Friday"},0)-WEEKDAY(R$7,2)))+7&gt;EOMONTH((R$7+(MATCH(Assumptions!$J35,{"Monday","Tuesday","Wednesday","Thursday","Friday"},0)-WEEKDAY(R$7,2))),0)
              ),
            "Yes","No"),
            IF(
              Assumptions!$F35="Weekly",
              IF(
                AND(
                  WEEKDAY(R$7,2)&lt;=MATCH(Assumptions!$J35,{"Monday","Tuesday","Wednesday","Thursday","Friday"},0),
                  WEEKDAY(R$8,2)&gt;=MATCH(Assumptions!$J35,{"Monday","Tuesday","Wednesday","Thursday","Friday"},0)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AND(Assumptions!$I35&gt;=R$7, Assumptions!$I35&lt;=R$8),
                    AND(
                      Assumptions!$I35&lt;R$7,
                      MOD(INT((R$7-(Assumptions!$I35-WEEKDAY(Assumptions!$I35,2)+1))/7),2)=0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AND(Assumptions!$I35&gt;=R$7, Assumptions!$I35&lt;=R$8),
                      AND(
                        Assumptions!$I35&lt;R$7,
                        MOD(INT((R$7-(Assumptions!$I35-WEEKDAY(Assumptions!$I35,2)+1))/7),3)=0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ISNUMBER(MATCH(MONTH(R$7),IF(Assumptions!$H35="Jan / Apr / Jul / Oct",{1,4,7,10},IF(Assumptions!$H35="Feb / May / Aug / Nov",{2,5,8,11},{3,6,9,12})),0)),
                          DATE(YEAR(R$7),MONTH(R$7),Assumptions!$G35)&gt;=R$7,
                          DATE(YEAR(R$7),MONTH(R$7),Assumptions!$G35)&lt;=R$8
                        ),
                        AND(
                          ISNUMBER(MATCH(MONTH(R$8),IF(Assumptions!$H35="Jan / Apr / Jul / Oct",{1,4,7,10},IF(Assumptions!$H35="Feb / May / Aug / Nov",{2,5,8,11},{3,6,9,12})),0)),
                          DATE(YEAR(R$8),MONTH(R$8),Assumptions!$G35)&gt;=R$7,
                          DATE(YEAR(R$8),MONTH(R$8),Assumptions!$G35)&lt;=R$8
                        )
                      ),
                    "Yes","No"),
                  "No")
                )
              )
            )
          )
        )
      )
    )
  )
)</f>
        <v>No</v>
      </c>
      <c r="S23" s="59" t="str">
        <f>IF(
  Assumptions!$K35="Off",
  "No",
  IF(
    Assumptions!$F35="I will phase manually",
    "No",
    IF(
      Assumptions!$F35="Last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Assumptions!$F35="End of month",
        IF(
          OR(
            AND(EOMONTH(S$7,0)&gt;=S$7, EOMONTH(S$7,0)&lt;=S$8),
            AND(EOMONTH(S$8,0)&gt;=S$7, EOMONTH(S$8,0)&lt;=S$8)
          ),
        "Yes","No"),
        IF(
          Assumptions!$F35="Specific day of month",
          IF(
            OR(
              AND(DATE(YEAR(S$7),MONTH(S$7),Assumptions!$G35)&gt;=S$7, DATE(YEAR(S$7),MONTH(S$7),Assumptions!$G35)&lt;=S$8),
              AND(DATE(YEAR(S$8),MONTH(S$8),Assumptions!$G35)&gt;=S$7, DATE(YEAR(S$8),MONTH(S$8),Assumptions!$G35)&lt;=S$8)
            ),
          "Yes","No"),
          IF(
            Assumptions!$F35="Last X day of month",
            IF(
              AND(
                WEEKDAY(S$7,2)&lt;=MATCH(Assumptions!$J35,{"Monday","Tuesday","Wednesday","Thursday","Friday"},0),
                WEEKDAY(S$8,2)&gt;=MATCH(Assumptions!$J35,{"Monday","Tuesday","Wednesday","Thursday","Friday"},0),
                (S$7+(MATCH(Assumptions!$J35,{"Monday","Tuesday","Wednesday","Thursday","Friday"},0)-WEEKDAY(S$7,2)))+7&gt;EOMONTH((S$7+(MATCH(Assumptions!$J35,{"Monday","Tuesday","Wednesday","Thursday","Friday"},0)-WEEKDAY(S$7,2))),0)
              ),
            "Yes","No"),
            IF(
              Assumptions!$F35="Weekly",
              IF(
                AND(
                  WEEKDAY(S$7,2)&lt;=MATCH(Assumptions!$J35,{"Monday","Tuesday","Wednesday","Thursday","Friday"},0),
                  WEEKDAY(S$8,2)&gt;=MATCH(Assumptions!$J35,{"Monday","Tuesday","Wednesday","Thursday","Friday"},0)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AND(Assumptions!$I35&gt;=S$7, Assumptions!$I35&lt;=S$8),
                    AND(
                      Assumptions!$I35&lt;S$7,
                      MOD(INT((S$7-(Assumptions!$I35-WEEKDAY(Assumptions!$I35,2)+1))/7),2)=0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AND(Assumptions!$I35&gt;=S$7, Assumptions!$I35&lt;=S$8),
                      AND(
                        Assumptions!$I35&lt;S$7,
                        MOD(INT((S$7-(Assumptions!$I35-WEEKDAY(Assumptions!$I35,2)+1))/7),3)=0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ISNUMBER(MATCH(MONTH(S$7),IF(Assumptions!$H35="Jan / Apr / Jul / Oct",{1,4,7,10},IF(Assumptions!$H35="Feb / May / Aug / Nov",{2,5,8,11},{3,6,9,12})),0)),
                          DATE(YEAR(S$7),MONTH(S$7),Assumptions!$G35)&gt;=S$7,
                          DATE(YEAR(S$7),MONTH(S$7),Assumptions!$G35)&lt;=S$8
                        ),
                        AND(
                          ISNUMBER(MATCH(MONTH(S$8),IF(Assumptions!$H35="Jan / Apr / Jul / Oct",{1,4,7,10},IF(Assumptions!$H35="Feb / May / Aug / Nov",{2,5,8,11},{3,6,9,12})),0)),
                          DATE(YEAR(S$8),MONTH(S$8),Assumptions!$G35)&gt;=S$7,
                          DATE(YEAR(S$8),MONTH(S$8),Assumptions!$G35)&lt;=S$8
                        )
                      ),
                    "Yes","No"),
                  "No")
                )
              )
            )
          )
        )
      )
    )
  )
)</f>
        <v>No</v>
      </c>
      <c r="T23" s="59" t="s">
        <v>124</v>
      </c>
    </row>
    <row r="24" spans="3:20" hidden="1" outlineLevel="1" x14ac:dyDescent="0.25">
      <c r="C24" s="58">
        <f>Assumptions!D36</f>
        <v>0</v>
      </c>
      <c r="D24" s="58"/>
      <c r="E24" s="58"/>
      <c r="F24" s="58"/>
      <c r="G24" s="59" t="str">
        <f>IF(
  Assumptions!$K36="Off",
  "No",
  IF(
    Assumptions!$F36="I will phase manually",
    "No",
    IF(
      Assumptions!$F36="Last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Assumptions!$F36="End of month",
        IF(
          OR(
            AND(EOMONTH(G$7,0)&gt;=G$7, EOMONTH(G$7,0)&lt;=G$8),
            AND(EOMONTH(G$8,0)&gt;=G$7, EOMONTH(G$8,0)&lt;=G$8)
          ),
        "Yes","No"),
        IF(
          Assumptions!$F36="Specific day of month",
          IF(
            OR(
              AND(DATE(YEAR(G$7),MONTH(G$7),Assumptions!$G36)&gt;=G$7, DATE(YEAR(G$7),MONTH(G$7),Assumptions!$G36)&lt;=G$8),
              AND(DATE(YEAR(G$8),MONTH(G$8),Assumptions!$G36)&gt;=G$7, DATE(YEAR(G$8),MONTH(G$8),Assumptions!$G36)&lt;=G$8)
            ),
          "Yes","No"),
          IF(
            Assumptions!$F36="Last X day of month",
            IF(
              AND(
                WEEKDAY(G$7,2)&lt;=MATCH(Assumptions!$J36,{"Monday","Tuesday","Wednesday","Thursday","Friday"},0),
                WEEKDAY(G$8,2)&gt;=MATCH(Assumptions!$J36,{"Monday","Tuesday","Wednesday","Thursday","Friday"},0),
                (G$7+(MATCH(Assumptions!$J36,{"Monday","Tuesday","Wednesday","Thursday","Friday"},0)-WEEKDAY(G$7,2)))+7&gt;EOMONTH((G$7+(MATCH(Assumptions!$J36,{"Monday","Tuesday","Wednesday","Thursday","Friday"},0)-WEEKDAY(G$7,2))),0)
              ),
            "Yes","No"),
            IF(
              Assumptions!$F36="Weekly",
              IF(
                AND(
                  WEEKDAY(G$7,2)&lt;=MATCH(Assumptions!$J36,{"Monday","Tuesday","Wednesday","Thursday","Friday"},0),
                  WEEKDAY(G$8,2)&gt;=MATCH(Assumptions!$J36,{"Monday","Tuesday","Wednesday","Thursday","Friday"},0)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AND(Assumptions!$I36&gt;=G$7, Assumptions!$I36&lt;=G$8),
                    AND(
                      Assumptions!$I36&lt;G$7,
                      MOD(INT((G$7-(Assumptions!$I36-WEEKDAY(Assumptions!$I36,2)+1))/7),2)=0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AND(Assumptions!$I36&gt;=G$7, Assumptions!$I36&lt;=G$8),
                      AND(
                        Assumptions!$I36&lt;G$7,
                        MOD(INT((G$7-(Assumptions!$I36-WEEKDAY(Assumptions!$I36,2)+1))/7),3)=0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ISNUMBER(MATCH(MONTH(G$7),IF(Assumptions!$H36="Jan / Apr / Jul / Oct",{1,4,7,10},IF(Assumptions!$H36="Feb / May / Aug / Nov",{2,5,8,11},{3,6,9,12})),0)),
                          DATE(YEAR(G$7),MONTH(G$7),Assumptions!$G36)&gt;=G$7,
                          DATE(YEAR(G$7),MONTH(G$7),Assumptions!$G36)&lt;=G$8
                        ),
                        AND(
                          ISNUMBER(MATCH(MONTH(G$8),IF(Assumptions!$H36="Jan / Apr / Jul / Oct",{1,4,7,10},IF(Assumptions!$H36="Feb / May / Aug / Nov",{2,5,8,11},{3,6,9,12})),0)),
                          DATE(YEAR(G$8),MONTH(G$8),Assumptions!$G36)&gt;=G$7,
                          DATE(YEAR(G$8),MONTH(G$8),Assumptions!$G36)&lt;=G$8
                        )
                      ),
                    "Yes","No"),
                  "No")
                )
              )
            )
          )
        )
      )
    )
  )
)</f>
        <v>No</v>
      </c>
      <c r="H24" s="59" t="str">
        <f>IF(
  Assumptions!$K36="Off",
  "No",
  IF(
    Assumptions!$F36="I will phase manually",
    "No",
    IF(
      Assumptions!$F36="Last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Assumptions!$F36="End of month",
        IF(
          OR(
            AND(EOMONTH(H$7,0)&gt;=H$7, EOMONTH(H$7,0)&lt;=H$8),
            AND(EOMONTH(H$8,0)&gt;=H$7, EOMONTH(H$8,0)&lt;=H$8)
          ),
        "Yes","No"),
        IF(
          Assumptions!$F36="Specific day of month",
          IF(
            OR(
              AND(DATE(YEAR(H$7),MONTH(H$7),Assumptions!$G36)&gt;=H$7, DATE(YEAR(H$7),MONTH(H$7),Assumptions!$G36)&lt;=H$8),
              AND(DATE(YEAR(H$8),MONTH(H$8),Assumptions!$G36)&gt;=H$7, DATE(YEAR(H$8),MONTH(H$8),Assumptions!$G36)&lt;=H$8)
            ),
          "Yes","No"),
          IF(
            Assumptions!$F36="Last X day of month",
            IF(
              AND(
                WEEKDAY(H$7,2)&lt;=MATCH(Assumptions!$J36,{"Monday","Tuesday","Wednesday","Thursday","Friday"},0),
                WEEKDAY(H$8,2)&gt;=MATCH(Assumptions!$J36,{"Monday","Tuesday","Wednesday","Thursday","Friday"},0),
                (H$7+(MATCH(Assumptions!$J36,{"Monday","Tuesday","Wednesday","Thursday","Friday"},0)-WEEKDAY(H$7,2)))+7&gt;EOMONTH((H$7+(MATCH(Assumptions!$J36,{"Monday","Tuesday","Wednesday","Thursday","Friday"},0)-WEEKDAY(H$7,2))),0)
              ),
            "Yes","No"),
            IF(
              Assumptions!$F36="Weekly",
              IF(
                AND(
                  WEEKDAY(H$7,2)&lt;=MATCH(Assumptions!$J36,{"Monday","Tuesday","Wednesday","Thursday","Friday"},0),
                  WEEKDAY(H$8,2)&gt;=MATCH(Assumptions!$J36,{"Monday","Tuesday","Wednesday","Thursday","Friday"},0)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AND(Assumptions!$I36&gt;=H$7, Assumptions!$I36&lt;=H$8),
                    AND(
                      Assumptions!$I36&lt;H$7,
                      MOD(INT((H$7-(Assumptions!$I36-WEEKDAY(Assumptions!$I36,2)+1))/7),2)=0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AND(Assumptions!$I36&gt;=H$7, Assumptions!$I36&lt;=H$8),
                      AND(
                        Assumptions!$I36&lt;H$7,
                        MOD(INT((H$7-(Assumptions!$I36-WEEKDAY(Assumptions!$I36,2)+1))/7),3)=0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ISNUMBER(MATCH(MONTH(H$7),IF(Assumptions!$H36="Jan / Apr / Jul / Oct",{1,4,7,10},IF(Assumptions!$H36="Feb / May / Aug / Nov",{2,5,8,11},{3,6,9,12})),0)),
                          DATE(YEAR(H$7),MONTH(H$7),Assumptions!$G36)&gt;=H$7,
                          DATE(YEAR(H$7),MONTH(H$7),Assumptions!$G36)&lt;=H$8
                        ),
                        AND(
                          ISNUMBER(MATCH(MONTH(H$8),IF(Assumptions!$H36="Jan / Apr / Jul / Oct",{1,4,7,10},IF(Assumptions!$H36="Feb / May / Aug / Nov",{2,5,8,11},{3,6,9,12})),0)),
                          DATE(YEAR(H$8),MONTH(H$8),Assumptions!$G36)&gt;=H$7,
                          DATE(YEAR(H$8),MONTH(H$8),Assumptions!$G36)&lt;=H$8
                        )
                      ),
                    "Yes","No"),
                  "No")
                )
              )
            )
          )
        )
      )
    )
  )
)</f>
        <v>No</v>
      </c>
      <c r="I24" s="59" t="str">
        <f>IF(
  Assumptions!$K36="Off",
  "No",
  IF(
    Assumptions!$F36="I will phase manually",
    "No",
    IF(
      Assumptions!$F36="Last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Assumptions!$F36="End of month",
        IF(
          OR(
            AND(EOMONTH(I$7,0)&gt;=I$7, EOMONTH(I$7,0)&lt;=I$8),
            AND(EOMONTH(I$8,0)&gt;=I$7, EOMONTH(I$8,0)&lt;=I$8)
          ),
        "Yes","No"),
        IF(
          Assumptions!$F36="Specific day of month",
          IF(
            OR(
              AND(DATE(YEAR(I$7),MONTH(I$7),Assumptions!$G36)&gt;=I$7, DATE(YEAR(I$7),MONTH(I$7),Assumptions!$G36)&lt;=I$8),
              AND(DATE(YEAR(I$8),MONTH(I$8),Assumptions!$G36)&gt;=I$7, DATE(YEAR(I$8),MONTH(I$8),Assumptions!$G36)&lt;=I$8)
            ),
          "Yes","No"),
          IF(
            Assumptions!$F36="Last X day of month",
            IF(
              AND(
                WEEKDAY(I$7,2)&lt;=MATCH(Assumptions!$J36,{"Monday","Tuesday","Wednesday","Thursday","Friday"},0),
                WEEKDAY(I$8,2)&gt;=MATCH(Assumptions!$J36,{"Monday","Tuesday","Wednesday","Thursday","Friday"},0),
                (I$7+(MATCH(Assumptions!$J36,{"Monday","Tuesday","Wednesday","Thursday","Friday"},0)-WEEKDAY(I$7,2)))+7&gt;EOMONTH((I$7+(MATCH(Assumptions!$J36,{"Monday","Tuesday","Wednesday","Thursday","Friday"},0)-WEEKDAY(I$7,2))),0)
              ),
            "Yes","No"),
            IF(
              Assumptions!$F36="Weekly",
              IF(
                AND(
                  WEEKDAY(I$7,2)&lt;=MATCH(Assumptions!$J36,{"Monday","Tuesday","Wednesday","Thursday","Friday"},0),
                  WEEKDAY(I$8,2)&gt;=MATCH(Assumptions!$J36,{"Monday","Tuesday","Wednesday","Thursday","Friday"},0)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AND(Assumptions!$I36&gt;=I$7, Assumptions!$I36&lt;=I$8),
                    AND(
                      Assumptions!$I36&lt;I$7,
                      MOD(INT((I$7-(Assumptions!$I36-WEEKDAY(Assumptions!$I36,2)+1))/7),2)=0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AND(Assumptions!$I36&gt;=I$7, Assumptions!$I36&lt;=I$8),
                      AND(
                        Assumptions!$I36&lt;I$7,
                        MOD(INT((I$7-(Assumptions!$I36-WEEKDAY(Assumptions!$I36,2)+1))/7),3)=0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ISNUMBER(MATCH(MONTH(I$7),IF(Assumptions!$H36="Jan / Apr / Jul / Oct",{1,4,7,10},IF(Assumptions!$H36="Feb / May / Aug / Nov",{2,5,8,11},{3,6,9,12})),0)),
                          DATE(YEAR(I$7),MONTH(I$7),Assumptions!$G36)&gt;=I$7,
                          DATE(YEAR(I$7),MONTH(I$7),Assumptions!$G36)&lt;=I$8
                        ),
                        AND(
                          ISNUMBER(MATCH(MONTH(I$8),IF(Assumptions!$H36="Jan / Apr / Jul / Oct",{1,4,7,10},IF(Assumptions!$H36="Feb / May / Aug / Nov",{2,5,8,11},{3,6,9,12})),0)),
                          DATE(YEAR(I$8),MONTH(I$8),Assumptions!$G36)&gt;=I$7,
                          DATE(YEAR(I$8),MONTH(I$8),Assumptions!$G36)&lt;=I$8
                        )
                      ),
                    "Yes","No"),
                  "No")
                )
              )
            )
          )
        )
      )
    )
  )
)</f>
        <v>No</v>
      </c>
      <c r="J24" s="59" t="str">
        <f>IF(
  Assumptions!$K36="Off",
  "No",
  IF(
    Assumptions!$F36="I will phase manually",
    "No",
    IF(
      Assumptions!$F36="Last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Assumptions!$F36="End of month",
        IF(
          OR(
            AND(EOMONTH(J$7,0)&gt;=J$7, EOMONTH(J$7,0)&lt;=J$8),
            AND(EOMONTH(J$8,0)&gt;=J$7, EOMONTH(J$8,0)&lt;=J$8)
          ),
        "Yes","No"),
        IF(
          Assumptions!$F36="Specific day of month",
          IF(
            OR(
              AND(DATE(YEAR(J$7),MONTH(J$7),Assumptions!$G36)&gt;=J$7, DATE(YEAR(J$7),MONTH(J$7),Assumptions!$G36)&lt;=J$8),
              AND(DATE(YEAR(J$8),MONTH(J$8),Assumptions!$G36)&gt;=J$7, DATE(YEAR(J$8),MONTH(J$8),Assumptions!$G36)&lt;=J$8)
            ),
          "Yes","No"),
          IF(
            Assumptions!$F36="Last X day of month",
            IF(
              AND(
                WEEKDAY(J$7,2)&lt;=MATCH(Assumptions!$J36,{"Monday","Tuesday","Wednesday","Thursday","Friday"},0),
                WEEKDAY(J$8,2)&gt;=MATCH(Assumptions!$J36,{"Monday","Tuesday","Wednesday","Thursday","Friday"},0),
                (J$7+(MATCH(Assumptions!$J36,{"Monday","Tuesday","Wednesday","Thursday","Friday"},0)-WEEKDAY(J$7,2)))+7&gt;EOMONTH((J$7+(MATCH(Assumptions!$J36,{"Monday","Tuesday","Wednesday","Thursday","Friday"},0)-WEEKDAY(J$7,2))),0)
              ),
            "Yes","No"),
            IF(
              Assumptions!$F36="Weekly",
              IF(
                AND(
                  WEEKDAY(J$7,2)&lt;=MATCH(Assumptions!$J36,{"Monday","Tuesday","Wednesday","Thursday","Friday"},0),
                  WEEKDAY(J$8,2)&gt;=MATCH(Assumptions!$J36,{"Monday","Tuesday","Wednesday","Thursday","Friday"},0)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AND(Assumptions!$I36&gt;=J$7, Assumptions!$I36&lt;=J$8),
                    AND(
                      Assumptions!$I36&lt;J$7,
                      MOD(INT((J$7-(Assumptions!$I36-WEEKDAY(Assumptions!$I36,2)+1))/7),2)=0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AND(Assumptions!$I36&gt;=J$7, Assumptions!$I36&lt;=J$8),
                      AND(
                        Assumptions!$I36&lt;J$7,
                        MOD(INT((J$7-(Assumptions!$I36-WEEKDAY(Assumptions!$I36,2)+1))/7),3)=0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ISNUMBER(MATCH(MONTH(J$7),IF(Assumptions!$H36="Jan / Apr / Jul / Oct",{1,4,7,10},IF(Assumptions!$H36="Feb / May / Aug / Nov",{2,5,8,11},{3,6,9,12})),0)),
                          DATE(YEAR(J$7),MONTH(J$7),Assumptions!$G36)&gt;=J$7,
                          DATE(YEAR(J$7),MONTH(J$7),Assumptions!$G36)&lt;=J$8
                        ),
                        AND(
                          ISNUMBER(MATCH(MONTH(J$8),IF(Assumptions!$H36="Jan / Apr / Jul / Oct",{1,4,7,10},IF(Assumptions!$H36="Feb / May / Aug / Nov",{2,5,8,11},{3,6,9,12})),0)),
                          DATE(YEAR(J$8),MONTH(J$8),Assumptions!$G36)&gt;=J$7,
                          DATE(YEAR(J$8),MONTH(J$8),Assumptions!$G36)&lt;=J$8
                        )
                      ),
                    "Yes","No"),
                  "No")
                )
              )
            )
          )
        )
      )
    )
  )
)</f>
        <v>No</v>
      </c>
      <c r="K24" s="59" t="str">
        <f>IF(
  Assumptions!$K36="Off",
  "No",
  IF(
    Assumptions!$F36="I will phase manually",
    "No",
    IF(
      Assumptions!$F36="Last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Assumptions!$F36="End of month",
        IF(
          OR(
            AND(EOMONTH(K$7,0)&gt;=K$7, EOMONTH(K$7,0)&lt;=K$8),
            AND(EOMONTH(K$8,0)&gt;=K$7, EOMONTH(K$8,0)&lt;=K$8)
          ),
        "Yes","No"),
        IF(
          Assumptions!$F36="Specific day of month",
          IF(
            OR(
              AND(DATE(YEAR(K$7),MONTH(K$7),Assumptions!$G36)&gt;=K$7, DATE(YEAR(K$7),MONTH(K$7),Assumptions!$G36)&lt;=K$8),
              AND(DATE(YEAR(K$8),MONTH(K$8),Assumptions!$G36)&gt;=K$7, DATE(YEAR(K$8),MONTH(K$8),Assumptions!$G36)&lt;=K$8)
            ),
          "Yes","No"),
          IF(
            Assumptions!$F36="Last X day of month",
            IF(
              AND(
                WEEKDAY(K$7,2)&lt;=MATCH(Assumptions!$J36,{"Monday","Tuesday","Wednesday","Thursday","Friday"},0),
                WEEKDAY(K$8,2)&gt;=MATCH(Assumptions!$J36,{"Monday","Tuesday","Wednesday","Thursday","Friday"},0),
                (K$7+(MATCH(Assumptions!$J36,{"Monday","Tuesday","Wednesday","Thursday","Friday"},0)-WEEKDAY(K$7,2)))+7&gt;EOMONTH((K$7+(MATCH(Assumptions!$J36,{"Monday","Tuesday","Wednesday","Thursday","Friday"},0)-WEEKDAY(K$7,2))),0)
              ),
            "Yes","No"),
            IF(
              Assumptions!$F36="Weekly",
              IF(
                AND(
                  WEEKDAY(K$7,2)&lt;=MATCH(Assumptions!$J36,{"Monday","Tuesday","Wednesday","Thursday","Friday"},0),
                  WEEKDAY(K$8,2)&gt;=MATCH(Assumptions!$J36,{"Monday","Tuesday","Wednesday","Thursday","Friday"},0)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AND(Assumptions!$I36&gt;=K$7, Assumptions!$I36&lt;=K$8),
                    AND(
                      Assumptions!$I36&lt;K$7,
                      MOD(INT((K$7-(Assumptions!$I36-WEEKDAY(Assumptions!$I36,2)+1))/7),2)=0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AND(Assumptions!$I36&gt;=K$7, Assumptions!$I36&lt;=K$8),
                      AND(
                        Assumptions!$I36&lt;K$7,
                        MOD(INT((K$7-(Assumptions!$I36-WEEKDAY(Assumptions!$I36,2)+1))/7),3)=0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ISNUMBER(MATCH(MONTH(K$7),IF(Assumptions!$H36="Jan / Apr / Jul / Oct",{1,4,7,10},IF(Assumptions!$H36="Feb / May / Aug / Nov",{2,5,8,11},{3,6,9,12})),0)),
                          DATE(YEAR(K$7),MONTH(K$7),Assumptions!$G36)&gt;=K$7,
                          DATE(YEAR(K$7),MONTH(K$7),Assumptions!$G36)&lt;=K$8
                        ),
                        AND(
                          ISNUMBER(MATCH(MONTH(K$8),IF(Assumptions!$H36="Jan / Apr / Jul / Oct",{1,4,7,10},IF(Assumptions!$H36="Feb / May / Aug / Nov",{2,5,8,11},{3,6,9,12})),0)),
                          DATE(YEAR(K$8),MONTH(K$8),Assumptions!$G36)&gt;=K$7,
                          DATE(YEAR(K$8),MONTH(K$8),Assumptions!$G36)&lt;=K$8
                        )
                      ),
                    "Yes","No"),
                  "No")
                )
              )
            )
          )
        )
      )
    )
  )
)</f>
        <v>No</v>
      </c>
      <c r="L24" s="59" t="str">
        <f>IF(
  Assumptions!$K36="Off",
  "No",
  IF(
    Assumptions!$F36="I will phase manually",
    "No",
    IF(
      Assumptions!$F36="Last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Assumptions!$F36="End of month",
        IF(
          OR(
            AND(EOMONTH(L$7,0)&gt;=L$7, EOMONTH(L$7,0)&lt;=L$8),
            AND(EOMONTH(L$8,0)&gt;=L$7, EOMONTH(L$8,0)&lt;=L$8)
          ),
        "Yes","No"),
        IF(
          Assumptions!$F36="Specific day of month",
          IF(
            OR(
              AND(DATE(YEAR(L$7),MONTH(L$7),Assumptions!$G36)&gt;=L$7, DATE(YEAR(L$7),MONTH(L$7),Assumptions!$G36)&lt;=L$8),
              AND(DATE(YEAR(L$8),MONTH(L$8),Assumptions!$G36)&gt;=L$7, DATE(YEAR(L$8),MONTH(L$8),Assumptions!$G36)&lt;=L$8)
            ),
          "Yes","No"),
          IF(
            Assumptions!$F36="Last X day of month",
            IF(
              AND(
                WEEKDAY(L$7,2)&lt;=MATCH(Assumptions!$J36,{"Monday","Tuesday","Wednesday","Thursday","Friday"},0),
                WEEKDAY(L$8,2)&gt;=MATCH(Assumptions!$J36,{"Monday","Tuesday","Wednesday","Thursday","Friday"},0),
                (L$7+(MATCH(Assumptions!$J36,{"Monday","Tuesday","Wednesday","Thursday","Friday"},0)-WEEKDAY(L$7,2)))+7&gt;EOMONTH((L$7+(MATCH(Assumptions!$J36,{"Monday","Tuesday","Wednesday","Thursday","Friday"},0)-WEEKDAY(L$7,2))),0)
              ),
            "Yes","No"),
            IF(
              Assumptions!$F36="Weekly",
              IF(
                AND(
                  WEEKDAY(L$7,2)&lt;=MATCH(Assumptions!$J36,{"Monday","Tuesday","Wednesday","Thursday","Friday"},0),
                  WEEKDAY(L$8,2)&gt;=MATCH(Assumptions!$J36,{"Monday","Tuesday","Wednesday","Thursday","Friday"},0)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AND(Assumptions!$I36&gt;=L$7, Assumptions!$I36&lt;=L$8),
                    AND(
                      Assumptions!$I36&lt;L$7,
                      MOD(INT((L$7-(Assumptions!$I36-WEEKDAY(Assumptions!$I36,2)+1))/7),2)=0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AND(Assumptions!$I36&gt;=L$7, Assumptions!$I36&lt;=L$8),
                      AND(
                        Assumptions!$I36&lt;L$7,
                        MOD(INT((L$7-(Assumptions!$I36-WEEKDAY(Assumptions!$I36,2)+1))/7),3)=0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ISNUMBER(MATCH(MONTH(L$7),IF(Assumptions!$H36="Jan / Apr / Jul / Oct",{1,4,7,10},IF(Assumptions!$H36="Feb / May / Aug / Nov",{2,5,8,11},{3,6,9,12})),0)),
                          DATE(YEAR(L$7),MONTH(L$7),Assumptions!$G36)&gt;=L$7,
                          DATE(YEAR(L$7),MONTH(L$7),Assumptions!$G36)&lt;=L$8
                        ),
                        AND(
                          ISNUMBER(MATCH(MONTH(L$8),IF(Assumptions!$H36="Jan / Apr / Jul / Oct",{1,4,7,10},IF(Assumptions!$H36="Feb / May / Aug / Nov",{2,5,8,11},{3,6,9,12})),0)),
                          DATE(YEAR(L$8),MONTH(L$8),Assumptions!$G36)&gt;=L$7,
                          DATE(YEAR(L$8),MONTH(L$8),Assumptions!$G36)&lt;=L$8
                        )
                      ),
                    "Yes","No"),
                  "No")
                )
              )
            )
          )
        )
      )
    )
  )
)</f>
        <v>No</v>
      </c>
      <c r="M24" s="59" t="str">
        <f>IF(
  Assumptions!$K36="Off",
  "No",
  IF(
    Assumptions!$F36="I will phase manually",
    "No",
    IF(
      Assumptions!$F36="Last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Assumptions!$F36="End of month",
        IF(
          OR(
            AND(EOMONTH(M$7,0)&gt;=M$7, EOMONTH(M$7,0)&lt;=M$8),
            AND(EOMONTH(M$8,0)&gt;=M$7, EOMONTH(M$8,0)&lt;=M$8)
          ),
        "Yes","No"),
        IF(
          Assumptions!$F36="Specific day of month",
          IF(
            OR(
              AND(DATE(YEAR(M$7),MONTH(M$7),Assumptions!$G36)&gt;=M$7, DATE(YEAR(M$7),MONTH(M$7),Assumptions!$G36)&lt;=M$8),
              AND(DATE(YEAR(M$8),MONTH(M$8),Assumptions!$G36)&gt;=M$7, DATE(YEAR(M$8),MONTH(M$8),Assumptions!$G36)&lt;=M$8)
            ),
          "Yes","No"),
          IF(
            Assumptions!$F36="Last X day of month",
            IF(
              AND(
                WEEKDAY(M$7,2)&lt;=MATCH(Assumptions!$J36,{"Monday","Tuesday","Wednesday","Thursday","Friday"},0),
                WEEKDAY(M$8,2)&gt;=MATCH(Assumptions!$J36,{"Monday","Tuesday","Wednesday","Thursday","Friday"},0),
                (M$7+(MATCH(Assumptions!$J36,{"Monday","Tuesday","Wednesday","Thursday","Friday"},0)-WEEKDAY(M$7,2)))+7&gt;EOMONTH((M$7+(MATCH(Assumptions!$J36,{"Monday","Tuesday","Wednesday","Thursday","Friday"},0)-WEEKDAY(M$7,2))),0)
              ),
            "Yes","No"),
            IF(
              Assumptions!$F36="Weekly",
              IF(
                AND(
                  WEEKDAY(M$7,2)&lt;=MATCH(Assumptions!$J36,{"Monday","Tuesday","Wednesday","Thursday","Friday"},0),
                  WEEKDAY(M$8,2)&gt;=MATCH(Assumptions!$J36,{"Monday","Tuesday","Wednesday","Thursday","Friday"},0)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AND(Assumptions!$I36&gt;=M$7, Assumptions!$I36&lt;=M$8),
                    AND(
                      Assumptions!$I36&lt;M$7,
                      MOD(INT((M$7-(Assumptions!$I36-WEEKDAY(Assumptions!$I36,2)+1))/7),2)=0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AND(Assumptions!$I36&gt;=M$7, Assumptions!$I36&lt;=M$8),
                      AND(
                        Assumptions!$I36&lt;M$7,
                        MOD(INT((M$7-(Assumptions!$I36-WEEKDAY(Assumptions!$I36,2)+1))/7),3)=0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ISNUMBER(MATCH(MONTH(M$7),IF(Assumptions!$H36="Jan / Apr / Jul / Oct",{1,4,7,10},IF(Assumptions!$H36="Feb / May / Aug / Nov",{2,5,8,11},{3,6,9,12})),0)),
                          DATE(YEAR(M$7),MONTH(M$7),Assumptions!$G36)&gt;=M$7,
                          DATE(YEAR(M$7),MONTH(M$7),Assumptions!$G36)&lt;=M$8
                        ),
                        AND(
                          ISNUMBER(MATCH(MONTH(M$8),IF(Assumptions!$H36="Jan / Apr / Jul / Oct",{1,4,7,10},IF(Assumptions!$H36="Feb / May / Aug / Nov",{2,5,8,11},{3,6,9,12})),0)),
                          DATE(YEAR(M$8),MONTH(M$8),Assumptions!$G36)&gt;=M$7,
                          DATE(YEAR(M$8),MONTH(M$8),Assumptions!$G36)&lt;=M$8
                        )
                      ),
                    "Yes","No"),
                  "No")
                )
              )
            )
          )
        )
      )
    )
  )
)</f>
        <v>No</v>
      </c>
      <c r="N24" s="59" t="str">
        <f>IF(
  Assumptions!$K36="Off",
  "No",
  IF(
    Assumptions!$F36="I will phase manually",
    "No",
    IF(
      Assumptions!$F36="Last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Assumptions!$F36="End of month",
        IF(
          OR(
            AND(EOMONTH(N$7,0)&gt;=N$7, EOMONTH(N$7,0)&lt;=N$8),
            AND(EOMONTH(N$8,0)&gt;=N$7, EOMONTH(N$8,0)&lt;=N$8)
          ),
        "Yes","No"),
        IF(
          Assumptions!$F36="Specific day of month",
          IF(
            OR(
              AND(DATE(YEAR(N$7),MONTH(N$7),Assumptions!$G36)&gt;=N$7, DATE(YEAR(N$7),MONTH(N$7),Assumptions!$G36)&lt;=N$8),
              AND(DATE(YEAR(N$8),MONTH(N$8),Assumptions!$G36)&gt;=N$7, DATE(YEAR(N$8),MONTH(N$8),Assumptions!$G36)&lt;=N$8)
            ),
          "Yes","No"),
          IF(
            Assumptions!$F36="Last X day of month",
            IF(
              AND(
                WEEKDAY(N$7,2)&lt;=MATCH(Assumptions!$J36,{"Monday","Tuesday","Wednesday","Thursday","Friday"},0),
                WEEKDAY(N$8,2)&gt;=MATCH(Assumptions!$J36,{"Monday","Tuesday","Wednesday","Thursday","Friday"},0),
                (N$7+(MATCH(Assumptions!$J36,{"Monday","Tuesday","Wednesday","Thursday","Friday"},0)-WEEKDAY(N$7,2)))+7&gt;EOMONTH((N$7+(MATCH(Assumptions!$J36,{"Monday","Tuesday","Wednesday","Thursday","Friday"},0)-WEEKDAY(N$7,2))),0)
              ),
            "Yes","No"),
            IF(
              Assumptions!$F36="Weekly",
              IF(
                AND(
                  WEEKDAY(N$7,2)&lt;=MATCH(Assumptions!$J36,{"Monday","Tuesday","Wednesday","Thursday","Friday"},0),
                  WEEKDAY(N$8,2)&gt;=MATCH(Assumptions!$J36,{"Monday","Tuesday","Wednesday","Thursday","Friday"},0)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AND(Assumptions!$I36&gt;=N$7, Assumptions!$I36&lt;=N$8),
                    AND(
                      Assumptions!$I36&lt;N$7,
                      MOD(INT((N$7-(Assumptions!$I36-WEEKDAY(Assumptions!$I36,2)+1))/7),2)=0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AND(Assumptions!$I36&gt;=N$7, Assumptions!$I36&lt;=N$8),
                      AND(
                        Assumptions!$I36&lt;N$7,
                        MOD(INT((N$7-(Assumptions!$I36-WEEKDAY(Assumptions!$I36,2)+1))/7),3)=0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ISNUMBER(MATCH(MONTH(N$7),IF(Assumptions!$H36="Jan / Apr / Jul / Oct",{1,4,7,10},IF(Assumptions!$H36="Feb / May / Aug / Nov",{2,5,8,11},{3,6,9,12})),0)),
                          DATE(YEAR(N$7),MONTH(N$7),Assumptions!$G36)&gt;=N$7,
                          DATE(YEAR(N$7),MONTH(N$7),Assumptions!$G36)&lt;=N$8
                        ),
                        AND(
                          ISNUMBER(MATCH(MONTH(N$8),IF(Assumptions!$H36="Jan / Apr / Jul / Oct",{1,4,7,10},IF(Assumptions!$H36="Feb / May / Aug / Nov",{2,5,8,11},{3,6,9,12})),0)),
                          DATE(YEAR(N$8),MONTH(N$8),Assumptions!$G36)&gt;=N$7,
                          DATE(YEAR(N$8),MONTH(N$8),Assumptions!$G36)&lt;=N$8
                        )
                      ),
                    "Yes","No"),
                  "No")
                )
              )
            )
          )
        )
      )
    )
  )
)</f>
        <v>No</v>
      </c>
      <c r="O24" s="59" t="str">
        <f>IF(
  Assumptions!$K36="Off",
  "No",
  IF(
    Assumptions!$F36="I will phase manually",
    "No",
    IF(
      Assumptions!$F36="Last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Assumptions!$F36="End of month",
        IF(
          OR(
            AND(EOMONTH(O$7,0)&gt;=O$7, EOMONTH(O$7,0)&lt;=O$8),
            AND(EOMONTH(O$8,0)&gt;=O$7, EOMONTH(O$8,0)&lt;=O$8)
          ),
        "Yes","No"),
        IF(
          Assumptions!$F36="Specific day of month",
          IF(
            OR(
              AND(DATE(YEAR(O$7),MONTH(O$7),Assumptions!$G36)&gt;=O$7, DATE(YEAR(O$7),MONTH(O$7),Assumptions!$G36)&lt;=O$8),
              AND(DATE(YEAR(O$8),MONTH(O$8),Assumptions!$G36)&gt;=O$7, DATE(YEAR(O$8),MONTH(O$8),Assumptions!$G36)&lt;=O$8)
            ),
          "Yes","No"),
          IF(
            Assumptions!$F36="Last X day of month",
            IF(
              AND(
                WEEKDAY(O$7,2)&lt;=MATCH(Assumptions!$J36,{"Monday","Tuesday","Wednesday","Thursday","Friday"},0),
                WEEKDAY(O$8,2)&gt;=MATCH(Assumptions!$J36,{"Monday","Tuesday","Wednesday","Thursday","Friday"},0),
                (O$7+(MATCH(Assumptions!$J36,{"Monday","Tuesday","Wednesday","Thursday","Friday"},0)-WEEKDAY(O$7,2)))+7&gt;EOMONTH((O$7+(MATCH(Assumptions!$J36,{"Monday","Tuesday","Wednesday","Thursday","Friday"},0)-WEEKDAY(O$7,2))),0)
              ),
            "Yes","No"),
            IF(
              Assumptions!$F36="Weekly",
              IF(
                AND(
                  WEEKDAY(O$7,2)&lt;=MATCH(Assumptions!$J36,{"Monday","Tuesday","Wednesday","Thursday","Friday"},0),
                  WEEKDAY(O$8,2)&gt;=MATCH(Assumptions!$J36,{"Monday","Tuesday","Wednesday","Thursday","Friday"},0)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AND(Assumptions!$I36&gt;=O$7, Assumptions!$I36&lt;=O$8),
                    AND(
                      Assumptions!$I36&lt;O$7,
                      MOD(INT((O$7-(Assumptions!$I36-WEEKDAY(Assumptions!$I36,2)+1))/7),2)=0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AND(Assumptions!$I36&gt;=O$7, Assumptions!$I36&lt;=O$8),
                      AND(
                        Assumptions!$I36&lt;O$7,
                        MOD(INT((O$7-(Assumptions!$I36-WEEKDAY(Assumptions!$I36,2)+1))/7),3)=0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ISNUMBER(MATCH(MONTH(O$7),IF(Assumptions!$H36="Jan / Apr / Jul / Oct",{1,4,7,10},IF(Assumptions!$H36="Feb / May / Aug / Nov",{2,5,8,11},{3,6,9,12})),0)),
                          DATE(YEAR(O$7),MONTH(O$7),Assumptions!$G36)&gt;=O$7,
                          DATE(YEAR(O$7),MONTH(O$7),Assumptions!$G36)&lt;=O$8
                        ),
                        AND(
                          ISNUMBER(MATCH(MONTH(O$8),IF(Assumptions!$H36="Jan / Apr / Jul / Oct",{1,4,7,10},IF(Assumptions!$H36="Feb / May / Aug / Nov",{2,5,8,11},{3,6,9,12})),0)),
                          DATE(YEAR(O$8),MONTH(O$8),Assumptions!$G36)&gt;=O$7,
                          DATE(YEAR(O$8),MONTH(O$8),Assumptions!$G36)&lt;=O$8
                        )
                      ),
                    "Yes","No"),
                  "No")
                )
              )
            )
          )
        )
      )
    )
  )
)</f>
        <v>No</v>
      </c>
      <c r="P24" s="59" t="str">
        <f>IF(
  Assumptions!$K36="Off",
  "No",
  IF(
    Assumptions!$F36="I will phase manually",
    "No",
    IF(
      Assumptions!$F36="Last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Assumptions!$F36="End of month",
        IF(
          OR(
            AND(EOMONTH(P$7,0)&gt;=P$7, EOMONTH(P$7,0)&lt;=P$8),
            AND(EOMONTH(P$8,0)&gt;=P$7, EOMONTH(P$8,0)&lt;=P$8)
          ),
        "Yes","No"),
        IF(
          Assumptions!$F36="Specific day of month",
          IF(
            OR(
              AND(DATE(YEAR(P$7),MONTH(P$7),Assumptions!$G36)&gt;=P$7, DATE(YEAR(P$7),MONTH(P$7),Assumptions!$G36)&lt;=P$8),
              AND(DATE(YEAR(P$8),MONTH(P$8),Assumptions!$G36)&gt;=P$7, DATE(YEAR(P$8),MONTH(P$8),Assumptions!$G36)&lt;=P$8)
            ),
          "Yes","No"),
          IF(
            Assumptions!$F36="Last X day of month",
            IF(
              AND(
                WEEKDAY(P$7,2)&lt;=MATCH(Assumptions!$J36,{"Monday","Tuesday","Wednesday","Thursday","Friday"},0),
                WEEKDAY(P$8,2)&gt;=MATCH(Assumptions!$J36,{"Monday","Tuesday","Wednesday","Thursday","Friday"},0),
                (P$7+(MATCH(Assumptions!$J36,{"Monday","Tuesday","Wednesday","Thursday","Friday"},0)-WEEKDAY(P$7,2)))+7&gt;EOMONTH((P$7+(MATCH(Assumptions!$J36,{"Monday","Tuesday","Wednesday","Thursday","Friday"},0)-WEEKDAY(P$7,2))),0)
              ),
            "Yes","No"),
            IF(
              Assumptions!$F36="Weekly",
              IF(
                AND(
                  WEEKDAY(P$7,2)&lt;=MATCH(Assumptions!$J36,{"Monday","Tuesday","Wednesday","Thursday","Friday"},0),
                  WEEKDAY(P$8,2)&gt;=MATCH(Assumptions!$J36,{"Monday","Tuesday","Wednesday","Thursday","Friday"},0)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AND(Assumptions!$I36&gt;=P$7, Assumptions!$I36&lt;=P$8),
                    AND(
                      Assumptions!$I36&lt;P$7,
                      MOD(INT((P$7-(Assumptions!$I36-WEEKDAY(Assumptions!$I36,2)+1))/7),2)=0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AND(Assumptions!$I36&gt;=P$7, Assumptions!$I36&lt;=P$8),
                      AND(
                        Assumptions!$I36&lt;P$7,
                        MOD(INT((P$7-(Assumptions!$I36-WEEKDAY(Assumptions!$I36,2)+1))/7),3)=0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ISNUMBER(MATCH(MONTH(P$7),IF(Assumptions!$H36="Jan / Apr / Jul / Oct",{1,4,7,10},IF(Assumptions!$H36="Feb / May / Aug / Nov",{2,5,8,11},{3,6,9,12})),0)),
                          DATE(YEAR(P$7),MONTH(P$7),Assumptions!$G36)&gt;=P$7,
                          DATE(YEAR(P$7),MONTH(P$7),Assumptions!$G36)&lt;=P$8
                        ),
                        AND(
                          ISNUMBER(MATCH(MONTH(P$8),IF(Assumptions!$H36="Jan / Apr / Jul / Oct",{1,4,7,10},IF(Assumptions!$H36="Feb / May / Aug / Nov",{2,5,8,11},{3,6,9,12})),0)),
                          DATE(YEAR(P$8),MONTH(P$8),Assumptions!$G36)&gt;=P$7,
                          DATE(YEAR(P$8),MONTH(P$8),Assumptions!$G36)&lt;=P$8
                        )
                      ),
                    "Yes","No"),
                  "No")
                )
              )
            )
          )
        )
      )
    )
  )
)</f>
        <v>No</v>
      </c>
      <c r="Q24" s="59" t="str">
        <f>IF(
  Assumptions!$K36="Off",
  "No",
  IF(
    Assumptions!$F36="I will phase manually",
    "No",
    IF(
      Assumptions!$F36="Last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Assumptions!$F36="End of month",
        IF(
          OR(
            AND(EOMONTH(Q$7,0)&gt;=Q$7, EOMONTH(Q$7,0)&lt;=Q$8),
            AND(EOMONTH(Q$8,0)&gt;=Q$7, EOMONTH(Q$8,0)&lt;=Q$8)
          ),
        "Yes","No"),
        IF(
          Assumptions!$F36="Specific day of month",
          IF(
            OR(
              AND(DATE(YEAR(Q$7),MONTH(Q$7),Assumptions!$G36)&gt;=Q$7, DATE(YEAR(Q$7),MONTH(Q$7),Assumptions!$G36)&lt;=Q$8),
              AND(DATE(YEAR(Q$8),MONTH(Q$8),Assumptions!$G36)&gt;=Q$7, DATE(YEAR(Q$8),MONTH(Q$8),Assumptions!$G36)&lt;=Q$8)
            ),
          "Yes","No"),
          IF(
            Assumptions!$F36="Last X day of month",
            IF(
              AND(
                WEEKDAY(Q$7,2)&lt;=MATCH(Assumptions!$J36,{"Monday","Tuesday","Wednesday","Thursday","Friday"},0),
                WEEKDAY(Q$8,2)&gt;=MATCH(Assumptions!$J36,{"Monday","Tuesday","Wednesday","Thursday","Friday"},0),
                (Q$7+(MATCH(Assumptions!$J36,{"Monday","Tuesday","Wednesday","Thursday","Friday"},0)-WEEKDAY(Q$7,2)))+7&gt;EOMONTH((Q$7+(MATCH(Assumptions!$J36,{"Monday","Tuesday","Wednesday","Thursday","Friday"},0)-WEEKDAY(Q$7,2))),0)
              ),
            "Yes","No"),
            IF(
              Assumptions!$F36="Weekly",
              IF(
                AND(
                  WEEKDAY(Q$7,2)&lt;=MATCH(Assumptions!$J36,{"Monday","Tuesday","Wednesday","Thursday","Friday"},0),
                  WEEKDAY(Q$8,2)&gt;=MATCH(Assumptions!$J36,{"Monday","Tuesday","Wednesday","Thursday","Friday"},0)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AND(Assumptions!$I36&gt;=Q$7, Assumptions!$I36&lt;=Q$8),
                    AND(
                      Assumptions!$I36&lt;Q$7,
                      MOD(INT((Q$7-(Assumptions!$I36-WEEKDAY(Assumptions!$I36,2)+1))/7),2)=0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AND(Assumptions!$I36&gt;=Q$7, Assumptions!$I36&lt;=Q$8),
                      AND(
                        Assumptions!$I36&lt;Q$7,
                        MOD(INT((Q$7-(Assumptions!$I36-WEEKDAY(Assumptions!$I36,2)+1))/7),3)=0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ISNUMBER(MATCH(MONTH(Q$7),IF(Assumptions!$H36="Jan / Apr / Jul / Oct",{1,4,7,10},IF(Assumptions!$H36="Feb / May / Aug / Nov",{2,5,8,11},{3,6,9,12})),0)),
                          DATE(YEAR(Q$7),MONTH(Q$7),Assumptions!$G36)&gt;=Q$7,
                          DATE(YEAR(Q$7),MONTH(Q$7),Assumptions!$G36)&lt;=Q$8
                        ),
                        AND(
                          ISNUMBER(MATCH(MONTH(Q$8),IF(Assumptions!$H36="Jan / Apr / Jul / Oct",{1,4,7,10},IF(Assumptions!$H36="Feb / May / Aug / Nov",{2,5,8,11},{3,6,9,12})),0)),
                          DATE(YEAR(Q$8),MONTH(Q$8),Assumptions!$G36)&gt;=Q$7,
                          DATE(YEAR(Q$8),MONTH(Q$8),Assumptions!$G36)&lt;=Q$8
                        )
                      ),
                    "Yes","No"),
                  "No")
                )
              )
            )
          )
        )
      )
    )
  )
)</f>
        <v>No</v>
      </c>
      <c r="R24" s="59" t="str">
        <f>IF(
  Assumptions!$K36="Off",
  "No",
  IF(
    Assumptions!$F36="I will phase manually",
    "No",
    IF(
      Assumptions!$F36="Last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Assumptions!$F36="End of month",
        IF(
          OR(
            AND(EOMONTH(R$7,0)&gt;=R$7, EOMONTH(R$7,0)&lt;=R$8),
            AND(EOMONTH(R$8,0)&gt;=R$7, EOMONTH(R$8,0)&lt;=R$8)
          ),
        "Yes","No"),
        IF(
          Assumptions!$F36="Specific day of month",
          IF(
            OR(
              AND(DATE(YEAR(R$7),MONTH(R$7),Assumptions!$G36)&gt;=R$7, DATE(YEAR(R$7),MONTH(R$7),Assumptions!$G36)&lt;=R$8),
              AND(DATE(YEAR(R$8),MONTH(R$8),Assumptions!$G36)&gt;=R$7, DATE(YEAR(R$8),MONTH(R$8),Assumptions!$G36)&lt;=R$8)
            ),
          "Yes","No"),
          IF(
            Assumptions!$F36="Last X day of month",
            IF(
              AND(
                WEEKDAY(R$7,2)&lt;=MATCH(Assumptions!$J36,{"Monday","Tuesday","Wednesday","Thursday","Friday"},0),
                WEEKDAY(R$8,2)&gt;=MATCH(Assumptions!$J36,{"Monday","Tuesday","Wednesday","Thursday","Friday"},0),
                (R$7+(MATCH(Assumptions!$J36,{"Monday","Tuesday","Wednesday","Thursday","Friday"},0)-WEEKDAY(R$7,2)))+7&gt;EOMONTH((R$7+(MATCH(Assumptions!$J36,{"Monday","Tuesday","Wednesday","Thursday","Friday"},0)-WEEKDAY(R$7,2))),0)
              ),
            "Yes","No"),
            IF(
              Assumptions!$F36="Weekly",
              IF(
                AND(
                  WEEKDAY(R$7,2)&lt;=MATCH(Assumptions!$J36,{"Monday","Tuesday","Wednesday","Thursday","Friday"},0),
                  WEEKDAY(R$8,2)&gt;=MATCH(Assumptions!$J36,{"Monday","Tuesday","Wednesday","Thursday","Friday"},0)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AND(Assumptions!$I36&gt;=R$7, Assumptions!$I36&lt;=R$8),
                    AND(
                      Assumptions!$I36&lt;R$7,
                      MOD(INT((R$7-(Assumptions!$I36-WEEKDAY(Assumptions!$I36,2)+1))/7),2)=0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AND(Assumptions!$I36&gt;=R$7, Assumptions!$I36&lt;=R$8),
                      AND(
                        Assumptions!$I36&lt;R$7,
                        MOD(INT((R$7-(Assumptions!$I36-WEEKDAY(Assumptions!$I36,2)+1))/7),3)=0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ISNUMBER(MATCH(MONTH(R$7),IF(Assumptions!$H36="Jan / Apr / Jul / Oct",{1,4,7,10},IF(Assumptions!$H36="Feb / May / Aug / Nov",{2,5,8,11},{3,6,9,12})),0)),
                          DATE(YEAR(R$7),MONTH(R$7),Assumptions!$G36)&gt;=R$7,
                          DATE(YEAR(R$7),MONTH(R$7),Assumptions!$G36)&lt;=R$8
                        ),
                        AND(
                          ISNUMBER(MATCH(MONTH(R$8),IF(Assumptions!$H36="Jan / Apr / Jul / Oct",{1,4,7,10},IF(Assumptions!$H36="Feb / May / Aug / Nov",{2,5,8,11},{3,6,9,12})),0)),
                          DATE(YEAR(R$8),MONTH(R$8),Assumptions!$G36)&gt;=R$7,
                          DATE(YEAR(R$8),MONTH(R$8),Assumptions!$G36)&lt;=R$8
                        )
                      ),
                    "Yes","No"),
                  "No")
                )
              )
            )
          )
        )
      )
    )
  )
)</f>
        <v>No</v>
      </c>
      <c r="S24" s="59" t="str">
        <f>IF(
  Assumptions!$K36="Off",
  "No",
  IF(
    Assumptions!$F36="I will phase manually",
    "No",
    IF(
      Assumptions!$F36="Last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Assumptions!$F36="End of month",
        IF(
          OR(
            AND(EOMONTH(S$7,0)&gt;=S$7, EOMONTH(S$7,0)&lt;=S$8),
            AND(EOMONTH(S$8,0)&gt;=S$7, EOMONTH(S$8,0)&lt;=S$8)
          ),
        "Yes","No"),
        IF(
          Assumptions!$F36="Specific day of month",
          IF(
            OR(
              AND(DATE(YEAR(S$7),MONTH(S$7),Assumptions!$G36)&gt;=S$7, DATE(YEAR(S$7),MONTH(S$7),Assumptions!$G36)&lt;=S$8),
              AND(DATE(YEAR(S$8),MONTH(S$8),Assumptions!$G36)&gt;=S$7, DATE(YEAR(S$8),MONTH(S$8),Assumptions!$G36)&lt;=S$8)
            ),
          "Yes","No"),
          IF(
            Assumptions!$F36="Last X day of month",
            IF(
              AND(
                WEEKDAY(S$7,2)&lt;=MATCH(Assumptions!$J36,{"Monday","Tuesday","Wednesday","Thursday","Friday"},0),
                WEEKDAY(S$8,2)&gt;=MATCH(Assumptions!$J36,{"Monday","Tuesday","Wednesday","Thursday","Friday"},0),
                (S$7+(MATCH(Assumptions!$J36,{"Monday","Tuesday","Wednesday","Thursday","Friday"},0)-WEEKDAY(S$7,2)))+7&gt;EOMONTH((S$7+(MATCH(Assumptions!$J36,{"Monday","Tuesday","Wednesday","Thursday","Friday"},0)-WEEKDAY(S$7,2))),0)
              ),
            "Yes","No"),
            IF(
              Assumptions!$F36="Weekly",
              IF(
                AND(
                  WEEKDAY(S$7,2)&lt;=MATCH(Assumptions!$J36,{"Monday","Tuesday","Wednesday","Thursday","Friday"},0),
                  WEEKDAY(S$8,2)&gt;=MATCH(Assumptions!$J36,{"Monday","Tuesday","Wednesday","Thursday","Friday"},0)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AND(Assumptions!$I36&gt;=S$7, Assumptions!$I36&lt;=S$8),
                    AND(
                      Assumptions!$I36&lt;S$7,
                      MOD(INT((S$7-(Assumptions!$I36-WEEKDAY(Assumptions!$I36,2)+1))/7),2)=0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AND(Assumptions!$I36&gt;=S$7, Assumptions!$I36&lt;=S$8),
                      AND(
                        Assumptions!$I36&lt;S$7,
                        MOD(INT((S$7-(Assumptions!$I36-WEEKDAY(Assumptions!$I36,2)+1))/7),3)=0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ISNUMBER(MATCH(MONTH(S$7),IF(Assumptions!$H36="Jan / Apr / Jul / Oct",{1,4,7,10},IF(Assumptions!$H36="Feb / May / Aug / Nov",{2,5,8,11},{3,6,9,12})),0)),
                          DATE(YEAR(S$7),MONTH(S$7),Assumptions!$G36)&gt;=S$7,
                          DATE(YEAR(S$7),MONTH(S$7),Assumptions!$G36)&lt;=S$8
                        ),
                        AND(
                          ISNUMBER(MATCH(MONTH(S$8),IF(Assumptions!$H36="Jan / Apr / Jul / Oct",{1,4,7,10},IF(Assumptions!$H36="Feb / May / Aug / Nov",{2,5,8,11},{3,6,9,12})),0)),
                          DATE(YEAR(S$8),MONTH(S$8),Assumptions!$G36)&gt;=S$7,
                          DATE(YEAR(S$8),MONTH(S$8),Assumptions!$G36)&lt;=S$8
                        )
                      ),
                    "Yes","No"),
                  "No")
                )
              )
            )
          )
        )
      )
    )
  )
)</f>
        <v>No</v>
      </c>
      <c r="T24" s="59" t="s">
        <v>124</v>
      </c>
    </row>
    <row r="25" spans="3:20" hidden="1" outlineLevel="1" x14ac:dyDescent="0.25">
      <c r="C25" s="58">
        <f>Assumptions!D37</f>
        <v>0</v>
      </c>
      <c r="D25" s="58"/>
      <c r="E25" s="58"/>
      <c r="F25" s="58"/>
      <c r="G25" s="59" t="str">
        <f>IF(
  Assumptions!$K37="Off",
  "No",
  IF(
    Assumptions!$F37="I will phase manually",
    "No",
    IF(
      Assumptions!$F37="Last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Assumptions!$F37="End of month",
        IF(
          OR(
            AND(EOMONTH(G$7,0)&gt;=G$7, EOMONTH(G$7,0)&lt;=G$8),
            AND(EOMONTH(G$8,0)&gt;=G$7, EOMONTH(G$8,0)&lt;=G$8)
          ),
        "Yes","No"),
        IF(
          Assumptions!$F37="Specific day of month",
          IF(
            OR(
              AND(DATE(YEAR(G$7),MONTH(G$7),Assumptions!$G37)&gt;=G$7, DATE(YEAR(G$7),MONTH(G$7),Assumptions!$G37)&lt;=G$8),
              AND(DATE(YEAR(G$8),MONTH(G$8),Assumptions!$G37)&gt;=G$7, DATE(YEAR(G$8),MONTH(G$8),Assumptions!$G37)&lt;=G$8)
            ),
          "Yes","No"),
          IF(
            Assumptions!$F37="Last X day of month",
            IF(
              AND(
                WEEKDAY(G$7,2)&lt;=MATCH(Assumptions!$J37,{"Monday","Tuesday","Wednesday","Thursday","Friday"},0),
                WEEKDAY(G$8,2)&gt;=MATCH(Assumptions!$J37,{"Monday","Tuesday","Wednesday","Thursday","Friday"},0),
                (G$7+(MATCH(Assumptions!$J37,{"Monday","Tuesday","Wednesday","Thursday","Friday"},0)-WEEKDAY(G$7,2)))+7&gt;EOMONTH((G$7+(MATCH(Assumptions!$J37,{"Monday","Tuesday","Wednesday","Thursday","Friday"},0)-WEEKDAY(G$7,2))),0)
              ),
            "Yes","No"),
            IF(
              Assumptions!$F37="Weekly",
              IF(
                AND(
                  WEEKDAY(G$7,2)&lt;=MATCH(Assumptions!$J37,{"Monday","Tuesday","Wednesday","Thursday","Friday"},0),
                  WEEKDAY(G$8,2)&gt;=MATCH(Assumptions!$J37,{"Monday","Tuesday","Wednesday","Thursday","Friday"},0)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AND(Assumptions!$I37&gt;=G$7, Assumptions!$I37&lt;=G$8),
                    AND(
                      Assumptions!$I37&lt;G$7,
                      MOD(INT((G$7-(Assumptions!$I37-WEEKDAY(Assumptions!$I37,2)+1))/7),2)=0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AND(Assumptions!$I37&gt;=G$7, Assumptions!$I37&lt;=G$8),
                      AND(
                        Assumptions!$I37&lt;G$7,
                        MOD(INT((G$7-(Assumptions!$I37-WEEKDAY(Assumptions!$I37,2)+1))/7),3)=0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ISNUMBER(MATCH(MONTH(G$7),IF(Assumptions!$H37="Jan / Apr / Jul / Oct",{1,4,7,10},IF(Assumptions!$H37="Feb / May / Aug / Nov",{2,5,8,11},{3,6,9,12})),0)),
                          DATE(YEAR(G$7),MONTH(G$7),Assumptions!$G37)&gt;=G$7,
                          DATE(YEAR(G$7),MONTH(G$7),Assumptions!$G37)&lt;=G$8
                        ),
                        AND(
                          ISNUMBER(MATCH(MONTH(G$8),IF(Assumptions!$H37="Jan / Apr / Jul / Oct",{1,4,7,10},IF(Assumptions!$H37="Feb / May / Aug / Nov",{2,5,8,11},{3,6,9,12})),0)),
                          DATE(YEAR(G$8),MONTH(G$8),Assumptions!$G37)&gt;=G$7,
                          DATE(YEAR(G$8),MONTH(G$8),Assumptions!$G37)&lt;=G$8
                        )
                      ),
                    "Yes","No"),
                  "No")
                )
              )
            )
          )
        )
      )
    )
  )
)</f>
        <v>No</v>
      </c>
      <c r="H25" s="59" t="str">
        <f>IF(
  Assumptions!$K37="Off",
  "No",
  IF(
    Assumptions!$F37="I will phase manually",
    "No",
    IF(
      Assumptions!$F37="Last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Assumptions!$F37="End of month",
        IF(
          OR(
            AND(EOMONTH(H$7,0)&gt;=H$7, EOMONTH(H$7,0)&lt;=H$8),
            AND(EOMONTH(H$8,0)&gt;=H$7, EOMONTH(H$8,0)&lt;=H$8)
          ),
        "Yes","No"),
        IF(
          Assumptions!$F37="Specific day of month",
          IF(
            OR(
              AND(DATE(YEAR(H$7),MONTH(H$7),Assumptions!$G37)&gt;=H$7, DATE(YEAR(H$7),MONTH(H$7),Assumptions!$G37)&lt;=H$8),
              AND(DATE(YEAR(H$8),MONTH(H$8),Assumptions!$G37)&gt;=H$7, DATE(YEAR(H$8),MONTH(H$8),Assumptions!$G37)&lt;=H$8)
            ),
          "Yes","No"),
          IF(
            Assumptions!$F37="Last X day of month",
            IF(
              AND(
                WEEKDAY(H$7,2)&lt;=MATCH(Assumptions!$J37,{"Monday","Tuesday","Wednesday","Thursday","Friday"},0),
                WEEKDAY(H$8,2)&gt;=MATCH(Assumptions!$J37,{"Monday","Tuesday","Wednesday","Thursday","Friday"},0),
                (H$7+(MATCH(Assumptions!$J37,{"Monday","Tuesday","Wednesday","Thursday","Friday"},0)-WEEKDAY(H$7,2)))+7&gt;EOMONTH((H$7+(MATCH(Assumptions!$J37,{"Monday","Tuesday","Wednesday","Thursday","Friday"},0)-WEEKDAY(H$7,2))),0)
              ),
            "Yes","No"),
            IF(
              Assumptions!$F37="Weekly",
              IF(
                AND(
                  WEEKDAY(H$7,2)&lt;=MATCH(Assumptions!$J37,{"Monday","Tuesday","Wednesday","Thursday","Friday"},0),
                  WEEKDAY(H$8,2)&gt;=MATCH(Assumptions!$J37,{"Monday","Tuesday","Wednesday","Thursday","Friday"},0)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AND(Assumptions!$I37&gt;=H$7, Assumptions!$I37&lt;=H$8),
                    AND(
                      Assumptions!$I37&lt;H$7,
                      MOD(INT((H$7-(Assumptions!$I37-WEEKDAY(Assumptions!$I37,2)+1))/7),2)=0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AND(Assumptions!$I37&gt;=H$7, Assumptions!$I37&lt;=H$8),
                      AND(
                        Assumptions!$I37&lt;H$7,
                        MOD(INT((H$7-(Assumptions!$I37-WEEKDAY(Assumptions!$I37,2)+1))/7),3)=0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ISNUMBER(MATCH(MONTH(H$7),IF(Assumptions!$H37="Jan / Apr / Jul / Oct",{1,4,7,10},IF(Assumptions!$H37="Feb / May / Aug / Nov",{2,5,8,11},{3,6,9,12})),0)),
                          DATE(YEAR(H$7),MONTH(H$7),Assumptions!$G37)&gt;=H$7,
                          DATE(YEAR(H$7),MONTH(H$7),Assumptions!$G37)&lt;=H$8
                        ),
                        AND(
                          ISNUMBER(MATCH(MONTH(H$8),IF(Assumptions!$H37="Jan / Apr / Jul / Oct",{1,4,7,10},IF(Assumptions!$H37="Feb / May / Aug / Nov",{2,5,8,11},{3,6,9,12})),0)),
                          DATE(YEAR(H$8),MONTH(H$8),Assumptions!$G37)&gt;=H$7,
                          DATE(YEAR(H$8),MONTH(H$8),Assumptions!$G37)&lt;=H$8
                        )
                      ),
                    "Yes","No"),
                  "No")
                )
              )
            )
          )
        )
      )
    )
  )
)</f>
        <v>No</v>
      </c>
      <c r="I25" s="59" t="str">
        <f>IF(
  Assumptions!$K37="Off",
  "No",
  IF(
    Assumptions!$F37="I will phase manually",
    "No",
    IF(
      Assumptions!$F37="Last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Assumptions!$F37="End of month",
        IF(
          OR(
            AND(EOMONTH(I$7,0)&gt;=I$7, EOMONTH(I$7,0)&lt;=I$8),
            AND(EOMONTH(I$8,0)&gt;=I$7, EOMONTH(I$8,0)&lt;=I$8)
          ),
        "Yes","No"),
        IF(
          Assumptions!$F37="Specific day of month",
          IF(
            OR(
              AND(DATE(YEAR(I$7),MONTH(I$7),Assumptions!$G37)&gt;=I$7, DATE(YEAR(I$7),MONTH(I$7),Assumptions!$G37)&lt;=I$8),
              AND(DATE(YEAR(I$8),MONTH(I$8),Assumptions!$G37)&gt;=I$7, DATE(YEAR(I$8),MONTH(I$8),Assumptions!$G37)&lt;=I$8)
            ),
          "Yes","No"),
          IF(
            Assumptions!$F37="Last X day of month",
            IF(
              AND(
                WEEKDAY(I$7,2)&lt;=MATCH(Assumptions!$J37,{"Monday","Tuesday","Wednesday","Thursday","Friday"},0),
                WEEKDAY(I$8,2)&gt;=MATCH(Assumptions!$J37,{"Monday","Tuesday","Wednesday","Thursday","Friday"},0),
                (I$7+(MATCH(Assumptions!$J37,{"Monday","Tuesday","Wednesday","Thursday","Friday"},0)-WEEKDAY(I$7,2)))+7&gt;EOMONTH((I$7+(MATCH(Assumptions!$J37,{"Monday","Tuesday","Wednesday","Thursday","Friday"},0)-WEEKDAY(I$7,2))),0)
              ),
            "Yes","No"),
            IF(
              Assumptions!$F37="Weekly",
              IF(
                AND(
                  WEEKDAY(I$7,2)&lt;=MATCH(Assumptions!$J37,{"Monday","Tuesday","Wednesday","Thursday","Friday"},0),
                  WEEKDAY(I$8,2)&gt;=MATCH(Assumptions!$J37,{"Monday","Tuesday","Wednesday","Thursday","Friday"},0)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AND(Assumptions!$I37&gt;=I$7, Assumptions!$I37&lt;=I$8),
                    AND(
                      Assumptions!$I37&lt;I$7,
                      MOD(INT((I$7-(Assumptions!$I37-WEEKDAY(Assumptions!$I37,2)+1))/7),2)=0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AND(Assumptions!$I37&gt;=I$7, Assumptions!$I37&lt;=I$8),
                      AND(
                        Assumptions!$I37&lt;I$7,
                        MOD(INT((I$7-(Assumptions!$I37-WEEKDAY(Assumptions!$I37,2)+1))/7),3)=0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ISNUMBER(MATCH(MONTH(I$7),IF(Assumptions!$H37="Jan / Apr / Jul / Oct",{1,4,7,10},IF(Assumptions!$H37="Feb / May / Aug / Nov",{2,5,8,11},{3,6,9,12})),0)),
                          DATE(YEAR(I$7),MONTH(I$7),Assumptions!$G37)&gt;=I$7,
                          DATE(YEAR(I$7),MONTH(I$7),Assumptions!$G37)&lt;=I$8
                        ),
                        AND(
                          ISNUMBER(MATCH(MONTH(I$8),IF(Assumptions!$H37="Jan / Apr / Jul / Oct",{1,4,7,10},IF(Assumptions!$H37="Feb / May / Aug / Nov",{2,5,8,11},{3,6,9,12})),0)),
                          DATE(YEAR(I$8),MONTH(I$8),Assumptions!$G37)&gt;=I$7,
                          DATE(YEAR(I$8),MONTH(I$8),Assumptions!$G37)&lt;=I$8
                        )
                      ),
                    "Yes","No"),
                  "No")
                )
              )
            )
          )
        )
      )
    )
  )
)</f>
        <v>No</v>
      </c>
      <c r="J25" s="59" t="str">
        <f>IF(
  Assumptions!$K37="Off",
  "No",
  IF(
    Assumptions!$F37="I will phase manually",
    "No",
    IF(
      Assumptions!$F37="Last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Assumptions!$F37="End of month",
        IF(
          OR(
            AND(EOMONTH(J$7,0)&gt;=J$7, EOMONTH(J$7,0)&lt;=J$8),
            AND(EOMONTH(J$8,0)&gt;=J$7, EOMONTH(J$8,0)&lt;=J$8)
          ),
        "Yes","No"),
        IF(
          Assumptions!$F37="Specific day of month",
          IF(
            OR(
              AND(DATE(YEAR(J$7),MONTH(J$7),Assumptions!$G37)&gt;=J$7, DATE(YEAR(J$7),MONTH(J$7),Assumptions!$G37)&lt;=J$8),
              AND(DATE(YEAR(J$8),MONTH(J$8),Assumptions!$G37)&gt;=J$7, DATE(YEAR(J$8),MONTH(J$8),Assumptions!$G37)&lt;=J$8)
            ),
          "Yes","No"),
          IF(
            Assumptions!$F37="Last X day of month",
            IF(
              AND(
                WEEKDAY(J$7,2)&lt;=MATCH(Assumptions!$J37,{"Monday","Tuesday","Wednesday","Thursday","Friday"},0),
                WEEKDAY(J$8,2)&gt;=MATCH(Assumptions!$J37,{"Monday","Tuesday","Wednesday","Thursday","Friday"},0),
                (J$7+(MATCH(Assumptions!$J37,{"Monday","Tuesday","Wednesday","Thursday","Friday"},0)-WEEKDAY(J$7,2)))+7&gt;EOMONTH((J$7+(MATCH(Assumptions!$J37,{"Monday","Tuesday","Wednesday","Thursday","Friday"},0)-WEEKDAY(J$7,2))),0)
              ),
            "Yes","No"),
            IF(
              Assumptions!$F37="Weekly",
              IF(
                AND(
                  WEEKDAY(J$7,2)&lt;=MATCH(Assumptions!$J37,{"Monday","Tuesday","Wednesday","Thursday","Friday"},0),
                  WEEKDAY(J$8,2)&gt;=MATCH(Assumptions!$J37,{"Monday","Tuesday","Wednesday","Thursday","Friday"},0)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AND(Assumptions!$I37&gt;=J$7, Assumptions!$I37&lt;=J$8),
                    AND(
                      Assumptions!$I37&lt;J$7,
                      MOD(INT((J$7-(Assumptions!$I37-WEEKDAY(Assumptions!$I37,2)+1))/7),2)=0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AND(Assumptions!$I37&gt;=J$7, Assumptions!$I37&lt;=J$8),
                      AND(
                        Assumptions!$I37&lt;J$7,
                        MOD(INT((J$7-(Assumptions!$I37-WEEKDAY(Assumptions!$I37,2)+1))/7),3)=0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ISNUMBER(MATCH(MONTH(J$7),IF(Assumptions!$H37="Jan / Apr / Jul / Oct",{1,4,7,10},IF(Assumptions!$H37="Feb / May / Aug / Nov",{2,5,8,11},{3,6,9,12})),0)),
                          DATE(YEAR(J$7),MONTH(J$7),Assumptions!$G37)&gt;=J$7,
                          DATE(YEAR(J$7),MONTH(J$7),Assumptions!$G37)&lt;=J$8
                        ),
                        AND(
                          ISNUMBER(MATCH(MONTH(J$8),IF(Assumptions!$H37="Jan / Apr / Jul / Oct",{1,4,7,10},IF(Assumptions!$H37="Feb / May / Aug / Nov",{2,5,8,11},{3,6,9,12})),0)),
                          DATE(YEAR(J$8),MONTH(J$8),Assumptions!$G37)&gt;=J$7,
                          DATE(YEAR(J$8),MONTH(J$8),Assumptions!$G37)&lt;=J$8
                        )
                      ),
                    "Yes","No"),
                  "No")
                )
              )
            )
          )
        )
      )
    )
  )
)</f>
        <v>No</v>
      </c>
      <c r="K25" s="59" t="str">
        <f>IF(
  Assumptions!$K37="Off",
  "No",
  IF(
    Assumptions!$F37="I will phase manually",
    "No",
    IF(
      Assumptions!$F37="Last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Assumptions!$F37="End of month",
        IF(
          OR(
            AND(EOMONTH(K$7,0)&gt;=K$7, EOMONTH(K$7,0)&lt;=K$8),
            AND(EOMONTH(K$8,0)&gt;=K$7, EOMONTH(K$8,0)&lt;=K$8)
          ),
        "Yes","No"),
        IF(
          Assumptions!$F37="Specific day of month",
          IF(
            OR(
              AND(DATE(YEAR(K$7),MONTH(K$7),Assumptions!$G37)&gt;=K$7, DATE(YEAR(K$7),MONTH(K$7),Assumptions!$G37)&lt;=K$8),
              AND(DATE(YEAR(K$8),MONTH(K$8),Assumptions!$G37)&gt;=K$7, DATE(YEAR(K$8),MONTH(K$8),Assumptions!$G37)&lt;=K$8)
            ),
          "Yes","No"),
          IF(
            Assumptions!$F37="Last X day of month",
            IF(
              AND(
                WEEKDAY(K$7,2)&lt;=MATCH(Assumptions!$J37,{"Monday","Tuesday","Wednesday","Thursday","Friday"},0),
                WEEKDAY(K$8,2)&gt;=MATCH(Assumptions!$J37,{"Monday","Tuesday","Wednesday","Thursday","Friday"},0),
                (K$7+(MATCH(Assumptions!$J37,{"Monday","Tuesday","Wednesday","Thursday","Friday"},0)-WEEKDAY(K$7,2)))+7&gt;EOMONTH((K$7+(MATCH(Assumptions!$J37,{"Monday","Tuesday","Wednesday","Thursday","Friday"},0)-WEEKDAY(K$7,2))),0)
              ),
            "Yes","No"),
            IF(
              Assumptions!$F37="Weekly",
              IF(
                AND(
                  WEEKDAY(K$7,2)&lt;=MATCH(Assumptions!$J37,{"Monday","Tuesday","Wednesday","Thursday","Friday"},0),
                  WEEKDAY(K$8,2)&gt;=MATCH(Assumptions!$J37,{"Monday","Tuesday","Wednesday","Thursday","Friday"},0)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AND(Assumptions!$I37&gt;=K$7, Assumptions!$I37&lt;=K$8),
                    AND(
                      Assumptions!$I37&lt;K$7,
                      MOD(INT((K$7-(Assumptions!$I37-WEEKDAY(Assumptions!$I37,2)+1))/7),2)=0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AND(Assumptions!$I37&gt;=K$7, Assumptions!$I37&lt;=K$8),
                      AND(
                        Assumptions!$I37&lt;K$7,
                        MOD(INT((K$7-(Assumptions!$I37-WEEKDAY(Assumptions!$I37,2)+1))/7),3)=0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ISNUMBER(MATCH(MONTH(K$7),IF(Assumptions!$H37="Jan / Apr / Jul / Oct",{1,4,7,10},IF(Assumptions!$H37="Feb / May / Aug / Nov",{2,5,8,11},{3,6,9,12})),0)),
                          DATE(YEAR(K$7),MONTH(K$7),Assumptions!$G37)&gt;=K$7,
                          DATE(YEAR(K$7),MONTH(K$7),Assumptions!$G37)&lt;=K$8
                        ),
                        AND(
                          ISNUMBER(MATCH(MONTH(K$8),IF(Assumptions!$H37="Jan / Apr / Jul / Oct",{1,4,7,10},IF(Assumptions!$H37="Feb / May / Aug / Nov",{2,5,8,11},{3,6,9,12})),0)),
                          DATE(YEAR(K$8),MONTH(K$8),Assumptions!$G37)&gt;=K$7,
                          DATE(YEAR(K$8),MONTH(K$8),Assumptions!$G37)&lt;=K$8
                        )
                      ),
                    "Yes","No"),
                  "No")
                )
              )
            )
          )
        )
      )
    )
  )
)</f>
        <v>No</v>
      </c>
      <c r="L25" s="59" t="str">
        <f>IF(
  Assumptions!$K37="Off",
  "No",
  IF(
    Assumptions!$F37="I will phase manually",
    "No",
    IF(
      Assumptions!$F37="Last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Assumptions!$F37="End of month",
        IF(
          OR(
            AND(EOMONTH(L$7,0)&gt;=L$7, EOMONTH(L$7,0)&lt;=L$8),
            AND(EOMONTH(L$8,0)&gt;=L$7, EOMONTH(L$8,0)&lt;=L$8)
          ),
        "Yes","No"),
        IF(
          Assumptions!$F37="Specific day of month",
          IF(
            OR(
              AND(DATE(YEAR(L$7),MONTH(L$7),Assumptions!$G37)&gt;=L$7, DATE(YEAR(L$7),MONTH(L$7),Assumptions!$G37)&lt;=L$8),
              AND(DATE(YEAR(L$8),MONTH(L$8),Assumptions!$G37)&gt;=L$7, DATE(YEAR(L$8),MONTH(L$8),Assumptions!$G37)&lt;=L$8)
            ),
          "Yes","No"),
          IF(
            Assumptions!$F37="Last X day of month",
            IF(
              AND(
                WEEKDAY(L$7,2)&lt;=MATCH(Assumptions!$J37,{"Monday","Tuesday","Wednesday","Thursday","Friday"},0),
                WEEKDAY(L$8,2)&gt;=MATCH(Assumptions!$J37,{"Monday","Tuesday","Wednesday","Thursday","Friday"},0),
                (L$7+(MATCH(Assumptions!$J37,{"Monday","Tuesday","Wednesday","Thursday","Friday"},0)-WEEKDAY(L$7,2)))+7&gt;EOMONTH((L$7+(MATCH(Assumptions!$J37,{"Monday","Tuesday","Wednesday","Thursday","Friday"},0)-WEEKDAY(L$7,2))),0)
              ),
            "Yes","No"),
            IF(
              Assumptions!$F37="Weekly",
              IF(
                AND(
                  WEEKDAY(L$7,2)&lt;=MATCH(Assumptions!$J37,{"Monday","Tuesday","Wednesday","Thursday","Friday"},0),
                  WEEKDAY(L$8,2)&gt;=MATCH(Assumptions!$J37,{"Monday","Tuesday","Wednesday","Thursday","Friday"},0)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AND(Assumptions!$I37&gt;=L$7, Assumptions!$I37&lt;=L$8),
                    AND(
                      Assumptions!$I37&lt;L$7,
                      MOD(INT((L$7-(Assumptions!$I37-WEEKDAY(Assumptions!$I37,2)+1))/7),2)=0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AND(Assumptions!$I37&gt;=L$7, Assumptions!$I37&lt;=L$8),
                      AND(
                        Assumptions!$I37&lt;L$7,
                        MOD(INT((L$7-(Assumptions!$I37-WEEKDAY(Assumptions!$I37,2)+1))/7),3)=0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ISNUMBER(MATCH(MONTH(L$7),IF(Assumptions!$H37="Jan / Apr / Jul / Oct",{1,4,7,10},IF(Assumptions!$H37="Feb / May / Aug / Nov",{2,5,8,11},{3,6,9,12})),0)),
                          DATE(YEAR(L$7),MONTH(L$7),Assumptions!$G37)&gt;=L$7,
                          DATE(YEAR(L$7),MONTH(L$7),Assumptions!$G37)&lt;=L$8
                        ),
                        AND(
                          ISNUMBER(MATCH(MONTH(L$8),IF(Assumptions!$H37="Jan / Apr / Jul / Oct",{1,4,7,10},IF(Assumptions!$H37="Feb / May / Aug / Nov",{2,5,8,11},{3,6,9,12})),0)),
                          DATE(YEAR(L$8),MONTH(L$8),Assumptions!$G37)&gt;=L$7,
                          DATE(YEAR(L$8),MONTH(L$8),Assumptions!$G37)&lt;=L$8
                        )
                      ),
                    "Yes","No"),
                  "No")
                )
              )
            )
          )
        )
      )
    )
  )
)</f>
        <v>No</v>
      </c>
      <c r="M25" s="59" t="str">
        <f>IF(
  Assumptions!$K37="Off",
  "No",
  IF(
    Assumptions!$F37="I will phase manually",
    "No",
    IF(
      Assumptions!$F37="Last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Assumptions!$F37="End of month",
        IF(
          OR(
            AND(EOMONTH(M$7,0)&gt;=M$7, EOMONTH(M$7,0)&lt;=M$8),
            AND(EOMONTH(M$8,0)&gt;=M$7, EOMONTH(M$8,0)&lt;=M$8)
          ),
        "Yes","No"),
        IF(
          Assumptions!$F37="Specific day of month",
          IF(
            OR(
              AND(DATE(YEAR(M$7),MONTH(M$7),Assumptions!$G37)&gt;=M$7, DATE(YEAR(M$7),MONTH(M$7),Assumptions!$G37)&lt;=M$8),
              AND(DATE(YEAR(M$8),MONTH(M$8),Assumptions!$G37)&gt;=M$7, DATE(YEAR(M$8),MONTH(M$8),Assumptions!$G37)&lt;=M$8)
            ),
          "Yes","No"),
          IF(
            Assumptions!$F37="Last X day of month",
            IF(
              AND(
                WEEKDAY(M$7,2)&lt;=MATCH(Assumptions!$J37,{"Monday","Tuesday","Wednesday","Thursday","Friday"},0),
                WEEKDAY(M$8,2)&gt;=MATCH(Assumptions!$J37,{"Monday","Tuesday","Wednesday","Thursday","Friday"},0),
                (M$7+(MATCH(Assumptions!$J37,{"Monday","Tuesday","Wednesday","Thursday","Friday"},0)-WEEKDAY(M$7,2)))+7&gt;EOMONTH((M$7+(MATCH(Assumptions!$J37,{"Monday","Tuesday","Wednesday","Thursday","Friday"},0)-WEEKDAY(M$7,2))),0)
              ),
            "Yes","No"),
            IF(
              Assumptions!$F37="Weekly",
              IF(
                AND(
                  WEEKDAY(M$7,2)&lt;=MATCH(Assumptions!$J37,{"Monday","Tuesday","Wednesday","Thursday","Friday"},0),
                  WEEKDAY(M$8,2)&gt;=MATCH(Assumptions!$J37,{"Monday","Tuesday","Wednesday","Thursday","Friday"},0)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AND(Assumptions!$I37&gt;=M$7, Assumptions!$I37&lt;=M$8),
                    AND(
                      Assumptions!$I37&lt;M$7,
                      MOD(INT((M$7-(Assumptions!$I37-WEEKDAY(Assumptions!$I37,2)+1))/7),2)=0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AND(Assumptions!$I37&gt;=M$7, Assumptions!$I37&lt;=M$8),
                      AND(
                        Assumptions!$I37&lt;M$7,
                        MOD(INT((M$7-(Assumptions!$I37-WEEKDAY(Assumptions!$I37,2)+1))/7),3)=0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ISNUMBER(MATCH(MONTH(M$7),IF(Assumptions!$H37="Jan / Apr / Jul / Oct",{1,4,7,10},IF(Assumptions!$H37="Feb / May / Aug / Nov",{2,5,8,11},{3,6,9,12})),0)),
                          DATE(YEAR(M$7),MONTH(M$7),Assumptions!$G37)&gt;=M$7,
                          DATE(YEAR(M$7),MONTH(M$7),Assumptions!$G37)&lt;=M$8
                        ),
                        AND(
                          ISNUMBER(MATCH(MONTH(M$8),IF(Assumptions!$H37="Jan / Apr / Jul / Oct",{1,4,7,10},IF(Assumptions!$H37="Feb / May / Aug / Nov",{2,5,8,11},{3,6,9,12})),0)),
                          DATE(YEAR(M$8),MONTH(M$8),Assumptions!$G37)&gt;=M$7,
                          DATE(YEAR(M$8),MONTH(M$8),Assumptions!$G37)&lt;=M$8
                        )
                      ),
                    "Yes","No"),
                  "No")
                )
              )
            )
          )
        )
      )
    )
  )
)</f>
        <v>No</v>
      </c>
      <c r="N25" s="59" t="str">
        <f>IF(
  Assumptions!$K37="Off",
  "No",
  IF(
    Assumptions!$F37="I will phase manually",
    "No",
    IF(
      Assumptions!$F37="Last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Assumptions!$F37="End of month",
        IF(
          OR(
            AND(EOMONTH(N$7,0)&gt;=N$7, EOMONTH(N$7,0)&lt;=N$8),
            AND(EOMONTH(N$8,0)&gt;=N$7, EOMONTH(N$8,0)&lt;=N$8)
          ),
        "Yes","No"),
        IF(
          Assumptions!$F37="Specific day of month",
          IF(
            OR(
              AND(DATE(YEAR(N$7),MONTH(N$7),Assumptions!$G37)&gt;=N$7, DATE(YEAR(N$7),MONTH(N$7),Assumptions!$G37)&lt;=N$8),
              AND(DATE(YEAR(N$8),MONTH(N$8),Assumptions!$G37)&gt;=N$7, DATE(YEAR(N$8),MONTH(N$8),Assumptions!$G37)&lt;=N$8)
            ),
          "Yes","No"),
          IF(
            Assumptions!$F37="Last X day of month",
            IF(
              AND(
                WEEKDAY(N$7,2)&lt;=MATCH(Assumptions!$J37,{"Monday","Tuesday","Wednesday","Thursday","Friday"},0),
                WEEKDAY(N$8,2)&gt;=MATCH(Assumptions!$J37,{"Monday","Tuesday","Wednesday","Thursday","Friday"},0),
                (N$7+(MATCH(Assumptions!$J37,{"Monday","Tuesday","Wednesday","Thursday","Friday"},0)-WEEKDAY(N$7,2)))+7&gt;EOMONTH((N$7+(MATCH(Assumptions!$J37,{"Monday","Tuesday","Wednesday","Thursday","Friday"},0)-WEEKDAY(N$7,2))),0)
              ),
            "Yes","No"),
            IF(
              Assumptions!$F37="Weekly",
              IF(
                AND(
                  WEEKDAY(N$7,2)&lt;=MATCH(Assumptions!$J37,{"Monday","Tuesday","Wednesday","Thursday","Friday"},0),
                  WEEKDAY(N$8,2)&gt;=MATCH(Assumptions!$J37,{"Monday","Tuesday","Wednesday","Thursday","Friday"},0)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AND(Assumptions!$I37&gt;=N$7, Assumptions!$I37&lt;=N$8),
                    AND(
                      Assumptions!$I37&lt;N$7,
                      MOD(INT((N$7-(Assumptions!$I37-WEEKDAY(Assumptions!$I37,2)+1))/7),2)=0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AND(Assumptions!$I37&gt;=N$7, Assumptions!$I37&lt;=N$8),
                      AND(
                        Assumptions!$I37&lt;N$7,
                        MOD(INT((N$7-(Assumptions!$I37-WEEKDAY(Assumptions!$I37,2)+1))/7),3)=0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ISNUMBER(MATCH(MONTH(N$7),IF(Assumptions!$H37="Jan / Apr / Jul / Oct",{1,4,7,10},IF(Assumptions!$H37="Feb / May / Aug / Nov",{2,5,8,11},{3,6,9,12})),0)),
                          DATE(YEAR(N$7),MONTH(N$7),Assumptions!$G37)&gt;=N$7,
                          DATE(YEAR(N$7),MONTH(N$7),Assumptions!$G37)&lt;=N$8
                        ),
                        AND(
                          ISNUMBER(MATCH(MONTH(N$8),IF(Assumptions!$H37="Jan / Apr / Jul / Oct",{1,4,7,10},IF(Assumptions!$H37="Feb / May / Aug / Nov",{2,5,8,11},{3,6,9,12})),0)),
                          DATE(YEAR(N$8),MONTH(N$8),Assumptions!$G37)&gt;=N$7,
                          DATE(YEAR(N$8),MONTH(N$8),Assumptions!$G37)&lt;=N$8
                        )
                      ),
                    "Yes","No"),
                  "No")
                )
              )
            )
          )
        )
      )
    )
  )
)</f>
        <v>No</v>
      </c>
      <c r="O25" s="59" t="str">
        <f>IF(
  Assumptions!$K37="Off",
  "No",
  IF(
    Assumptions!$F37="I will phase manually",
    "No",
    IF(
      Assumptions!$F37="Last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Assumptions!$F37="End of month",
        IF(
          OR(
            AND(EOMONTH(O$7,0)&gt;=O$7, EOMONTH(O$7,0)&lt;=O$8),
            AND(EOMONTH(O$8,0)&gt;=O$7, EOMONTH(O$8,0)&lt;=O$8)
          ),
        "Yes","No"),
        IF(
          Assumptions!$F37="Specific day of month",
          IF(
            OR(
              AND(DATE(YEAR(O$7),MONTH(O$7),Assumptions!$G37)&gt;=O$7, DATE(YEAR(O$7),MONTH(O$7),Assumptions!$G37)&lt;=O$8),
              AND(DATE(YEAR(O$8),MONTH(O$8),Assumptions!$G37)&gt;=O$7, DATE(YEAR(O$8),MONTH(O$8),Assumptions!$G37)&lt;=O$8)
            ),
          "Yes","No"),
          IF(
            Assumptions!$F37="Last X day of month",
            IF(
              AND(
                WEEKDAY(O$7,2)&lt;=MATCH(Assumptions!$J37,{"Monday","Tuesday","Wednesday","Thursday","Friday"},0),
                WEEKDAY(O$8,2)&gt;=MATCH(Assumptions!$J37,{"Monday","Tuesday","Wednesday","Thursday","Friday"},0),
                (O$7+(MATCH(Assumptions!$J37,{"Monday","Tuesday","Wednesday","Thursday","Friday"},0)-WEEKDAY(O$7,2)))+7&gt;EOMONTH((O$7+(MATCH(Assumptions!$J37,{"Monday","Tuesday","Wednesday","Thursday","Friday"},0)-WEEKDAY(O$7,2))),0)
              ),
            "Yes","No"),
            IF(
              Assumptions!$F37="Weekly",
              IF(
                AND(
                  WEEKDAY(O$7,2)&lt;=MATCH(Assumptions!$J37,{"Monday","Tuesday","Wednesday","Thursday","Friday"},0),
                  WEEKDAY(O$8,2)&gt;=MATCH(Assumptions!$J37,{"Monday","Tuesday","Wednesday","Thursday","Friday"},0)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AND(Assumptions!$I37&gt;=O$7, Assumptions!$I37&lt;=O$8),
                    AND(
                      Assumptions!$I37&lt;O$7,
                      MOD(INT((O$7-(Assumptions!$I37-WEEKDAY(Assumptions!$I37,2)+1))/7),2)=0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AND(Assumptions!$I37&gt;=O$7, Assumptions!$I37&lt;=O$8),
                      AND(
                        Assumptions!$I37&lt;O$7,
                        MOD(INT((O$7-(Assumptions!$I37-WEEKDAY(Assumptions!$I37,2)+1))/7),3)=0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ISNUMBER(MATCH(MONTH(O$7),IF(Assumptions!$H37="Jan / Apr / Jul / Oct",{1,4,7,10},IF(Assumptions!$H37="Feb / May / Aug / Nov",{2,5,8,11},{3,6,9,12})),0)),
                          DATE(YEAR(O$7),MONTH(O$7),Assumptions!$G37)&gt;=O$7,
                          DATE(YEAR(O$7),MONTH(O$7),Assumptions!$G37)&lt;=O$8
                        ),
                        AND(
                          ISNUMBER(MATCH(MONTH(O$8),IF(Assumptions!$H37="Jan / Apr / Jul / Oct",{1,4,7,10},IF(Assumptions!$H37="Feb / May / Aug / Nov",{2,5,8,11},{3,6,9,12})),0)),
                          DATE(YEAR(O$8),MONTH(O$8),Assumptions!$G37)&gt;=O$7,
                          DATE(YEAR(O$8),MONTH(O$8),Assumptions!$G37)&lt;=O$8
                        )
                      ),
                    "Yes","No"),
                  "No")
                )
              )
            )
          )
        )
      )
    )
  )
)</f>
        <v>No</v>
      </c>
      <c r="P25" s="59" t="str">
        <f>IF(
  Assumptions!$K37="Off",
  "No",
  IF(
    Assumptions!$F37="I will phase manually",
    "No",
    IF(
      Assumptions!$F37="Last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Assumptions!$F37="End of month",
        IF(
          OR(
            AND(EOMONTH(P$7,0)&gt;=P$7, EOMONTH(P$7,0)&lt;=P$8),
            AND(EOMONTH(P$8,0)&gt;=P$7, EOMONTH(P$8,0)&lt;=P$8)
          ),
        "Yes","No"),
        IF(
          Assumptions!$F37="Specific day of month",
          IF(
            OR(
              AND(DATE(YEAR(P$7),MONTH(P$7),Assumptions!$G37)&gt;=P$7, DATE(YEAR(P$7),MONTH(P$7),Assumptions!$G37)&lt;=P$8),
              AND(DATE(YEAR(P$8),MONTH(P$8),Assumptions!$G37)&gt;=P$7, DATE(YEAR(P$8),MONTH(P$8),Assumptions!$G37)&lt;=P$8)
            ),
          "Yes","No"),
          IF(
            Assumptions!$F37="Last X day of month",
            IF(
              AND(
                WEEKDAY(P$7,2)&lt;=MATCH(Assumptions!$J37,{"Monday","Tuesday","Wednesday","Thursday","Friday"},0),
                WEEKDAY(P$8,2)&gt;=MATCH(Assumptions!$J37,{"Monday","Tuesday","Wednesday","Thursday","Friday"},0),
                (P$7+(MATCH(Assumptions!$J37,{"Monday","Tuesday","Wednesday","Thursday","Friday"},0)-WEEKDAY(P$7,2)))+7&gt;EOMONTH((P$7+(MATCH(Assumptions!$J37,{"Monday","Tuesday","Wednesday","Thursday","Friday"},0)-WEEKDAY(P$7,2))),0)
              ),
            "Yes","No"),
            IF(
              Assumptions!$F37="Weekly",
              IF(
                AND(
                  WEEKDAY(P$7,2)&lt;=MATCH(Assumptions!$J37,{"Monday","Tuesday","Wednesday","Thursday","Friday"},0),
                  WEEKDAY(P$8,2)&gt;=MATCH(Assumptions!$J37,{"Monday","Tuesday","Wednesday","Thursday","Friday"},0)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AND(Assumptions!$I37&gt;=P$7, Assumptions!$I37&lt;=P$8),
                    AND(
                      Assumptions!$I37&lt;P$7,
                      MOD(INT((P$7-(Assumptions!$I37-WEEKDAY(Assumptions!$I37,2)+1))/7),2)=0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AND(Assumptions!$I37&gt;=P$7, Assumptions!$I37&lt;=P$8),
                      AND(
                        Assumptions!$I37&lt;P$7,
                        MOD(INT((P$7-(Assumptions!$I37-WEEKDAY(Assumptions!$I37,2)+1))/7),3)=0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ISNUMBER(MATCH(MONTH(P$7),IF(Assumptions!$H37="Jan / Apr / Jul / Oct",{1,4,7,10},IF(Assumptions!$H37="Feb / May / Aug / Nov",{2,5,8,11},{3,6,9,12})),0)),
                          DATE(YEAR(P$7),MONTH(P$7),Assumptions!$G37)&gt;=P$7,
                          DATE(YEAR(P$7),MONTH(P$7),Assumptions!$G37)&lt;=P$8
                        ),
                        AND(
                          ISNUMBER(MATCH(MONTH(P$8),IF(Assumptions!$H37="Jan / Apr / Jul / Oct",{1,4,7,10},IF(Assumptions!$H37="Feb / May / Aug / Nov",{2,5,8,11},{3,6,9,12})),0)),
                          DATE(YEAR(P$8),MONTH(P$8),Assumptions!$G37)&gt;=P$7,
                          DATE(YEAR(P$8),MONTH(P$8),Assumptions!$G37)&lt;=P$8
                        )
                      ),
                    "Yes","No"),
                  "No")
                )
              )
            )
          )
        )
      )
    )
  )
)</f>
        <v>No</v>
      </c>
      <c r="Q25" s="59" t="str">
        <f>IF(
  Assumptions!$K37="Off",
  "No",
  IF(
    Assumptions!$F37="I will phase manually",
    "No",
    IF(
      Assumptions!$F37="Last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Assumptions!$F37="End of month",
        IF(
          OR(
            AND(EOMONTH(Q$7,0)&gt;=Q$7, EOMONTH(Q$7,0)&lt;=Q$8),
            AND(EOMONTH(Q$8,0)&gt;=Q$7, EOMONTH(Q$8,0)&lt;=Q$8)
          ),
        "Yes","No"),
        IF(
          Assumptions!$F37="Specific day of month",
          IF(
            OR(
              AND(DATE(YEAR(Q$7),MONTH(Q$7),Assumptions!$G37)&gt;=Q$7, DATE(YEAR(Q$7),MONTH(Q$7),Assumptions!$G37)&lt;=Q$8),
              AND(DATE(YEAR(Q$8),MONTH(Q$8),Assumptions!$G37)&gt;=Q$7, DATE(YEAR(Q$8),MONTH(Q$8),Assumptions!$G37)&lt;=Q$8)
            ),
          "Yes","No"),
          IF(
            Assumptions!$F37="Last X day of month",
            IF(
              AND(
                WEEKDAY(Q$7,2)&lt;=MATCH(Assumptions!$J37,{"Monday","Tuesday","Wednesday","Thursday","Friday"},0),
                WEEKDAY(Q$8,2)&gt;=MATCH(Assumptions!$J37,{"Monday","Tuesday","Wednesday","Thursday","Friday"},0),
                (Q$7+(MATCH(Assumptions!$J37,{"Monday","Tuesday","Wednesday","Thursday","Friday"},0)-WEEKDAY(Q$7,2)))+7&gt;EOMONTH((Q$7+(MATCH(Assumptions!$J37,{"Monday","Tuesday","Wednesday","Thursday","Friday"},0)-WEEKDAY(Q$7,2))),0)
              ),
            "Yes","No"),
            IF(
              Assumptions!$F37="Weekly",
              IF(
                AND(
                  WEEKDAY(Q$7,2)&lt;=MATCH(Assumptions!$J37,{"Monday","Tuesday","Wednesday","Thursday","Friday"},0),
                  WEEKDAY(Q$8,2)&gt;=MATCH(Assumptions!$J37,{"Monday","Tuesday","Wednesday","Thursday","Friday"},0)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AND(Assumptions!$I37&gt;=Q$7, Assumptions!$I37&lt;=Q$8),
                    AND(
                      Assumptions!$I37&lt;Q$7,
                      MOD(INT((Q$7-(Assumptions!$I37-WEEKDAY(Assumptions!$I37,2)+1))/7),2)=0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AND(Assumptions!$I37&gt;=Q$7, Assumptions!$I37&lt;=Q$8),
                      AND(
                        Assumptions!$I37&lt;Q$7,
                        MOD(INT((Q$7-(Assumptions!$I37-WEEKDAY(Assumptions!$I37,2)+1))/7),3)=0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ISNUMBER(MATCH(MONTH(Q$7),IF(Assumptions!$H37="Jan / Apr / Jul / Oct",{1,4,7,10},IF(Assumptions!$H37="Feb / May / Aug / Nov",{2,5,8,11},{3,6,9,12})),0)),
                          DATE(YEAR(Q$7),MONTH(Q$7),Assumptions!$G37)&gt;=Q$7,
                          DATE(YEAR(Q$7),MONTH(Q$7),Assumptions!$G37)&lt;=Q$8
                        ),
                        AND(
                          ISNUMBER(MATCH(MONTH(Q$8),IF(Assumptions!$H37="Jan / Apr / Jul / Oct",{1,4,7,10},IF(Assumptions!$H37="Feb / May / Aug / Nov",{2,5,8,11},{3,6,9,12})),0)),
                          DATE(YEAR(Q$8),MONTH(Q$8),Assumptions!$G37)&gt;=Q$7,
                          DATE(YEAR(Q$8),MONTH(Q$8),Assumptions!$G37)&lt;=Q$8
                        )
                      ),
                    "Yes","No"),
                  "No")
                )
              )
            )
          )
        )
      )
    )
  )
)</f>
        <v>No</v>
      </c>
      <c r="R25" s="59" t="str">
        <f>IF(
  Assumptions!$K37="Off",
  "No",
  IF(
    Assumptions!$F37="I will phase manually",
    "No",
    IF(
      Assumptions!$F37="Last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Assumptions!$F37="End of month",
        IF(
          OR(
            AND(EOMONTH(R$7,0)&gt;=R$7, EOMONTH(R$7,0)&lt;=R$8),
            AND(EOMONTH(R$8,0)&gt;=R$7, EOMONTH(R$8,0)&lt;=R$8)
          ),
        "Yes","No"),
        IF(
          Assumptions!$F37="Specific day of month",
          IF(
            OR(
              AND(DATE(YEAR(R$7),MONTH(R$7),Assumptions!$G37)&gt;=R$7, DATE(YEAR(R$7),MONTH(R$7),Assumptions!$G37)&lt;=R$8),
              AND(DATE(YEAR(R$8),MONTH(R$8),Assumptions!$G37)&gt;=R$7, DATE(YEAR(R$8),MONTH(R$8),Assumptions!$G37)&lt;=R$8)
            ),
          "Yes","No"),
          IF(
            Assumptions!$F37="Last X day of month",
            IF(
              AND(
                WEEKDAY(R$7,2)&lt;=MATCH(Assumptions!$J37,{"Monday","Tuesday","Wednesday","Thursday","Friday"},0),
                WEEKDAY(R$8,2)&gt;=MATCH(Assumptions!$J37,{"Monday","Tuesday","Wednesday","Thursday","Friday"},0),
                (R$7+(MATCH(Assumptions!$J37,{"Monday","Tuesday","Wednesday","Thursday","Friday"},0)-WEEKDAY(R$7,2)))+7&gt;EOMONTH((R$7+(MATCH(Assumptions!$J37,{"Monday","Tuesday","Wednesday","Thursday","Friday"},0)-WEEKDAY(R$7,2))),0)
              ),
            "Yes","No"),
            IF(
              Assumptions!$F37="Weekly",
              IF(
                AND(
                  WEEKDAY(R$7,2)&lt;=MATCH(Assumptions!$J37,{"Monday","Tuesday","Wednesday","Thursday","Friday"},0),
                  WEEKDAY(R$8,2)&gt;=MATCH(Assumptions!$J37,{"Monday","Tuesday","Wednesday","Thursday","Friday"},0)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AND(Assumptions!$I37&gt;=R$7, Assumptions!$I37&lt;=R$8),
                    AND(
                      Assumptions!$I37&lt;R$7,
                      MOD(INT((R$7-(Assumptions!$I37-WEEKDAY(Assumptions!$I37,2)+1))/7),2)=0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AND(Assumptions!$I37&gt;=R$7, Assumptions!$I37&lt;=R$8),
                      AND(
                        Assumptions!$I37&lt;R$7,
                        MOD(INT((R$7-(Assumptions!$I37-WEEKDAY(Assumptions!$I37,2)+1))/7),3)=0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ISNUMBER(MATCH(MONTH(R$7),IF(Assumptions!$H37="Jan / Apr / Jul / Oct",{1,4,7,10},IF(Assumptions!$H37="Feb / May / Aug / Nov",{2,5,8,11},{3,6,9,12})),0)),
                          DATE(YEAR(R$7),MONTH(R$7),Assumptions!$G37)&gt;=R$7,
                          DATE(YEAR(R$7),MONTH(R$7),Assumptions!$G37)&lt;=R$8
                        ),
                        AND(
                          ISNUMBER(MATCH(MONTH(R$8),IF(Assumptions!$H37="Jan / Apr / Jul / Oct",{1,4,7,10},IF(Assumptions!$H37="Feb / May / Aug / Nov",{2,5,8,11},{3,6,9,12})),0)),
                          DATE(YEAR(R$8),MONTH(R$8),Assumptions!$G37)&gt;=R$7,
                          DATE(YEAR(R$8),MONTH(R$8),Assumptions!$G37)&lt;=R$8
                        )
                      ),
                    "Yes","No"),
                  "No")
                )
              )
            )
          )
        )
      )
    )
  )
)</f>
        <v>No</v>
      </c>
      <c r="S25" s="59" t="str">
        <f>IF(
  Assumptions!$K37="Off",
  "No",
  IF(
    Assumptions!$F37="I will phase manually",
    "No",
    IF(
      Assumptions!$F37="Last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Assumptions!$F37="End of month",
        IF(
          OR(
            AND(EOMONTH(S$7,0)&gt;=S$7, EOMONTH(S$7,0)&lt;=S$8),
            AND(EOMONTH(S$8,0)&gt;=S$7, EOMONTH(S$8,0)&lt;=S$8)
          ),
        "Yes","No"),
        IF(
          Assumptions!$F37="Specific day of month",
          IF(
            OR(
              AND(DATE(YEAR(S$7),MONTH(S$7),Assumptions!$G37)&gt;=S$7, DATE(YEAR(S$7),MONTH(S$7),Assumptions!$G37)&lt;=S$8),
              AND(DATE(YEAR(S$8),MONTH(S$8),Assumptions!$G37)&gt;=S$7, DATE(YEAR(S$8),MONTH(S$8),Assumptions!$G37)&lt;=S$8)
            ),
          "Yes","No"),
          IF(
            Assumptions!$F37="Last X day of month",
            IF(
              AND(
                WEEKDAY(S$7,2)&lt;=MATCH(Assumptions!$J37,{"Monday","Tuesday","Wednesday","Thursday","Friday"},0),
                WEEKDAY(S$8,2)&gt;=MATCH(Assumptions!$J37,{"Monday","Tuesday","Wednesday","Thursday","Friday"},0),
                (S$7+(MATCH(Assumptions!$J37,{"Monday","Tuesday","Wednesday","Thursday","Friday"},0)-WEEKDAY(S$7,2)))+7&gt;EOMONTH((S$7+(MATCH(Assumptions!$J37,{"Monday","Tuesday","Wednesday","Thursday","Friday"},0)-WEEKDAY(S$7,2))),0)
              ),
            "Yes","No"),
            IF(
              Assumptions!$F37="Weekly",
              IF(
                AND(
                  WEEKDAY(S$7,2)&lt;=MATCH(Assumptions!$J37,{"Monday","Tuesday","Wednesday","Thursday","Friday"},0),
                  WEEKDAY(S$8,2)&gt;=MATCH(Assumptions!$J37,{"Monday","Tuesday","Wednesday","Thursday","Friday"},0)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AND(Assumptions!$I37&gt;=S$7, Assumptions!$I37&lt;=S$8),
                    AND(
                      Assumptions!$I37&lt;S$7,
                      MOD(INT((S$7-(Assumptions!$I37-WEEKDAY(Assumptions!$I37,2)+1))/7),2)=0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AND(Assumptions!$I37&gt;=S$7, Assumptions!$I37&lt;=S$8),
                      AND(
                        Assumptions!$I37&lt;S$7,
                        MOD(INT((S$7-(Assumptions!$I37-WEEKDAY(Assumptions!$I37,2)+1))/7),3)=0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ISNUMBER(MATCH(MONTH(S$7),IF(Assumptions!$H37="Jan / Apr / Jul / Oct",{1,4,7,10},IF(Assumptions!$H37="Feb / May / Aug / Nov",{2,5,8,11},{3,6,9,12})),0)),
                          DATE(YEAR(S$7),MONTH(S$7),Assumptions!$G37)&gt;=S$7,
                          DATE(YEAR(S$7),MONTH(S$7),Assumptions!$G37)&lt;=S$8
                        ),
                        AND(
                          ISNUMBER(MATCH(MONTH(S$8),IF(Assumptions!$H37="Jan / Apr / Jul / Oct",{1,4,7,10},IF(Assumptions!$H37="Feb / May / Aug / Nov",{2,5,8,11},{3,6,9,12})),0)),
                          DATE(YEAR(S$8),MONTH(S$8),Assumptions!$G37)&gt;=S$7,
                          DATE(YEAR(S$8),MONTH(S$8),Assumptions!$G37)&lt;=S$8
                        )
                      ),
                    "Yes","No"),
                  "No")
                )
              )
            )
          )
        )
      )
    )
  )
)</f>
        <v>No</v>
      </c>
      <c r="T25" s="59" t="s">
        <v>124</v>
      </c>
    </row>
    <row r="26" spans="3:20" hidden="1" outlineLevel="1" x14ac:dyDescent="0.25">
      <c r="C26" s="58">
        <f>Assumptions!D38</f>
        <v>0</v>
      </c>
      <c r="D26" s="58"/>
      <c r="E26" s="58"/>
      <c r="F26" s="58"/>
      <c r="G26" s="59" t="str">
        <f>IF(
  Assumptions!$K38="Off",
  "No",
  IF(
    Assumptions!$F38="I will phase manually",
    "No",
    IF(
      Assumptions!$F38="Last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Assumptions!$F38="End of month",
        IF(
          OR(
            AND(EOMONTH(G$7,0)&gt;=G$7, EOMONTH(G$7,0)&lt;=G$8),
            AND(EOMONTH(G$8,0)&gt;=G$7, EOMONTH(G$8,0)&lt;=G$8)
          ),
        "Yes","No"),
        IF(
          Assumptions!$F38="Specific day of month",
          IF(
            OR(
              AND(DATE(YEAR(G$7),MONTH(G$7),Assumptions!$G38)&gt;=G$7, DATE(YEAR(G$7),MONTH(G$7),Assumptions!$G38)&lt;=G$8),
              AND(DATE(YEAR(G$8),MONTH(G$8),Assumptions!$G38)&gt;=G$7, DATE(YEAR(G$8),MONTH(G$8),Assumptions!$G38)&lt;=G$8)
            ),
          "Yes","No"),
          IF(
            Assumptions!$F38="Last X day of month",
            IF(
              AND(
                WEEKDAY(G$7,2)&lt;=MATCH(Assumptions!$J38,{"Monday","Tuesday","Wednesday","Thursday","Friday"},0),
                WEEKDAY(G$8,2)&gt;=MATCH(Assumptions!$J38,{"Monday","Tuesday","Wednesday","Thursday","Friday"},0),
                (G$7+(MATCH(Assumptions!$J38,{"Monday","Tuesday","Wednesday","Thursday","Friday"},0)-WEEKDAY(G$7,2)))+7&gt;EOMONTH((G$7+(MATCH(Assumptions!$J38,{"Monday","Tuesday","Wednesday","Thursday","Friday"},0)-WEEKDAY(G$7,2))),0)
              ),
            "Yes","No"),
            IF(
              Assumptions!$F38="Weekly",
              IF(
                AND(
                  WEEKDAY(G$7,2)&lt;=MATCH(Assumptions!$J38,{"Monday","Tuesday","Wednesday","Thursday","Friday"},0),
                  WEEKDAY(G$8,2)&gt;=MATCH(Assumptions!$J38,{"Monday","Tuesday","Wednesday","Thursday","Friday"},0)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AND(Assumptions!$I38&gt;=G$7, Assumptions!$I38&lt;=G$8),
                    AND(
                      Assumptions!$I38&lt;G$7,
                      MOD(INT((G$7-(Assumptions!$I38-WEEKDAY(Assumptions!$I38,2)+1))/7),2)=0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AND(Assumptions!$I38&gt;=G$7, Assumptions!$I38&lt;=G$8),
                      AND(
                        Assumptions!$I38&lt;G$7,
                        MOD(INT((G$7-(Assumptions!$I38-WEEKDAY(Assumptions!$I38,2)+1))/7),3)=0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ISNUMBER(MATCH(MONTH(G$7),IF(Assumptions!$H38="Jan / Apr / Jul / Oct",{1,4,7,10},IF(Assumptions!$H38="Feb / May / Aug / Nov",{2,5,8,11},{3,6,9,12})),0)),
                          DATE(YEAR(G$7),MONTH(G$7),Assumptions!$G38)&gt;=G$7,
                          DATE(YEAR(G$7),MONTH(G$7),Assumptions!$G38)&lt;=G$8
                        ),
                        AND(
                          ISNUMBER(MATCH(MONTH(G$8),IF(Assumptions!$H38="Jan / Apr / Jul / Oct",{1,4,7,10},IF(Assumptions!$H38="Feb / May / Aug / Nov",{2,5,8,11},{3,6,9,12})),0)),
                          DATE(YEAR(G$8),MONTH(G$8),Assumptions!$G38)&gt;=G$7,
                          DATE(YEAR(G$8),MONTH(G$8),Assumptions!$G38)&lt;=G$8
                        )
                      ),
                    "Yes","No"),
                  "No")
                )
              )
            )
          )
        )
      )
    )
  )
)</f>
        <v>No</v>
      </c>
      <c r="H26" s="59" t="str">
        <f>IF(
  Assumptions!$K38="Off",
  "No",
  IF(
    Assumptions!$F38="I will phase manually",
    "No",
    IF(
      Assumptions!$F38="Last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Assumptions!$F38="End of month",
        IF(
          OR(
            AND(EOMONTH(H$7,0)&gt;=H$7, EOMONTH(H$7,0)&lt;=H$8),
            AND(EOMONTH(H$8,0)&gt;=H$7, EOMONTH(H$8,0)&lt;=H$8)
          ),
        "Yes","No"),
        IF(
          Assumptions!$F38="Specific day of month",
          IF(
            OR(
              AND(DATE(YEAR(H$7),MONTH(H$7),Assumptions!$G38)&gt;=H$7, DATE(YEAR(H$7),MONTH(H$7),Assumptions!$G38)&lt;=H$8),
              AND(DATE(YEAR(H$8),MONTH(H$8),Assumptions!$G38)&gt;=H$7, DATE(YEAR(H$8),MONTH(H$8),Assumptions!$G38)&lt;=H$8)
            ),
          "Yes","No"),
          IF(
            Assumptions!$F38="Last X day of month",
            IF(
              AND(
                WEEKDAY(H$7,2)&lt;=MATCH(Assumptions!$J38,{"Monday","Tuesday","Wednesday","Thursday","Friday"},0),
                WEEKDAY(H$8,2)&gt;=MATCH(Assumptions!$J38,{"Monday","Tuesday","Wednesday","Thursday","Friday"},0),
                (H$7+(MATCH(Assumptions!$J38,{"Monday","Tuesday","Wednesday","Thursday","Friday"},0)-WEEKDAY(H$7,2)))+7&gt;EOMONTH((H$7+(MATCH(Assumptions!$J38,{"Monday","Tuesday","Wednesday","Thursday","Friday"},0)-WEEKDAY(H$7,2))),0)
              ),
            "Yes","No"),
            IF(
              Assumptions!$F38="Weekly",
              IF(
                AND(
                  WEEKDAY(H$7,2)&lt;=MATCH(Assumptions!$J38,{"Monday","Tuesday","Wednesday","Thursday","Friday"},0),
                  WEEKDAY(H$8,2)&gt;=MATCH(Assumptions!$J38,{"Monday","Tuesday","Wednesday","Thursday","Friday"},0)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AND(Assumptions!$I38&gt;=H$7, Assumptions!$I38&lt;=H$8),
                    AND(
                      Assumptions!$I38&lt;H$7,
                      MOD(INT((H$7-(Assumptions!$I38-WEEKDAY(Assumptions!$I38,2)+1))/7),2)=0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AND(Assumptions!$I38&gt;=H$7, Assumptions!$I38&lt;=H$8),
                      AND(
                        Assumptions!$I38&lt;H$7,
                        MOD(INT((H$7-(Assumptions!$I38-WEEKDAY(Assumptions!$I38,2)+1))/7),3)=0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ISNUMBER(MATCH(MONTH(H$7),IF(Assumptions!$H38="Jan / Apr / Jul / Oct",{1,4,7,10},IF(Assumptions!$H38="Feb / May / Aug / Nov",{2,5,8,11},{3,6,9,12})),0)),
                          DATE(YEAR(H$7),MONTH(H$7),Assumptions!$G38)&gt;=H$7,
                          DATE(YEAR(H$7),MONTH(H$7),Assumptions!$G38)&lt;=H$8
                        ),
                        AND(
                          ISNUMBER(MATCH(MONTH(H$8),IF(Assumptions!$H38="Jan / Apr / Jul / Oct",{1,4,7,10},IF(Assumptions!$H38="Feb / May / Aug / Nov",{2,5,8,11},{3,6,9,12})),0)),
                          DATE(YEAR(H$8),MONTH(H$8),Assumptions!$G38)&gt;=H$7,
                          DATE(YEAR(H$8),MONTH(H$8),Assumptions!$G38)&lt;=H$8
                        )
                      ),
                    "Yes","No"),
                  "No")
                )
              )
            )
          )
        )
      )
    )
  )
)</f>
        <v>No</v>
      </c>
      <c r="I26" s="59" t="str">
        <f>IF(
  Assumptions!$K38="Off",
  "No",
  IF(
    Assumptions!$F38="I will phase manually",
    "No",
    IF(
      Assumptions!$F38="Last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Assumptions!$F38="End of month",
        IF(
          OR(
            AND(EOMONTH(I$7,0)&gt;=I$7, EOMONTH(I$7,0)&lt;=I$8),
            AND(EOMONTH(I$8,0)&gt;=I$7, EOMONTH(I$8,0)&lt;=I$8)
          ),
        "Yes","No"),
        IF(
          Assumptions!$F38="Specific day of month",
          IF(
            OR(
              AND(DATE(YEAR(I$7),MONTH(I$7),Assumptions!$G38)&gt;=I$7, DATE(YEAR(I$7),MONTH(I$7),Assumptions!$G38)&lt;=I$8),
              AND(DATE(YEAR(I$8),MONTH(I$8),Assumptions!$G38)&gt;=I$7, DATE(YEAR(I$8),MONTH(I$8),Assumptions!$G38)&lt;=I$8)
            ),
          "Yes","No"),
          IF(
            Assumptions!$F38="Last X day of month",
            IF(
              AND(
                WEEKDAY(I$7,2)&lt;=MATCH(Assumptions!$J38,{"Monday","Tuesday","Wednesday","Thursday","Friday"},0),
                WEEKDAY(I$8,2)&gt;=MATCH(Assumptions!$J38,{"Monday","Tuesday","Wednesday","Thursday","Friday"},0),
                (I$7+(MATCH(Assumptions!$J38,{"Monday","Tuesday","Wednesday","Thursday","Friday"},0)-WEEKDAY(I$7,2)))+7&gt;EOMONTH((I$7+(MATCH(Assumptions!$J38,{"Monday","Tuesday","Wednesday","Thursday","Friday"},0)-WEEKDAY(I$7,2))),0)
              ),
            "Yes","No"),
            IF(
              Assumptions!$F38="Weekly",
              IF(
                AND(
                  WEEKDAY(I$7,2)&lt;=MATCH(Assumptions!$J38,{"Monday","Tuesday","Wednesday","Thursday","Friday"},0),
                  WEEKDAY(I$8,2)&gt;=MATCH(Assumptions!$J38,{"Monday","Tuesday","Wednesday","Thursday","Friday"},0)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AND(Assumptions!$I38&gt;=I$7, Assumptions!$I38&lt;=I$8),
                    AND(
                      Assumptions!$I38&lt;I$7,
                      MOD(INT((I$7-(Assumptions!$I38-WEEKDAY(Assumptions!$I38,2)+1))/7),2)=0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AND(Assumptions!$I38&gt;=I$7, Assumptions!$I38&lt;=I$8),
                      AND(
                        Assumptions!$I38&lt;I$7,
                        MOD(INT((I$7-(Assumptions!$I38-WEEKDAY(Assumptions!$I38,2)+1))/7),3)=0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ISNUMBER(MATCH(MONTH(I$7),IF(Assumptions!$H38="Jan / Apr / Jul / Oct",{1,4,7,10},IF(Assumptions!$H38="Feb / May / Aug / Nov",{2,5,8,11},{3,6,9,12})),0)),
                          DATE(YEAR(I$7),MONTH(I$7),Assumptions!$G38)&gt;=I$7,
                          DATE(YEAR(I$7),MONTH(I$7),Assumptions!$G38)&lt;=I$8
                        ),
                        AND(
                          ISNUMBER(MATCH(MONTH(I$8),IF(Assumptions!$H38="Jan / Apr / Jul / Oct",{1,4,7,10},IF(Assumptions!$H38="Feb / May / Aug / Nov",{2,5,8,11},{3,6,9,12})),0)),
                          DATE(YEAR(I$8),MONTH(I$8),Assumptions!$G38)&gt;=I$7,
                          DATE(YEAR(I$8),MONTH(I$8),Assumptions!$G38)&lt;=I$8
                        )
                      ),
                    "Yes","No"),
                  "No")
                )
              )
            )
          )
        )
      )
    )
  )
)</f>
        <v>No</v>
      </c>
      <c r="J26" s="59" t="str">
        <f>IF(
  Assumptions!$K38="Off",
  "No",
  IF(
    Assumptions!$F38="I will phase manually",
    "No",
    IF(
      Assumptions!$F38="Last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Assumptions!$F38="End of month",
        IF(
          OR(
            AND(EOMONTH(J$7,0)&gt;=J$7, EOMONTH(J$7,0)&lt;=J$8),
            AND(EOMONTH(J$8,0)&gt;=J$7, EOMONTH(J$8,0)&lt;=J$8)
          ),
        "Yes","No"),
        IF(
          Assumptions!$F38="Specific day of month",
          IF(
            OR(
              AND(DATE(YEAR(J$7),MONTH(J$7),Assumptions!$G38)&gt;=J$7, DATE(YEAR(J$7),MONTH(J$7),Assumptions!$G38)&lt;=J$8),
              AND(DATE(YEAR(J$8),MONTH(J$8),Assumptions!$G38)&gt;=J$7, DATE(YEAR(J$8),MONTH(J$8),Assumptions!$G38)&lt;=J$8)
            ),
          "Yes","No"),
          IF(
            Assumptions!$F38="Last X day of month",
            IF(
              AND(
                WEEKDAY(J$7,2)&lt;=MATCH(Assumptions!$J38,{"Monday","Tuesday","Wednesday","Thursday","Friday"},0),
                WEEKDAY(J$8,2)&gt;=MATCH(Assumptions!$J38,{"Monday","Tuesday","Wednesday","Thursday","Friday"},0),
                (J$7+(MATCH(Assumptions!$J38,{"Monday","Tuesday","Wednesday","Thursday","Friday"},0)-WEEKDAY(J$7,2)))+7&gt;EOMONTH((J$7+(MATCH(Assumptions!$J38,{"Monday","Tuesday","Wednesday","Thursday","Friday"},0)-WEEKDAY(J$7,2))),0)
              ),
            "Yes","No"),
            IF(
              Assumptions!$F38="Weekly",
              IF(
                AND(
                  WEEKDAY(J$7,2)&lt;=MATCH(Assumptions!$J38,{"Monday","Tuesday","Wednesday","Thursday","Friday"},0),
                  WEEKDAY(J$8,2)&gt;=MATCH(Assumptions!$J38,{"Monday","Tuesday","Wednesday","Thursday","Friday"},0)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AND(Assumptions!$I38&gt;=J$7, Assumptions!$I38&lt;=J$8),
                    AND(
                      Assumptions!$I38&lt;J$7,
                      MOD(INT((J$7-(Assumptions!$I38-WEEKDAY(Assumptions!$I38,2)+1))/7),2)=0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AND(Assumptions!$I38&gt;=J$7, Assumptions!$I38&lt;=J$8),
                      AND(
                        Assumptions!$I38&lt;J$7,
                        MOD(INT((J$7-(Assumptions!$I38-WEEKDAY(Assumptions!$I38,2)+1))/7),3)=0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ISNUMBER(MATCH(MONTH(J$7),IF(Assumptions!$H38="Jan / Apr / Jul / Oct",{1,4,7,10},IF(Assumptions!$H38="Feb / May / Aug / Nov",{2,5,8,11},{3,6,9,12})),0)),
                          DATE(YEAR(J$7),MONTH(J$7),Assumptions!$G38)&gt;=J$7,
                          DATE(YEAR(J$7),MONTH(J$7),Assumptions!$G38)&lt;=J$8
                        ),
                        AND(
                          ISNUMBER(MATCH(MONTH(J$8),IF(Assumptions!$H38="Jan / Apr / Jul / Oct",{1,4,7,10},IF(Assumptions!$H38="Feb / May / Aug / Nov",{2,5,8,11},{3,6,9,12})),0)),
                          DATE(YEAR(J$8),MONTH(J$8),Assumptions!$G38)&gt;=J$7,
                          DATE(YEAR(J$8),MONTH(J$8),Assumptions!$G38)&lt;=J$8
                        )
                      ),
                    "Yes","No"),
                  "No")
                )
              )
            )
          )
        )
      )
    )
  )
)</f>
        <v>No</v>
      </c>
      <c r="K26" s="59" t="str">
        <f>IF(
  Assumptions!$K38="Off",
  "No",
  IF(
    Assumptions!$F38="I will phase manually",
    "No",
    IF(
      Assumptions!$F38="Last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Assumptions!$F38="End of month",
        IF(
          OR(
            AND(EOMONTH(K$7,0)&gt;=K$7, EOMONTH(K$7,0)&lt;=K$8),
            AND(EOMONTH(K$8,0)&gt;=K$7, EOMONTH(K$8,0)&lt;=K$8)
          ),
        "Yes","No"),
        IF(
          Assumptions!$F38="Specific day of month",
          IF(
            OR(
              AND(DATE(YEAR(K$7),MONTH(K$7),Assumptions!$G38)&gt;=K$7, DATE(YEAR(K$7),MONTH(K$7),Assumptions!$G38)&lt;=K$8),
              AND(DATE(YEAR(K$8),MONTH(K$8),Assumptions!$G38)&gt;=K$7, DATE(YEAR(K$8),MONTH(K$8),Assumptions!$G38)&lt;=K$8)
            ),
          "Yes","No"),
          IF(
            Assumptions!$F38="Last X day of month",
            IF(
              AND(
                WEEKDAY(K$7,2)&lt;=MATCH(Assumptions!$J38,{"Monday","Tuesday","Wednesday","Thursday","Friday"},0),
                WEEKDAY(K$8,2)&gt;=MATCH(Assumptions!$J38,{"Monday","Tuesday","Wednesday","Thursday","Friday"},0),
                (K$7+(MATCH(Assumptions!$J38,{"Monday","Tuesday","Wednesday","Thursday","Friday"},0)-WEEKDAY(K$7,2)))+7&gt;EOMONTH((K$7+(MATCH(Assumptions!$J38,{"Monday","Tuesday","Wednesday","Thursday","Friday"},0)-WEEKDAY(K$7,2))),0)
              ),
            "Yes","No"),
            IF(
              Assumptions!$F38="Weekly",
              IF(
                AND(
                  WEEKDAY(K$7,2)&lt;=MATCH(Assumptions!$J38,{"Monday","Tuesday","Wednesday","Thursday","Friday"},0),
                  WEEKDAY(K$8,2)&gt;=MATCH(Assumptions!$J38,{"Monday","Tuesday","Wednesday","Thursday","Friday"},0)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AND(Assumptions!$I38&gt;=K$7, Assumptions!$I38&lt;=K$8),
                    AND(
                      Assumptions!$I38&lt;K$7,
                      MOD(INT((K$7-(Assumptions!$I38-WEEKDAY(Assumptions!$I38,2)+1))/7),2)=0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AND(Assumptions!$I38&gt;=K$7, Assumptions!$I38&lt;=K$8),
                      AND(
                        Assumptions!$I38&lt;K$7,
                        MOD(INT((K$7-(Assumptions!$I38-WEEKDAY(Assumptions!$I38,2)+1))/7),3)=0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ISNUMBER(MATCH(MONTH(K$7),IF(Assumptions!$H38="Jan / Apr / Jul / Oct",{1,4,7,10},IF(Assumptions!$H38="Feb / May / Aug / Nov",{2,5,8,11},{3,6,9,12})),0)),
                          DATE(YEAR(K$7),MONTH(K$7),Assumptions!$G38)&gt;=K$7,
                          DATE(YEAR(K$7),MONTH(K$7),Assumptions!$G38)&lt;=K$8
                        ),
                        AND(
                          ISNUMBER(MATCH(MONTH(K$8),IF(Assumptions!$H38="Jan / Apr / Jul / Oct",{1,4,7,10},IF(Assumptions!$H38="Feb / May / Aug / Nov",{2,5,8,11},{3,6,9,12})),0)),
                          DATE(YEAR(K$8),MONTH(K$8),Assumptions!$G38)&gt;=K$7,
                          DATE(YEAR(K$8),MONTH(K$8),Assumptions!$G38)&lt;=K$8
                        )
                      ),
                    "Yes","No"),
                  "No")
                )
              )
            )
          )
        )
      )
    )
  )
)</f>
        <v>No</v>
      </c>
      <c r="L26" s="59" t="str">
        <f>IF(
  Assumptions!$K38="Off",
  "No",
  IF(
    Assumptions!$F38="I will phase manually",
    "No",
    IF(
      Assumptions!$F38="Last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Assumptions!$F38="End of month",
        IF(
          OR(
            AND(EOMONTH(L$7,0)&gt;=L$7, EOMONTH(L$7,0)&lt;=L$8),
            AND(EOMONTH(L$8,0)&gt;=L$7, EOMONTH(L$8,0)&lt;=L$8)
          ),
        "Yes","No"),
        IF(
          Assumptions!$F38="Specific day of month",
          IF(
            OR(
              AND(DATE(YEAR(L$7),MONTH(L$7),Assumptions!$G38)&gt;=L$7, DATE(YEAR(L$7),MONTH(L$7),Assumptions!$G38)&lt;=L$8),
              AND(DATE(YEAR(L$8),MONTH(L$8),Assumptions!$G38)&gt;=L$7, DATE(YEAR(L$8),MONTH(L$8),Assumptions!$G38)&lt;=L$8)
            ),
          "Yes","No"),
          IF(
            Assumptions!$F38="Last X day of month",
            IF(
              AND(
                WEEKDAY(L$7,2)&lt;=MATCH(Assumptions!$J38,{"Monday","Tuesday","Wednesday","Thursday","Friday"},0),
                WEEKDAY(L$8,2)&gt;=MATCH(Assumptions!$J38,{"Monday","Tuesday","Wednesday","Thursday","Friday"},0),
                (L$7+(MATCH(Assumptions!$J38,{"Monday","Tuesday","Wednesday","Thursday","Friday"},0)-WEEKDAY(L$7,2)))+7&gt;EOMONTH((L$7+(MATCH(Assumptions!$J38,{"Monday","Tuesday","Wednesday","Thursday","Friday"},0)-WEEKDAY(L$7,2))),0)
              ),
            "Yes","No"),
            IF(
              Assumptions!$F38="Weekly",
              IF(
                AND(
                  WEEKDAY(L$7,2)&lt;=MATCH(Assumptions!$J38,{"Monday","Tuesday","Wednesday","Thursday","Friday"},0),
                  WEEKDAY(L$8,2)&gt;=MATCH(Assumptions!$J38,{"Monday","Tuesday","Wednesday","Thursday","Friday"},0)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AND(Assumptions!$I38&gt;=L$7, Assumptions!$I38&lt;=L$8),
                    AND(
                      Assumptions!$I38&lt;L$7,
                      MOD(INT((L$7-(Assumptions!$I38-WEEKDAY(Assumptions!$I38,2)+1))/7),2)=0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AND(Assumptions!$I38&gt;=L$7, Assumptions!$I38&lt;=L$8),
                      AND(
                        Assumptions!$I38&lt;L$7,
                        MOD(INT((L$7-(Assumptions!$I38-WEEKDAY(Assumptions!$I38,2)+1))/7),3)=0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ISNUMBER(MATCH(MONTH(L$7),IF(Assumptions!$H38="Jan / Apr / Jul / Oct",{1,4,7,10},IF(Assumptions!$H38="Feb / May / Aug / Nov",{2,5,8,11},{3,6,9,12})),0)),
                          DATE(YEAR(L$7),MONTH(L$7),Assumptions!$G38)&gt;=L$7,
                          DATE(YEAR(L$7),MONTH(L$7),Assumptions!$G38)&lt;=L$8
                        ),
                        AND(
                          ISNUMBER(MATCH(MONTH(L$8),IF(Assumptions!$H38="Jan / Apr / Jul / Oct",{1,4,7,10},IF(Assumptions!$H38="Feb / May / Aug / Nov",{2,5,8,11},{3,6,9,12})),0)),
                          DATE(YEAR(L$8),MONTH(L$8),Assumptions!$G38)&gt;=L$7,
                          DATE(YEAR(L$8),MONTH(L$8),Assumptions!$G38)&lt;=L$8
                        )
                      ),
                    "Yes","No"),
                  "No")
                )
              )
            )
          )
        )
      )
    )
  )
)</f>
        <v>No</v>
      </c>
      <c r="M26" s="59" t="str">
        <f>IF(
  Assumptions!$K38="Off",
  "No",
  IF(
    Assumptions!$F38="I will phase manually",
    "No",
    IF(
      Assumptions!$F38="Last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Assumptions!$F38="End of month",
        IF(
          OR(
            AND(EOMONTH(M$7,0)&gt;=M$7, EOMONTH(M$7,0)&lt;=M$8),
            AND(EOMONTH(M$8,0)&gt;=M$7, EOMONTH(M$8,0)&lt;=M$8)
          ),
        "Yes","No"),
        IF(
          Assumptions!$F38="Specific day of month",
          IF(
            OR(
              AND(DATE(YEAR(M$7),MONTH(M$7),Assumptions!$G38)&gt;=M$7, DATE(YEAR(M$7),MONTH(M$7),Assumptions!$G38)&lt;=M$8),
              AND(DATE(YEAR(M$8),MONTH(M$8),Assumptions!$G38)&gt;=M$7, DATE(YEAR(M$8),MONTH(M$8),Assumptions!$G38)&lt;=M$8)
            ),
          "Yes","No"),
          IF(
            Assumptions!$F38="Last X day of month",
            IF(
              AND(
                WEEKDAY(M$7,2)&lt;=MATCH(Assumptions!$J38,{"Monday","Tuesday","Wednesday","Thursday","Friday"},0),
                WEEKDAY(M$8,2)&gt;=MATCH(Assumptions!$J38,{"Monday","Tuesday","Wednesday","Thursday","Friday"},0),
                (M$7+(MATCH(Assumptions!$J38,{"Monday","Tuesday","Wednesday","Thursday","Friday"},0)-WEEKDAY(M$7,2)))+7&gt;EOMONTH((M$7+(MATCH(Assumptions!$J38,{"Monday","Tuesday","Wednesday","Thursday","Friday"},0)-WEEKDAY(M$7,2))),0)
              ),
            "Yes","No"),
            IF(
              Assumptions!$F38="Weekly",
              IF(
                AND(
                  WEEKDAY(M$7,2)&lt;=MATCH(Assumptions!$J38,{"Monday","Tuesday","Wednesday","Thursday","Friday"},0),
                  WEEKDAY(M$8,2)&gt;=MATCH(Assumptions!$J38,{"Monday","Tuesday","Wednesday","Thursday","Friday"},0)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AND(Assumptions!$I38&gt;=M$7, Assumptions!$I38&lt;=M$8),
                    AND(
                      Assumptions!$I38&lt;M$7,
                      MOD(INT((M$7-(Assumptions!$I38-WEEKDAY(Assumptions!$I38,2)+1))/7),2)=0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AND(Assumptions!$I38&gt;=M$7, Assumptions!$I38&lt;=M$8),
                      AND(
                        Assumptions!$I38&lt;M$7,
                        MOD(INT((M$7-(Assumptions!$I38-WEEKDAY(Assumptions!$I38,2)+1))/7),3)=0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ISNUMBER(MATCH(MONTH(M$7),IF(Assumptions!$H38="Jan / Apr / Jul / Oct",{1,4,7,10},IF(Assumptions!$H38="Feb / May / Aug / Nov",{2,5,8,11},{3,6,9,12})),0)),
                          DATE(YEAR(M$7),MONTH(M$7),Assumptions!$G38)&gt;=M$7,
                          DATE(YEAR(M$7),MONTH(M$7),Assumptions!$G38)&lt;=M$8
                        ),
                        AND(
                          ISNUMBER(MATCH(MONTH(M$8),IF(Assumptions!$H38="Jan / Apr / Jul / Oct",{1,4,7,10},IF(Assumptions!$H38="Feb / May / Aug / Nov",{2,5,8,11},{3,6,9,12})),0)),
                          DATE(YEAR(M$8),MONTH(M$8),Assumptions!$G38)&gt;=M$7,
                          DATE(YEAR(M$8),MONTH(M$8),Assumptions!$G38)&lt;=M$8
                        )
                      ),
                    "Yes","No"),
                  "No")
                )
              )
            )
          )
        )
      )
    )
  )
)</f>
        <v>No</v>
      </c>
      <c r="N26" s="59" t="str">
        <f>IF(
  Assumptions!$K38="Off",
  "No",
  IF(
    Assumptions!$F38="I will phase manually",
    "No",
    IF(
      Assumptions!$F38="Last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Assumptions!$F38="End of month",
        IF(
          OR(
            AND(EOMONTH(N$7,0)&gt;=N$7, EOMONTH(N$7,0)&lt;=N$8),
            AND(EOMONTH(N$8,0)&gt;=N$7, EOMONTH(N$8,0)&lt;=N$8)
          ),
        "Yes","No"),
        IF(
          Assumptions!$F38="Specific day of month",
          IF(
            OR(
              AND(DATE(YEAR(N$7),MONTH(N$7),Assumptions!$G38)&gt;=N$7, DATE(YEAR(N$7),MONTH(N$7),Assumptions!$G38)&lt;=N$8),
              AND(DATE(YEAR(N$8),MONTH(N$8),Assumptions!$G38)&gt;=N$7, DATE(YEAR(N$8),MONTH(N$8),Assumptions!$G38)&lt;=N$8)
            ),
          "Yes","No"),
          IF(
            Assumptions!$F38="Last X day of month",
            IF(
              AND(
                WEEKDAY(N$7,2)&lt;=MATCH(Assumptions!$J38,{"Monday","Tuesday","Wednesday","Thursday","Friday"},0),
                WEEKDAY(N$8,2)&gt;=MATCH(Assumptions!$J38,{"Monday","Tuesday","Wednesday","Thursday","Friday"},0),
                (N$7+(MATCH(Assumptions!$J38,{"Monday","Tuesday","Wednesday","Thursday","Friday"},0)-WEEKDAY(N$7,2)))+7&gt;EOMONTH((N$7+(MATCH(Assumptions!$J38,{"Monday","Tuesday","Wednesday","Thursday","Friday"},0)-WEEKDAY(N$7,2))),0)
              ),
            "Yes","No"),
            IF(
              Assumptions!$F38="Weekly",
              IF(
                AND(
                  WEEKDAY(N$7,2)&lt;=MATCH(Assumptions!$J38,{"Monday","Tuesday","Wednesday","Thursday","Friday"},0),
                  WEEKDAY(N$8,2)&gt;=MATCH(Assumptions!$J38,{"Monday","Tuesday","Wednesday","Thursday","Friday"},0)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AND(Assumptions!$I38&gt;=N$7, Assumptions!$I38&lt;=N$8),
                    AND(
                      Assumptions!$I38&lt;N$7,
                      MOD(INT((N$7-(Assumptions!$I38-WEEKDAY(Assumptions!$I38,2)+1))/7),2)=0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AND(Assumptions!$I38&gt;=N$7, Assumptions!$I38&lt;=N$8),
                      AND(
                        Assumptions!$I38&lt;N$7,
                        MOD(INT((N$7-(Assumptions!$I38-WEEKDAY(Assumptions!$I38,2)+1))/7),3)=0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ISNUMBER(MATCH(MONTH(N$7),IF(Assumptions!$H38="Jan / Apr / Jul / Oct",{1,4,7,10},IF(Assumptions!$H38="Feb / May / Aug / Nov",{2,5,8,11},{3,6,9,12})),0)),
                          DATE(YEAR(N$7),MONTH(N$7),Assumptions!$G38)&gt;=N$7,
                          DATE(YEAR(N$7),MONTH(N$7),Assumptions!$G38)&lt;=N$8
                        ),
                        AND(
                          ISNUMBER(MATCH(MONTH(N$8),IF(Assumptions!$H38="Jan / Apr / Jul / Oct",{1,4,7,10},IF(Assumptions!$H38="Feb / May / Aug / Nov",{2,5,8,11},{3,6,9,12})),0)),
                          DATE(YEAR(N$8),MONTH(N$8),Assumptions!$G38)&gt;=N$7,
                          DATE(YEAR(N$8),MONTH(N$8),Assumptions!$G38)&lt;=N$8
                        )
                      ),
                    "Yes","No"),
                  "No")
                )
              )
            )
          )
        )
      )
    )
  )
)</f>
        <v>No</v>
      </c>
      <c r="O26" s="59" t="str">
        <f>IF(
  Assumptions!$K38="Off",
  "No",
  IF(
    Assumptions!$F38="I will phase manually",
    "No",
    IF(
      Assumptions!$F38="Last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Assumptions!$F38="End of month",
        IF(
          OR(
            AND(EOMONTH(O$7,0)&gt;=O$7, EOMONTH(O$7,0)&lt;=O$8),
            AND(EOMONTH(O$8,0)&gt;=O$7, EOMONTH(O$8,0)&lt;=O$8)
          ),
        "Yes","No"),
        IF(
          Assumptions!$F38="Specific day of month",
          IF(
            OR(
              AND(DATE(YEAR(O$7),MONTH(O$7),Assumptions!$G38)&gt;=O$7, DATE(YEAR(O$7),MONTH(O$7),Assumptions!$G38)&lt;=O$8),
              AND(DATE(YEAR(O$8),MONTH(O$8),Assumptions!$G38)&gt;=O$7, DATE(YEAR(O$8),MONTH(O$8),Assumptions!$G38)&lt;=O$8)
            ),
          "Yes","No"),
          IF(
            Assumptions!$F38="Last X day of month",
            IF(
              AND(
                WEEKDAY(O$7,2)&lt;=MATCH(Assumptions!$J38,{"Monday","Tuesday","Wednesday","Thursday","Friday"},0),
                WEEKDAY(O$8,2)&gt;=MATCH(Assumptions!$J38,{"Monday","Tuesday","Wednesday","Thursday","Friday"},0),
                (O$7+(MATCH(Assumptions!$J38,{"Monday","Tuesday","Wednesday","Thursday","Friday"},0)-WEEKDAY(O$7,2)))+7&gt;EOMONTH((O$7+(MATCH(Assumptions!$J38,{"Monday","Tuesday","Wednesday","Thursday","Friday"},0)-WEEKDAY(O$7,2))),0)
              ),
            "Yes","No"),
            IF(
              Assumptions!$F38="Weekly",
              IF(
                AND(
                  WEEKDAY(O$7,2)&lt;=MATCH(Assumptions!$J38,{"Monday","Tuesday","Wednesday","Thursday","Friday"},0),
                  WEEKDAY(O$8,2)&gt;=MATCH(Assumptions!$J38,{"Monday","Tuesday","Wednesday","Thursday","Friday"},0)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AND(Assumptions!$I38&gt;=O$7, Assumptions!$I38&lt;=O$8),
                    AND(
                      Assumptions!$I38&lt;O$7,
                      MOD(INT((O$7-(Assumptions!$I38-WEEKDAY(Assumptions!$I38,2)+1))/7),2)=0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AND(Assumptions!$I38&gt;=O$7, Assumptions!$I38&lt;=O$8),
                      AND(
                        Assumptions!$I38&lt;O$7,
                        MOD(INT((O$7-(Assumptions!$I38-WEEKDAY(Assumptions!$I38,2)+1))/7),3)=0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ISNUMBER(MATCH(MONTH(O$7),IF(Assumptions!$H38="Jan / Apr / Jul / Oct",{1,4,7,10},IF(Assumptions!$H38="Feb / May / Aug / Nov",{2,5,8,11},{3,6,9,12})),0)),
                          DATE(YEAR(O$7),MONTH(O$7),Assumptions!$G38)&gt;=O$7,
                          DATE(YEAR(O$7),MONTH(O$7),Assumptions!$G38)&lt;=O$8
                        ),
                        AND(
                          ISNUMBER(MATCH(MONTH(O$8),IF(Assumptions!$H38="Jan / Apr / Jul / Oct",{1,4,7,10},IF(Assumptions!$H38="Feb / May / Aug / Nov",{2,5,8,11},{3,6,9,12})),0)),
                          DATE(YEAR(O$8),MONTH(O$8),Assumptions!$G38)&gt;=O$7,
                          DATE(YEAR(O$8),MONTH(O$8),Assumptions!$G38)&lt;=O$8
                        )
                      ),
                    "Yes","No"),
                  "No")
                )
              )
            )
          )
        )
      )
    )
  )
)</f>
        <v>No</v>
      </c>
      <c r="P26" s="59" t="str">
        <f>IF(
  Assumptions!$K38="Off",
  "No",
  IF(
    Assumptions!$F38="I will phase manually",
    "No",
    IF(
      Assumptions!$F38="Last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Assumptions!$F38="End of month",
        IF(
          OR(
            AND(EOMONTH(P$7,0)&gt;=P$7, EOMONTH(P$7,0)&lt;=P$8),
            AND(EOMONTH(P$8,0)&gt;=P$7, EOMONTH(P$8,0)&lt;=P$8)
          ),
        "Yes","No"),
        IF(
          Assumptions!$F38="Specific day of month",
          IF(
            OR(
              AND(DATE(YEAR(P$7),MONTH(P$7),Assumptions!$G38)&gt;=P$7, DATE(YEAR(P$7),MONTH(P$7),Assumptions!$G38)&lt;=P$8),
              AND(DATE(YEAR(P$8),MONTH(P$8),Assumptions!$G38)&gt;=P$7, DATE(YEAR(P$8),MONTH(P$8),Assumptions!$G38)&lt;=P$8)
            ),
          "Yes","No"),
          IF(
            Assumptions!$F38="Last X day of month",
            IF(
              AND(
                WEEKDAY(P$7,2)&lt;=MATCH(Assumptions!$J38,{"Monday","Tuesday","Wednesday","Thursday","Friday"},0),
                WEEKDAY(P$8,2)&gt;=MATCH(Assumptions!$J38,{"Monday","Tuesday","Wednesday","Thursday","Friday"},0),
                (P$7+(MATCH(Assumptions!$J38,{"Monday","Tuesday","Wednesday","Thursday","Friday"},0)-WEEKDAY(P$7,2)))+7&gt;EOMONTH((P$7+(MATCH(Assumptions!$J38,{"Monday","Tuesday","Wednesday","Thursday","Friday"},0)-WEEKDAY(P$7,2))),0)
              ),
            "Yes","No"),
            IF(
              Assumptions!$F38="Weekly",
              IF(
                AND(
                  WEEKDAY(P$7,2)&lt;=MATCH(Assumptions!$J38,{"Monday","Tuesday","Wednesday","Thursday","Friday"},0),
                  WEEKDAY(P$8,2)&gt;=MATCH(Assumptions!$J38,{"Monday","Tuesday","Wednesday","Thursday","Friday"},0)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AND(Assumptions!$I38&gt;=P$7, Assumptions!$I38&lt;=P$8),
                    AND(
                      Assumptions!$I38&lt;P$7,
                      MOD(INT((P$7-(Assumptions!$I38-WEEKDAY(Assumptions!$I38,2)+1))/7),2)=0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AND(Assumptions!$I38&gt;=P$7, Assumptions!$I38&lt;=P$8),
                      AND(
                        Assumptions!$I38&lt;P$7,
                        MOD(INT((P$7-(Assumptions!$I38-WEEKDAY(Assumptions!$I38,2)+1))/7),3)=0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ISNUMBER(MATCH(MONTH(P$7),IF(Assumptions!$H38="Jan / Apr / Jul / Oct",{1,4,7,10},IF(Assumptions!$H38="Feb / May / Aug / Nov",{2,5,8,11},{3,6,9,12})),0)),
                          DATE(YEAR(P$7),MONTH(P$7),Assumptions!$G38)&gt;=P$7,
                          DATE(YEAR(P$7),MONTH(P$7),Assumptions!$G38)&lt;=P$8
                        ),
                        AND(
                          ISNUMBER(MATCH(MONTH(P$8),IF(Assumptions!$H38="Jan / Apr / Jul / Oct",{1,4,7,10},IF(Assumptions!$H38="Feb / May / Aug / Nov",{2,5,8,11},{3,6,9,12})),0)),
                          DATE(YEAR(P$8),MONTH(P$8),Assumptions!$G38)&gt;=P$7,
                          DATE(YEAR(P$8),MONTH(P$8),Assumptions!$G38)&lt;=P$8
                        )
                      ),
                    "Yes","No"),
                  "No")
                )
              )
            )
          )
        )
      )
    )
  )
)</f>
        <v>No</v>
      </c>
      <c r="Q26" s="59" t="str">
        <f>IF(
  Assumptions!$K38="Off",
  "No",
  IF(
    Assumptions!$F38="I will phase manually",
    "No",
    IF(
      Assumptions!$F38="Last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Assumptions!$F38="End of month",
        IF(
          OR(
            AND(EOMONTH(Q$7,0)&gt;=Q$7, EOMONTH(Q$7,0)&lt;=Q$8),
            AND(EOMONTH(Q$8,0)&gt;=Q$7, EOMONTH(Q$8,0)&lt;=Q$8)
          ),
        "Yes","No"),
        IF(
          Assumptions!$F38="Specific day of month",
          IF(
            OR(
              AND(DATE(YEAR(Q$7),MONTH(Q$7),Assumptions!$G38)&gt;=Q$7, DATE(YEAR(Q$7),MONTH(Q$7),Assumptions!$G38)&lt;=Q$8),
              AND(DATE(YEAR(Q$8),MONTH(Q$8),Assumptions!$G38)&gt;=Q$7, DATE(YEAR(Q$8),MONTH(Q$8),Assumptions!$G38)&lt;=Q$8)
            ),
          "Yes","No"),
          IF(
            Assumptions!$F38="Last X day of month",
            IF(
              AND(
                WEEKDAY(Q$7,2)&lt;=MATCH(Assumptions!$J38,{"Monday","Tuesday","Wednesday","Thursday","Friday"},0),
                WEEKDAY(Q$8,2)&gt;=MATCH(Assumptions!$J38,{"Monday","Tuesday","Wednesday","Thursday","Friday"},0),
                (Q$7+(MATCH(Assumptions!$J38,{"Monday","Tuesday","Wednesday","Thursday","Friday"},0)-WEEKDAY(Q$7,2)))+7&gt;EOMONTH((Q$7+(MATCH(Assumptions!$J38,{"Monday","Tuesday","Wednesday","Thursday","Friday"},0)-WEEKDAY(Q$7,2))),0)
              ),
            "Yes","No"),
            IF(
              Assumptions!$F38="Weekly",
              IF(
                AND(
                  WEEKDAY(Q$7,2)&lt;=MATCH(Assumptions!$J38,{"Monday","Tuesday","Wednesday","Thursday","Friday"},0),
                  WEEKDAY(Q$8,2)&gt;=MATCH(Assumptions!$J38,{"Monday","Tuesday","Wednesday","Thursday","Friday"},0)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AND(Assumptions!$I38&gt;=Q$7, Assumptions!$I38&lt;=Q$8),
                    AND(
                      Assumptions!$I38&lt;Q$7,
                      MOD(INT((Q$7-(Assumptions!$I38-WEEKDAY(Assumptions!$I38,2)+1))/7),2)=0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AND(Assumptions!$I38&gt;=Q$7, Assumptions!$I38&lt;=Q$8),
                      AND(
                        Assumptions!$I38&lt;Q$7,
                        MOD(INT((Q$7-(Assumptions!$I38-WEEKDAY(Assumptions!$I38,2)+1))/7),3)=0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ISNUMBER(MATCH(MONTH(Q$7),IF(Assumptions!$H38="Jan / Apr / Jul / Oct",{1,4,7,10},IF(Assumptions!$H38="Feb / May / Aug / Nov",{2,5,8,11},{3,6,9,12})),0)),
                          DATE(YEAR(Q$7),MONTH(Q$7),Assumptions!$G38)&gt;=Q$7,
                          DATE(YEAR(Q$7),MONTH(Q$7),Assumptions!$G38)&lt;=Q$8
                        ),
                        AND(
                          ISNUMBER(MATCH(MONTH(Q$8),IF(Assumptions!$H38="Jan / Apr / Jul / Oct",{1,4,7,10},IF(Assumptions!$H38="Feb / May / Aug / Nov",{2,5,8,11},{3,6,9,12})),0)),
                          DATE(YEAR(Q$8),MONTH(Q$8),Assumptions!$G38)&gt;=Q$7,
                          DATE(YEAR(Q$8),MONTH(Q$8),Assumptions!$G38)&lt;=Q$8
                        )
                      ),
                    "Yes","No"),
                  "No")
                )
              )
            )
          )
        )
      )
    )
  )
)</f>
        <v>No</v>
      </c>
      <c r="R26" s="59" t="str">
        <f>IF(
  Assumptions!$K38="Off",
  "No",
  IF(
    Assumptions!$F38="I will phase manually",
    "No",
    IF(
      Assumptions!$F38="Last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Assumptions!$F38="End of month",
        IF(
          OR(
            AND(EOMONTH(R$7,0)&gt;=R$7, EOMONTH(R$7,0)&lt;=R$8),
            AND(EOMONTH(R$8,0)&gt;=R$7, EOMONTH(R$8,0)&lt;=R$8)
          ),
        "Yes","No"),
        IF(
          Assumptions!$F38="Specific day of month",
          IF(
            OR(
              AND(DATE(YEAR(R$7),MONTH(R$7),Assumptions!$G38)&gt;=R$7, DATE(YEAR(R$7),MONTH(R$7),Assumptions!$G38)&lt;=R$8),
              AND(DATE(YEAR(R$8),MONTH(R$8),Assumptions!$G38)&gt;=R$7, DATE(YEAR(R$8),MONTH(R$8),Assumptions!$G38)&lt;=R$8)
            ),
          "Yes","No"),
          IF(
            Assumptions!$F38="Last X day of month",
            IF(
              AND(
                WEEKDAY(R$7,2)&lt;=MATCH(Assumptions!$J38,{"Monday","Tuesday","Wednesday","Thursday","Friday"},0),
                WEEKDAY(R$8,2)&gt;=MATCH(Assumptions!$J38,{"Monday","Tuesday","Wednesday","Thursday","Friday"},0),
                (R$7+(MATCH(Assumptions!$J38,{"Monday","Tuesday","Wednesday","Thursday","Friday"},0)-WEEKDAY(R$7,2)))+7&gt;EOMONTH((R$7+(MATCH(Assumptions!$J38,{"Monday","Tuesday","Wednesday","Thursday","Friday"},0)-WEEKDAY(R$7,2))),0)
              ),
            "Yes","No"),
            IF(
              Assumptions!$F38="Weekly",
              IF(
                AND(
                  WEEKDAY(R$7,2)&lt;=MATCH(Assumptions!$J38,{"Monday","Tuesday","Wednesday","Thursday","Friday"},0),
                  WEEKDAY(R$8,2)&gt;=MATCH(Assumptions!$J38,{"Monday","Tuesday","Wednesday","Thursday","Friday"},0)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AND(Assumptions!$I38&gt;=R$7, Assumptions!$I38&lt;=R$8),
                    AND(
                      Assumptions!$I38&lt;R$7,
                      MOD(INT((R$7-(Assumptions!$I38-WEEKDAY(Assumptions!$I38,2)+1))/7),2)=0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AND(Assumptions!$I38&gt;=R$7, Assumptions!$I38&lt;=R$8),
                      AND(
                        Assumptions!$I38&lt;R$7,
                        MOD(INT((R$7-(Assumptions!$I38-WEEKDAY(Assumptions!$I38,2)+1))/7),3)=0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ISNUMBER(MATCH(MONTH(R$7),IF(Assumptions!$H38="Jan / Apr / Jul / Oct",{1,4,7,10},IF(Assumptions!$H38="Feb / May / Aug / Nov",{2,5,8,11},{3,6,9,12})),0)),
                          DATE(YEAR(R$7),MONTH(R$7),Assumptions!$G38)&gt;=R$7,
                          DATE(YEAR(R$7),MONTH(R$7),Assumptions!$G38)&lt;=R$8
                        ),
                        AND(
                          ISNUMBER(MATCH(MONTH(R$8),IF(Assumptions!$H38="Jan / Apr / Jul / Oct",{1,4,7,10},IF(Assumptions!$H38="Feb / May / Aug / Nov",{2,5,8,11},{3,6,9,12})),0)),
                          DATE(YEAR(R$8),MONTH(R$8),Assumptions!$G38)&gt;=R$7,
                          DATE(YEAR(R$8),MONTH(R$8),Assumptions!$G38)&lt;=R$8
                        )
                      ),
                    "Yes","No"),
                  "No")
                )
              )
            )
          )
        )
      )
    )
  )
)</f>
        <v>No</v>
      </c>
      <c r="S26" s="59" t="str">
        <f>IF(
  Assumptions!$K38="Off",
  "No",
  IF(
    Assumptions!$F38="I will phase manually",
    "No",
    IF(
      Assumptions!$F38="Last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Assumptions!$F38="End of month",
        IF(
          OR(
            AND(EOMONTH(S$7,0)&gt;=S$7, EOMONTH(S$7,0)&lt;=S$8),
            AND(EOMONTH(S$8,0)&gt;=S$7, EOMONTH(S$8,0)&lt;=S$8)
          ),
        "Yes","No"),
        IF(
          Assumptions!$F38="Specific day of month",
          IF(
            OR(
              AND(DATE(YEAR(S$7),MONTH(S$7),Assumptions!$G38)&gt;=S$7, DATE(YEAR(S$7),MONTH(S$7),Assumptions!$G38)&lt;=S$8),
              AND(DATE(YEAR(S$8),MONTH(S$8),Assumptions!$G38)&gt;=S$7, DATE(YEAR(S$8),MONTH(S$8),Assumptions!$G38)&lt;=S$8)
            ),
          "Yes","No"),
          IF(
            Assumptions!$F38="Last X day of month",
            IF(
              AND(
                WEEKDAY(S$7,2)&lt;=MATCH(Assumptions!$J38,{"Monday","Tuesday","Wednesday","Thursday","Friday"},0),
                WEEKDAY(S$8,2)&gt;=MATCH(Assumptions!$J38,{"Monday","Tuesday","Wednesday","Thursday","Friday"},0),
                (S$7+(MATCH(Assumptions!$J38,{"Monday","Tuesday","Wednesday","Thursday","Friday"},0)-WEEKDAY(S$7,2)))+7&gt;EOMONTH((S$7+(MATCH(Assumptions!$J38,{"Monday","Tuesday","Wednesday","Thursday","Friday"},0)-WEEKDAY(S$7,2))),0)
              ),
            "Yes","No"),
            IF(
              Assumptions!$F38="Weekly",
              IF(
                AND(
                  WEEKDAY(S$7,2)&lt;=MATCH(Assumptions!$J38,{"Monday","Tuesday","Wednesday","Thursday","Friday"},0),
                  WEEKDAY(S$8,2)&gt;=MATCH(Assumptions!$J38,{"Monday","Tuesday","Wednesday","Thursday","Friday"},0)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AND(Assumptions!$I38&gt;=S$7, Assumptions!$I38&lt;=S$8),
                    AND(
                      Assumptions!$I38&lt;S$7,
                      MOD(INT((S$7-(Assumptions!$I38-WEEKDAY(Assumptions!$I38,2)+1))/7),2)=0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AND(Assumptions!$I38&gt;=S$7, Assumptions!$I38&lt;=S$8),
                      AND(
                        Assumptions!$I38&lt;S$7,
                        MOD(INT((S$7-(Assumptions!$I38-WEEKDAY(Assumptions!$I38,2)+1))/7),3)=0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ISNUMBER(MATCH(MONTH(S$7),IF(Assumptions!$H38="Jan / Apr / Jul / Oct",{1,4,7,10},IF(Assumptions!$H38="Feb / May / Aug / Nov",{2,5,8,11},{3,6,9,12})),0)),
                          DATE(YEAR(S$7),MONTH(S$7),Assumptions!$G38)&gt;=S$7,
                          DATE(YEAR(S$7),MONTH(S$7),Assumptions!$G38)&lt;=S$8
                        ),
                        AND(
                          ISNUMBER(MATCH(MONTH(S$8),IF(Assumptions!$H38="Jan / Apr / Jul / Oct",{1,4,7,10},IF(Assumptions!$H38="Feb / May / Aug / Nov",{2,5,8,11},{3,6,9,12})),0)),
                          DATE(YEAR(S$8),MONTH(S$8),Assumptions!$G38)&gt;=S$7,
                          DATE(YEAR(S$8),MONTH(S$8),Assumptions!$G38)&lt;=S$8
                        )
                      ),
                    "Yes","No"),
                  "No")
                )
              )
            )
          )
        )
      )
    )
  )
)</f>
        <v>No</v>
      </c>
      <c r="T26" s="59" t="s">
        <v>124</v>
      </c>
    </row>
    <row r="27" spans="3:20" hidden="1" outlineLevel="1" x14ac:dyDescent="0.25">
      <c r="C27" s="58">
        <f>Assumptions!D39</f>
        <v>0</v>
      </c>
      <c r="D27" s="58"/>
      <c r="E27" s="58"/>
      <c r="F27" s="58"/>
      <c r="G27" s="59" t="str">
        <f>IF(
  Assumptions!$K39="Off",
  "No",
  IF(
    Assumptions!$F39="I will phase manually",
    "No",
    IF(
      Assumptions!$F39="Last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Assumptions!$F39="End of month",
        IF(
          OR(
            AND(EOMONTH(G$7,0)&gt;=G$7, EOMONTH(G$7,0)&lt;=G$8),
            AND(EOMONTH(G$8,0)&gt;=G$7, EOMONTH(G$8,0)&lt;=G$8)
          ),
        "Yes","No"),
        IF(
          Assumptions!$F39="Specific day of month",
          IF(
            OR(
              AND(DATE(YEAR(G$7),MONTH(G$7),Assumptions!$G39)&gt;=G$7, DATE(YEAR(G$7),MONTH(G$7),Assumptions!$G39)&lt;=G$8),
              AND(DATE(YEAR(G$8),MONTH(G$8),Assumptions!$G39)&gt;=G$7, DATE(YEAR(G$8),MONTH(G$8),Assumptions!$G39)&lt;=G$8)
            ),
          "Yes","No"),
          IF(
            Assumptions!$F39="Last X day of month",
            IF(
              AND(
                WEEKDAY(G$7,2)&lt;=MATCH(Assumptions!$J39,{"Monday","Tuesday","Wednesday","Thursday","Friday"},0),
                WEEKDAY(G$8,2)&gt;=MATCH(Assumptions!$J39,{"Monday","Tuesday","Wednesday","Thursday","Friday"},0),
                (G$7+(MATCH(Assumptions!$J39,{"Monday","Tuesday","Wednesday","Thursday","Friday"},0)-WEEKDAY(G$7,2)))+7&gt;EOMONTH((G$7+(MATCH(Assumptions!$J39,{"Monday","Tuesday","Wednesday","Thursday","Friday"},0)-WEEKDAY(G$7,2))),0)
              ),
            "Yes","No"),
            IF(
              Assumptions!$F39="Weekly",
              IF(
                AND(
                  WEEKDAY(G$7,2)&lt;=MATCH(Assumptions!$J39,{"Monday","Tuesday","Wednesday","Thursday","Friday"},0),
                  WEEKDAY(G$8,2)&gt;=MATCH(Assumptions!$J39,{"Monday","Tuesday","Wednesday","Thursday","Friday"},0)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AND(Assumptions!$I39&gt;=G$7, Assumptions!$I39&lt;=G$8),
                    AND(
                      Assumptions!$I39&lt;G$7,
                      MOD(INT((G$7-(Assumptions!$I39-WEEKDAY(Assumptions!$I39,2)+1))/7),2)=0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AND(Assumptions!$I39&gt;=G$7, Assumptions!$I39&lt;=G$8),
                      AND(
                        Assumptions!$I39&lt;G$7,
                        MOD(INT((G$7-(Assumptions!$I39-WEEKDAY(Assumptions!$I39,2)+1))/7),3)=0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ISNUMBER(MATCH(MONTH(G$7),IF(Assumptions!$H39="Jan / Apr / Jul / Oct",{1,4,7,10},IF(Assumptions!$H39="Feb / May / Aug / Nov",{2,5,8,11},{3,6,9,12})),0)),
                          DATE(YEAR(G$7),MONTH(G$7),Assumptions!$G39)&gt;=G$7,
                          DATE(YEAR(G$7),MONTH(G$7),Assumptions!$G39)&lt;=G$8
                        ),
                        AND(
                          ISNUMBER(MATCH(MONTH(G$8),IF(Assumptions!$H39="Jan / Apr / Jul / Oct",{1,4,7,10},IF(Assumptions!$H39="Feb / May / Aug / Nov",{2,5,8,11},{3,6,9,12})),0)),
                          DATE(YEAR(G$8),MONTH(G$8),Assumptions!$G39)&gt;=G$7,
                          DATE(YEAR(G$8),MONTH(G$8),Assumptions!$G39)&lt;=G$8
                        )
                      ),
                    "Yes","No"),
                  "No")
                )
              )
            )
          )
        )
      )
    )
  )
)</f>
        <v>No</v>
      </c>
      <c r="H27" s="59" t="str">
        <f>IF(
  Assumptions!$K39="Off",
  "No",
  IF(
    Assumptions!$F39="I will phase manually",
    "No",
    IF(
      Assumptions!$F39="Last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Assumptions!$F39="End of month",
        IF(
          OR(
            AND(EOMONTH(H$7,0)&gt;=H$7, EOMONTH(H$7,0)&lt;=H$8),
            AND(EOMONTH(H$8,0)&gt;=H$7, EOMONTH(H$8,0)&lt;=H$8)
          ),
        "Yes","No"),
        IF(
          Assumptions!$F39="Specific day of month",
          IF(
            OR(
              AND(DATE(YEAR(H$7),MONTH(H$7),Assumptions!$G39)&gt;=H$7, DATE(YEAR(H$7),MONTH(H$7),Assumptions!$G39)&lt;=H$8),
              AND(DATE(YEAR(H$8),MONTH(H$8),Assumptions!$G39)&gt;=H$7, DATE(YEAR(H$8),MONTH(H$8),Assumptions!$G39)&lt;=H$8)
            ),
          "Yes","No"),
          IF(
            Assumptions!$F39="Last X day of month",
            IF(
              AND(
                WEEKDAY(H$7,2)&lt;=MATCH(Assumptions!$J39,{"Monday","Tuesday","Wednesday","Thursday","Friday"},0),
                WEEKDAY(H$8,2)&gt;=MATCH(Assumptions!$J39,{"Monday","Tuesday","Wednesday","Thursday","Friday"},0),
                (H$7+(MATCH(Assumptions!$J39,{"Monday","Tuesday","Wednesday","Thursday","Friday"},0)-WEEKDAY(H$7,2)))+7&gt;EOMONTH((H$7+(MATCH(Assumptions!$J39,{"Monday","Tuesday","Wednesday","Thursday","Friday"},0)-WEEKDAY(H$7,2))),0)
              ),
            "Yes","No"),
            IF(
              Assumptions!$F39="Weekly",
              IF(
                AND(
                  WEEKDAY(H$7,2)&lt;=MATCH(Assumptions!$J39,{"Monday","Tuesday","Wednesday","Thursday","Friday"},0),
                  WEEKDAY(H$8,2)&gt;=MATCH(Assumptions!$J39,{"Monday","Tuesday","Wednesday","Thursday","Friday"},0)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AND(Assumptions!$I39&gt;=H$7, Assumptions!$I39&lt;=H$8),
                    AND(
                      Assumptions!$I39&lt;H$7,
                      MOD(INT((H$7-(Assumptions!$I39-WEEKDAY(Assumptions!$I39,2)+1))/7),2)=0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AND(Assumptions!$I39&gt;=H$7, Assumptions!$I39&lt;=H$8),
                      AND(
                        Assumptions!$I39&lt;H$7,
                        MOD(INT((H$7-(Assumptions!$I39-WEEKDAY(Assumptions!$I39,2)+1))/7),3)=0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ISNUMBER(MATCH(MONTH(H$7),IF(Assumptions!$H39="Jan / Apr / Jul / Oct",{1,4,7,10},IF(Assumptions!$H39="Feb / May / Aug / Nov",{2,5,8,11},{3,6,9,12})),0)),
                          DATE(YEAR(H$7),MONTH(H$7),Assumptions!$G39)&gt;=H$7,
                          DATE(YEAR(H$7),MONTH(H$7),Assumptions!$G39)&lt;=H$8
                        ),
                        AND(
                          ISNUMBER(MATCH(MONTH(H$8),IF(Assumptions!$H39="Jan / Apr / Jul / Oct",{1,4,7,10},IF(Assumptions!$H39="Feb / May / Aug / Nov",{2,5,8,11},{3,6,9,12})),0)),
                          DATE(YEAR(H$8),MONTH(H$8),Assumptions!$G39)&gt;=H$7,
                          DATE(YEAR(H$8),MONTH(H$8),Assumptions!$G39)&lt;=H$8
                        )
                      ),
                    "Yes","No"),
                  "No")
                )
              )
            )
          )
        )
      )
    )
  )
)</f>
        <v>No</v>
      </c>
      <c r="I27" s="59" t="str">
        <f>IF(
  Assumptions!$K39="Off",
  "No",
  IF(
    Assumptions!$F39="I will phase manually",
    "No",
    IF(
      Assumptions!$F39="Last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Assumptions!$F39="End of month",
        IF(
          OR(
            AND(EOMONTH(I$7,0)&gt;=I$7, EOMONTH(I$7,0)&lt;=I$8),
            AND(EOMONTH(I$8,0)&gt;=I$7, EOMONTH(I$8,0)&lt;=I$8)
          ),
        "Yes","No"),
        IF(
          Assumptions!$F39="Specific day of month",
          IF(
            OR(
              AND(DATE(YEAR(I$7),MONTH(I$7),Assumptions!$G39)&gt;=I$7, DATE(YEAR(I$7),MONTH(I$7),Assumptions!$G39)&lt;=I$8),
              AND(DATE(YEAR(I$8),MONTH(I$8),Assumptions!$G39)&gt;=I$7, DATE(YEAR(I$8),MONTH(I$8),Assumptions!$G39)&lt;=I$8)
            ),
          "Yes","No"),
          IF(
            Assumptions!$F39="Last X day of month",
            IF(
              AND(
                WEEKDAY(I$7,2)&lt;=MATCH(Assumptions!$J39,{"Monday","Tuesday","Wednesday","Thursday","Friday"},0),
                WEEKDAY(I$8,2)&gt;=MATCH(Assumptions!$J39,{"Monday","Tuesday","Wednesday","Thursday","Friday"},0),
                (I$7+(MATCH(Assumptions!$J39,{"Monday","Tuesday","Wednesday","Thursday","Friday"},0)-WEEKDAY(I$7,2)))+7&gt;EOMONTH((I$7+(MATCH(Assumptions!$J39,{"Monday","Tuesday","Wednesday","Thursday","Friday"},0)-WEEKDAY(I$7,2))),0)
              ),
            "Yes","No"),
            IF(
              Assumptions!$F39="Weekly",
              IF(
                AND(
                  WEEKDAY(I$7,2)&lt;=MATCH(Assumptions!$J39,{"Monday","Tuesday","Wednesday","Thursday","Friday"},0),
                  WEEKDAY(I$8,2)&gt;=MATCH(Assumptions!$J39,{"Monday","Tuesday","Wednesday","Thursday","Friday"},0)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AND(Assumptions!$I39&gt;=I$7, Assumptions!$I39&lt;=I$8),
                    AND(
                      Assumptions!$I39&lt;I$7,
                      MOD(INT((I$7-(Assumptions!$I39-WEEKDAY(Assumptions!$I39,2)+1))/7),2)=0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AND(Assumptions!$I39&gt;=I$7, Assumptions!$I39&lt;=I$8),
                      AND(
                        Assumptions!$I39&lt;I$7,
                        MOD(INT((I$7-(Assumptions!$I39-WEEKDAY(Assumptions!$I39,2)+1))/7),3)=0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ISNUMBER(MATCH(MONTH(I$7),IF(Assumptions!$H39="Jan / Apr / Jul / Oct",{1,4,7,10},IF(Assumptions!$H39="Feb / May / Aug / Nov",{2,5,8,11},{3,6,9,12})),0)),
                          DATE(YEAR(I$7),MONTH(I$7),Assumptions!$G39)&gt;=I$7,
                          DATE(YEAR(I$7),MONTH(I$7),Assumptions!$G39)&lt;=I$8
                        ),
                        AND(
                          ISNUMBER(MATCH(MONTH(I$8),IF(Assumptions!$H39="Jan / Apr / Jul / Oct",{1,4,7,10},IF(Assumptions!$H39="Feb / May / Aug / Nov",{2,5,8,11},{3,6,9,12})),0)),
                          DATE(YEAR(I$8),MONTH(I$8),Assumptions!$G39)&gt;=I$7,
                          DATE(YEAR(I$8),MONTH(I$8),Assumptions!$G39)&lt;=I$8
                        )
                      ),
                    "Yes","No"),
                  "No")
                )
              )
            )
          )
        )
      )
    )
  )
)</f>
        <v>No</v>
      </c>
      <c r="J27" s="59" t="str">
        <f>IF(
  Assumptions!$K39="Off",
  "No",
  IF(
    Assumptions!$F39="I will phase manually",
    "No",
    IF(
      Assumptions!$F39="Last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Assumptions!$F39="End of month",
        IF(
          OR(
            AND(EOMONTH(J$7,0)&gt;=J$7, EOMONTH(J$7,0)&lt;=J$8),
            AND(EOMONTH(J$8,0)&gt;=J$7, EOMONTH(J$8,0)&lt;=J$8)
          ),
        "Yes","No"),
        IF(
          Assumptions!$F39="Specific day of month",
          IF(
            OR(
              AND(DATE(YEAR(J$7),MONTH(J$7),Assumptions!$G39)&gt;=J$7, DATE(YEAR(J$7),MONTH(J$7),Assumptions!$G39)&lt;=J$8),
              AND(DATE(YEAR(J$8),MONTH(J$8),Assumptions!$G39)&gt;=J$7, DATE(YEAR(J$8),MONTH(J$8),Assumptions!$G39)&lt;=J$8)
            ),
          "Yes","No"),
          IF(
            Assumptions!$F39="Last X day of month",
            IF(
              AND(
                WEEKDAY(J$7,2)&lt;=MATCH(Assumptions!$J39,{"Monday","Tuesday","Wednesday","Thursday","Friday"},0),
                WEEKDAY(J$8,2)&gt;=MATCH(Assumptions!$J39,{"Monday","Tuesday","Wednesday","Thursday","Friday"},0),
                (J$7+(MATCH(Assumptions!$J39,{"Monday","Tuesday","Wednesday","Thursday","Friday"},0)-WEEKDAY(J$7,2)))+7&gt;EOMONTH((J$7+(MATCH(Assumptions!$J39,{"Monday","Tuesday","Wednesday","Thursday","Friday"},0)-WEEKDAY(J$7,2))),0)
              ),
            "Yes","No"),
            IF(
              Assumptions!$F39="Weekly",
              IF(
                AND(
                  WEEKDAY(J$7,2)&lt;=MATCH(Assumptions!$J39,{"Monday","Tuesday","Wednesday","Thursday","Friday"},0),
                  WEEKDAY(J$8,2)&gt;=MATCH(Assumptions!$J39,{"Monday","Tuesday","Wednesday","Thursday","Friday"},0)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AND(Assumptions!$I39&gt;=J$7, Assumptions!$I39&lt;=J$8),
                    AND(
                      Assumptions!$I39&lt;J$7,
                      MOD(INT((J$7-(Assumptions!$I39-WEEKDAY(Assumptions!$I39,2)+1))/7),2)=0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AND(Assumptions!$I39&gt;=J$7, Assumptions!$I39&lt;=J$8),
                      AND(
                        Assumptions!$I39&lt;J$7,
                        MOD(INT((J$7-(Assumptions!$I39-WEEKDAY(Assumptions!$I39,2)+1))/7),3)=0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ISNUMBER(MATCH(MONTH(J$7),IF(Assumptions!$H39="Jan / Apr / Jul / Oct",{1,4,7,10},IF(Assumptions!$H39="Feb / May / Aug / Nov",{2,5,8,11},{3,6,9,12})),0)),
                          DATE(YEAR(J$7),MONTH(J$7),Assumptions!$G39)&gt;=J$7,
                          DATE(YEAR(J$7),MONTH(J$7),Assumptions!$G39)&lt;=J$8
                        ),
                        AND(
                          ISNUMBER(MATCH(MONTH(J$8),IF(Assumptions!$H39="Jan / Apr / Jul / Oct",{1,4,7,10},IF(Assumptions!$H39="Feb / May / Aug / Nov",{2,5,8,11},{3,6,9,12})),0)),
                          DATE(YEAR(J$8),MONTH(J$8),Assumptions!$G39)&gt;=J$7,
                          DATE(YEAR(J$8),MONTH(J$8),Assumptions!$G39)&lt;=J$8
                        )
                      ),
                    "Yes","No"),
                  "No")
                )
              )
            )
          )
        )
      )
    )
  )
)</f>
        <v>No</v>
      </c>
      <c r="K27" s="59" t="str">
        <f>IF(
  Assumptions!$K39="Off",
  "No",
  IF(
    Assumptions!$F39="I will phase manually",
    "No",
    IF(
      Assumptions!$F39="Last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Assumptions!$F39="End of month",
        IF(
          OR(
            AND(EOMONTH(K$7,0)&gt;=K$7, EOMONTH(K$7,0)&lt;=K$8),
            AND(EOMONTH(K$8,0)&gt;=K$7, EOMONTH(K$8,0)&lt;=K$8)
          ),
        "Yes","No"),
        IF(
          Assumptions!$F39="Specific day of month",
          IF(
            OR(
              AND(DATE(YEAR(K$7),MONTH(K$7),Assumptions!$G39)&gt;=K$7, DATE(YEAR(K$7),MONTH(K$7),Assumptions!$G39)&lt;=K$8),
              AND(DATE(YEAR(K$8),MONTH(K$8),Assumptions!$G39)&gt;=K$7, DATE(YEAR(K$8),MONTH(K$8),Assumptions!$G39)&lt;=K$8)
            ),
          "Yes","No"),
          IF(
            Assumptions!$F39="Last X day of month",
            IF(
              AND(
                WEEKDAY(K$7,2)&lt;=MATCH(Assumptions!$J39,{"Monday","Tuesday","Wednesday","Thursday","Friday"},0),
                WEEKDAY(K$8,2)&gt;=MATCH(Assumptions!$J39,{"Monday","Tuesday","Wednesday","Thursday","Friday"},0),
                (K$7+(MATCH(Assumptions!$J39,{"Monday","Tuesday","Wednesday","Thursday","Friday"},0)-WEEKDAY(K$7,2)))+7&gt;EOMONTH((K$7+(MATCH(Assumptions!$J39,{"Monday","Tuesday","Wednesday","Thursday","Friday"},0)-WEEKDAY(K$7,2))),0)
              ),
            "Yes","No"),
            IF(
              Assumptions!$F39="Weekly",
              IF(
                AND(
                  WEEKDAY(K$7,2)&lt;=MATCH(Assumptions!$J39,{"Monday","Tuesday","Wednesday","Thursday","Friday"},0),
                  WEEKDAY(K$8,2)&gt;=MATCH(Assumptions!$J39,{"Monday","Tuesday","Wednesday","Thursday","Friday"},0)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AND(Assumptions!$I39&gt;=K$7, Assumptions!$I39&lt;=K$8),
                    AND(
                      Assumptions!$I39&lt;K$7,
                      MOD(INT((K$7-(Assumptions!$I39-WEEKDAY(Assumptions!$I39,2)+1))/7),2)=0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AND(Assumptions!$I39&gt;=K$7, Assumptions!$I39&lt;=K$8),
                      AND(
                        Assumptions!$I39&lt;K$7,
                        MOD(INT((K$7-(Assumptions!$I39-WEEKDAY(Assumptions!$I39,2)+1))/7),3)=0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ISNUMBER(MATCH(MONTH(K$7),IF(Assumptions!$H39="Jan / Apr / Jul / Oct",{1,4,7,10},IF(Assumptions!$H39="Feb / May / Aug / Nov",{2,5,8,11},{3,6,9,12})),0)),
                          DATE(YEAR(K$7),MONTH(K$7),Assumptions!$G39)&gt;=K$7,
                          DATE(YEAR(K$7),MONTH(K$7),Assumptions!$G39)&lt;=K$8
                        ),
                        AND(
                          ISNUMBER(MATCH(MONTH(K$8),IF(Assumptions!$H39="Jan / Apr / Jul / Oct",{1,4,7,10},IF(Assumptions!$H39="Feb / May / Aug / Nov",{2,5,8,11},{3,6,9,12})),0)),
                          DATE(YEAR(K$8),MONTH(K$8),Assumptions!$G39)&gt;=K$7,
                          DATE(YEAR(K$8),MONTH(K$8),Assumptions!$G39)&lt;=K$8
                        )
                      ),
                    "Yes","No"),
                  "No")
                )
              )
            )
          )
        )
      )
    )
  )
)</f>
        <v>No</v>
      </c>
      <c r="L27" s="59" t="str">
        <f>IF(
  Assumptions!$K39="Off",
  "No",
  IF(
    Assumptions!$F39="I will phase manually",
    "No",
    IF(
      Assumptions!$F39="Last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Assumptions!$F39="End of month",
        IF(
          OR(
            AND(EOMONTH(L$7,0)&gt;=L$7, EOMONTH(L$7,0)&lt;=L$8),
            AND(EOMONTH(L$8,0)&gt;=L$7, EOMONTH(L$8,0)&lt;=L$8)
          ),
        "Yes","No"),
        IF(
          Assumptions!$F39="Specific day of month",
          IF(
            OR(
              AND(DATE(YEAR(L$7),MONTH(L$7),Assumptions!$G39)&gt;=L$7, DATE(YEAR(L$7),MONTH(L$7),Assumptions!$G39)&lt;=L$8),
              AND(DATE(YEAR(L$8),MONTH(L$8),Assumptions!$G39)&gt;=L$7, DATE(YEAR(L$8),MONTH(L$8),Assumptions!$G39)&lt;=L$8)
            ),
          "Yes","No"),
          IF(
            Assumptions!$F39="Last X day of month",
            IF(
              AND(
                WEEKDAY(L$7,2)&lt;=MATCH(Assumptions!$J39,{"Monday","Tuesday","Wednesday","Thursday","Friday"},0),
                WEEKDAY(L$8,2)&gt;=MATCH(Assumptions!$J39,{"Monday","Tuesday","Wednesday","Thursday","Friday"},0),
                (L$7+(MATCH(Assumptions!$J39,{"Monday","Tuesday","Wednesday","Thursday","Friday"},0)-WEEKDAY(L$7,2)))+7&gt;EOMONTH((L$7+(MATCH(Assumptions!$J39,{"Monday","Tuesday","Wednesday","Thursday","Friday"},0)-WEEKDAY(L$7,2))),0)
              ),
            "Yes","No"),
            IF(
              Assumptions!$F39="Weekly",
              IF(
                AND(
                  WEEKDAY(L$7,2)&lt;=MATCH(Assumptions!$J39,{"Monday","Tuesday","Wednesday","Thursday","Friday"},0),
                  WEEKDAY(L$8,2)&gt;=MATCH(Assumptions!$J39,{"Monday","Tuesday","Wednesday","Thursday","Friday"},0)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AND(Assumptions!$I39&gt;=L$7, Assumptions!$I39&lt;=L$8),
                    AND(
                      Assumptions!$I39&lt;L$7,
                      MOD(INT((L$7-(Assumptions!$I39-WEEKDAY(Assumptions!$I39,2)+1))/7),2)=0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AND(Assumptions!$I39&gt;=L$7, Assumptions!$I39&lt;=L$8),
                      AND(
                        Assumptions!$I39&lt;L$7,
                        MOD(INT((L$7-(Assumptions!$I39-WEEKDAY(Assumptions!$I39,2)+1))/7),3)=0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ISNUMBER(MATCH(MONTH(L$7),IF(Assumptions!$H39="Jan / Apr / Jul / Oct",{1,4,7,10},IF(Assumptions!$H39="Feb / May / Aug / Nov",{2,5,8,11},{3,6,9,12})),0)),
                          DATE(YEAR(L$7),MONTH(L$7),Assumptions!$G39)&gt;=L$7,
                          DATE(YEAR(L$7),MONTH(L$7),Assumptions!$G39)&lt;=L$8
                        ),
                        AND(
                          ISNUMBER(MATCH(MONTH(L$8),IF(Assumptions!$H39="Jan / Apr / Jul / Oct",{1,4,7,10},IF(Assumptions!$H39="Feb / May / Aug / Nov",{2,5,8,11},{3,6,9,12})),0)),
                          DATE(YEAR(L$8),MONTH(L$8),Assumptions!$G39)&gt;=L$7,
                          DATE(YEAR(L$8),MONTH(L$8),Assumptions!$G39)&lt;=L$8
                        )
                      ),
                    "Yes","No"),
                  "No")
                )
              )
            )
          )
        )
      )
    )
  )
)</f>
        <v>No</v>
      </c>
      <c r="M27" s="59" t="str">
        <f>IF(
  Assumptions!$K39="Off",
  "No",
  IF(
    Assumptions!$F39="I will phase manually",
    "No",
    IF(
      Assumptions!$F39="Last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Assumptions!$F39="End of month",
        IF(
          OR(
            AND(EOMONTH(M$7,0)&gt;=M$7, EOMONTH(M$7,0)&lt;=M$8),
            AND(EOMONTH(M$8,0)&gt;=M$7, EOMONTH(M$8,0)&lt;=M$8)
          ),
        "Yes","No"),
        IF(
          Assumptions!$F39="Specific day of month",
          IF(
            OR(
              AND(DATE(YEAR(M$7),MONTH(M$7),Assumptions!$G39)&gt;=M$7, DATE(YEAR(M$7),MONTH(M$7),Assumptions!$G39)&lt;=M$8),
              AND(DATE(YEAR(M$8),MONTH(M$8),Assumptions!$G39)&gt;=M$7, DATE(YEAR(M$8),MONTH(M$8),Assumptions!$G39)&lt;=M$8)
            ),
          "Yes","No"),
          IF(
            Assumptions!$F39="Last X day of month",
            IF(
              AND(
                WEEKDAY(M$7,2)&lt;=MATCH(Assumptions!$J39,{"Monday","Tuesday","Wednesday","Thursday","Friday"},0),
                WEEKDAY(M$8,2)&gt;=MATCH(Assumptions!$J39,{"Monday","Tuesday","Wednesday","Thursday","Friday"},0),
                (M$7+(MATCH(Assumptions!$J39,{"Monday","Tuesday","Wednesday","Thursday","Friday"},0)-WEEKDAY(M$7,2)))+7&gt;EOMONTH((M$7+(MATCH(Assumptions!$J39,{"Monday","Tuesday","Wednesday","Thursday","Friday"},0)-WEEKDAY(M$7,2))),0)
              ),
            "Yes","No"),
            IF(
              Assumptions!$F39="Weekly",
              IF(
                AND(
                  WEEKDAY(M$7,2)&lt;=MATCH(Assumptions!$J39,{"Monday","Tuesday","Wednesday","Thursday","Friday"},0),
                  WEEKDAY(M$8,2)&gt;=MATCH(Assumptions!$J39,{"Monday","Tuesday","Wednesday","Thursday","Friday"},0)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AND(Assumptions!$I39&gt;=M$7, Assumptions!$I39&lt;=M$8),
                    AND(
                      Assumptions!$I39&lt;M$7,
                      MOD(INT((M$7-(Assumptions!$I39-WEEKDAY(Assumptions!$I39,2)+1))/7),2)=0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AND(Assumptions!$I39&gt;=M$7, Assumptions!$I39&lt;=M$8),
                      AND(
                        Assumptions!$I39&lt;M$7,
                        MOD(INT((M$7-(Assumptions!$I39-WEEKDAY(Assumptions!$I39,2)+1))/7),3)=0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ISNUMBER(MATCH(MONTH(M$7),IF(Assumptions!$H39="Jan / Apr / Jul / Oct",{1,4,7,10},IF(Assumptions!$H39="Feb / May / Aug / Nov",{2,5,8,11},{3,6,9,12})),0)),
                          DATE(YEAR(M$7),MONTH(M$7),Assumptions!$G39)&gt;=M$7,
                          DATE(YEAR(M$7),MONTH(M$7),Assumptions!$G39)&lt;=M$8
                        ),
                        AND(
                          ISNUMBER(MATCH(MONTH(M$8),IF(Assumptions!$H39="Jan / Apr / Jul / Oct",{1,4,7,10},IF(Assumptions!$H39="Feb / May / Aug / Nov",{2,5,8,11},{3,6,9,12})),0)),
                          DATE(YEAR(M$8),MONTH(M$8),Assumptions!$G39)&gt;=M$7,
                          DATE(YEAR(M$8),MONTH(M$8),Assumptions!$G39)&lt;=M$8
                        )
                      ),
                    "Yes","No"),
                  "No")
                )
              )
            )
          )
        )
      )
    )
  )
)</f>
        <v>No</v>
      </c>
      <c r="N27" s="59" t="str">
        <f>IF(
  Assumptions!$K39="Off",
  "No",
  IF(
    Assumptions!$F39="I will phase manually",
    "No",
    IF(
      Assumptions!$F39="Last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Assumptions!$F39="End of month",
        IF(
          OR(
            AND(EOMONTH(N$7,0)&gt;=N$7, EOMONTH(N$7,0)&lt;=N$8),
            AND(EOMONTH(N$8,0)&gt;=N$7, EOMONTH(N$8,0)&lt;=N$8)
          ),
        "Yes","No"),
        IF(
          Assumptions!$F39="Specific day of month",
          IF(
            OR(
              AND(DATE(YEAR(N$7),MONTH(N$7),Assumptions!$G39)&gt;=N$7, DATE(YEAR(N$7),MONTH(N$7),Assumptions!$G39)&lt;=N$8),
              AND(DATE(YEAR(N$8),MONTH(N$8),Assumptions!$G39)&gt;=N$7, DATE(YEAR(N$8),MONTH(N$8),Assumptions!$G39)&lt;=N$8)
            ),
          "Yes","No"),
          IF(
            Assumptions!$F39="Last X day of month",
            IF(
              AND(
                WEEKDAY(N$7,2)&lt;=MATCH(Assumptions!$J39,{"Monday","Tuesday","Wednesday","Thursday","Friday"},0),
                WEEKDAY(N$8,2)&gt;=MATCH(Assumptions!$J39,{"Monday","Tuesday","Wednesday","Thursday","Friday"},0),
                (N$7+(MATCH(Assumptions!$J39,{"Monday","Tuesday","Wednesday","Thursday","Friday"},0)-WEEKDAY(N$7,2)))+7&gt;EOMONTH((N$7+(MATCH(Assumptions!$J39,{"Monday","Tuesday","Wednesday","Thursday","Friday"},0)-WEEKDAY(N$7,2))),0)
              ),
            "Yes","No"),
            IF(
              Assumptions!$F39="Weekly",
              IF(
                AND(
                  WEEKDAY(N$7,2)&lt;=MATCH(Assumptions!$J39,{"Monday","Tuesday","Wednesday","Thursday","Friday"},0),
                  WEEKDAY(N$8,2)&gt;=MATCH(Assumptions!$J39,{"Monday","Tuesday","Wednesday","Thursday","Friday"},0)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AND(Assumptions!$I39&gt;=N$7, Assumptions!$I39&lt;=N$8),
                    AND(
                      Assumptions!$I39&lt;N$7,
                      MOD(INT((N$7-(Assumptions!$I39-WEEKDAY(Assumptions!$I39,2)+1))/7),2)=0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AND(Assumptions!$I39&gt;=N$7, Assumptions!$I39&lt;=N$8),
                      AND(
                        Assumptions!$I39&lt;N$7,
                        MOD(INT((N$7-(Assumptions!$I39-WEEKDAY(Assumptions!$I39,2)+1))/7),3)=0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ISNUMBER(MATCH(MONTH(N$7),IF(Assumptions!$H39="Jan / Apr / Jul / Oct",{1,4,7,10},IF(Assumptions!$H39="Feb / May / Aug / Nov",{2,5,8,11},{3,6,9,12})),0)),
                          DATE(YEAR(N$7),MONTH(N$7),Assumptions!$G39)&gt;=N$7,
                          DATE(YEAR(N$7),MONTH(N$7),Assumptions!$G39)&lt;=N$8
                        ),
                        AND(
                          ISNUMBER(MATCH(MONTH(N$8),IF(Assumptions!$H39="Jan / Apr / Jul / Oct",{1,4,7,10},IF(Assumptions!$H39="Feb / May / Aug / Nov",{2,5,8,11},{3,6,9,12})),0)),
                          DATE(YEAR(N$8),MONTH(N$8),Assumptions!$G39)&gt;=N$7,
                          DATE(YEAR(N$8),MONTH(N$8),Assumptions!$G39)&lt;=N$8
                        )
                      ),
                    "Yes","No"),
                  "No")
                )
              )
            )
          )
        )
      )
    )
  )
)</f>
        <v>No</v>
      </c>
      <c r="O27" s="59" t="str">
        <f>IF(
  Assumptions!$K39="Off",
  "No",
  IF(
    Assumptions!$F39="I will phase manually",
    "No",
    IF(
      Assumptions!$F39="Last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Assumptions!$F39="End of month",
        IF(
          OR(
            AND(EOMONTH(O$7,0)&gt;=O$7, EOMONTH(O$7,0)&lt;=O$8),
            AND(EOMONTH(O$8,0)&gt;=O$7, EOMONTH(O$8,0)&lt;=O$8)
          ),
        "Yes","No"),
        IF(
          Assumptions!$F39="Specific day of month",
          IF(
            OR(
              AND(DATE(YEAR(O$7),MONTH(O$7),Assumptions!$G39)&gt;=O$7, DATE(YEAR(O$7),MONTH(O$7),Assumptions!$G39)&lt;=O$8),
              AND(DATE(YEAR(O$8),MONTH(O$8),Assumptions!$G39)&gt;=O$7, DATE(YEAR(O$8),MONTH(O$8),Assumptions!$G39)&lt;=O$8)
            ),
          "Yes","No"),
          IF(
            Assumptions!$F39="Last X day of month",
            IF(
              AND(
                WEEKDAY(O$7,2)&lt;=MATCH(Assumptions!$J39,{"Monday","Tuesday","Wednesday","Thursday","Friday"},0),
                WEEKDAY(O$8,2)&gt;=MATCH(Assumptions!$J39,{"Monday","Tuesday","Wednesday","Thursday","Friday"},0),
                (O$7+(MATCH(Assumptions!$J39,{"Monday","Tuesday","Wednesday","Thursday","Friday"},0)-WEEKDAY(O$7,2)))+7&gt;EOMONTH((O$7+(MATCH(Assumptions!$J39,{"Monday","Tuesday","Wednesday","Thursday","Friday"},0)-WEEKDAY(O$7,2))),0)
              ),
            "Yes","No"),
            IF(
              Assumptions!$F39="Weekly",
              IF(
                AND(
                  WEEKDAY(O$7,2)&lt;=MATCH(Assumptions!$J39,{"Monday","Tuesday","Wednesday","Thursday","Friday"},0),
                  WEEKDAY(O$8,2)&gt;=MATCH(Assumptions!$J39,{"Monday","Tuesday","Wednesday","Thursday","Friday"},0)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AND(Assumptions!$I39&gt;=O$7, Assumptions!$I39&lt;=O$8),
                    AND(
                      Assumptions!$I39&lt;O$7,
                      MOD(INT((O$7-(Assumptions!$I39-WEEKDAY(Assumptions!$I39,2)+1))/7),2)=0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AND(Assumptions!$I39&gt;=O$7, Assumptions!$I39&lt;=O$8),
                      AND(
                        Assumptions!$I39&lt;O$7,
                        MOD(INT((O$7-(Assumptions!$I39-WEEKDAY(Assumptions!$I39,2)+1))/7),3)=0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ISNUMBER(MATCH(MONTH(O$7),IF(Assumptions!$H39="Jan / Apr / Jul / Oct",{1,4,7,10},IF(Assumptions!$H39="Feb / May / Aug / Nov",{2,5,8,11},{3,6,9,12})),0)),
                          DATE(YEAR(O$7),MONTH(O$7),Assumptions!$G39)&gt;=O$7,
                          DATE(YEAR(O$7),MONTH(O$7),Assumptions!$G39)&lt;=O$8
                        ),
                        AND(
                          ISNUMBER(MATCH(MONTH(O$8),IF(Assumptions!$H39="Jan / Apr / Jul / Oct",{1,4,7,10},IF(Assumptions!$H39="Feb / May / Aug / Nov",{2,5,8,11},{3,6,9,12})),0)),
                          DATE(YEAR(O$8),MONTH(O$8),Assumptions!$G39)&gt;=O$7,
                          DATE(YEAR(O$8),MONTH(O$8),Assumptions!$G39)&lt;=O$8
                        )
                      ),
                    "Yes","No"),
                  "No")
                )
              )
            )
          )
        )
      )
    )
  )
)</f>
        <v>No</v>
      </c>
      <c r="P27" s="59" t="str">
        <f>IF(
  Assumptions!$K39="Off",
  "No",
  IF(
    Assumptions!$F39="I will phase manually",
    "No",
    IF(
      Assumptions!$F39="Last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Assumptions!$F39="End of month",
        IF(
          OR(
            AND(EOMONTH(P$7,0)&gt;=P$7, EOMONTH(P$7,0)&lt;=P$8),
            AND(EOMONTH(P$8,0)&gt;=P$7, EOMONTH(P$8,0)&lt;=P$8)
          ),
        "Yes","No"),
        IF(
          Assumptions!$F39="Specific day of month",
          IF(
            OR(
              AND(DATE(YEAR(P$7),MONTH(P$7),Assumptions!$G39)&gt;=P$7, DATE(YEAR(P$7),MONTH(P$7),Assumptions!$G39)&lt;=P$8),
              AND(DATE(YEAR(P$8),MONTH(P$8),Assumptions!$G39)&gt;=P$7, DATE(YEAR(P$8),MONTH(P$8),Assumptions!$G39)&lt;=P$8)
            ),
          "Yes","No"),
          IF(
            Assumptions!$F39="Last X day of month",
            IF(
              AND(
                WEEKDAY(P$7,2)&lt;=MATCH(Assumptions!$J39,{"Monday","Tuesday","Wednesday","Thursday","Friday"},0),
                WEEKDAY(P$8,2)&gt;=MATCH(Assumptions!$J39,{"Monday","Tuesday","Wednesday","Thursday","Friday"},0),
                (P$7+(MATCH(Assumptions!$J39,{"Monday","Tuesday","Wednesday","Thursday","Friday"},0)-WEEKDAY(P$7,2)))+7&gt;EOMONTH((P$7+(MATCH(Assumptions!$J39,{"Monday","Tuesday","Wednesday","Thursday","Friday"},0)-WEEKDAY(P$7,2))),0)
              ),
            "Yes","No"),
            IF(
              Assumptions!$F39="Weekly",
              IF(
                AND(
                  WEEKDAY(P$7,2)&lt;=MATCH(Assumptions!$J39,{"Monday","Tuesday","Wednesday","Thursday","Friday"},0),
                  WEEKDAY(P$8,2)&gt;=MATCH(Assumptions!$J39,{"Monday","Tuesday","Wednesday","Thursday","Friday"},0)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AND(Assumptions!$I39&gt;=P$7, Assumptions!$I39&lt;=P$8),
                    AND(
                      Assumptions!$I39&lt;P$7,
                      MOD(INT((P$7-(Assumptions!$I39-WEEKDAY(Assumptions!$I39,2)+1))/7),2)=0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AND(Assumptions!$I39&gt;=P$7, Assumptions!$I39&lt;=P$8),
                      AND(
                        Assumptions!$I39&lt;P$7,
                        MOD(INT((P$7-(Assumptions!$I39-WEEKDAY(Assumptions!$I39,2)+1))/7),3)=0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ISNUMBER(MATCH(MONTH(P$7),IF(Assumptions!$H39="Jan / Apr / Jul / Oct",{1,4,7,10},IF(Assumptions!$H39="Feb / May / Aug / Nov",{2,5,8,11},{3,6,9,12})),0)),
                          DATE(YEAR(P$7),MONTH(P$7),Assumptions!$G39)&gt;=P$7,
                          DATE(YEAR(P$7),MONTH(P$7),Assumptions!$G39)&lt;=P$8
                        ),
                        AND(
                          ISNUMBER(MATCH(MONTH(P$8),IF(Assumptions!$H39="Jan / Apr / Jul / Oct",{1,4,7,10},IF(Assumptions!$H39="Feb / May / Aug / Nov",{2,5,8,11},{3,6,9,12})),0)),
                          DATE(YEAR(P$8),MONTH(P$8),Assumptions!$G39)&gt;=P$7,
                          DATE(YEAR(P$8),MONTH(P$8),Assumptions!$G39)&lt;=P$8
                        )
                      ),
                    "Yes","No"),
                  "No")
                )
              )
            )
          )
        )
      )
    )
  )
)</f>
        <v>No</v>
      </c>
      <c r="Q27" s="59" t="str">
        <f>IF(
  Assumptions!$K39="Off",
  "No",
  IF(
    Assumptions!$F39="I will phase manually",
    "No",
    IF(
      Assumptions!$F39="Last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Assumptions!$F39="End of month",
        IF(
          OR(
            AND(EOMONTH(Q$7,0)&gt;=Q$7, EOMONTH(Q$7,0)&lt;=Q$8),
            AND(EOMONTH(Q$8,0)&gt;=Q$7, EOMONTH(Q$8,0)&lt;=Q$8)
          ),
        "Yes","No"),
        IF(
          Assumptions!$F39="Specific day of month",
          IF(
            OR(
              AND(DATE(YEAR(Q$7),MONTH(Q$7),Assumptions!$G39)&gt;=Q$7, DATE(YEAR(Q$7),MONTH(Q$7),Assumptions!$G39)&lt;=Q$8),
              AND(DATE(YEAR(Q$8),MONTH(Q$8),Assumptions!$G39)&gt;=Q$7, DATE(YEAR(Q$8),MONTH(Q$8),Assumptions!$G39)&lt;=Q$8)
            ),
          "Yes","No"),
          IF(
            Assumptions!$F39="Last X day of month",
            IF(
              AND(
                WEEKDAY(Q$7,2)&lt;=MATCH(Assumptions!$J39,{"Monday","Tuesday","Wednesday","Thursday","Friday"},0),
                WEEKDAY(Q$8,2)&gt;=MATCH(Assumptions!$J39,{"Monday","Tuesday","Wednesday","Thursday","Friday"},0),
                (Q$7+(MATCH(Assumptions!$J39,{"Monday","Tuesday","Wednesday","Thursday","Friday"},0)-WEEKDAY(Q$7,2)))+7&gt;EOMONTH((Q$7+(MATCH(Assumptions!$J39,{"Monday","Tuesday","Wednesday","Thursday","Friday"},0)-WEEKDAY(Q$7,2))),0)
              ),
            "Yes","No"),
            IF(
              Assumptions!$F39="Weekly",
              IF(
                AND(
                  WEEKDAY(Q$7,2)&lt;=MATCH(Assumptions!$J39,{"Monday","Tuesday","Wednesday","Thursday","Friday"},0),
                  WEEKDAY(Q$8,2)&gt;=MATCH(Assumptions!$J39,{"Monday","Tuesday","Wednesday","Thursday","Friday"},0)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AND(Assumptions!$I39&gt;=Q$7, Assumptions!$I39&lt;=Q$8),
                    AND(
                      Assumptions!$I39&lt;Q$7,
                      MOD(INT((Q$7-(Assumptions!$I39-WEEKDAY(Assumptions!$I39,2)+1))/7),2)=0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AND(Assumptions!$I39&gt;=Q$7, Assumptions!$I39&lt;=Q$8),
                      AND(
                        Assumptions!$I39&lt;Q$7,
                        MOD(INT((Q$7-(Assumptions!$I39-WEEKDAY(Assumptions!$I39,2)+1))/7),3)=0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ISNUMBER(MATCH(MONTH(Q$7),IF(Assumptions!$H39="Jan / Apr / Jul / Oct",{1,4,7,10},IF(Assumptions!$H39="Feb / May / Aug / Nov",{2,5,8,11},{3,6,9,12})),0)),
                          DATE(YEAR(Q$7),MONTH(Q$7),Assumptions!$G39)&gt;=Q$7,
                          DATE(YEAR(Q$7),MONTH(Q$7),Assumptions!$G39)&lt;=Q$8
                        ),
                        AND(
                          ISNUMBER(MATCH(MONTH(Q$8),IF(Assumptions!$H39="Jan / Apr / Jul / Oct",{1,4,7,10},IF(Assumptions!$H39="Feb / May / Aug / Nov",{2,5,8,11},{3,6,9,12})),0)),
                          DATE(YEAR(Q$8),MONTH(Q$8),Assumptions!$G39)&gt;=Q$7,
                          DATE(YEAR(Q$8),MONTH(Q$8),Assumptions!$G39)&lt;=Q$8
                        )
                      ),
                    "Yes","No"),
                  "No")
                )
              )
            )
          )
        )
      )
    )
  )
)</f>
        <v>No</v>
      </c>
      <c r="R27" s="59" t="str">
        <f>IF(
  Assumptions!$K39="Off",
  "No",
  IF(
    Assumptions!$F39="I will phase manually",
    "No",
    IF(
      Assumptions!$F39="Last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Assumptions!$F39="End of month",
        IF(
          OR(
            AND(EOMONTH(R$7,0)&gt;=R$7, EOMONTH(R$7,0)&lt;=R$8),
            AND(EOMONTH(R$8,0)&gt;=R$7, EOMONTH(R$8,0)&lt;=R$8)
          ),
        "Yes","No"),
        IF(
          Assumptions!$F39="Specific day of month",
          IF(
            OR(
              AND(DATE(YEAR(R$7),MONTH(R$7),Assumptions!$G39)&gt;=R$7, DATE(YEAR(R$7),MONTH(R$7),Assumptions!$G39)&lt;=R$8),
              AND(DATE(YEAR(R$8),MONTH(R$8),Assumptions!$G39)&gt;=R$7, DATE(YEAR(R$8),MONTH(R$8),Assumptions!$G39)&lt;=R$8)
            ),
          "Yes","No"),
          IF(
            Assumptions!$F39="Last X day of month",
            IF(
              AND(
                WEEKDAY(R$7,2)&lt;=MATCH(Assumptions!$J39,{"Monday","Tuesday","Wednesday","Thursday","Friday"},0),
                WEEKDAY(R$8,2)&gt;=MATCH(Assumptions!$J39,{"Monday","Tuesday","Wednesday","Thursday","Friday"},0),
                (R$7+(MATCH(Assumptions!$J39,{"Monday","Tuesday","Wednesday","Thursday","Friday"},0)-WEEKDAY(R$7,2)))+7&gt;EOMONTH((R$7+(MATCH(Assumptions!$J39,{"Monday","Tuesday","Wednesday","Thursday","Friday"},0)-WEEKDAY(R$7,2))),0)
              ),
            "Yes","No"),
            IF(
              Assumptions!$F39="Weekly",
              IF(
                AND(
                  WEEKDAY(R$7,2)&lt;=MATCH(Assumptions!$J39,{"Monday","Tuesday","Wednesday","Thursday","Friday"},0),
                  WEEKDAY(R$8,2)&gt;=MATCH(Assumptions!$J39,{"Monday","Tuesday","Wednesday","Thursday","Friday"},0)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AND(Assumptions!$I39&gt;=R$7, Assumptions!$I39&lt;=R$8),
                    AND(
                      Assumptions!$I39&lt;R$7,
                      MOD(INT((R$7-(Assumptions!$I39-WEEKDAY(Assumptions!$I39,2)+1))/7),2)=0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AND(Assumptions!$I39&gt;=R$7, Assumptions!$I39&lt;=R$8),
                      AND(
                        Assumptions!$I39&lt;R$7,
                        MOD(INT((R$7-(Assumptions!$I39-WEEKDAY(Assumptions!$I39,2)+1))/7),3)=0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ISNUMBER(MATCH(MONTH(R$7),IF(Assumptions!$H39="Jan / Apr / Jul / Oct",{1,4,7,10},IF(Assumptions!$H39="Feb / May / Aug / Nov",{2,5,8,11},{3,6,9,12})),0)),
                          DATE(YEAR(R$7),MONTH(R$7),Assumptions!$G39)&gt;=R$7,
                          DATE(YEAR(R$7),MONTH(R$7),Assumptions!$G39)&lt;=R$8
                        ),
                        AND(
                          ISNUMBER(MATCH(MONTH(R$8),IF(Assumptions!$H39="Jan / Apr / Jul / Oct",{1,4,7,10},IF(Assumptions!$H39="Feb / May / Aug / Nov",{2,5,8,11},{3,6,9,12})),0)),
                          DATE(YEAR(R$8),MONTH(R$8),Assumptions!$G39)&gt;=R$7,
                          DATE(YEAR(R$8),MONTH(R$8),Assumptions!$G39)&lt;=R$8
                        )
                      ),
                    "Yes","No"),
                  "No")
                )
              )
            )
          )
        )
      )
    )
  )
)</f>
        <v>No</v>
      </c>
      <c r="S27" s="59" t="str">
        <f>IF(
  Assumptions!$K39="Off",
  "No",
  IF(
    Assumptions!$F39="I will phase manually",
    "No",
    IF(
      Assumptions!$F39="Last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Assumptions!$F39="End of month",
        IF(
          OR(
            AND(EOMONTH(S$7,0)&gt;=S$7, EOMONTH(S$7,0)&lt;=S$8),
            AND(EOMONTH(S$8,0)&gt;=S$7, EOMONTH(S$8,0)&lt;=S$8)
          ),
        "Yes","No"),
        IF(
          Assumptions!$F39="Specific day of month",
          IF(
            OR(
              AND(DATE(YEAR(S$7),MONTH(S$7),Assumptions!$G39)&gt;=S$7, DATE(YEAR(S$7),MONTH(S$7),Assumptions!$G39)&lt;=S$8),
              AND(DATE(YEAR(S$8),MONTH(S$8),Assumptions!$G39)&gt;=S$7, DATE(YEAR(S$8),MONTH(S$8),Assumptions!$G39)&lt;=S$8)
            ),
          "Yes","No"),
          IF(
            Assumptions!$F39="Last X day of month",
            IF(
              AND(
                WEEKDAY(S$7,2)&lt;=MATCH(Assumptions!$J39,{"Monday","Tuesday","Wednesday","Thursday","Friday"},0),
                WEEKDAY(S$8,2)&gt;=MATCH(Assumptions!$J39,{"Monday","Tuesday","Wednesday","Thursday","Friday"},0),
                (S$7+(MATCH(Assumptions!$J39,{"Monday","Tuesday","Wednesday","Thursday","Friday"},0)-WEEKDAY(S$7,2)))+7&gt;EOMONTH((S$7+(MATCH(Assumptions!$J39,{"Monday","Tuesday","Wednesday","Thursday","Friday"},0)-WEEKDAY(S$7,2))),0)
              ),
            "Yes","No"),
            IF(
              Assumptions!$F39="Weekly",
              IF(
                AND(
                  WEEKDAY(S$7,2)&lt;=MATCH(Assumptions!$J39,{"Monday","Tuesday","Wednesday","Thursday","Friday"},0),
                  WEEKDAY(S$8,2)&gt;=MATCH(Assumptions!$J39,{"Monday","Tuesday","Wednesday","Thursday","Friday"},0)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AND(Assumptions!$I39&gt;=S$7, Assumptions!$I39&lt;=S$8),
                    AND(
                      Assumptions!$I39&lt;S$7,
                      MOD(INT((S$7-(Assumptions!$I39-WEEKDAY(Assumptions!$I39,2)+1))/7),2)=0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AND(Assumptions!$I39&gt;=S$7, Assumptions!$I39&lt;=S$8),
                      AND(
                        Assumptions!$I39&lt;S$7,
                        MOD(INT((S$7-(Assumptions!$I39-WEEKDAY(Assumptions!$I39,2)+1))/7),3)=0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ISNUMBER(MATCH(MONTH(S$7),IF(Assumptions!$H39="Jan / Apr / Jul / Oct",{1,4,7,10},IF(Assumptions!$H39="Feb / May / Aug / Nov",{2,5,8,11},{3,6,9,12})),0)),
                          DATE(YEAR(S$7),MONTH(S$7),Assumptions!$G39)&gt;=S$7,
                          DATE(YEAR(S$7),MONTH(S$7),Assumptions!$G39)&lt;=S$8
                        ),
                        AND(
                          ISNUMBER(MATCH(MONTH(S$8),IF(Assumptions!$H39="Jan / Apr / Jul / Oct",{1,4,7,10},IF(Assumptions!$H39="Feb / May / Aug / Nov",{2,5,8,11},{3,6,9,12})),0)),
                          DATE(YEAR(S$8),MONTH(S$8),Assumptions!$G39)&gt;=S$7,
                          DATE(YEAR(S$8),MONTH(S$8),Assumptions!$G39)&lt;=S$8
                        )
                      ),
                    "Yes","No"),
                  "No")
                )
              )
            )
          )
        )
      )
    )
  )
)</f>
        <v>No</v>
      </c>
      <c r="T27" s="59" t="s">
        <v>124</v>
      </c>
    </row>
    <row r="28" spans="3:20" hidden="1" outlineLevel="1" x14ac:dyDescent="0.25">
      <c r="C28" s="58">
        <f>Assumptions!D40</f>
        <v>0</v>
      </c>
      <c r="D28" s="58"/>
      <c r="E28" s="58"/>
      <c r="F28" s="58"/>
      <c r="G28" s="59" t="str">
        <f>IF(
  Assumptions!$K40="Off",
  "No",
  IF(
    Assumptions!$F40="I will phase manually",
    "No",
    IF(
      Assumptions!$F40="Last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Assumptions!$F40="End of month",
        IF(
          OR(
            AND(EOMONTH(G$7,0)&gt;=G$7, EOMONTH(G$7,0)&lt;=G$8),
            AND(EOMONTH(G$8,0)&gt;=G$7, EOMONTH(G$8,0)&lt;=G$8)
          ),
        "Yes","No"),
        IF(
          Assumptions!$F40="Specific day of month",
          IF(
            OR(
              AND(DATE(YEAR(G$7),MONTH(G$7),Assumptions!$G40)&gt;=G$7, DATE(YEAR(G$7),MONTH(G$7),Assumptions!$G40)&lt;=G$8),
              AND(DATE(YEAR(G$8),MONTH(G$8),Assumptions!$G40)&gt;=G$7, DATE(YEAR(G$8),MONTH(G$8),Assumptions!$G40)&lt;=G$8)
            ),
          "Yes","No"),
          IF(
            Assumptions!$F40="Last X day of month",
            IF(
              AND(
                WEEKDAY(G$7,2)&lt;=MATCH(Assumptions!$J40,{"Monday","Tuesday","Wednesday","Thursday","Friday"},0),
                WEEKDAY(G$8,2)&gt;=MATCH(Assumptions!$J40,{"Monday","Tuesday","Wednesday","Thursday","Friday"},0),
                (G$7+(MATCH(Assumptions!$J40,{"Monday","Tuesday","Wednesday","Thursday","Friday"},0)-WEEKDAY(G$7,2)))+7&gt;EOMONTH((G$7+(MATCH(Assumptions!$J40,{"Monday","Tuesday","Wednesday","Thursday","Friday"},0)-WEEKDAY(G$7,2))),0)
              ),
            "Yes","No"),
            IF(
              Assumptions!$F40="Weekly",
              IF(
                AND(
                  WEEKDAY(G$7,2)&lt;=MATCH(Assumptions!$J40,{"Monday","Tuesday","Wednesday","Thursday","Friday"},0),
                  WEEKDAY(G$8,2)&gt;=MATCH(Assumptions!$J40,{"Monday","Tuesday","Wednesday","Thursday","Friday"},0)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AND(Assumptions!$I40&gt;=G$7, Assumptions!$I40&lt;=G$8),
                    AND(
                      Assumptions!$I40&lt;G$7,
                      MOD(INT((G$7-(Assumptions!$I40-WEEKDAY(Assumptions!$I40,2)+1))/7),2)=0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AND(Assumptions!$I40&gt;=G$7, Assumptions!$I40&lt;=G$8),
                      AND(
                        Assumptions!$I40&lt;G$7,
                        MOD(INT((G$7-(Assumptions!$I40-WEEKDAY(Assumptions!$I40,2)+1))/7),3)=0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ISNUMBER(MATCH(MONTH(G$7),IF(Assumptions!$H40="Jan / Apr / Jul / Oct",{1,4,7,10},IF(Assumptions!$H40="Feb / May / Aug / Nov",{2,5,8,11},{3,6,9,12})),0)),
                          DATE(YEAR(G$7),MONTH(G$7),Assumptions!$G40)&gt;=G$7,
                          DATE(YEAR(G$7),MONTH(G$7),Assumptions!$G40)&lt;=G$8
                        ),
                        AND(
                          ISNUMBER(MATCH(MONTH(G$8),IF(Assumptions!$H40="Jan / Apr / Jul / Oct",{1,4,7,10},IF(Assumptions!$H40="Feb / May / Aug / Nov",{2,5,8,11},{3,6,9,12})),0)),
                          DATE(YEAR(G$8),MONTH(G$8),Assumptions!$G40)&gt;=G$7,
                          DATE(YEAR(G$8),MONTH(G$8),Assumptions!$G40)&lt;=G$8
                        )
                      ),
                    "Yes","No"),
                  "No")
                )
              )
            )
          )
        )
      )
    )
  )
)</f>
        <v>No</v>
      </c>
      <c r="H28" s="59" t="str">
        <f>IF(
  Assumptions!$K40="Off",
  "No",
  IF(
    Assumptions!$F40="I will phase manually",
    "No",
    IF(
      Assumptions!$F40="Last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Assumptions!$F40="End of month",
        IF(
          OR(
            AND(EOMONTH(H$7,0)&gt;=H$7, EOMONTH(H$7,0)&lt;=H$8),
            AND(EOMONTH(H$8,0)&gt;=H$7, EOMONTH(H$8,0)&lt;=H$8)
          ),
        "Yes","No"),
        IF(
          Assumptions!$F40="Specific day of month",
          IF(
            OR(
              AND(DATE(YEAR(H$7),MONTH(H$7),Assumptions!$G40)&gt;=H$7, DATE(YEAR(H$7),MONTH(H$7),Assumptions!$G40)&lt;=H$8),
              AND(DATE(YEAR(H$8),MONTH(H$8),Assumptions!$G40)&gt;=H$7, DATE(YEAR(H$8),MONTH(H$8),Assumptions!$G40)&lt;=H$8)
            ),
          "Yes","No"),
          IF(
            Assumptions!$F40="Last X day of month",
            IF(
              AND(
                WEEKDAY(H$7,2)&lt;=MATCH(Assumptions!$J40,{"Monday","Tuesday","Wednesday","Thursday","Friday"},0),
                WEEKDAY(H$8,2)&gt;=MATCH(Assumptions!$J40,{"Monday","Tuesday","Wednesday","Thursday","Friday"},0),
                (H$7+(MATCH(Assumptions!$J40,{"Monday","Tuesday","Wednesday","Thursday","Friday"},0)-WEEKDAY(H$7,2)))+7&gt;EOMONTH((H$7+(MATCH(Assumptions!$J40,{"Monday","Tuesday","Wednesday","Thursday","Friday"},0)-WEEKDAY(H$7,2))),0)
              ),
            "Yes","No"),
            IF(
              Assumptions!$F40="Weekly",
              IF(
                AND(
                  WEEKDAY(H$7,2)&lt;=MATCH(Assumptions!$J40,{"Monday","Tuesday","Wednesday","Thursday","Friday"},0),
                  WEEKDAY(H$8,2)&gt;=MATCH(Assumptions!$J40,{"Monday","Tuesday","Wednesday","Thursday","Friday"},0)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AND(Assumptions!$I40&gt;=H$7, Assumptions!$I40&lt;=H$8),
                    AND(
                      Assumptions!$I40&lt;H$7,
                      MOD(INT((H$7-(Assumptions!$I40-WEEKDAY(Assumptions!$I40,2)+1))/7),2)=0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AND(Assumptions!$I40&gt;=H$7, Assumptions!$I40&lt;=H$8),
                      AND(
                        Assumptions!$I40&lt;H$7,
                        MOD(INT((H$7-(Assumptions!$I40-WEEKDAY(Assumptions!$I40,2)+1))/7),3)=0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ISNUMBER(MATCH(MONTH(H$7),IF(Assumptions!$H40="Jan / Apr / Jul / Oct",{1,4,7,10},IF(Assumptions!$H40="Feb / May / Aug / Nov",{2,5,8,11},{3,6,9,12})),0)),
                          DATE(YEAR(H$7),MONTH(H$7),Assumptions!$G40)&gt;=H$7,
                          DATE(YEAR(H$7),MONTH(H$7),Assumptions!$G40)&lt;=H$8
                        ),
                        AND(
                          ISNUMBER(MATCH(MONTH(H$8),IF(Assumptions!$H40="Jan / Apr / Jul / Oct",{1,4,7,10},IF(Assumptions!$H40="Feb / May / Aug / Nov",{2,5,8,11},{3,6,9,12})),0)),
                          DATE(YEAR(H$8),MONTH(H$8),Assumptions!$G40)&gt;=H$7,
                          DATE(YEAR(H$8),MONTH(H$8),Assumptions!$G40)&lt;=H$8
                        )
                      ),
                    "Yes","No"),
                  "No")
                )
              )
            )
          )
        )
      )
    )
  )
)</f>
        <v>No</v>
      </c>
      <c r="I28" s="59" t="str">
        <f>IF(
  Assumptions!$K40="Off",
  "No",
  IF(
    Assumptions!$F40="I will phase manually",
    "No",
    IF(
      Assumptions!$F40="Last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Assumptions!$F40="End of month",
        IF(
          OR(
            AND(EOMONTH(I$7,0)&gt;=I$7, EOMONTH(I$7,0)&lt;=I$8),
            AND(EOMONTH(I$8,0)&gt;=I$7, EOMONTH(I$8,0)&lt;=I$8)
          ),
        "Yes","No"),
        IF(
          Assumptions!$F40="Specific day of month",
          IF(
            OR(
              AND(DATE(YEAR(I$7),MONTH(I$7),Assumptions!$G40)&gt;=I$7, DATE(YEAR(I$7),MONTH(I$7),Assumptions!$G40)&lt;=I$8),
              AND(DATE(YEAR(I$8),MONTH(I$8),Assumptions!$G40)&gt;=I$7, DATE(YEAR(I$8),MONTH(I$8),Assumptions!$G40)&lt;=I$8)
            ),
          "Yes","No"),
          IF(
            Assumptions!$F40="Last X day of month",
            IF(
              AND(
                WEEKDAY(I$7,2)&lt;=MATCH(Assumptions!$J40,{"Monday","Tuesday","Wednesday","Thursday","Friday"},0),
                WEEKDAY(I$8,2)&gt;=MATCH(Assumptions!$J40,{"Monday","Tuesday","Wednesday","Thursday","Friday"},0),
                (I$7+(MATCH(Assumptions!$J40,{"Monday","Tuesday","Wednesday","Thursday","Friday"},0)-WEEKDAY(I$7,2)))+7&gt;EOMONTH((I$7+(MATCH(Assumptions!$J40,{"Monday","Tuesday","Wednesday","Thursday","Friday"},0)-WEEKDAY(I$7,2))),0)
              ),
            "Yes","No"),
            IF(
              Assumptions!$F40="Weekly",
              IF(
                AND(
                  WEEKDAY(I$7,2)&lt;=MATCH(Assumptions!$J40,{"Monday","Tuesday","Wednesday","Thursday","Friday"},0),
                  WEEKDAY(I$8,2)&gt;=MATCH(Assumptions!$J40,{"Monday","Tuesday","Wednesday","Thursday","Friday"},0)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AND(Assumptions!$I40&gt;=I$7, Assumptions!$I40&lt;=I$8),
                    AND(
                      Assumptions!$I40&lt;I$7,
                      MOD(INT((I$7-(Assumptions!$I40-WEEKDAY(Assumptions!$I40,2)+1))/7),2)=0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AND(Assumptions!$I40&gt;=I$7, Assumptions!$I40&lt;=I$8),
                      AND(
                        Assumptions!$I40&lt;I$7,
                        MOD(INT((I$7-(Assumptions!$I40-WEEKDAY(Assumptions!$I40,2)+1))/7),3)=0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ISNUMBER(MATCH(MONTH(I$7),IF(Assumptions!$H40="Jan / Apr / Jul / Oct",{1,4,7,10},IF(Assumptions!$H40="Feb / May / Aug / Nov",{2,5,8,11},{3,6,9,12})),0)),
                          DATE(YEAR(I$7),MONTH(I$7),Assumptions!$G40)&gt;=I$7,
                          DATE(YEAR(I$7),MONTH(I$7),Assumptions!$G40)&lt;=I$8
                        ),
                        AND(
                          ISNUMBER(MATCH(MONTH(I$8),IF(Assumptions!$H40="Jan / Apr / Jul / Oct",{1,4,7,10},IF(Assumptions!$H40="Feb / May / Aug / Nov",{2,5,8,11},{3,6,9,12})),0)),
                          DATE(YEAR(I$8),MONTH(I$8),Assumptions!$G40)&gt;=I$7,
                          DATE(YEAR(I$8),MONTH(I$8),Assumptions!$G40)&lt;=I$8
                        )
                      ),
                    "Yes","No"),
                  "No")
                )
              )
            )
          )
        )
      )
    )
  )
)</f>
        <v>No</v>
      </c>
      <c r="J28" s="59" t="str">
        <f>IF(
  Assumptions!$K40="Off",
  "No",
  IF(
    Assumptions!$F40="I will phase manually",
    "No",
    IF(
      Assumptions!$F40="Last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Assumptions!$F40="End of month",
        IF(
          OR(
            AND(EOMONTH(J$7,0)&gt;=J$7, EOMONTH(J$7,0)&lt;=J$8),
            AND(EOMONTH(J$8,0)&gt;=J$7, EOMONTH(J$8,0)&lt;=J$8)
          ),
        "Yes","No"),
        IF(
          Assumptions!$F40="Specific day of month",
          IF(
            OR(
              AND(DATE(YEAR(J$7),MONTH(J$7),Assumptions!$G40)&gt;=J$7, DATE(YEAR(J$7),MONTH(J$7),Assumptions!$G40)&lt;=J$8),
              AND(DATE(YEAR(J$8),MONTH(J$8),Assumptions!$G40)&gt;=J$7, DATE(YEAR(J$8),MONTH(J$8),Assumptions!$G40)&lt;=J$8)
            ),
          "Yes","No"),
          IF(
            Assumptions!$F40="Last X day of month",
            IF(
              AND(
                WEEKDAY(J$7,2)&lt;=MATCH(Assumptions!$J40,{"Monday","Tuesday","Wednesday","Thursday","Friday"},0),
                WEEKDAY(J$8,2)&gt;=MATCH(Assumptions!$J40,{"Monday","Tuesday","Wednesday","Thursday","Friday"},0),
                (J$7+(MATCH(Assumptions!$J40,{"Monday","Tuesday","Wednesday","Thursday","Friday"},0)-WEEKDAY(J$7,2)))+7&gt;EOMONTH((J$7+(MATCH(Assumptions!$J40,{"Monday","Tuesday","Wednesday","Thursday","Friday"},0)-WEEKDAY(J$7,2))),0)
              ),
            "Yes","No"),
            IF(
              Assumptions!$F40="Weekly",
              IF(
                AND(
                  WEEKDAY(J$7,2)&lt;=MATCH(Assumptions!$J40,{"Monday","Tuesday","Wednesday","Thursday","Friday"},0),
                  WEEKDAY(J$8,2)&gt;=MATCH(Assumptions!$J40,{"Monday","Tuesday","Wednesday","Thursday","Friday"},0)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AND(Assumptions!$I40&gt;=J$7, Assumptions!$I40&lt;=J$8),
                    AND(
                      Assumptions!$I40&lt;J$7,
                      MOD(INT((J$7-(Assumptions!$I40-WEEKDAY(Assumptions!$I40,2)+1))/7),2)=0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AND(Assumptions!$I40&gt;=J$7, Assumptions!$I40&lt;=J$8),
                      AND(
                        Assumptions!$I40&lt;J$7,
                        MOD(INT((J$7-(Assumptions!$I40-WEEKDAY(Assumptions!$I40,2)+1))/7),3)=0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ISNUMBER(MATCH(MONTH(J$7),IF(Assumptions!$H40="Jan / Apr / Jul / Oct",{1,4,7,10},IF(Assumptions!$H40="Feb / May / Aug / Nov",{2,5,8,11},{3,6,9,12})),0)),
                          DATE(YEAR(J$7),MONTH(J$7),Assumptions!$G40)&gt;=J$7,
                          DATE(YEAR(J$7),MONTH(J$7),Assumptions!$G40)&lt;=J$8
                        ),
                        AND(
                          ISNUMBER(MATCH(MONTH(J$8),IF(Assumptions!$H40="Jan / Apr / Jul / Oct",{1,4,7,10},IF(Assumptions!$H40="Feb / May / Aug / Nov",{2,5,8,11},{3,6,9,12})),0)),
                          DATE(YEAR(J$8),MONTH(J$8),Assumptions!$G40)&gt;=J$7,
                          DATE(YEAR(J$8),MONTH(J$8),Assumptions!$G40)&lt;=J$8
                        )
                      ),
                    "Yes","No"),
                  "No")
                )
              )
            )
          )
        )
      )
    )
  )
)</f>
        <v>No</v>
      </c>
      <c r="K28" s="59" t="str">
        <f>IF(
  Assumptions!$K40="Off",
  "No",
  IF(
    Assumptions!$F40="I will phase manually",
    "No",
    IF(
      Assumptions!$F40="Last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Assumptions!$F40="End of month",
        IF(
          OR(
            AND(EOMONTH(K$7,0)&gt;=K$7, EOMONTH(K$7,0)&lt;=K$8),
            AND(EOMONTH(K$8,0)&gt;=K$7, EOMONTH(K$8,0)&lt;=K$8)
          ),
        "Yes","No"),
        IF(
          Assumptions!$F40="Specific day of month",
          IF(
            OR(
              AND(DATE(YEAR(K$7),MONTH(K$7),Assumptions!$G40)&gt;=K$7, DATE(YEAR(K$7),MONTH(K$7),Assumptions!$G40)&lt;=K$8),
              AND(DATE(YEAR(K$8),MONTH(K$8),Assumptions!$G40)&gt;=K$7, DATE(YEAR(K$8),MONTH(K$8),Assumptions!$G40)&lt;=K$8)
            ),
          "Yes","No"),
          IF(
            Assumptions!$F40="Last X day of month",
            IF(
              AND(
                WEEKDAY(K$7,2)&lt;=MATCH(Assumptions!$J40,{"Monday","Tuesday","Wednesday","Thursday","Friday"},0),
                WEEKDAY(K$8,2)&gt;=MATCH(Assumptions!$J40,{"Monday","Tuesday","Wednesday","Thursday","Friday"},0),
                (K$7+(MATCH(Assumptions!$J40,{"Monday","Tuesday","Wednesday","Thursday","Friday"},0)-WEEKDAY(K$7,2)))+7&gt;EOMONTH((K$7+(MATCH(Assumptions!$J40,{"Monday","Tuesday","Wednesday","Thursday","Friday"},0)-WEEKDAY(K$7,2))),0)
              ),
            "Yes","No"),
            IF(
              Assumptions!$F40="Weekly",
              IF(
                AND(
                  WEEKDAY(K$7,2)&lt;=MATCH(Assumptions!$J40,{"Monday","Tuesday","Wednesday","Thursday","Friday"},0),
                  WEEKDAY(K$8,2)&gt;=MATCH(Assumptions!$J40,{"Monday","Tuesday","Wednesday","Thursday","Friday"},0)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AND(Assumptions!$I40&gt;=K$7, Assumptions!$I40&lt;=K$8),
                    AND(
                      Assumptions!$I40&lt;K$7,
                      MOD(INT((K$7-(Assumptions!$I40-WEEKDAY(Assumptions!$I40,2)+1))/7),2)=0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AND(Assumptions!$I40&gt;=K$7, Assumptions!$I40&lt;=K$8),
                      AND(
                        Assumptions!$I40&lt;K$7,
                        MOD(INT((K$7-(Assumptions!$I40-WEEKDAY(Assumptions!$I40,2)+1))/7),3)=0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ISNUMBER(MATCH(MONTH(K$7),IF(Assumptions!$H40="Jan / Apr / Jul / Oct",{1,4,7,10},IF(Assumptions!$H40="Feb / May / Aug / Nov",{2,5,8,11},{3,6,9,12})),0)),
                          DATE(YEAR(K$7),MONTH(K$7),Assumptions!$G40)&gt;=K$7,
                          DATE(YEAR(K$7),MONTH(K$7),Assumptions!$G40)&lt;=K$8
                        ),
                        AND(
                          ISNUMBER(MATCH(MONTH(K$8),IF(Assumptions!$H40="Jan / Apr / Jul / Oct",{1,4,7,10},IF(Assumptions!$H40="Feb / May / Aug / Nov",{2,5,8,11},{3,6,9,12})),0)),
                          DATE(YEAR(K$8),MONTH(K$8),Assumptions!$G40)&gt;=K$7,
                          DATE(YEAR(K$8),MONTH(K$8),Assumptions!$G40)&lt;=K$8
                        )
                      ),
                    "Yes","No"),
                  "No")
                )
              )
            )
          )
        )
      )
    )
  )
)</f>
        <v>No</v>
      </c>
      <c r="L28" s="59" t="str">
        <f>IF(
  Assumptions!$K40="Off",
  "No",
  IF(
    Assumptions!$F40="I will phase manually",
    "No",
    IF(
      Assumptions!$F40="Last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Assumptions!$F40="End of month",
        IF(
          OR(
            AND(EOMONTH(L$7,0)&gt;=L$7, EOMONTH(L$7,0)&lt;=L$8),
            AND(EOMONTH(L$8,0)&gt;=L$7, EOMONTH(L$8,0)&lt;=L$8)
          ),
        "Yes","No"),
        IF(
          Assumptions!$F40="Specific day of month",
          IF(
            OR(
              AND(DATE(YEAR(L$7),MONTH(L$7),Assumptions!$G40)&gt;=L$7, DATE(YEAR(L$7),MONTH(L$7),Assumptions!$G40)&lt;=L$8),
              AND(DATE(YEAR(L$8),MONTH(L$8),Assumptions!$G40)&gt;=L$7, DATE(YEAR(L$8),MONTH(L$8),Assumptions!$G40)&lt;=L$8)
            ),
          "Yes","No"),
          IF(
            Assumptions!$F40="Last X day of month",
            IF(
              AND(
                WEEKDAY(L$7,2)&lt;=MATCH(Assumptions!$J40,{"Monday","Tuesday","Wednesday","Thursday","Friday"},0),
                WEEKDAY(L$8,2)&gt;=MATCH(Assumptions!$J40,{"Monday","Tuesday","Wednesday","Thursday","Friday"},0),
                (L$7+(MATCH(Assumptions!$J40,{"Monday","Tuesday","Wednesday","Thursday","Friday"},0)-WEEKDAY(L$7,2)))+7&gt;EOMONTH((L$7+(MATCH(Assumptions!$J40,{"Monday","Tuesday","Wednesday","Thursday","Friday"},0)-WEEKDAY(L$7,2))),0)
              ),
            "Yes","No"),
            IF(
              Assumptions!$F40="Weekly",
              IF(
                AND(
                  WEEKDAY(L$7,2)&lt;=MATCH(Assumptions!$J40,{"Monday","Tuesday","Wednesday","Thursday","Friday"},0),
                  WEEKDAY(L$8,2)&gt;=MATCH(Assumptions!$J40,{"Monday","Tuesday","Wednesday","Thursday","Friday"},0)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AND(Assumptions!$I40&gt;=L$7, Assumptions!$I40&lt;=L$8),
                    AND(
                      Assumptions!$I40&lt;L$7,
                      MOD(INT((L$7-(Assumptions!$I40-WEEKDAY(Assumptions!$I40,2)+1))/7),2)=0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AND(Assumptions!$I40&gt;=L$7, Assumptions!$I40&lt;=L$8),
                      AND(
                        Assumptions!$I40&lt;L$7,
                        MOD(INT((L$7-(Assumptions!$I40-WEEKDAY(Assumptions!$I40,2)+1))/7),3)=0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ISNUMBER(MATCH(MONTH(L$7),IF(Assumptions!$H40="Jan / Apr / Jul / Oct",{1,4,7,10},IF(Assumptions!$H40="Feb / May / Aug / Nov",{2,5,8,11},{3,6,9,12})),0)),
                          DATE(YEAR(L$7),MONTH(L$7),Assumptions!$G40)&gt;=L$7,
                          DATE(YEAR(L$7),MONTH(L$7),Assumptions!$G40)&lt;=L$8
                        ),
                        AND(
                          ISNUMBER(MATCH(MONTH(L$8),IF(Assumptions!$H40="Jan / Apr / Jul / Oct",{1,4,7,10},IF(Assumptions!$H40="Feb / May / Aug / Nov",{2,5,8,11},{3,6,9,12})),0)),
                          DATE(YEAR(L$8),MONTH(L$8),Assumptions!$G40)&gt;=L$7,
                          DATE(YEAR(L$8),MONTH(L$8),Assumptions!$G40)&lt;=L$8
                        )
                      ),
                    "Yes","No"),
                  "No")
                )
              )
            )
          )
        )
      )
    )
  )
)</f>
        <v>No</v>
      </c>
      <c r="M28" s="59" t="str">
        <f>IF(
  Assumptions!$K40="Off",
  "No",
  IF(
    Assumptions!$F40="I will phase manually",
    "No",
    IF(
      Assumptions!$F40="Last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Assumptions!$F40="End of month",
        IF(
          OR(
            AND(EOMONTH(M$7,0)&gt;=M$7, EOMONTH(M$7,0)&lt;=M$8),
            AND(EOMONTH(M$8,0)&gt;=M$7, EOMONTH(M$8,0)&lt;=M$8)
          ),
        "Yes","No"),
        IF(
          Assumptions!$F40="Specific day of month",
          IF(
            OR(
              AND(DATE(YEAR(M$7),MONTH(M$7),Assumptions!$G40)&gt;=M$7, DATE(YEAR(M$7),MONTH(M$7),Assumptions!$G40)&lt;=M$8),
              AND(DATE(YEAR(M$8),MONTH(M$8),Assumptions!$G40)&gt;=M$7, DATE(YEAR(M$8),MONTH(M$8),Assumptions!$G40)&lt;=M$8)
            ),
          "Yes","No"),
          IF(
            Assumptions!$F40="Last X day of month",
            IF(
              AND(
                WEEKDAY(M$7,2)&lt;=MATCH(Assumptions!$J40,{"Monday","Tuesday","Wednesday","Thursday","Friday"},0),
                WEEKDAY(M$8,2)&gt;=MATCH(Assumptions!$J40,{"Monday","Tuesday","Wednesday","Thursday","Friday"},0),
                (M$7+(MATCH(Assumptions!$J40,{"Monday","Tuesday","Wednesday","Thursday","Friday"},0)-WEEKDAY(M$7,2)))+7&gt;EOMONTH((M$7+(MATCH(Assumptions!$J40,{"Monday","Tuesday","Wednesday","Thursday","Friday"},0)-WEEKDAY(M$7,2))),0)
              ),
            "Yes","No"),
            IF(
              Assumptions!$F40="Weekly",
              IF(
                AND(
                  WEEKDAY(M$7,2)&lt;=MATCH(Assumptions!$J40,{"Monday","Tuesday","Wednesday","Thursday","Friday"},0),
                  WEEKDAY(M$8,2)&gt;=MATCH(Assumptions!$J40,{"Monday","Tuesday","Wednesday","Thursday","Friday"},0)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AND(Assumptions!$I40&gt;=M$7, Assumptions!$I40&lt;=M$8),
                    AND(
                      Assumptions!$I40&lt;M$7,
                      MOD(INT((M$7-(Assumptions!$I40-WEEKDAY(Assumptions!$I40,2)+1))/7),2)=0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AND(Assumptions!$I40&gt;=M$7, Assumptions!$I40&lt;=M$8),
                      AND(
                        Assumptions!$I40&lt;M$7,
                        MOD(INT((M$7-(Assumptions!$I40-WEEKDAY(Assumptions!$I40,2)+1))/7),3)=0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ISNUMBER(MATCH(MONTH(M$7),IF(Assumptions!$H40="Jan / Apr / Jul / Oct",{1,4,7,10},IF(Assumptions!$H40="Feb / May / Aug / Nov",{2,5,8,11},{3,6,9,12})),0)),
                          DATE(YEAR(M$7),MONTH(M$7),Assumptions!$G40)&gt;=M$7,
                          DATE(YEAR(M$7),MONTH(M$7),Assumptions!$G40)&lt;=M$8
                        ),
                        AND(
                          ISNUMBER(MATCH(MONTH(M$8),IF(Assumptions!$H40="Jan / Apr / Jul / Oct",{1,4,7,10},IF(Assumptions!$H40="Feb / May / Aug / Nov",{2,5,8,11},{3,6,9,12})),0)),
                          DATE(YEAR(M$8),MONTH(M$8),Assumptions!$G40)&gt;=M$7,
                          DATE(YEAR(M$8),MONTH(M$8),Assumptions!$G40)&lt;=M$8
                        )
                      ),
                    "Yes","No"),
                  "No")
                )
              )
            )
          )
        )
      )
    )
  )
)</f>
        <v>No</v>
      </c>
      <c r="N28" s="59" t="str">
        <f>IF(
  Assumptions!$K40="Off",
  "No",
  IF(
    Assumptions!$F40="I will phase manually",
    "No",
    IF(
      Assumptions!$F40="Last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Assumptions!$F40="End of month",
        IF(
          OR(
            AND(EOMONTH(N$7,0)&gt;=N$7, EOMONTH(N$7,0)&lt;=N$8),
            AND(EOMONTH(N$8,0)&gt;=N$7, EOMONTH(N$8,0)&lt;=N$8)
          ),
        "Yes","No"),
        IF(
          Assumptions!$F40="Specific day of month",
          IF(
            OR(
              AND(DATE(YEAR(N$7),MONTH(N$7),Assumptions!$G40)&gt;=N$7, DATE(YEAR(N$7),MONTH(N$7),Assumptions!$G40)&lt;=N$8),
              AND(DATE(YEAR(N$8),MONTH(N$8),Assumptions!$G40)&gt;=N$7, DATE(YEAR(N$8),MONTH(N$8),Assumptions!$G40)&lt;=N$8)
            ),
          "Yes","No"),
          IF(
            Assumptions!$F40="Last X day of month",
            IF(
              AND(
                WEEKDAY(N$7,2)&lt;=MATCH(Assumptions!$J40,{"Monday","Tuesday","Wednesday","Thursday","Friday"},0),
                WEEKDAY(N$8,2)&gt;=MATCH(Assumptions!$J40,{"Monday","Tuesday","Wednesday","Thursday","Friday"},0),
                (N$7+(MATCH(Assumptions!$J40,{"Monday","Tuesday","Wednesday","Thursday","Friday"},0)-WEEKDAY(N$7,2)))+7&gt;EOMONTH((N$7+(MATCH(Assumptions!$J40,{"Monday","Tuesday","Wednesday","Thursday","Friday"},0)-WEEKDAY(N$7,2))),0)
              ),
            "Yes","No"),
            IF(
              Assumptions!$F40="Weekly",
              IF(
                AND(
                  WEEKDAY(N$7,2)&lt;=MATCH(Assumptions!$J40,{"Monday","Tuesday","Wednesday","Thursday","Friday"},0),
                  WEEKDAY(N$8,2)&gt;=MATCH(Assumptions!$J40,{"Monday","Tuesday","Wednesday","Thursday","Friday"},0)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AND(Assumptions!$I40&gt;=N$7, Assumptions!$I40&lt;=N$8),
                    AND(
                      Assumptions!$I40&lt;N$7,
                      MOD(INT((N$7-(Assumptions!$I40-WEEKDAY(Assumptions!$I40,2)+1))/7),2)=0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AND(Assumptions!$I40&gt;=N$7, Assumptions!$I40&lt;=N$8),
                      AND(
                        Assumptions!$I40&lt;N$7,
                        MOD(INT((N$7-(Assumptions!$I40-WEEKDAY(Assumptions!$I40,2)+1))/7),3)=0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ISNUMBER(MATCH(MONTH(N$7),IF(Assumptions!$H40="Jan / Apr / Jul / Oct",{1,4,7,10},IF(Assumptions!$H40="Feb / May / Aug / Nov",{2,5,8,11},{3,6,9,12})),0)),
                          DATE(YEAR(N$7),MONTH(N$7),Assumptions!$G40)&gt;=N$7,
                          DATE(YEAR(N$7),MONTH(N$7),Assumptions!$G40)&lt;=N$8
                        ),
                        AND(
                          ISNUMBER(MATCH(MONTH(N$8),IF(Assumptions!$H40="Jan / Apr / Jul / Oct",{1,4,7,10},IF(Assumptions!$H40="Feb / May / Aug / Nov",{2,5,8,11},{3,6,9,12})),0)),
                          DATE(YEAR(N$8),MONTH(N$8),Assumptions!$G40)&gt;=N$7,
                          DATE(YEAR(N$8),MONTH(N$8),Assumptions!$G40)&lt;=N$8
                        )
                      ),
                    "Yes","No"),
                  "No")
                )
              )
            )
          )
        )
      )
    )
  )
)</f>
        <v>No</v>
      </c>
      <c r="O28" s="59" t="str">
        <f>IF(
  Assumptions!$K40="Off",
  "No",
  IF(
    Assumptions!$F40="I will phase manually",
    "No",
    IF(
      Assumptions!$F40="Last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Assumptions!$F40="End of month",
        IF(
          OR(
            AND(EOMONTH(O$7,0)&gt;=O$7, EOMONTH(O$7,0)&lt;=O$8),
            AND(EOMONTH(O$8,0)&gt;=O$7, EOMONTH(O$8,0)&lt;=O$8)
          ),
        "Yes","No"),
        IF(
          Assumptions!$F40="Specific day of month",
          IF(
            OR(
              AND(DATE(YEAR(O$7),MONTH(O$7),Assumptions!$G40)&gt;=O$7, DATE(YEAR(O$7),MONTH(O$7),Assumptions!$G40)&lt;=O$8),
              AND(DATE(YEAR(O$8),MONTH(O$8),Assumptions!$G40)&gt;=O$7, DATE(YEAR(O$8),MONTH(O$8),Assumptions!$G40)&lt;=O$8)
            ),
          "Yes","No"),
          IF(
            Assumptions!$F40="Last X day of month",
            IF(
              AND(
                WEEKDAY(O$7,2)&lt;=MATCH(Assumptions!$J40,{"Monday","Tuesday","Wednesday","Thursday","Friday"},0),
                WEEKDAY(O$8,2)&gt;=MATCH(Assumptions!$J40,{"Monday","Tuesday","Wednesday","Thursday","Friday"},0),
                (O$7+(MATCH(Assumptions!$J40,{"Monday","Tuesday","Wednesday","Thursday","Friday"},0)-WEEKDAY(O$7,2)))+7&gt;EOMONTH((O$7+(MATCH(Assumptions!$J40,{"Monday","Tuesday","Wednesday","Thursday","Friday"},0)-WEEKDAY(O$7,2))),0)
              ),
            "Yes","No"),
            IF(
              Assumptions!$F40="Weekly",
              IF(
                AND(
                  WEEKDAY(O$7,2)&lt;=MATCH(Assumptions!$J40,{"Monday","Tuesday","Wednesday","Thursday","Friday"},0),
                  WEEKDAY(O$8,2)&gt;=MATCH(Assumptions!$J40,{"Monday","Tuesday","Wednesday","Thursday","Friday"},0)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AND(Assumptions!$I40&gt;=O$7, Assumptions!$I40&lt;=O$8),
                    AND(
                      Assumptions!$I40&lt;O$7,
                      MOD(INT((O$7-(Assumptions!$I40-WEEKDAY(Assumptions!$I40,2)+1))/7),2)=0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AND(Assumptions!$I40&gt;=O$7, Assumptions!$I40&lt;=O$8),
                      AND(
                        Assumptions!$I40&lt;O$7,
                        MOD(INT((O$7-(Assumptions!$I40-WEEKDAY(Assumptions!$I40,2)+1))/7),3)=0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ISNUMBER(MATCH(MONTH(O$7),IF(Assumptions!$H40="Jan / Apr / Jul / Oct",{1,4,7,10},IF(Assumptions!$H40="Feb / May / Aug / Nov",{2,5,8,11},{3,6,9,12})),0)),
                          DATE(YEAR(O$7),MONTH(O$7),Assumptions!$G40)&gt;=O$7,
                          DATE(YEAR(O$7),MONTH(O$7),Assumptions!$G40)&lt;=O$8
                        ),
                        AND(
                          ISNUMBER(MATCH(MONTH(O$8),IF(Assumptions!$H40="Jan / Apr / Jul / Oct",{1,4,7,10},IF(Assumptions!$H40="Feb / May / Aug / Nov",{2,5,8,11},{3,6,9,12})),0)),
                          DATE(YEAR(O$8),MONTH(O$8),Assumptions!$G40)&gt;=O$7,
                          DATE(YEAR(O$8),MONTH(O$8),Assumptions!$G40)&lt;=O$8
                        )
                      ),
                    "Yes","No"),
                  "No")
                )
              )
            )
          )
        )
      )
    )
  )
)</f>
        <v>No</v>
      </c>
      <c r="P28" s="59" t="str">
        <f>IF(
  Assumptions!$K40="Off",
  "No",
  IF(
    Assumptions!$F40="I will phase manually",
    "No",
    IF(
      Assumptions!$F40="Last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Assumptions!$F40="End of month",
        IF(
          OR(
            AND(EOMONTH(P$7,0)&gt;=P$7, EOMONTH(P$7,0)&lt;=P$8),
            AND(EOMONTH(P$8,0)&gt;=P$7, EOMONTH(P$8,0)&lt;=P$8)
          ),
        "Yes","No"),
        IF(
          Assumptions!$F40="Specific day of month",
          IF(
            OR(
              AND(DATE(YEAR(P$7),MONTH(P$7),Assumptions!$G40)&gt;=P$7, DATE(YEAR(P$7),MONTH(P$7),Assumptions!$G40)&lt;=P$8),
              AND(DATE(YEAR(P$8),MONTH(P$8),Assumptions!$G40)&gt;=P$7, DATE(YEAR(P$8),MONTH(P$8),Assumptions!$G40)&lt;=P$8)
            ),
          "Yes","No"),
          IF(
            Assumptions!$F40="Last X day of month",
            IF(
              AND(
                WEEKDAY(P$7,2)&lt;=MATCH(Assumptions!$J40,{"Monday","Tuesday","Wednesday","Thursday","Friday"},0),
                WEEKDAY(P$8,2)&gt;=MATCH(Assumptions!$J40,{"Monday","Tuesday","Wednesday","Thursday","Friday"},0),
                (P$7+(MATCH(Assumptions!$J40,{"Monday","Tuesday","Wednesday","Thursday","Friday"},0)-WEEKDAY(P$7,2)))+7&gt;EOMONTH((P$7+(MATCH(Assumptions!$J40,{"Monday","Tuesday","Wednesday","Thursday","Friday"},0)-WEEKDAY(P$7,2))),0)
              ),
            "Yes","No"),
            IF(
              Assumptions!$F40="Weekly",
              IF(
                AND(
                  WEEKDAY(P$7,2)&lt;=MATCH(Assumptions!$J40,{"Monday","Tuesday","Wednesday","Thursday","Friday"},0),
                  WEEKDAY(P$8,2)&gt;=MATCH(Assumptions!$J40,{"Monday","Tuesday","Wednesday","Thursday","Friday"},0)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AND(Assumptions!$I40&gt;=P$7, Assumptions!$I40&lt;=P$8),
                    AND(
                      Assumptions!$I40&lt;P$7,
                      MOD(INT((P$7-(Assumptions!$I40-WEEKDAY(Assumptions!$I40,2)+1))/7),2)=0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AND(Assumptions!$I40&gt;=P$7, Assumptions!$I40&lt;=P$8),
                      AND(
                        Assumptions!$I40&lt;P$7,
                        MOD(INT((P$7-(Assumptions!$I40-WEEKDAY(Assumptions!$I40,2)+1))/7),3)=0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ISNUMBER(MATCH(MONTH(P$7),IF(Assumptions!$H40="Jan / Apr / Jul / Oct",{1,4,7,10},IF(Assumptions!$H40="Feb / May / Aug / Nov",{2,5,8,11},{3,6,9,12})),0)),
                          DATE(YEAR(P$7),MONTH(P$7),Assumptions!$G40)&gt;=P$7,
                          DATE(YEAR(P$7),MONTH(P$7),Assumptions!$G40)&lt;=P$8
                        ),
                        AND(
                          ISNUMBER(MATCH(MONTH(P$8),IF(Assumptions!$H40="Jan / Apr / Jul / Oct",{1,4,7,10},IF(Assumptions!$H40="Feb / May / Aug / Nov",{2,5,8,11},{3,6,9,12})),0)),
                          DATE(YEAR(P$8),MONTH(P$8),Assumptions!$G40)&gt;=P$7,
                          DATE(YEAR(P$8),MONTH(P$8),Assumptions!$G40)&lt;=P$8
                        )
                      ),
                    "Yes","No"),
                  "No")
                )
              )
            )
          )
        )
      )
    )
  )
)</f>
        <v>No</v>
      </c>
      <c r="Q28" s="59" t="str">
        <f>IF(
  Assumptions!$K40="Off",
  "No",
  IF(
    Assumptions!$F40="I will phase manually",
    "No",
    IF(
      Assumptions!$F40="Last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Assumptions!$F40="End of month",
        IF(
          OR(
            AND(EOMONTH(Q$7,0)&gt;=Q$7, EOMONTH(Q$7,0)&lt;=Q$8),
            AND(EOMONTH(Q$8,0)&gt;=Q$7, EOMONTH(Q$8,0)&lt;=Q$8)
          ),
        "Yes","No"),
        IF(
          Assumptions!$F40="Specific day of month",
          IF(
            OR(
              AND(DATE(YEAR(Q$7),MONTH(Q$7),Assumptions!$G40)&gt;=Q$7, DATE(YEAR(Q$7),MONTH(Q$7),Assumptions!$G40)&lt;=Q$8),
              AND(DATE(YEAR(Q$8),MONTH(Q$8),Assumptions!$G40)&gt;=Q$7, DATE(YEAR(Q$8),MONTH(Q$8),Assumptions!$G40)&lt;=Q$8)
            ),
          "Yes","No"),
          IF(
            Assumptions!$F40="Last X day of month",
            IF(
              AND(
                WEEKDAY(Q$7,2)&lt;=MATCH(Assumptions!$J40,{"Monday","Tuesday","Wednesday","Thursday","Friday"},0),
                WEEKDAY(Q$8,2)&gt;=MATCH(Assumptions!$J40,{"Monday","Tuesday","Wednesday","Thursday","Friday"},0),
                (Q$7+(MATCH(Assumptions!$J40,{"Monday","Tuesday","Wednesday","Thursday","Friday"},0)-WEEKDAY(Q$7,2)))+7&gt;EOMONTH((Q$7+(MATCH(Assumptions!$J40,{"Monday","Tuesday","Wednesday","Thursday","Friday"},0)-WEEKDAY(Q$7,2))),0)
              ),
            "Yes","No"),
            IF(
              Assumptions!$F40="Weekly",
              IF(
                AND(
                  WEEKDAY(Q$7,2)&lt;=MATCH(Assumptions!$J40,{"Monday","Tuesday","Wednesday","Thursday","Friday"},0),
                  WEEKDAY(Q$8,2)&gt;=MATCH(Assumptions!$J40,{"Monday","Tuesday","Wednesday","Thursday","Friday"},0)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AND(Assumptions!$I40&gt;=Q$7, Assumptions!$I40&lt;=Q$8),
                    AND(
                      Assumptions!$I40&lt;Q$7,
                      MOD(INT((Q$7-(Assumptions!$I40-WEEKDAY(Assumptions!$I40,2)+1))/7),2)=0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AND(Assumptions!$I40&gt;=Q$7, Assumptions!$I40&lt;=Q$8),
                      AND(
                        Assumptions!$I40&lt;Q$7,
                        MOD(INT((Q$7-(Assumptions!$I40-WEEKDAY(Assumptions!$I40,2)+1))/7),3)=0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ISNUMBER(MATCH(MONTH(Q$7),IF(Assumptions!$H40="Jan / Apr / Jul / Oct",{1,4,7,10},IF(Assumptions!$H40="Feb / May / Aug / Nov",{2,5,8,11},{3,6,9,12})),0)),
                          DATE(YEAR(Q$7),MONTH(Q$7),Assumptions!$G40)&gt;=Q$7,
                          DATE(YEAR(Q$7),MONTH(Q$7),Assumptions!$G40)&lt;=Q$8
                        ),
                        AND(
                          ISNUMBER(MATCH(MONTH(Q$8),IF(Assumptions!$H40="Jan / Apr / Jul / Oct",{1,4,7,10},IF(Assumptions!$H40="Feb / May / Aug / Nov",{2,5,8,11},{3,6,9,12})),0)),
                          DATE(YEAR(Q$8),MONTH(Q$8),Assumptions!$G40)&gt;=Q$7,
                          DATE(YEAR(Q$8),MONTH(Q$8),Assumptions!$G40)&lt;=Q$8
                        )
                      ),
                    "Yes","No"),
                  "No")
                )
              )
            )
          )
        )
      )
    )
  )
)</f>
        <v>No</v>
      </c>
      <c r="R28" s="59" t="str">
        <f>IF(
  Assumptions!$K40="Off",
  "No",
  IF(
    Assumptions!$F40="I will phase manually",
    "No",
    IF(
      Assumptions!$F40="Last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Assumptions!$F40="End of month",
        IF(
          OR(
            AND(EOMONTH(R$7,0)&gt;=R$7, EOMONTH(R$7,0)&lt;=R$8),
            AND(EOMONTH(R$8,0)&gt;=R$7, EOMONTH(R$8,0)&lt;=R$8)
          ),
        "Yes","No"),
        IF(
          Assumptions!$F40="Specific day of month",
          IF(
            OR(
              AND(DATE(YEAR(R$7),MONTH(R$7),Assumptions!$G40)&gt;=R$7, DATE(YEAR(R$7),MONTH(R$7),Assumptions!$G40)&lt;=R$8),
              AND(DATE(YEAR(R$8),MONTH(R$8),Assumptions!$G40)&gt;=R$7, DATE(YEAR(R$8),MONTH(R$8),Assumptions!$G40)&lt;=R$8)
            ),
          "Yes","No"),
          IF(
            Assumptions!$F40="Last X day of month",
            IF(
              AND(
                WEEKDAY(R$7,2)&lt;=MATCH(Assumptions!$J40,{"Monday","Tuesday","Wednesday","Thursday","Friday"},0),
                WEEKDAY(R$8,2)&gt;=MATCH(Assumptions!$J40,{"Monday","Tuesday","Wednesday","Thursday","Friday"},0),
                (R$7+(MATCH(Assumptions!$J40,{"Monday","Tuesday","Wednesday","Thursday","Friday"},0)-WEEKDAY(R$7,2)))+7&gt;EOMONTH((R$7+(MATCH(Assumptions!$J40,{"Monday","Tuesday","Wednesday","Thursday","Friday"},0)-WEEKDAY(R$7,2))),0)
              ),
            "Yes","No"),
            IF(
              Assumptions!$F40="Weekly",
              IF(
                AND(
                  WEEKDAY(R$7,2)&lt;=MATCH(Assumptions!$J40,{"Monday","Tuesday","Wednesday","Thursday","Friday"},0),
                  WEEKDAY(R$8,2)&gt;=MATCH(Assumptions!$J40,{"Monday","Tuesday","Wednesday","Thursday","Friday"},0)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AND(Assumptions!$I40&gt;=R$7, Assumptions!$I40&lt;=R$8),
                    AND(
                      Assumptions!$I40&lt;R$7,
                      MOD(INT((R$7-(Assumptions!$I40-WEEKDAY(Assumptions!$I40,2)+1))/7),2)=0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AND(Assumptions!$I40&gt;=R$7, Assumptions!$I40&lt;=R$8),
                      AND(
                        Assumptions!$I40&lt;R$7,
                        MOD(INT((R$7-(Assumptions!$I40-WEEKDAY(Assumptions!$I40,2)+1))/7),3)=0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ISNUMBER(MATCH(MONTH(R$7),IF(Assumptions!$H40="Jan / Apr / Jul / Oct",{1,4,7,10},IF(Assumptions!$H40="Feb / May / Aug / Nov",{2,5,8,11},{3,6,9,12})),0)),
                          DATE(YEAR(R$7),MONTH(R$7),Assumptions!$G40)&gt;=R$7,
                          DATE(YEAR(R$7),MONTH(R$7),Assumptions!$G40)&lt;=R$8
                        ),
                        AND(
                          ISNUMBER(MATCH(MONTH(R$8),IF(Assumptions!$H40="Jan / Apr / Jul / Oct",{1,4,7,10},IF(Assumptions!$H40="Feb / May / Aug / Nov",{2,5,8,11},{3,6,9,12})),0)),
                          DATE(YEAR(R$8),MONTH(R$8),Assumptions!$G40)&gt;=R$7,
                          DATE(YEAR(R$8),MONTH(R$8),Assumptions!$G40)&lt;=R$8
                        )
                      ),
                    "Yes","No"),
                  "No")
                )
              )
            )
          )
        )
      )
    )
  )
)</f>
        <v>No</v>
      </c>
      <c r="S28" s="59" t="str">
        <f>IF(
  Assumptions!$K40="Off",
  "No",
  IF(
    Assumptions!$F40="I will phase manually",
    "No",
    IF(
      Assumptions!$F40="Last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Assumptions!$F40="End of month",
        IF(
          OR(
            AND(EOMONTH(S$7,0)&gt;=S$7, EOMONTH(S$7,0)&lt;=S$8),
            AND(EOMONTH(S$8,0)&gt;=S$7, EOMONTH(S$8,0)&lt;=S$8)
          ),
        "Yes","No"),
        IF(
          Assumptions!$F40="Specific day of month",
          IF(
            OR(
              AND(DATE(YEAR(S$7),MONTH(S$7),Assumptions!$G40)&gt;=S$7, DATE(YEAR(S$7),MONTH(S$7),Assumptions!$G40)&lt;=S$8),
              AND(DATE(YEAR(S$8),MONTH(S$8),Assumptions!$G40)&gt;=S$7, DATE(YEAR(S$8),MONTH(S$8),Assumptions!$G40)&lt;=S$8)
            ),
          "Yes","No"),
          IF(
            Assumptions!$F40="Last X day of month",
            IF(
              AND(
                WEEKDAY(S$7,2)&lt;=MATCH(Assumptions!$J40,{"Monday","Tuesday","Wednesday","Thursday","Friday"},0),
                WEEKDAY(S$8,2)&gt;=MATCH(Assumptions!$J40,{"Monday","Tuesday","Wednesday","Thursday","Friday"},0),
                (S$7+(MATCH(Assumptions!$J40,{"Monday","Tuesday","Wednesday","Thursday","Friday"},0)-WEEKDAY(S$7,2)))+7&gt;EOMONTH((S$7+(MATCH(Assumptions!$J40,{"Monday","Tuesday","Wednesday","Thursday","Friday"},0)-WEEKDAY(S$7,2))),0)
              ),
            "Yes","No"),
            IF(
              Assumptions!$F40="Weekly",
              IF(
                AND(
                  WEEKDAY(S$7,2)&lt;=MATCH(Assumptions!$J40,{"Monday","Tuesday","Wednesday","Thursday","Friday"},0),
                  WEEKDAY(S$8,2)&gt;=MATCH(Assumptions!$J40,{"Monday","Tuesday","Wednesday","Thursday","Friday"},0)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AND(Assumptions!$I40&gt;=S$7, Assumptions!$I40&lt;=S$8),
                    AND(
                      Assumptions!$I40&lt;S$7,
                      MOD(INT((S$7-(Assumptions!$I40-WEEKDAY(Assumptions!$I40,2)+1))/7),2)=0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AND(Assumptions!$I40&gt;=S$7, Assumptions!$I40&lt;=S$8),
                      AND(
                        Assumptions!$I40&lt;S$7,
                        MOD(INT((S$7-(Assumptions!$I40-WEEKDAY(Assumptions!$I40,2)+1))/7),3)=0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ISNUMBER(MATCH(MONTH(S$7),IF(Assumptions!$H40="Jan / Apr / Jul / Oct",{1,4,7,10},IF(Assumptions!$H40="Feb / May / Aug / Nov",{2,5,8,11},{3,6,9,12})),0)),
                          DATE(YEAR(S$7),MONTH(S$7),Assumptions!$G40)&gt;=S$7,
                          DATE(YEAR(S$7),MONTH(S$7),Assumptions!$G40)&lt;=S$8
                        ),
                        AND(
                          ISNUMBER(MATCH(MONTH(S$8),IF(Assumptions!$H40="Jan / Apr / Jul / Oct",{1,4,7,10},IF(Assumptions!$H40="Feb / May / Aug / Nov",{2,5,8,11},{3,6,9,12})),0)),
                          DATE(YEAR(S$8),MONTH(S$8),Assumptions!$G40)&gt;=S$7,
                          DATE(YEAR(S$8),MONTH(S$8),Assumptions!$G40)&lt;=S$8
                        )
                      ),
                    "Yes","No"),
                  "No")
                )
              )
            )
          )
        )
      )
    )
  )
)</f>
        <v>No</v>
      </c>
      <c r="T28" s="59" t="s">
        <v>124</v>
      </c>
    </row>
    <row r="29" spans="3:20" hidden="1" outlineLevel="1" x14ac:dyDescent="0.25">
      <c r="C29" s="58">
        <f>Assumptions!D41</f>
        <v>0</v>
      </c>
      <c r="D29" s="58"/>
      <c r="E29" s="58"/>
      <c r="F29" s="58"/>
      <c r="G29" s="59" t="str">
        <f>IF(
  Assumptions!$K41="Off",
  "No",
  IF(
    Assumptions!$F41="I will phase manually",
    "No",
    IF(
      Assumptions!$F41="Last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Assumptions!$F41="End of month",
        IF(
          OR(
            AND(EOMONTH(G$7,0)&gt;=G$7, EOMONTH(G$7,0)&lt;=G$8),
            AND(EOMONTH(G$8,0)&gt;=G$7, EOMONTH(G$8,0)&lt;=G$8)
          ),
        "Yes","No"),
        IF(
          Assumptions!$F41="Specific day of month",
          IF(
            OR(
              AND(DATE(YEAR(G$7),MONTH(G$7),Assumptions!$G41)&gt;=G$7, DATE(YEAR(G$7),MONTH(G$7),Assumptions!$G41)&lt;=G$8),
              AND(DATE(YEAR(G$8),MONTH(G$8),Assumptions!$G41)&gt;=G$7, DATE(YEAR(G$8),MONTH(G$8),Assumptions!$G41)&lt;=G$8)
            ),
          "Yes","No"),
          IF(
            Assumptions!$F41="Last X day of month",
            IF(
              AND(
                WEEKDAY(G$7,2)&lt;=MATCH(Assumptions!$J41,{"Monday","Tuesday","Wednesday","Thursday","Friday"},0),
                WEEKDAY(G$8,2)&gt;=MATCH(Assumptions!$J41,{"Monday","Tuesday","Wednesday","Thursday","Friday"},0),
                (G$7+(MATCH(Assumptions!$J41,{"Monday","Tuesday","Wednesday","Thursday","Friday"},0)-WEEKDAY(G$7,2)))+7&gt;EOMONTH((G$7+(MATCH(Assumptions!$J41,{"Monday","Tuesday","Wednesday","Thursday","Friday"},0)-WEEKDAY(G$7,2))),0)
              ),
            "Yes","No"),
            IF(
              Assumptions!$F41="Weekly",
              IF(
                AND(
                  WEEKDAY(G$7,2)&lt;=MATCH(Assumptions!$J41,{"Monday","Tuesday","Wednesday","Thursday","Friday"},0),
                  WEEKDAY(G$8,2)&gt;=MATCH(Assumptions!$J41,{"Monday","Tuesday","Wednesday","Thursday","Friday"},0)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AND(Assumptions!$I41&gt;=G$7, Assumptions!$I41&lt;=G$8),
                    AND(
                      Assumptions!$I41&lt;G$7,
                      MOD(INT((G$7-(Assumptions!$I41-WEEKDAY(Assumptions!$I41,2)+1))/7),2)=0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AND(Assumptions!$I41&gt;=G$7, Assumptions!$I41&lt;=G$8),
                      AND(
                        Assumptions!$I41&lt;G$7,
                        MOD(INT((G$7-(Assumptions!$I41-WEEKDAY(Assumptions!$I41,2)+1))/7),3)=0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ISNUMBER(MATCH(MONTH(G$7),IF(Assumptions!$H41="Jan / Apr / Jul / Oct",{1,4,7,10},IF(Assumptions!$H41="Feb / May / Aug / Nov",{2,5,8,11},{3,6,9,12})),0)),
                          DATE(YEAR(G$7),MONTH(G$7),Assumptions!$G41)&gt;=G$7,
                          DATE(YEAR(G$7),MONTH(G$7),Assumptions!$G41)&lt;=G$8
                        ),
                        AND(
                          ISNUMBER(MATCH(MONTH(G$8),IF(Assumptions!$H41="Jan / Apr / Jul / Oct",{1,4,7,10},IF(Assumptions!$H41="Feb / May / Aug / Nov",{2,5,8,11},{3,6,9,12})),0)),
                          DATE(YEAR(G$8),MONTH(G$8),Assumptions!$G41)&gt;=G$7,
                          DATE(YEAR(G$8),MONTH(G$8),Assumptions!$G41)&lt;=G$8
                        )
                      ),
                    "Yes","No"),
                  "No")
                )
              )
            )
          )
        )
      )
    )
  )
)</f>
        <v>No</v>
      </c>
      <c r="H29" s="59" t="str">
        <f>IF(
  Assumptions!$K41="Off",
  "No",
  IF(
    Assumptions!$F41="I will phase manually",
    "No",
    IF(
      Assumptions!$F41="Last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Assumptions!$F41="End of month",
        IF(
          OR(
            AND(EOMONTH(H$7,0)&gt;=H$7, EOMONTH(H$7,0)&lt;=H$8),
            AND(EOMONTH(H$8,0)&gt;=H$7, EOMONTH(H$8,0)&lt;=H$8)
          ),
        "Yes","No"),
        IF(
          Assumptions!$F41="Specific day of month",
          IF(
            OR(
              AND(DATE(YEAR(H$7),MONTH(H$7),Assumptions!$G41)&gt;=H$7, DATE(YEAR(H$7),MONTH(H$7),Assumptions!$G41)&lt;=H$8),
              AND(DATE(YEAR(H$8),MONTH(H$8),Assumptions!$G41)&gt;=H$7, DATE(YEAR(H$8),MONTH(H$8),Assumptions!$G41)&lt;=H$8)
            ),
          "Yes","No"),
          IF(
            Assumptions!$F41="Last X day of month",
            IF(
              AND(
                WEEKDAY(H$7,2)&lt;=MATCH(Assumptions!$J41,{"Monday","Tuesday","Wednesday","Thursday","Friday"},0),
                WEEKDAY(H$8,2)&gt;=MATCH(Assumptions!$J41,{"Monday","Tuesday","Wednesday","Thursday","Friday"},0),
                (H$7+(MATCH(Assumptions!$J41,{"Monday","Tuesday","Wednesday","Thursday","Friday"},0)-WEEKDAY(H$7,2)))+7&gt;EOMONTH((H$7+(MATCH(Assumptions!$J41,{"Monday","Tuesday","Wednesday","Thursday","Friday"},0)-WEEKDAY(H$7,2))),0)
              ),
            "Yes","No"),
            IF(
              Assumptions!$F41="Weekly",
              IF(
                AND(
                  WEEKDAY(H$7,2)&lt;=MATCH(Assumptions!$J41,{"Monday","Tuesday","Wednesday","Thursday","Friday"},0),
                  WEEKDAY(H$8,2)&gt;=MATCH(Assumptions!$J41,{"Monday","Tuesday","Wednesday","Thursday","Friday"},0)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AND(Assumptions!$I41&gt;=H$7, Assumptions!$I41&lt;=H$8),
                    AND(
                      Assumptions!$I41&lt;H$7,
                      MOD(INT((H$7-(Assumptions!$I41-WEEKDAY(Assumptions!$I41,2)+1))/7),2)=0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AND(Assumptions!$I41&gt;=H$7, Assumptions!$I41&lt;=H$8),
                      AND(
                        Assumptions!$I41&lt;H$7,
                        MOD(INT((H$7-(Assumptions!$I41-WEEKDAY(Assumptions!$I41,2)+1))/7),3)=0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ISNUMBER(MATCH(MONTH(H$7),IF(Assumptions!$H41="Jan / Apr / Jul / Oct",{1,4,7,10},IF(Assumptions!$H41="Feb / May / Aug / Nov",{2,5,8,11},{3,6,9,12})),0)),
                          DATE(YEAR(H$7),MONTH(H$7),Assumptions!$G41)&gt;=H$7,
                          DATE(YEAR(H$7),MONTH(H$7),Assumptions!$G41)&lt;=H$8
                        ),
                        AND(
                          ISNUMBER(MATCH(MONTH(H$8),IF(Assumptions!$H41="Jan / Apr / Jul / Oct",{1,4,7,10},IF(Assumptions!$H41="Feb / May / Aug / Nov",{2,5,8,11},{3,6,9,12})),0)),
                          DATE(YEAR(H$8),MONTH(H$8),Assumptions!$G41)&gt;=H$7,
                          DATE(YEAR(H$8),MONTH(H$8),Assumptions!$G41)&lt;=H$8
                        )
                      ),
                    "Yes","No"),
                  "No")
                )
              )
            )
          )
        )
      )
    )
  )
)</f>
        <v>No</v>
      </c>
      <c r="I29" s="59" t="str">
        <f>IF(
  Assumptions!$K41="Off",
  "No",
  IF(
    Assumptions!$F41="I will phase manually",
    "No",
    IF(
      Assumptions!$F41="Last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Assumptions!$F41="End of month",
        IF(
          OR(
            AND(EOMONTH(I$7,0)&gt;=I$7, EOMONTH(I$7,0)&lt;=I$8),
            AND(EOMONTH(I$8,0)&gt;=I$7, EOMONTH(I$8,0)&lt;=I$8)
          ),
        "Yes","No"),
        IF(
          Assumptions!$F41="Specific day of month",
          IF(
            OR(
              AND(DATE(YEAR(I$7),MONTH(I$7),Assumptions!$G41)&gt;=I$7, DATE(YEAR(I$7),MONTH(I$7),Assumptions!$G41)&lt;=I$8),
              AND(DATE(YEAR(I$8),MONTH(I$8),Assumptions!$G41)&gt;=I$7, DATE(YEAR(I$8),MONTH(I$8),Assumptions!$G41)&lt;=I$8)
            ),
          "Yes","No"),
          IF(
            Assumptions!$F41="Last X day of month",
            IF(
              AND(
                WEEKDAY(I$7,2)&lt;=MATCH(Assumptions!$J41,{"Monday","Tuesday","Wednesday","Thursday","Friday"},0),
                WEEKDAY(I$8,2)&gt;=MATCH(Assumptions!$J41,{"Monday","Tuesday","Wednesday","Thursday","Friday"},0),
                (I$7+(MATCH(Assumptions!$J41,{"Monday","Tuesday","Wednesday","Thursday","Friday"},0)-WEEKDAY(I$7,2)))+7&gt;EOMONTH((I$7+(MATCH(Assumptions!$J41,{"Monday","Tuesday","Wednesday","Thursday","Friday"},0)-WEEKDAY(I$7,2))),0)
              ),
            "Yes","No"),
            IF(
              Assumptions!$F41="Weekly",
              IF(
                AND(
                  WEEKDAY(I$7,2)&lt;=MATCH(Assumptions!$J41,{"Monday","Tuesday","Wednesday","Thursday","Friday"},0),
                  WEEKDAY(I$8,2)&gt;=MATCH(Assumptions!$J41,{"Monday","Tuesday","Wednesday","Thursday","Friday"},0)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AND(Assumptions!$I41&gt;=I$7, Assumptions!$I41&lt;=I$8),
                    AND(
                      Assumptions!$I41&lt;I$7,
                      MOD(INT((I$7-(Assumptions!$I41-WEEKDAY(Assumptions!$I41,2)+1))/7),2)=0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AND(Assumptions!$I41&gt;=I$7, Assumptions!$I41&lt;=I$8),
                      AND(
                        Assumptions!$I41&lt;I$7,
                        MOD(INT((I$7-(Assumptions!$I41-WEEKDAY(Assumptions!$I41,2)+1))/7),3)=0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ISNUMBER(MATCH(MONTH(I$7),IF(Assumptions!$H41="Jan / Apr / Jul / Oct",{1,4,7,10},IF(Assumptions!$H41="Feb / May / Aug / Nov",{2,5,8,11},{3,6,9,12})),0)),
                          DATE(YEAR(I$7),MONTH(I$7),Assumptions!$G41)&gt;=I$7,
                          DATE(YEAR(I$7),MONTH(I$7),Assumptions!$G41)&lt;=I$8
                        ),
                        AND(
                          ISNUMBER(MATCH(MONTH(I$8),IF(Assumptions!$H41="Jan / Apr / Jul / Oct",{1,4,7,10},IF(Assumptions!$H41="Feb / May / Aug / Nov",{2,5,8,11},{3,6,9,12})),0)),
                          DATE(YEAR(I$8),MONTH(I$8),Assumptions!$G41)&gt;=I$7,
                          DATE(YEAR(I$8),MONTH(I$8),Assumptions!$G41)&lt;=I$8
                        )
                      ),
                    "Yes","No"),
                  "No")
                )
              )
            )
          )
        )
      )
    )
  )
)</f>
        <v>No</v>
      </c>
      <c r="J29" s="59" t="str">
        <f>IF(
  Assumptions!$K41="Off",
  "No",
  IF(
    Assumptions!$F41="I will phase manually",
    "No",
    IF(
      Assumptions!$F41="Last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Assumptions!$F41="End of month",
        IF(
          OR(
            AND(EOMONTH(J$7,0)&gt;=J$7, EOMONTH(J$7,0)&lt;=J$8),
            AND(EOMONTH(J$8,0)&gt;=J$7, EOMONTH(J$8,0)&lt;=J$8)
          ),
        "Yes","No"),
        IF(
          Assumptions!$F41="Specific day of month",
          IF(
            OR(
              AND(DATE(YEAR(J$7),MONTH(J$7),Assumptions!$G41)&gt;=J$7, DATE(YEAR(J$7),MONTH(J$7),Assumptions!$G41)&lt;=J$8),
              AND(DATE(YEAR(J$8),MONTH(J$8),Assumptions!$G41)&gt;=J$7, DATE(YEAR(J$8),MONTH(J$8),Assumptions!$G41)&lt;=J$8)
            ),
          "Yes","No"),
          IF(
            Assumptions!$F41="Last X day of month",
            IF(
              AND(
                WEEKDAY(J$7,2)&lt;=MATCH(Assumptions!$J41,{"Monday","Tuesday","Wednesday","Thursday","Friday"},0),
                WEEKDAY(J$8,2)&gt;=MATCH(Assumptions!$J41,{"Monday","Tuesday","Wednesday","Thursday","Friday"},0),
                (J$7+(MATCH(Assumptions!$J41,{"Monday","Tuesday","Wednesday","Thursday","Friday"},0)-WEEKDAY(J$7,2)))+7&gt;EOMONTH((J$7+(MATCH(Assumptions!$J41,{"Monday","Tuesday","Wednesday","Thursday","Friday"},0)-WEEKDAY(J$7,2))),0)
              ),
            "Yes","No"),
            IF(
              Assumptions!$F41="Weekly",
              IF(
                AND(
                  WEEKDAY(J$7,2)&lt;=MATCH(Assumptions!$J41,{"Monday","Tuesday","Wednesday","Thursday","Friday"},0),
                  WEEKDAY(J$8,2)&gt;=MATCH(Assumptions!$J41,{"Monday","Tuesday","Wednesday","Thursday","Friday"},0)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AND(Assumptions!$I41&gt;=J$7, Assumptions!$I41&lt;=J$8),
                    AND(
                      Assumptions!$I41&lt;J$7,
                      MOD(INT((J$7-(Assumptions!$I41-WEEKDAY(Assumptions!$I41,2)+1))/7),2)=0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AND(Assumptions!$I41&gt;=J$7, Assumptions!$I41&lt;=J$8),
                      AND(
                        Assumptions!$I41&lt;J$7,
                        MOD(INT((J$7-(Assumptions!$I41-WEEKDAY(Assumptions!$I41,2)+1))/7),3)=0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ISNUMBER(MATCH(MONTH(J$7),IF(Assumptions!$H41="Jan / Apr / Jul / Oct",{1,4,7,10},IF(Assumptions!$H41="Feb / May / Aug / Nov",{2,5,8,11},{3,6,9,12})),0)),
                          DATE(YEAR(J$7),MONTH(J$7),Assumptions!$G41)&gt;=J$7,
                          DATE(YEAR(J$7),MONTH(J$7),Assumptions!$G41)&lt;=J$8
                        ),
                        AND(
                          ISNUMBER(MATCH(MONTH(J$8),IF(Assumptions!$H41="Jan / Apr / Jul / Oct",{1,4,7,10},IF(Assumptions!$H41="Feb / May / Aug / Nov",{2,5,8,11},{3,6,9,12})),0)),
                          DATE(YEAR(J$8),MONTH(J$8),Assumptions!$G41)&gt;=J$7,
                          DATE(YEAR(J$8),MONTH(J$8),Assumptions!$G41)&lt;=J$8
                        )
                      ),
                    "Yes","No"),
                  "No")
                )
              )
            )
          )
        )
      )
    )
  )
)</f>
        <v>No</v>
      </c>
      <c r="K29" s="59" t="str">
        <f>IF(
  Assumptions!$K41="Off",
  "No",
  IF(
    Assumptions!$F41="I will phase manually",
    "No",
    IF(
      Assumptions!$F41="Last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Assumptions!$F41="End of month",
        IF(
          OR(
            AND(EOMONTH(K$7,0)&gt;=K$7, EOMONTH(K$7,0)&lt;=K$8),
            AND(EOMONTH(K$8,0)&gt;=K$7, EOMONTH(K$8,0)&lt;=K$8)
          ),
        "Yes","No"),
        IF(
          Assumptions!$F41="Specific day of month",
          IF(
            OR(
              AND(DATE(YEAR(K$7),MONTH(K$7),Assumptions!$G41)&gt;=K$7, DATE(YEAR(K$7),MONTH(K$7),Assumptions!$G41)&lt;=K$8),
              AND(DATE(YEAR(K$8),MONTH(K$8),Assumptions!$G41)&gt;=K$7, DATE(YEAR(K$8),MONTH(K$8),Assumptions!$G41)&lt;=K$8)
            ),
          "Yes","No"),
          IF(
            Assumptions!$F41="Last X day of month",
            IF(
              AND(
                WEEKDAY(K$7,2)&lt;=MATCH(Assumptions!$J41,{"Monday","Tuesday","Wednesday","Thursday","Friday"},0),
                WEEKDAY(K$8,2)&gt;=MATCH(Assumptions!$J41,{"Monday","Tuesday","Wednesday","Thursday","Friday"},0),
                (K$7+(MATCH(Assumptions!$J41,{"Monday","Tuesday","Wednesday","Thursday","Friday"},0)-WEEKDAY(K$7,2)))+7&gt;EOMONTH((K$7+(MATCH(Assumptions!$J41,{"Monday","Tuesday","Wednesday","Thursday","Friday"},0)-WEEKDAY(K$7,2))),0)
              ),
            "Yes","No"),
            IF(
              Assumptions!$F41="Weekly",
              IF(
                AND(
                  WEEKDAY(K$7,2)&lt;=MATCH(Assumptions!$J41,{"Monday","Tuesday","Wednesday","Thursday","Friday"},0),
                  WEEKDAY(K$8,2)&gt;=MATCH(Assumptions!$J41,{"Monday","Tuesday","Wednesday","Thursday","Friday"},0)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AND(Assumptions!$I41&gt;=K$7, Assumptions!$I41&lt;=K$8),
                    AND(
                      Assumptions!$I41&lt;K$7,
                      MOD(INT((K$7-(Assumptions!$I41-WEEKDAY(Assumptions!$I41,2)+1))/7),2)=0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AND(Assumptions!$I41&gt;=K$7, Assumptions!$I41&lt;=K$8),
                      AND(
                        Assumptions!$I41&lt;K$7,
                        MOD(INT((K$7-(Assumptions!$I41-WEEKDAY(Assumptions!$I41,2)+1))/7),3)=0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ISNUMBER(MATCH(MONTH(K$7),IF(Assumptions!$H41="Jan / Apr / Jul / Oct",{1,4,7,10},IF(Assumptions!$H41="Feb / May / Aug / Nov",{2,5,8,11},{3,6,9,12})),0)),
                          DATE(YEAR(K$7),MONTH(K$7),Assumptions!$G41)&gt;=K$7,
                          DATE(YEAR(K$7),MONTH(K$7),Assumptions!$G41)&lt;=K$8
                        ),
                        AND(
                          ISNUMBER(MATCH(MONTH(K$8),IF(Assumptions!$H41="Jan / Apr / Jul / Oct",{1,4,7,10},IF(Assumptions!$H41="Feb / May / Aug / Nov",{2,5,8,11},{3,6,9,12})),0)),
                          DATE(YEAR(K$8),MONTH(K$8),Assumptions!$G41)&gt;=K$7,
                          DATE(YEAR(K$8),MONTH(K$8),Assumptions!$G41)&lt;=K$8
                        )
                      ),
                    "Yes","No"),
                  "No")
                )
              )
            )
          )
        )
      )
    )
  )
)</f>
        <v>No</v>
      </c>
      <c r="L29" s="59" t="str">
        <f>IF(
  Assumptions!$K41="Off",
  "No",
  IF(
    Assumptions!$F41="I will phase manually",
    "No",
    IF(
      Assumptions!$F41="Last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Assumptions!$F41="End of month",
        IF(
          OR(
            AND(EOMONTH(L$7,0)&gt;=L$7, EOMONTH(L$7,0)&lt;=L$8),
            AND(EOMONTH(L$8,0)&gt;=L$7, EOMONTH(L$8,0)&lt;=L$8)
          ),
        "Yes","No"),
        IF(
          Assumptions!$F41="Specific day of month",
          IF(
            OR(
              AND(DATE(YEAR(L$7),MONTH(L$7),Assumptions!$G41)&gt;=L$7, DATE(YEAR(L$7),MONTH(L$7),Assumptions!$G41)&lt;=L$8),
              AND(DATE(YEAR(L$8),MONTH(L$8),Assumptions!$G41)&gt;=L$7, DATE(YEAR(L$8),MONTH(L$8),Assumptions!$G41)&lt;=L$8)
            ),
          "Yes","No"),
          IF(
            Assumptions!$F41="Last X day of month",
            IF(
              AND(
                WEEKDAY(L$7,2)&lt;=MATCH(Assumptions!$J41,{"Monday","Tuesday","Wednesday","Thursday","Friday"},0),
                WEEKDAY(L$8,2)&gt;=MATCH(Assumptions!$J41,{"Monday","Tuesday","Wednesday","Thursday","Friday"},0),
                (L$7+(MATCH(Assumptions!$J41,{"Monday","Tuesday","Wednesday","Thursday","Friday"},0)-WEEKDAY(L$7,2)))+7&gt;EOMONTH((L$7+(MATCH(Assumptions!$J41,{"Monday","Tuesday","Wednesday","Thursday","Friday"},0)-WEEKDAY(L$7,2))),0)
              ),
            "Yes","No"),
            IF(
              Assumptions!$F41="Weekly",
              IF(
                AND(
                  WEEKDAY(L$7,2)&lt;=MATCH(Assumptions!$J41,{"Monday","Tuesday","Wednesday","Thursday","Friday"},0),
                  WEEKDAY(L$8,2)&gt;=MATCH(Assumptions!$J41,{"Monday","Tuesday","Wednesday","Thursday","Friday"},0)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AND(Assumptions!$I41&gt;=L$7, Assumptions!$I41&lt;=L$8),
                    AND(
                      Assumptions!$I41&lt;L$7,
                      MOD(INT((L$7-(Assumptions!$I41-WEEKDAY(Assumptions!$I41,2)+1))/7),2)=0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AND(Assumptions!$I41&gt;=L$7, Assumptions!$I41&lt;=L$8),
                      AND(
                        Assumptions!$I41&lt;L$7,
                        MOD(INT((L$7-(Assumptions!$I41-WEEKDAY(Assumptions!$I41,2)+1))/7),3)=0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ISNUMBER(MATCH(MONTH(L$7),IF(Assumptions!$H41="Jan / Apr / Jul / Oct",{1,4,7,10},IF(Assumptions!$H41="Feb / May / Aug / Nov",{2,5,8,11},{3,6,9,12})),0)),
                          DATE(YEAR(L$7),MONTH(L$7),Assumptions!$G41)&gt;=L$7,
                          DATE(YEAR(L$7),MONTH(L$7),Assumptions!$G41)&lt;=L$8
                        ),
                        AND(
                          ISNUMBER(MATCH(MONTH(L$8),IF(Assumptions!$H41="Jan / Apr / Jul / Oct",{1,4,7,10},IF(Assumptions!$H41="Feb / May / Aug / Nov",{2,5,8,11},{3,6,9,12})),0)),
                          DATE(YEAR(L$8),MONTH(L$8),Assumptions!$G41)&gt;=L$7,
                          DATE(YEAR(L$8),MONTH(L$8),Assumptions!$G41)&lt;=L$8
                        )
                      ),
                    "Yes","No"),
                  "No")
                )
              )
            )
          )
        )
      )
    )
  )
)</f>
        <v>No</v>
      </c>
      <c r="M29" s="59" t="str">
        <f>IF(
  Assumptions!$K41="Off",
  "No",
  IF(
    Assumptions!$F41="I will phase manually",
    "No",
    IF(
      Assumptions!$F41="Last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Assumptions!$F41="End of month",
        IF(
          OR(
            AND(EOMONTH(M$7,0)&gt;=M$7, EOMONTH(M$7,0)&lt;=M$8),
            AND(EOMONTH(M$8,0)&gt;=M$7, EOMONTH(M$8,0)&lt;=M$8)
          ),
        "Yes","No"),
        IF(
          Assumptions!$F41="Specific day of month",
          IF(
            OR(
              AND(DATE(YEAR(M$7),MONTH(M$7),Assumptions!$G41)&gt;=M$7, DATE(YEAR(M$7),MONTH(M$7),Assumptions!$G41)&lt;=M$8),
              AND(DATE(YEAR(M$8),MONTH(M$8),Assumptions!$G41)&gt;=M$7, DATE(YEAR(M$8),MONTH(M$8),Assumptions!$G41)&lt;=M$8)
            ),
          "Yes","No"),
          IF(
            Assumptions!$F41="Last X day of month",
            IF(
              AND(
                WEEKDAY(M$7,2)&lt;=MATCH(Assumptions!$J41,{"Monday","Tuesday","Wednesday","Thursday","Friday"},0),
                WEEKDAY(M$8,2)&gt;=MATCH(Assumptions!$J41,{"Monday","Tuesday","Wednesday","Thursday","Friday"},0),
                (M$7+(MATCH(Assumptions!$J41,{"Monday","Tuesday","Wednesday","Thursday","Friday"},0)-WEEKDAY(M$7,2)))+7&gt;EOMONTH((M$7+(MATCH(Assumptions!$J41,{"Monday","Tuesday","Wednesday","Thursday","Friday"},0)-WEEKDAY(M$7,2))),0)
              ),
            "Yes","No"),
            IF(
              Assumptions!$F41="Weekly",
              IF(
                AND(
                  WEEKDAY(M$7,2)&lt;=MATCH(Assumptions!$J41,{"Monday","Tuesday","Wednesday","Thursday","Friday"},0),
                  WEEKDAY(M$8,2)&gt;=MATCH(Assumptions!$J41,{"Monday","Tuesday","Wednesday","Thursday","Friday"},0)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AND(Assumptions!$I41&gt;=M$7, Assumptions!$I41&lt;=M$8),
                    AND(
                      Assumptions!$I41&lt;M$7,
                      MOD(INT((M$7-(Assumptions!$I41-WEEKDAY(Assumptions!$I41,2)+1))/7),2)=0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AND(Assumptions!$I41&gt;=M$7, Assumptions!$I41&lt;=M$8),
                      AND(
                        Assumptions!$I41&lt;M$7,
                        MOD(INT((M$7-(Assumptions!$I41-WEEKDAY(Assumptions!$I41,2)+1))/7),3)=0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ISNUMBER(MATCH(MONTH(M$7),IF(Assumptions!$H41="Jan / Apr / Jul / Oct",{1,4,7,10},IF(Assumptions!$H41="Feb / May / Aug / Nov",{2,5,8,11},{3,6,9,12})),0)),
                          DATE(YEAR(M$7),MONTH(M$7),Assumptions!$G41)&gt;=M$7,
                          DATE(YEAR(M$7),MONTH(M$7),Assumptions!$G41)&lt;=M$8
                        ),
                        AND(
                          ISNUMBER(MATCH(MONTH(M$8),IF(Assumptions!$H41="Jan / Apr / Jul / Oct",{1,4,7,10},IF(Assumptions!$H41="Feb / May / Aug / Nov",{2,5,8,11},{3,6,9,12})),0)),
                          DATE(YEAR(M$8),MONTH(M$8),Assumptions!$G41)&gt;=M$7,
                          DATE(YEAR(M$8),MONTH(M$8),Assumptions!$G41)&lt;=M$8
                        )
                      ),
                    "Yes","No"),
                  "No")
                )
              )
            )
          )
        )
      )
    )
  )
)</f>
        <v>No</v>
      </c>
      <c r="N29" s="59" t="str">
        <f>IF(
  Assumptions!$K41="Off",
  "No",
  IF(
    Assumptions!$F41="I will phase manually",
    "No",
    IF(
      Assumptions!$F41="Last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Assumptions!$F41="End of month",
        IF(
          OR(
            AND(EOMONTH(N$7,0)&gt;=N$7, EOMONTH(N$7,0)&lt;=N$8),
            AND(EOMONTH(N$8,0)&gt;=N$7, EOMONTH(N$8,0)&lt;=N$8)
          ),
        "Yes","No"),
        IF(
          Assumptions!$F41="Specific day of month",
          IF(
            OR(
              AND(DATE(YEAR(N$7),MONTH(N$7),Assumptions!$G41)&gt;=N$7, DATE(YEAR(N$7),MONTH(N$7),Assumptions!$G41)&lt;=N$8),
              AND(DATE(YEAR(N$8),MONTH(N$8),Assumptions!$G41)&gt;=N$7, DATE(YEAR(N$8),MONTH(N$8),Assumptions!$G41)&lt;=N$8)
            ),
          "Yes","No"),
          IF(
            Assumptions!$F41="Last X day of month",
            IF(
              AND(
                WEEKDAY(N$7,2)&lt;=MATCH(Assumptions!$J41,{"Monday","Tuesday","Wednesday","Thursday","Friday"},0),
                WEEKDAY(N$8,2)&gt;=MATCH(Assumptions!$J41,{"Monday","Tuesday","Wednesday","Thursday","Friday"},0),
                (N$7+(MATCH(Assumptions!$J41,{"Monday","Tuesday","Wednesday","Thursday","Friday"},0)-WEEKDAY(N$7,2)))+7&gt;EOMONTH((N$7+(MATCH(Assumptions!$J41,{"Monday","Tuesday","Wednesday","Thursday","Friday"},0)-WEEKDAY(N$7,2))),0)
              ),
            "Yes","No"),
            IF(
              Assumptions!$F41="Weekly",
              IF(
                AND(
                  WEEKDAY(N$7,2)&lt;=MATCH(Assumptions!$J41,{"Monday","Tuesday","Wednesday","Thursday","Friday"},0),
                  WEEKDAY(N$8,2)&gt;=MATCH(Assumptions!$J41,{"Monday","Tuesday","Wednesday","Thursday","Friday"},0)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AND(Assumptions!$I41&gt;=N$7, Assumptions!$I41&lt;=N$8),
                    AND(
                      Assumptions!$I41&lt;N$7,
                      MOD(INT((N$7-(Assumptions!$I41-WEEKDAY(Assumptions!$I41,2)+1))/7),2)=0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AND(Assumptions!$I41&gt;=N$7, Assumptions!$I41&lt;=N$8),
                      AND(
                        Assumptions!$I41&lt;N$7,
                        MOD(INT((N$7-(Assumptions!$I41-WEEKDAY(Assumptions!$I41,2)+1))/7),3)=0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ISNUMBER(MATCH(MONTH(N$7),IF(Assumptions!$H41="Jan / Apr / Jul / Oct",{1,4,7,10},IF(Assumptions!$H41="Feb / May / Aug / Nov",{2,5,8,11},{3,6,9,12})),0)),
                          DATE(YEAR(N$7),MONTH(N$7),Assumptions!$G41)&gt;=N$7,
                          DATE(YEAR(N$7),MONTH(N$7),Assumptions!$G41)&lt;=N$8
                        ),
                        AND(
                          ISNUMBER(MATCH(MONTH(N$8),IF(Assumptions!$H41="Jan / Apr / Jul / Oct",{1,4,7,10},IF(Assumptions!$H41="Feb / May / Aug / Nov",{2,5,8,11},{3,6,9,12})),0)),
                          DATE(YEAR(N$8),MONTH(N$8),Assumptions!$G41)&gt;=N$7,
                          DATE(YEAR(N$8),MONTH(N$8),Assumptions!$G41)&lt;=N$8
                        )
                      ),
                    "Yes","No"),
                  "No")
                )
              )
            )
          )
        )
      )
    )
  )
)</f>
        <v>No</v>
      </c>
      <c r="O29" s="59" t="str">
        <f>IF(
  Assumptions!$K41="Off",
  "No",
  IF(
    Assumptions!$F41="I will phase manually",
    "No",
    IF(
      Assumptions!$F41="Last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Assumptions!$F41="End of month",
        IF(
          OR(
            AND(EOMONTH(O$7,0)&gt;=O$7, EOMONTH(O$7,0)&lt;=O$8),
            AND(EOMONTH(O$8,0)&gt;=O$7, EOMONTH(O$8,0)&lt;=O$8)
          ),
        "Yes","No"),
        IF(
          Assumptions!$F41="Specific day of month",
          IF(
            OR(
              AND(DATE(YEAR(O$7),MONTH(O$7),Assumptions!$G41)&gt;=O$7, DATE(YEAR(O$7),MONTH(O$7),Assumptions!$G41)&lt;=O$8),
              AND(DATE(YEAR(O$8),MONTH(O$8),Assumptions!$G41)&gt;=O$7, DATE(YEAR(O$8),MONTH(O$8),Assumptions!$G41)&lt;=O$8)
            ),
          "Yes","No"),
          IF(
            Assumptions!$F41="Last X day of month",
            IF(
              AND(
                WEEKDAY(O$7,2)&lt;=MATCH(Assumptions!$J41,{"Monday","Tuesday","Wednesday","Thursday","Friday"},0),
                WEEKDAY(O$8,2)&gt;=MATCH(Assumptions!$J41,{"Monday","Tuesday","Wednesday","Thursday","Friday"},0),
                (O$7+(MATCH(Assumptions!$J41,{"Monday","Tuesday","Wednesday","Thursday","Friday"},0)-WEEKDAY(O$7,2)))+7&gt;EOMONTH((O$7+(MATCH(Assumptions!$J41,{"Monday","Tuesday","Wednesday","Thursday","Friday"},0)-WEEKDAY(O$7,2))),0)
              ),
            "Yes","No"),
            IF(
              Assumptions!$F41="Weekly",
              IF(
                AND(
                  WEEKDAY(O$7,2)&lt;=MATCH(Assumptions!$J41,{"Monday","Tuesday","Wednesday","Thursday","Friday"},0),
                  WEEKDAY(O$8,2)&gt;=MATCH(Assumptions!$J41,{"Monday","Tuesday","Wednesday","Thursday","Friday"},0)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AND(Assumptions!$I41&gt;=O$7, Assumptions!$I41&lt;=O$8),
                    AND(
                      Assumptions!$I41&lt;O$7,
                      MOD(INT((O$7-(Assumptions!$I41-WEEKDAY(Assumptions!$I41,2)+1))/7),2)=0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AND(Assumptions!$I41&gt;=O$7, Assumptions!$I41&lt;=O$8),
                      AND(
                        Assumptions!$I41&lt;O$7,
                        MOD(INT((O$7-(Assumptions!$I41-WEEKDAY(Assumptions!$I41,2)+1))/7),3)=0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ISNUMBER(MATCH(MONTH(O$7),IF(Assumptions!$H41="Jan / Apr / Jul / Oct",{1,4,7,10},IF(Assumptions!$H41="Feb / May / Aug / Nov",{2,5,8,11},{3,6,9,12})),0)),
                          DATE(YEAR(O$7),MONTH(O$7),Assumptions!$G41)&gt;=O$7,
                          DATE(YEAR(O$7),MONTH(O$7),Assumptions!$G41)&lt;=O$8
                        ),
                        AND(
                          ISNUMBER(MATCH(MONTH(O$8),IF(Assumptions!$H41="Jan / Apr / Jul / Oct",{1,4,7,10},IF(Assumptions!$H41="Feb / May / Aug / Nov",{2,5,8,11},{3,6,9,12})),0)),
                          DATE(YEAR(O$8),MONTH(O$8),Assumptions!$G41)&gt;=O$7,
                          DATE(YEAR(O$8),MONTH(O$8),Assumptions!$G41)&lt;=O$8
                        )
                      ),
                    "Yes","No"),
                  "No")
                )
              )
            )
          )
        )
      )
    )
  )
)</f>
        <v>No</v>
      </c>
      <c r="P29" s="59" t="str">
        <f>IF(
  Assumptions!$K41="Off",
  "No",
  IF(
    Assumptions!$F41="I will phase manually",
    "No",
    IF(
      Assumptions!$F41="Last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Assumptions!$F41="End of month",
        IF(
          OR(
            AND(EOMONTH(P$7,0)&gt;=P$7, EOMONTH(P$7,0)&lt;=P$8),
            AND(EOMONTH(P$8,0)&gt;=P$7, EOMONTH(P$8,0)&lt;=P$8)
          ),
        "Yes","No"),
        IF(
          Assumptions!$F41="Specific day of month",
          IF(
            OR(
              AND(DATE(YEAR(P$7),MONTH(P$7),Assumptions!$G41)&gt;=P$7, DATE(YEAR(P$7),MONTH(P$7),Assumptions!$G41)&lt;=P$8),
              AND(DATE(YEAR(P$8),MONTH(P$8),Assumptions!$G41)&gt;=P$7, DATE(YEAR(P$8),MONTH(P$8),Assumptions!$G41)&lt;=P$8)
            ),
          "Yes","No"),
          IF(
            Assumptions!$F41="Last X day of month",
            IF(
              AND(
                WEEKDAY(P$7,2)&lt;=MATCH(Assumptions!$J41,{"Monday","Tuesday","Wednesday","Thursday","Friday"},0),
                WEEKDAY(P$8,2)&gt;=MATCH(Assumptions!$J41,{"Monday","Tuesday","Wednesday","Thursday","Friday"},0),
                (P$7+(MATCH(Assumptions!$J41,{"Monday","Tuesday","Wednesday","Thursday","Friday"},0)-WEEKDAY(P$7,2)))+7&gt;EOMONTH((P$7+(MATCH(Assumptions!$J41,{"Monday","Tuesday","Wednesday","Thursday","Friday"},0)-WEEKDAY(P$7,2))),0)
              ),
            "Yes","No"),
            IF(
              Assumptions!$F41="Weekly",
              IF(
                AND(
                  WEEKDAY(P$7,2)&lt;=MATCH(Assumptions!$J41,{"Monday","Tuesday","Wednesday","Thursday","Friday"},0),
                  WEEKDAY(P$8,2)&gt;=MATCH(Assumptions!$J41,{"Monday","Tuesday","Wednesday","Thursday","Friday"},0)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AND(Assumptions!$I41&gt;=P$7, Assumptions!$I41&lt;=P$8),
                    AND(
                      Assumptions!$I41&lt;P$7,
                      MOD(INT((P$7-(Assumptions!$I41-WEEKDAY(Assumptions!$I41,2)+1))/7),2)=0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AND(Assumptions!$I41&gt;=P$7, Assumptions!$I41&lt;=P$8),
                      AND(
                        Assumptions!$I41&lt;P$7,
                        MOD(INT((P$7-(Assumptions!$I41-WEEKDAY(Assumptions!$I41,2)+1))/7),3)=0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ISNUMBER(MATCH(MONTH(P$7),IF(Assumptions!$H41="Jan / Apr / Jul / Oct",{1,4,7,10},IF(Assumptions!$H41="Feb / May / Aug / Nov",{2,5,8,11},{3,6,9,12})),0)),
                          DATE(YEAR(P$7),MONTH(P$7),Assumptions!$G41)&gt;=P$7,
                          DATE(YEAR(P$7),MONTH(P$7),Assumptions!$G41)&lt;=P$8
                        ),
                        AND(
                          ISNUMBER(MATCH(MONTH(P$8),IF(Assumptions!$H41="Jan / Apr / Jul / Oct",{1,4,7,10},IF(Assumptions!$H41="Feb / May / Aug / Nov",{2,5,8,11},{3,6,9,12})),0)),
                          DATE(YEAR(P$8),MONTH(P$8),Assumptions!$G41)&gt;=P$7,
                          DATE(YEAR(P$8),MONTH(P$8),Assumptions!$G41)&lt;=P$8
                        )
                      ),
                    "Yes","No"),
                  "No")
                )
              )
            )
          )
        )
      )
    )
  )
)</f>
        <v>No</v>
      </c>
      <c r="Q29" s="59" t="str">
        <f>IF(
  Assumptions!$K41="Off",
  "No",
  IF(
    Assumptions!$F41="I will phase manually",
    "No",
    IF(
      Assumptions!$F41="Last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Assumptions!$F41="End of month",
        IF(
          OR(
            AND(EOMONTH(Q$7,0)&gt;=Q$7, EOMONTH(Q$7,0)&lt;=Q$8),
            AND(EOMONTH(Q$8,0)&gt;=Q$7, EOMONTH(Q$8,0)&lt;=Q$8)
          ),
        "Yes","No"),
        IF(
          Assumptions!$F41="Specific day of month",
          IF(
            OR(
              AND(DATE(YEAR(Q$7),MONTH(Q$7),Assumptions!$G41)&gt;=Q$7, DATE(YEAR(Q$7),MONTH(Q$7),Assumptions!$G41)&lt;=Q$8),
              AND(DATE(YEAR(Q$8),MONTH(Q$8),Assumptions!$G41)&gt;=Q$7, DATE(YEAR(Q$8),MONTH(Q$8),Assumptions!$G41)&lt;=Q$8)
            ),
          "Yes","No"),
          IF(
            Assumptions!$F41="Last X day of month",
            IF(
              AND(
                WEEKDAY(Q$7,2)&lt;=MATCH(Assumptions!$J41,{"Monday","Tuesday","Wednesday","Thursday","Friday"},0),
                WEEKDAY(Q$8,2)&gt;=MATCH(Assumptions!$J41,{"Monday","Tuesday","Wednesday","Thursday","Friday"},0),
                (Q$7+(MATCH(Assumptions!$J41,{"Monday","Tuesday","Wednesday","Thursday","Friday"},0)-WEEKDAY(Q$7,2)))+7&gt;EOMONTH((Q$7+(MATCH(Assumptions!$J41,{"Monday","Tuesday","Wednesday","Thursday","Friday"},0)-WEEKDAY(Q$7,2))),0)
              ),
            "Yes","No"),
            IF(
              Assumptions!$F41="Weekly",
              IF(
                AND(
                  WEEKDAY(Q$7,2)&lt;=MATCH(Assumptions!$J41,{"Monday","Tuesday","Wednesday","Thursday","Friday"},0),
                  WEEKDAY(Q$8,2)&gt;=MATCH(Assumptions!$J41,{"Monday","Tuesday","Wednesday","Thursday","Friday"},0)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AND(Assumptions!$I41&gt;=Q$7, Assumptions!$I41&lt;=Q$8),
                    AND(
                      Assumptions!$I41&lt;Q$7,
                      MOD(INT((Q$7-(Assumptions!$I41-WEEKDAY(Assumptions!$I41,2)+1))/7),2)=0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AND(Assumptions!$I41&gt;=Q$7, Assumptions!$I41&lt;=Q$8),
                      AND(
                        Assumptions!$I41&lt;Q$7,
                        MOD(INT((Q$7-(Assumptions!$I41-WEEKDAY(Assumptions!$I41,2)+1))/7),3)=0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ISNUMBER(MATCH(MONTH(Q$7),IF(Assumptions!$H41="Jan / Apr / Jul / Oct",{1,4,7,10},IF(Assumptions!$H41="Feb / May / Aug / Nov",{2,5,8,11},{3,6,9,12})),0)),
                          DATE(YEAR(Q$7),MONTH(Q$7),Assumptions!$G41)&gt;=Q$7,
                          DATE(YEAR(Q$7),MONTH(Q$7),Assumptions!$G41)&lt;=Q$8
                        ),
                        AND(
                          ISNUMBER(MATCH(MONTH(Q$8),IF(Assumptions!$H41="Jan / Apr / Jul / Oct",{1,4,7,10},IF(Assumptions!$H41="Feb / May / Aug / Nov",{2,5,8,11},{3,6,9,12})),0)),
                          DATE(YEAR(Q$8),MONTH(Q$8),Assumptions!$G41)&gt;=Q$7,
                          DATE(YEAR(Q$8),MONTH(Q$8),Assumptions!$G41)&lt;=Q$8
                        )
                      ),
                    "Yes","No"),
                  "No")
                )
              )
            )
          )
        )
      )
    )
  )
)</f>
        <v>No</v>
      </c>
      <c r="R29" s="59" t="str">
        <f>IF(
  Assumptions!$K41="Off",
  "No",
  IF(
    Assumptions!$F41="I will phase manually",
    "No",
    IF(
      Assumptions!$F41="Last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Assumptions!$F41="End of month",
        IF(
          OR(
            AND(EOMONTH(R$7,0)&gt;=R$7, EOMONTH(R$7,0)&lt;=R$8),
            AND(EOMONTH(R$8,0)&gt;=R$7, EOMONTH(R$8,0)&lt;=R$8)
          ),
        "Yes","No"),
        IF(
          Assumptions!$F41="Specific day of month",
          IF(
            OR(
              AND(DATE(YEAR(R$7),MONTH(R$7),Assumptions!$G41)&gt;=R$7, DATE(YEAR(R$7),MONTH(R$7),Assumptions!$G41)&lt;=R$8),
              AND(DATE(YEAR(R$8),MONTH(R$8),Assumptions!$G41)&gt;=R$7, DATE(YEAR(R$8),MONTH(R$8),Assumptions!$G41)&lt;=R$8)
            ),
          "Yes","No"),
          IF(
            Assumptions!$F41="Last X day of month",
            IF(
              AND(
                WEEKDAY(R$7,2)&lt;=MATCH(Assumptions!$J41,{"Monday","Tuesday","Wednesday","Thursday","Friday"},0),
                WEEKDAY(R$8,2)&gt;=MATCH(Assumptions!$J41,{"Monday","Tuesday","Wednesday","Thursday","Friday"},0),
                (R$7+(MATCH(Assumptions!$J41,{"Monday","Tuesday","Wednesday","Thursday","Friday"},0)-WEEKDAY(R$7,2)))+7&gt;EOMONTH((R$7+(MATCH(Assumptions!$J41,{"Monday","Tuesday","Wednesday","Thursday","Friday"},0)-WEEKDAY(R$7,2))),0)
              ),
            "Yes","No"),
            IF(
              Assumptions!$F41="Weekly",
              IF(
                AND(
                  WEEKDAY(R$7,2)&lt;=MATCH(Assumptions!$J41,{"Monday","Tuesday","Wednesday","Thursday","Friday"},0),
                  WEEKDAY(R$8,2)&gt;=MATCH(Assumptions!$J41,{"Monday","Tuesday","Wednesday","Thursday","Friday"},0)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AND(Assumptions!$I41&gt;=R$7, Assumptions!$I41&lt;=R$8),
                    AND(
                      Assumptions!$I41&lt;R$7,
                      MOD(INT((R$7-(Assumptions!$I41-WEEKDAY(Assumptions!$I41,2)+1))/7),2)=0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AND(Assumptions!$I41&gt;=R$7, Assumptions!$I41&lt;=R$8),
                      AND(
                        Assumptions!$I41&lt;R$7,
                        MOD(INT((R$7-(Assumptions!$I41-WEEKDAY(Assumptions!$I41,2)+1))/7),3)=0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ISNUMBER(MATCH(MONTH(R$7),IF(Assumptions!$H41="Jan / Apr / Jul / Oct",{1,4,7,10},IF(Assumptions!$H41="Feb / May / Aug / Nov",{2,5,8,11},{3,6,9,12})),0)),
                          DATE(YEAR(R$7),MONTH(R$7),Assumptions!$G41)&gt;=R$7,
                          DATE(YEAR(R$7),MONTH(R$7),Assumptions!$G41)&lt;=R$8
                        ),
                        AND(
                          ISNUMBER(MATCH(MONTH(R$8),IF(Assumptions!$H41="Jan / Apr / Jul / Oct",{1,4,7,10},IF(Assumptions!$H41="Feb / May / Aug / Nov",{2,5,8,11},{3,6,9,12})),0)),
                          DATE(YEAR(R$8),MONTH(R$8),Assumptions!$G41)&gt;=R$7,
                          DATE(YEAR(R$8),MONTH(R$8),Assumptions!$G41)&lt;=R$8
                        )
                      ),
                    "Yes","No"),
                  "No")
                )
              )
            )
          )
        )
      )
    )
  )
)</f>
        <v>No</v>
      </c>
      <c r="S29" s="59" t="str">
        <f>IF(
  Assumptions!$K41="Off",
  "No",
  IF(
    Assumptions!$F41="I will phase manually",
    "No",
    IF(
      Assumptions!$F41="Last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Assumptions!$F41="End of month",
        IF(
          OR(
            AND(EOMONTH(S$7,0)&gt;=S$7, EOMONTH(S$7,0)&lt;=S$8),
            AND(EOMONTH(S$8,0)&gt;=S$7, EOMONTH(S$8,0)&lt;=S$8)
          ),
        "Yes","No"),
        IF(
          Assumptions!$F41="Specific day of month",
          IF(
            OR(
              AND(DATE(YEAR(S$7),MONTH(S$7),Assumptions!$G41)&gt;=S$7, DATE(YEAR(S$7),MONTH(S$7),Assumptions!$G41)&lt;=S$8),
              AND(DATE(YEAR(S$8),MONTH(S$8),Assumptions!$G41)&gt;=S$7, DATE(YEAR(S$8),MONTH(S$8),Assumptions!$G41)&lt;=S$8)
            ),
          "Yes","No"),
          IF(
            Assumptions!$F41="Last X day of month",
            IF(
              AND(
                WEEKDAY(S$7,2)&lt;=MATCH(Assumptions!$J41,{"Monday","Tuesday","Wednesday","Thursday","Friday"},0),
                WEEKDAY(S$8,2)&gt;=MATCH(Assumptions!$J41,{"Monday","Tuesday","Wednesday","Thursday","Friday"},0),
                (S$7+(MATCH(Assumptions!$J41,{"Monday","Tuesday","Wednesday","Thursday","Friday"},0)-WEEKDAY(S$7,2)))+7&gt;EOMONTH((S$7+(MATCH(Assumptions!$J41,{"Monday","Tuesday","Wednesday","Thursday","Friday"},0)-WEEKDAY(S$7,2))),0)
              ),
            "Yes","No"),
            IF(
              Assumptions!$F41="Weekly",
              IF(
                AND(
                  WEEKDAY(S$7,2)&lt;=MATCH(Assumptions!$J41,{"Monday","Tuesday","Wednesday","Thursday","Friday"},0),
                  WEEKDAY(S$8,2)&gt;=MATCH(Assumptions!$J41,{"Monday","Tuesday","Wednesday","Thursday","Friday"},0)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AND(Assumptions!$I41&gt;=S$7, Assumptions!$I41&lt;=S$8),
                    AND(
                      Assumptions!$I41&lt;S$7,
                      MOD(INT((S$7-(Assumptions!$I41-WEEKDAY(Assumptions!$I41,2)+1))/7),2)=0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AND(Assumptions!$I41&gt;=S$7, Assumptions!$I41&lt;=S$8),
                      AND(
                        Assumptions!$I41&lt;S$7,
                        MOD(INT((S$7-(Assumptions!$I41-WEEKDAY(Assumptions!$I41,2)+1))/7),3)=0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ISNUMBER(MATCH(MONTH(S$7),IF(Assumptions!$H41="Jan / Apr / Jul / Oct",{1,4,7,10},IF(Assumptions!$H41="Feb / May / Aug / Nov",{2,5,8,11},{3,6,9,12})),0)),
                          DATE(YEAR(S$7),MONTH(S$7),Assumptions!$G41)&gt;=S$7,
                          DATE(YEAR(S$7),MONTH(S$7),Assumptions!$G41)&lt;=S$8
                        ),
                        AND(
                          ISNUMBER(MATCH(MONTH(S$8),IF(Assumptions!$H41="Jan / Apr / Jul / Oct",{1,4,7,10},IF(Assumptions!$H41="Feb / May / Aug / Nov",{2,5,8,11},{3,6,9,12})),0)),
                          DATE(YEAR(S$8),MONTH(S$8),Assumptions!$G41)&gt;=S$7,
                          DATE(YEAR(S$8),MONTH(S$8),Assumptions!$G41)&lt;=S$8
                        )
                      ),
                    "Yes","No"),
                  "No")
                )
              )
            )
          )
        )
      )
    )
  )
)</f>
        <v>No</v>
      </c>
      <c r="T29" s="59" t="s">
        <v>124</v>
      </c>
    </row>
    <row r="30" spans="3:20" hidden="1" outlineLevel="1" x14ac:dyDescent="0.25">
      <c r="C30" s="58">
        <f>Assumptions!D42</f>
        <v>0</v>
      </c>
      <c r="D30" s="58"/>
      <c r="E30" s="58"/>
      <c r="F30" s="58"/>
      <c r="G30" s="59" t="str">
        <f>IF(
  Assumptions!$K42="Off",
  "No",
  IF(
    Assumptions!$F42="I will phase manually",
    "No",
    IF(
      Assumptions!$F42="Last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Assumptions!$F42="End of month",
        IF(
          OR(
            AND(EOMONTH(G$7,0)&gt;=G$7, EOMONTH(G$7,0)&lt;=G$8),
            AND(EOMONTH(G$8,0)&gt;=G$7, EOMONTH(G$8,0)&lt;=G$8)
          ),
        "Yes","No"),
        IF(
          Assumptions!$F42="Specific day of month",
          IF(
            OR(
              AND(DATE(YEAR(G$7),MONTH(G$7),Assumptions!$G42)&gt;=G$7, DATE(YEAR(G$7),MONTH(G$7),Assumptions!$G42)&lt;=G$8),
              AND(DATE(YEAR(G$8),MONTH(G$8),Assumptions!$G42)&gt;=G$7, DATE(YEAR(G$8),MONTH(G$8),Assumptions!$G42)&lt;=G$8)
            ),
          "Yes","No"),
          IF(
            Assumptions!$F42="Last X day of month",
            IF(
              AND(
                WEEKDAY(G$7,2)&lt;=MATCH(Assumptions!$J42,{"Monday","Tuesday","Wednesday","Thursday","Friday"},0),
                WEEKDAY(G$8,2)&gt;=MATCH(Assumptions!$J42,{"Monday","Tuesday","Wednesday","Thursday","Friday"},0),
                (G$7+(MATCH(Assumptions!$J42,{"Monday","Tuesday","Wednesday","Thursday","Friday"},0)-WEEKDAY(G$7,2)))+7&gt;EOMONTH((G$7+(MATCH(Assumptions!$J42,{"Monday","Tuesday","Wednesday","Thursday","Friday"},0)-WEEKDAY(G$7,2))),0)
              ),
            "Yes","No"),
            IF(
              Assumptions!$F42="Weekly",
              IF(
                AND(
                  WEEKDAY(G$7,2)&lt;=MATCH(Assumptions!$J42,{"Monday","Tuesday","Wednesday","Thursday","Friday"},0),
                  WEEKDAY(G$8,2)&gt;=MATCH(Assumptions!$J42,{"Monday","Tuesday","Wednesday","Thursday","Friday"},0)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AND(Assumptions!$I42&gt;=G$7, Assumptions!$I42&lt;=G$8),
                    AND(
                      Assumptions!$I42&lt;G$7,
                      MOD(INT((G$7-(Assumptions!$I42-WEEKDAY(Assumptions!$I42,2)+1))/7),2)=0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AND(Assumptions!$I42&gt;=G$7, Assumptions!$I42&lt;=G$8),
                      AND(
                        Assumptions!$I42&lt;G$7,
                        MOD(INT((G$7-(Assumptions!$I42-WEEKDAY(Assumptions!$I42,2)+1))/7),3)=0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ISNUMBER(MATCH(MONTH(G$7),IF(Assumptions!$H42="Jan / Apr / Jul / Oct",{1,4,7,10},IF(Assumptions!$H42="Feb / May / Aug / Nov",{2,5,8,11},{3,6,9,12})),0)),
                          DATE(YEAR(G$7),MONTH(G$7),Assumptions!$G42)&gt;=G$7,
                          DATE(YEAR(G$7),MONTH(G$7),Assumptions!$G42)&lt;=G$8
                        ),
                        AND(
                          ISNUMBER(MATCH(MONTH(G$8),IF(Assumptions!$H42="Jan / Apr / Jul / Oct",{1,4,7,10},IF(Assumptions!$H42="Feb / May / Aug / Nov",{2,5,8,11},{3,6,9,12})),0)),
                          DATE(YEAR(G$8),MONTH(G$8),Assumptions!$G42)&gt;=G$7,
                          DATE(YEAR(G$8),MONTH(G$8),Assumptions!$G42)&lt;=G$8
                        )
                      ),
                    "Yes","No"),
                  "No")
                )
              )
            )
          )
        )
      )
    )
  )
)</f>
        <v>No</v>
      </c>
      <c r="H30" s="59" t="str">
        <f>IF(
  Assumptions!$K42="Off",
  "No",
  IF(
    Assumptions!$F42="I will phase manually",
    "No",
    IF(
      Assumptions!$F42="Last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Assumptions!$F42="End of month",
        IF(
          OR(
            AND(EOMONTH(H$7,0)&gt;=H$7, EOMONTH(H$7,0)&lt;=H$8),
            AND(EOMONTH(H$8,0)&gt;=H$7, EOMONTH(H$8,0)&lt;=H$8)
          ),
        "Yes","No"),
        IF(
          Assumptions!$F42="Specific day of month",
          IF(
            OR(
              AND(DATE(YEAR(H$7),MONTH(H$7),Assumptions!$G42)&gt;=H$7, DATE(YEAR(H$7),MONTH(H$7),Assumptions!$G42)&lt;=H$8),
              AND(DATE(YEAR(H$8),MONTH(H$8),Assumptions!$G42)&gt;=H$7, DATE(YEAR(H$8),MONTH(H$8),Assumptions!$G42)&lt;=H$8)
            ),
          "Yes","No"),
          IF(
            Assumptions!$F42="Last X day of month",
            IF(
              AND(
                WEEKDAY(H$7,2)&lt;=MATCH(Assumptions!$J42,{"Monday","Tuesday","Wednesday","Thursday","Friday"},0),
                WEEKDAY(H$8,2)&gt;=MATCH(Assumptions!$J42,{"Monday","Tuesday","Wednesday","Thursday","Friday"},0),
                (H$7+(MATCH(Assumptions!$J42,{"Monday","Tuesday","Wednesday","Thursday","Friday"},0)-WEEKDAY(H$7,2)))+7&gt;EOMONTH((H$7+(MATCH(Assumptions!$J42,{"Monday","Tuesday","Wednesday","Thursday","Friday"},0)-WEEKDAY(H$7,2))),0)
              ),
            "Yes","No"),
            IF(
              Assumptions!$F42="Weekly",
              IF(
                AND(
                  WEEKDAY(H$7,2)&lt;=MATCH(Assumptions!$J42,{"Monday","Tuesday","Wednesday","Thursday","Friday"},0),
                  WEEKDAY(H$8,2)&gt;=MATCH(Assumptions!$J42,{"Monday","Tuesday","Wednesday","Thursday","Friday"},0)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AND(Assumptions!$I42&gt;=H$7, Assumptions!$I42&lt;=H$8),
                    AND(
                      Assumptions!$I42&lt;H$7,
                      MOD(INT((H$7-(Assumptions!$I42-WEEKDAY(Assumptions!$I42,2)+1))/7),2)=0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AND(Assumptions!$I42&gt;=H$7, Assumptions!$I42&lt;=H$8),
                      AND(
                        Assumptions!$I42&lt;H$7,
                        MOD(INT((H$7-(Assumptions!$I42-WEEKDAY(Assumptions!$I42,2)+1))/7),3)=0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ISNUMBER(MATCH(MONTH(H$7),IF(Assumptions!$H42="Jan / Apr / Jul / Oct",{1,4,7,10},IF(Assumptions!$H42="Feb / May / Aug / Nov",{2,5,8,11},{3,6,9,12})),0)),
                          DATE(YEAR(H$7),MONTH(H$7),Assumptions!$G42)&gt;=H$7,
                          DATE(YEAR(H$7),MONTH(H$7),Assumptions!$G42)&lt;=H$8
                        ),
                        AND(
                          ISNUMBER(MATCH(MONTH(H$8),IF(Assumptions!$H42="Jan / Apr / Jul / Oct",{1,4,7,10},IF(Assumptions!$H42="Feb / May / Aug / Nov",{2,5,8,11},{3,6,9,12})),0)),
                          DATE(YEAR(H$8),MONTH(H$8),Assumptions!$G42)&gt;=H$7,
                          DATE(YEAR(H$8),MONTH(H$8),Assumptions!$G42)&lt;=H$8
                        )
                      ),
                    "Yes","No"),
                  "No")
                )
              )
            )
          )
        )
      )
    )
  )
)</f>
        <v>No</v>
      </c>
      <c r="I30" s="59" t="str">
        <f>IF(
  Assumptions!$K42="Off",
  "No",
  IF(
    Assumptions!$F42="I will phase manually",
    "No",
    IF(
      Assumptions!$F42="Last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Assumptions!$F42="End of month",
        IF(
          OR(
            AND(EOMONTH(I$7,0)&gt;=I$7, EOMONTH(I$7,0)&lt;=I$8),
            AND(EOMONTH(I$8,0)&gt;=I$7, EOMONTH(I$8,0)&lt;=I$8)
          ),
        "Yes","No"),
        IF(
          Assumptions!$F42="Specific day of month",
          IF(
            OR(
              AND(DATE(YEAR(I$7),MONTH(I$7),Assumptions!$G42)&gt;=I$7, DATE(YEAR(I$7),MONTH(I$7),Assumptions!$G42)&lt;=I$8),
              AND(DATE(YEAR(I$8),MONTH(I$8),Assumptions!$G42)&gt;=I$7, DATE(YEAR(I$8),MONTH(I$8),Assumptions!$G42)&lt;=I$8)
            ),
          "Yes","No"),
          IF(
            Assumptions!$F42="Last X day of month",
            IF(
              AND(
                WEEKDAY(I$7,2)&lt;=MATCH(Assumptions!$J42,{"Monday","Tuesday","Wednesday","Thursday","Friday"},0),
                WEEKDAY(I$8,2)&gt;=MATCH(Assumptions!$J42,{"Monday","Tuesday","Wednesday","Thursday","Friday"},0),
                (I$7+(MATCH(Assumptions!$J42,{"Monday","Tuesday","Wednesday","Thursday","Friday"},0)-WEEKDAY(I$7,2)))+7&gt;EOMONTH((I$7+(MATCH(Assumptions!$J42,{"Monday","Tuesday","Wednesday","Thursday","Friday"},0)-WEEKDAY(I$7,2))),0)
              ),
            "Yes","No"),
            IF(
              Assumptions!$F42="Weekly",
              IF(
                AND(
                  WEEKDAY(I$7,2)&lt;=MATCH(Assumptions!$J42,{"Monday","Tuesday","Wednesday","Thursday","Friday"},0),
                  WEEKDAY(I$8,2)&gt;=MATCH(Assumptions!$J42,{"Monday","Tuesday","Wednesday","Thursday","Friday"},0)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AND(Assumptions!$I42&gt;=I$7, Assumptions!$I42&lt;=I$8),
                    AND(
                      Assumptions!$I42&lt;I$7,
                      MOD(INT((I$7-(Assumptions!$I42-WEEKDAY(Assumptions!$I42,2)+1))/7),2)=0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AND(Assumptions!$I42&gt;=I$7, Assumptions!$I42&lt;=I$8),
                      AND(
                        Assumptions!$I42&lt;I$7,
                        MOD(INT((I$7-(Assumptions!$I42-WEEKDAY(Assumptions!$I42,2)+1))/7),3)=0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ISNUMBER(MATCH(MONTH(I$7),IF(Assumptions!$H42="Jan / Apr / Jul / Oct",{1,4,7,10},IF(Assumptions!$H42="Feb / May / Aug / Nov",{2,5,8,11},{3,6,9,12})),0)),
                          DATE(YEAR(I$7),MONTH(I$7),Assumptions!$G42)&gt;=I$7,
                          DATE(YEAR(I$7),MONTH(I$7),Assumptions!$G42)&lt;=I$8
                        ),
                        AND(
                          ISNUMBER(MATCH(MONTH(I$8),IF(Assumptions!$H42="Jan / Apr / Jul / Oct",{1,4,7,10},IF(Assumptions!$H42="Feb / May / Aug / Nov",{2,5,8,11},{3,6,9,12})),0)),
                          DATE(YEAR(I$8),MONTH(I$8),Assumptions!$G42)&gt;=I$7,
                          DATE(YEAR(I$8),MONTH(I$8),Assumptions!$G42)&lt;=I$8
                        )
                      ),
                    "Yes","No"),
                  "No")
                )
              )
            )
          )
        )
      )
    )
  )
)</f>
        <v>No</v>
      </c>
      <c r="J30" s="59" t="str">
        <f>IF(
  Assumptions!$K42="Off",
  "No",
  IF(
    Assumptions!$F42="I will phase manually",
    "No",
    IF(
      Assumptions!$F42="Last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Assumptions!$F42="End of month",
        IF(
          OR(
            AND(EOMONTH(J$7,0)&gt;=J$7, EOMONTH(J$7,0)&lt;=J$8),
            AND(EOMONTH(J$8,0)&gt;=J$7, EOMONTH(J$8,0)&lt;=J$8)
          ),
        "Yes","No"),
        IF(
          Assumptions!$F42="Specific day of month",
          IF(
            OR(
              AND(DATE(YEAR(J$7),MONTH(J$7),Assumptions!$G42)&gt;=J$7, DATE(YEAR(J$7),MONTH(J$7),Assumptions!$G42)&lt;=J$8),
              AND(DATE(YEAR(J$8),MONTH(J$8),Assumptions!$G42)&gt;=J$7, DATE(YEAR(J$8),MONTH(J$8),Assumptions!$G42)&lt;=J$8)
            ),
          "Yes","No"),
          IF(
            Assumptions!$F42="Last X day of month",
            IF(
              AND(
                WEEKDAY(J$7,2)&lt;=MATCH(Assumptions!$J42,{"Monday","Tuesday","Wednesday","Thursday","Friday"},0),
                WEEKDAY(J$8,2)&gt;=MATCH(Assumptions!$J42,{"Monday","Tuesday","Wednesday","Thursday","Friday"},0),
                (J$7+(MATCH(Assumptions!$J42,{"Monday","Tuesday","Wednesday","Thursday","Friday"},0)-WEEKDAY(J$7,2)))+7&gt;EOMONTH((J$7+(MATCH(Assumptions!$J42,{"Monday","Tuesday","Wednesday","Thursday","Friday"},0)-WEEKDAY(J$7,2))),0)
              ),
            "Yes","No"),
            IF(
              Assumptions!$F42="Weekly",
              IF(
                AND(
                  WEEKDAY(J$7,2)&lt;=MATCH(Assumptions!$J42,{"Monday","Tuesday","Wednesday","Thursday","Friday"},0),
                  WEEKDAY(J$8,2)&gt;=MATCH(Assumptions!$J42,{"Monday","Tuesday","Wednesday","Thursday","Friday"},0)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AND(Assumptions!$I42&gt;=J$7, Assumptions!$I42&lt;=J$8),
                    AND(
                      Assumptions!$I42&lt;J$7,
                      MOD(INT((J$7-(Assumptions!$I42-WEEKDAY(Assumptions!$I42,2)+1))/7),2)=0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AND(Assumptions!$I42&gt;=J$7, Assumptions!$I42&lt;=J$8),
                      AND(
                        Assumptions!$I42&lt;J$7,
                        MOD(INT((J$7-(Assumptions!$I42-WEEKDAY(Assumptions!$I42,2)+1))/7),3)=0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ISNUMBER(MATCH(MONTH(J$7),IF(Assumptions!$H42="Jan / Apr / Jul / Oct",{1,4,7,10},IF(Assumptions!$H42="Feb / May / Aug / Nov",{2,5,8,11},{3,6,9,12})),0)),
                          DATE(YEAR(J$7),MONTH(J$7),Assumptions!$G42)&gt;=J$7,
                          DATE(YEAR(J$7),MONTH(J$7),Assumptions!$G42)&lt;=J$8
                        ),
                        AND(
                          ISNUMBER(MATCH(MONTH(J$8),IF(Assumptions!$H42="Jan / Apr / Jul / Oct",{1,4,7,10},IF(Assumptions!$H42="Feb / May / Aug / Nov",{2,5,8,11},{3,6,9,12})),0)),
                          DATE(YEAR(J$8),MONTH(J$8),Assumptions!$G42)&gt;=J$7,
                          DATE(YEAR(J$8),MONTH(J$8),Assumptions!$G42)&lt;=J$8
                        )
                      ),
                    "Yes","No"),
                  "No")
                )
              )
            )
          )
        )
      )
    )
  )
)</f>
        <v>No</v>
      </c>
      <c r="K30" s="59" t="str">
        <f>IF(
  Assumptions!$K42="Off",
  "No",
  IF(
    Assumptions!$F42="I will phase manually",
    "No",
    IF(
      Assumptions!$F42="Last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Assumptions!$F42="End of month",
        IF(
          OR(
            AND(EOMONTH(K$7,0)&gt;=K$7, EOMONTH(K$7,0)&lt;=K$8),
            AND(EOMONTH(K$8,0)&gt;=K$7, EOMONTH(K$8,0)&lt;=K$8)
          ),
        "Yes","No"),
        IF(
          Assumptions!$F42="Specific day of month",
          IF(
            OR(
              AND(DATE(YEAR(K$7),MONTH(K$7),Assumptions!$G42)&gt;=K$7, DATE(YEAR(K$7),MONTH(K$7),Assumptions!$G42)&lt;=K$8),
              AND(DATE(YEAR(K$8),MONTH(K$8),Assumptions!$G42)&gt;=K$7, DATE(YEAR(K$8),MONTH(K$8),Assumptions!$G42)&lt;=K$8)
            ),
          "Yes","No"),
          IF(
            Assumptions!$F42="Last X day of month",
            IF(
              AND(
                WEEKDAY(K$7,2)&lt;=MATCH(Assumptions!$J42,{"Monday","Tuesday","Wednesday","Thursday","Friday"},0),
                WEEKDAY(K$8,2)&gt;=MATCH(Assumptions!$J42,{"Monday","Tuesday","Wednesday","Thursday","Friday"},0),
                (K$7+(MATCH(Assumptions!$J42,{"Monday","Tuesday","Wednesday","Thursday","Friday"},0)-WEEKDAY(K$7,2)))+7&gt;EOMONTH((K$7+(MATCH(Assumptions!$J42,{"Monday","Tuesday","Wednesday","Thursday","Friday"},0)-WEEKDAY(K$7,2))),0)
              ),
            "Yes","No"),
            IF(
              Assumptions!$F42="Weekly",
              IF(
                AND(
                  WEEKDAY(K$7,2)&lt;=MATCH(Assumptions!$J42,{"Monday","Tuesday","Wednesday","Thursday","Friday"},0),
                  WEEKDAY(K$8,2)&gt;=MATCH(Assumptions!$J42,{"Monday","Tuesday","Wednesday","Thursday","Friday"},0)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AND(Assumptions!$I42&gt;=K$7, Assumptions!$I42&lt;=K$8),
                    AND(
                      Assumptions!$I42&lt;K$7,
                      MOD(INT((K$7-(Assumptions!$I42-WEEKDAY(Assumptions!$I42,2)+1))/7),2)=0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AND(Assumptions!$I42&gt;=K$7, Assumptions!$I42&lt;=K$8),
                      AND(
                        Assumptions!$I42&lt;K$7,
                        MOD(INT((K$7-(Assumptions!$I42-WEEKDAY(Assumptions!$I42,2)+1))/7),3)=0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ISNUMBER(MATCH(MONTH(K$7),IF(Assumptions!$H42="Jan / Apr / Jul / Oct",{1,4,7,10},IF(Assumptions!$H42="Feb / May / Aug / Nov",{2,5,8,11},{3,6,9,12})),0)),
                          DATE(YEAR(K$7),MONTH(K$7),Assumptions!$G42)&gt;=K$7,
                          DATE(YEAR(K$7),MONTH(K$7),Assumptions!$G42)&lt;=K$8
                        ),
                        AND(
                          ISNUMBER(MATCH(MONTH(K$8),IF(Assumptions!$H42="Jan / Apr / Jul / Oct",{1,4,7,10},IF(Assumptions!$H42="Feb / May / Aug / Nov",{2,5,8,11},{3,6,9,12})),0)),
                          DATE(YEAR(K$8),MONTH(K$8),Assumptions!$G42)&gt;=K$7,
                          DATE(YEAR(K$8),MONTH(K$8),Assumptions!$G42)&lt;=K$8
                        )
                      ),
                    "Yes","No"),
                  "No")
                )
              )
            )
          )
        )
      )
    )
  )
)</f>
        <v>No</v>
      </c>
      <c r="L30" s="59" t="str">
        <f>IF(
  Assumptions!$K42="Off",
  "No",
  IF(
    Assumptions!$F42="I will phase manually",
    "No",
    IF(
      Assumptions!$F42="Last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Assumptions!$F42="End of month",
        IF(
          OR(
            AND(EOMONTH(L$7,0)&gt;=L$7, EOMONTH(L$7,0)&lt;=L$8),
            AND(EOMONTH(L$8,0)&gt;=L$7, EOMONTH(L$8,0)&lt;=L$8)
          ),
        "Yes","No"),
        IF(
          Assumptions!$F42="Specific day of month",
          IF(
            OR(
              AND(DATE(YEAR(L$7),MONTH(L$7),Assumptions!$G42)&gt;=L$7, DATE(YEAR(L$7),MONTH(L$7),Assumptions!$G42)&lt;=L$8),
              AND(DATE(YEAR(L$8),MONTH(L$8),Assumptions!$G42)&gt;=L$7, DATE(YEAR(L$8),MONTH(L$8),Assumptions!$G42)&lt;=L$8)
            ),
          "Yes","No"),
          IF(
            Assumptions!$F42="Last X day of month",
            IF(
              AND(
                WEEKDAY(L$7,2)&lt;=MATCH(Assumptions!$J42,{"Monday","Tuesday","Wednesday","Thursday","Friday"},0),
                WEEKDAY(L$8,2)&gt;=MATCH(Assumptions!$J42,{"Monday","Tuesday","Wednesday","Thursday","Friday"},0),
                (L$7+(MATCH(Assumptions!$J42,{"Monday","Tuesday","Wednesday","Thursday","Friday"},0)-WEEKDAY(L$7,2)))+7&gt;EOMONTH((L$7+(MATCH(Assumptions!$J42,{"Monday","Tuesday","Wednesday","Thursday","Friday"},0)-WEEKDAY(L$7,2))),0)
              ),
            "Yes","No"),
            IF(
              Assumptions!$F42="Weekly",
              IF(
                AND(
                  WEEKDAY(L$7,2)&lt;=MATCH(Assumptions!$J42,{"Monday","Tuesday","Wednesday","Thursday","Friday"},0),
                  WEEKDAY(L$8,2)&gt;=MATCH(Assumptions!$J42,{"Monday","Tuesday","Wednesday","Thursday","Friday"},0)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AND(Assumptions!$I42&gt;=L$7, Assumptions!$I42&lt;=L$8),
                    AND(
                      Assumptions!$I42&lt;L$7,
                      MOD(INT((L$7-(Assumptions!$I42-WEEKDAY(Assumptions!$I42,2)+1))/7),2)=0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AND(Assumptions!$I42&gt;=L$7, Assumptions!$I42&lt;=L$8),
                      AND(
                        Assumptions!$I42&lt;L$7,
                        MOD(INT((L$7-(Assumptions!$I42-WEEKDAY(Assumptions!$I42,2)+1))/7),3)=0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ISNUMBER(MATCH(MONTH(L$7),IF(Assumptions!$H42="Jan / Apr / Jul / Oct",{1,4,7,10},IF(Assumptions!$H42="Feb / May / Aug / Nov",{2,5,8,11},{3,6,9,12})),0)),
                          DATE(YEAR(L$7),MONTH(L$7),Assumptions!$G42)&gt;=L$7,
                          DATE(YEAR(L$7),MONTH(L$7),Assumptions!$G42)&lt;=L$8
                        ),
                        AND(
                          ISNUMBER(MATCH(MONTH(L$8),IF(Assumptions!$H42="Jan / Apr / Jul / Oct",{1,4,7,10},IF(Assumptions!$H42="Feb / May / Aug / Nov",{2,5,8,11},{3,6,9,12})),0)),
                          DATE(YEAR(L$8),MONTH(L$8),Assumptions!$G42)&gt;=L$7,
                          DATE(YEAR(L$8),MONTH(L$8),Assumptions!$G42)&lt;=L$8
                        )
                      ),
                    "Yes","No"),
                  "No")
                )
              )
            )
          )
        )
      )
    )
  )
)</f>
        <v>No</v>
      </c>
      <c r="M30" s="59" t="str">
        <f>IF(
  Assumptions!$K42="Off",
  "No",
  IF(
    Assumptions!$F42="I will phase manually",
    "No",
    IF(
      Assumptions!$F42="Last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Assumptions!$F42="End of month",
        IF(
          OR(
            AND(EOMONTH(M$7,0)&gt;=M$7, EOMONTH(M$7,0)&lt;=M$8),
            AND(EOMONTH(M$8,0)&gt;=M$7, EOMONTH(M$8,0)&lt;=M$8)
          ),
        "Yes","No"),
        IF(
          Assumptions!$F42="Specific day of month",
          IF(
            OR(
              AND(DATE(YEAR(M$7),MONTH(M$7),Assumptions!$G42)&gt;=M$7, DATE(YEAR(M$7),MONTH(M$7),Assumptions!$G42)&lt;=M$8),
              AND(DATE(YEAR(M$8),MONTH(M$8),Assumptions!$G42)&gt;=M$7, DATE(YEAR(M$8),MONTH(M$8),Assumptions!$G42)&lt;=M$8)
            ),
          "Yes","No"),
          IF(
            Assumptions!$F42="Last X day of month",
            IF(
              AND(
                WEEKDAY(M$7,2)&lt;=MATCH(Assumptions!$J42,{"Monday","Tuesday","Wednesday","Thursday","Friday"},0),
                WEEKDAY(M$8,2)&gt;=MATCH(Assumptions!$J42,{"Monday","Tuesday","Wednesday","Thursday","Friday"},0),
                (M$7+(MATCH(Assumptions!$J42,{"Monday","Tuesday","Wednesday","Thursday","Friday"},0)-WEEKDAY(M$7,2)))+7&gt;EOMONTH((M$7+(MATCH(Assumptions!$J42,{"Monday","Tuesday","Wednesday","Thursday","Friday"},0)-WEEKDAY(M$7,2))),0)
              ),
            "Yes","No"),
            IF(
              Assumptions!$F42="Weekly",
              IF(
                AND(
                  WEEKDAY(M$7,2)&lt;=MATCH(Assumptions!$J42,{"Monday","Tuesday","Wednesday","Thursday","Friday"},0),
                  WEEKDAY(M$8,2)&gt;=MATCH(Assumptions!$J42,{"Monday","Tuesday","Wednesday","Thursday","Friday"},0)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AND(Assumptions!$I42&gt;=M$7, Assumptions!$I42&lt;=M$8),
                    AND(
                      Assumptions!$I42&lt;M$7,
                      MOD(INT((M$7-(Assumptions!$I42-WEEKDAY(Assumptions!$I42,2)+1))/7),2)=0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AND(Assumptions!$I42&gt;=M$7, Assumptions!$I42&lt;=M$8),
                      AND(
                        Assumptions!$I42&lt;M$7,
                        MOD(INT((M$7-(Assumptions!$I42-WEEKDAY(Assumptions!$I42,2)+1))/7),3)=0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ISNUMBER(MATCH(MONTH(M$7),IF(Assumptions!$H42="Jan / Apr / Jul / Oct",{1,4,7,10},IF(Assumptions!$H42="Feb / May / Aug / Nov",{2,5,8,11},{3,6,9,12})),0)),
                          DATE(YEAR(M$7),MONTH(M$7),Assumptions!$G42)&gt;=M$7,
                          DATE(YEAR(M$7),MONTH(M$7),Assumptions!$G42)&lt;=M$8
                        ),
                        AND(
                          ISNUMBER(MATCH(MONTH(M$8),IF(Assumptions!$H42="Jan / Apr / Jul / Oct",{1,4,7,10},IF(Assumptions!$H42="Feb / May / Aug / Nov",{2,5,8,11},{3,6,9,12})),0)),
                          DATE(YEAR(M$8),MONTH(M$8),Assumptions!$G42)&gt;=M$7,
                          DATE(YEAR(M$8),MONTH(M$8),Assumptions!$G42)&lt;=M$8
                        )
                      ),
                    "Yes","No"),
                  "No")
                )
              )
            )
          )
        )
      )
    )
  )
)</f>
        <v>No</v>
      </c>
      <c r="N30" s="59" t="str">
        <f>IF(
  Assumptions!$K42="Off",
  "No",
  IF(
    Assumptions!$F42="I will phase manually",
    "No",
    IF(
      Assumptions!$F42="Last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Assumptions!$F42="End of month",
        IF(
          OR(
            AND(EOMONTH(N$7,0)&gt;=N$7, EOMONTH(N$7,0)&lt;=N$8),
            AND(EOMONTH(N$8,0)&gt;=N$7, EOMONTH(N$8,0)&lt;=N$8)
          ),
        "Yes","No"),
        IF(
          Assumptions!$F42="Specific day of month",
          IF(
            OR(
              AND(DATE(YEAR(N$7),MONTH(N$7),Assumptions!$G42)&gt;=N$7, DATE(YEAR(N$7),MONTH(N$7),Assumptions!$G42)&lt;=N$8),
              AND(DATE(YEAR(N$8),MONTH(N$8),Assumptions!$G42)&gt;=N$7, DATE(YEAR(N$8),MONTH(N$8),Assumptions!$G42)&lt;=N$8)
            ),
          "Yes","No"),
          IF(
            Assumptions!$F42="Last X day of month",
            IF(
              AND(
                WEEKDAY(N$7,2)&lt;=MATCH(Assumptions!$J42,{"Monday","Tuesday","Wednesday","Thursday","Friday"},0),
                WEEKDAY(N$8,2)&gt;=MATCH(Assumptions!$J42,{"Monday","Tuesday","Wednesday","Thursday","Friday"},0),
                (N$7+(MATCH(Assumptions!$J42,{"Monday","Tuesday","Wednesday","Thursday","Friday"},0)-WEEKDAY(N$7,2)))+7&gt;EOMONTH((N$7+(MATCH(Assumptions!$J42,{"Monday","Tuesday","Wednesday","Thursday","Friday"},0)-WEEKDAY(N$7,2))),0)
              ),
            "Yes","No"),
            IF(
              Assumptions!$F42="Weekly",
              IF(
                AND(
                  WEEKDAY(N$7,2)&lt;=MATCH(Assumptions!$J42,{"Monday","Tuesday","Wednesday","Thursday","Friday"},0),
                  WEEKDAY(N$8,2)&gt;=MATCH(Assumptions!$J42,{"Monday","Tuesday","Wednesday","Thursday","Friday"},0)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AND(Assumptions!$I42&gt;=N$7, Assumptions!$I42&lt;=N$8),
                    AND(
                      Assumptions!$I42&lt;N$7,
                      MOD(INT((N$7-(Assumptions!$I42-WEEKDAY(Assumptions!$I42,2)+1))/7),2)=0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AND(Assumptions!$I42&gt;=N$7, Assumptions!$I42&lt;=N$8),
                      AND(
                        Assumptions!$I42&lt;N$7,
                        MOD(INT((N$7-(Assumptions!$I42-WEEKDAY(Assumptions!$I42,2)+1))/7),3)=0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ISNUMBER(MATCH(MONTH(N$7),IF(Assumptions!$H42="Jan / Apr / Jul / Oct",{1,4,7,10},IF(Assumptions!$H42="Feb / May / Aug / Nov",{2,5,8,11},{3,6,9,12})),0)),
                          DATE(YEAR(N$7),MONTH(N$7),Assumptions!$G42)&gt;=N$7,
                          DATE(YEAR(N$7),MONTH(N$7),Assumptions!$G42)&lt;=N$8
                        ),
                        AND(
                          ISNUMBER(MATCH(MONTH(N$8),IF(Assumptions!$H42="Jan / Apr / Jul / Oct",{1,4,7,10},IF(Assumptions!$H42="Feb / May / Aug / Nov",{2,5,8,11},{3,6,9,12})),0)),
                          DATE(YEAR(N$8),MONTH(N$8),Assumptions!$G42)&gt;=N$7,
                          DATE(YEAR(N$8),MONTH(N$8),Assumptions!$G42)&lt;=N$8
                        )
                      ),
                    "Yes","No"),
                  "No")
                )
              )
            )
          )
        )
      )
    )
  )
)</f>
        <v>No</v>
      </c>
      <c r="O30" s="59" t="str">
        <f>IF(
  Assumptions!$K42="Off",
  "No",
  IF(
    Assumptions!$F42="I will phase manually",
    "No",
    IF(
      Assumptions!$F42="Last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Assumptions!$F42="End of month",
        IF(
          OR(
            AND(EOMONTH(O$7,0)&gt;=O$7, EOMONTH(O$7,0)&lt;=O$8),
            AND(EOMONTH(O$8,0)&gt;=O$7, EOMONTH(O$8,0)&lt;=O$8)
          ),
        "Yes","No"),
        IF(
          Assumptions!$F42="Specific day of month",
          IF(
            OR(
              AND(DATE(YEAR(O$7),MONTH(O$7),Assumptions!$G42)&gt;=O$7, DATE(YEAR(O$7),MONTH(O$7),Assumptions!$G42)&lt;=O$8),
              AND(DATE(YEAR(O$8),MONTH(O$8),Assumptions!$G42)&gt;=O$7, DATE(YEAR(O$8),MONTH(O$8),Assumptions!$G42)&lt;=O$8)
            ),
          "Yes","No"),
          IF(
            Assumptions!$F42="Last X day of month",
            IF(
              AND(
                WEEKDAY(O$7,2)&lt;=MATCH(Assumptions!$J42,{"Monday","Tuesday","Wednesday","Thursday","Friday"},0),
                WEEKDAY(O$8,2)&gt;=MATCH(Assumptions!$J42,{"Monday","Tuesday","Wednesday","Thursday","Friday"},0),
                (O$7+(MATCH(Assumptions!$J42,{"Monday","Tuesday","Wednesday","Thursday","Friday"},0)-WEEKDAY(O$7,2)))+7&gt;EOMONTH((O$7+(MATCH(Assumptions!$J42,{"Monday","Tuesday","Wednesday","Thursday","Friday"},0)-WEEKDAY(O$7,2))),0)
              ),
            "Yes","No"),
            IF(
              Assumptions!$F42="Weekly",
              IF(
                AND(
                  WEEKDAY(O$7,2)&lt;=MATCH(Assumptions!$J42,{"Monday","Tuesday","Wednesday","Thursday","Friday"},0),
                  WEEKDAY(O$8,2)&gt;=MATCH(Assumptions!$J42,{"Monday","Tuesday","Wednesday","Thursday","Friday"},0)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AND(Assumptions!$I42&gt;=O$7, Assumptions!$I42&lt;=O$8),
                    AND(
                      Assumptions!$I42&lt;O$7,
                      MOD(INT((O$7-(Assumptions!$I42-WEEKDAY(Assumptions!$I42,2)+1))/7),2)=0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AND(Assumptions!$I42&gt;=O$7, Assumptions!$I42&lt;=O$8),
                      AND(
                        Assumptions!$I42&lt;O$7,
                        MOD(INT((O$7-(Assumptions!$I42-WEEKDAY(Assumptions!$I42,2)+1))/7),3)=0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ISNUMBER(MATCH(MONTH(O$7),IF(Assumptions!$H42="Jan / Apr / Jul / Oct",{1,4,7,10},IF(Assumptions!$H42="Feb / May / Aug / Nov",{2,5,8,11},{3,6,9,12})),0)),
                          DATE(YEAR(O$7),MONTH(O$7),Assumptions!$G42)&gt;=O$7,
                          DATE(YEAR(O$7),MONTH(O$7),Assumptions!$G42)&lt;=O$8
                        ),
                        AND(
                          ISNUMBER(MATCH(MONTH(O$8),IF(Assumptions!$H42="Jan / Apr / Jul / Oct",{1,4,7,10},IF(Assumptions!$H42="Feb / May / Aug / Nov",{2,5,8,11},{3,6,9,12})),0)),
                          DATE(YEAR(O$8),MONTH(O$8),Assumptions!$G42)&gt;=O$7,
                          DATE(YEAR(O$8),MONTH(O$8),Assumptions!$G42)&lt;=O$8
                        )
                      ),
                    "Yes","No"),
                  "No")
                )
              )
            )
          )
        )
      )
    )
  )
)</f>
        <v>No</v>
      </c>
      <c r="P30" s="59" t="str">
        <f>IF(
  Assumptions!$K42="Off",
  "No",
  IF(
    Assumptions!$F42="I will phase manually",
    "No",
    IF(
      Assumptions!$F42="Last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Assumptions!$F42="End of month",
        IF(
          OR(
            AND(EOMONTH(P$7,0)&gt;=P$7, EOMONTH(P$7,0)&lt;=P$8),
            AND(EOMONTH(P$8,0)&gt;=P$7, EOMONTH(P$8,0)&lt;=P$8)
          ),
        "Yes","No"),
        IF(
          Assumptions!$F42="Specific day of month",
          IF(
            OR(
              AND(DATE(YEAR(P$7),MONTH(P$7),Assumptions!$G42)&gt;=P$7, DATE(YEAR(P$7),MONTH(P$7),Assumptions!$G42)&lt;=P$8),
              AND(DATE(YEAR(P$8),MONTH(P$8),Assumptions!$G42)&gt;=P$7, DATE(YEAR(P$8),MONTH(P$8),Assumptions!$G42)&lt;=P$8)
            ),
          "Yes","No"),
          IF(
            Assumptions!$F42="Last X day of month",
            IF(
              AND(
                WEEKDAY(P$7,2)&lt;=MATCH(Assumptions!$J42,{"Monday","Tuesday","Wednesday","Thursday","Friday"},0),
                WEEKDAY(P$8,2)&gt;=MATCH(Assumptions!$J42,{"Monday","Tuesday","Wednesday","Thursday","Friday"},0),
                (P$7+(MATCH(Assumptions!$J42,{"Monday","Tuesday","Wednesday","Thursday","Friday"},0)-WEEKDAY(P$7,2)))+7&gt;EOMONTH((P$7+(MATCH(Assumptions!$J42,{"Monday","Tuesday","Wednesday","Thursday","Friday"},0)-WEEKDAY(P$7,2))),0)
              ),
            "Yes","No"),
            IF(
              Assumptions!$F42="Weekly",
              IF(
                AND(
                  WEEKDAY(P$7,2)&lt;=MATCH(Assumptions!$J42,{"Monday","Tuesday","Wednesday","Thursday","Friday"},0),
                  WEEKDAY(P$8,2)&gt;=MATCH(Assumptions!$J42,{"Monday","Tuesday","Wednesday","Thursday","Friday"},0)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AND(Assumptions!$I42&gt;=P$7, Assumptions!$I42&lt;=P$8),
                    AND(
                      Assumptions!$I42&lt;P$7,
                      MOD(INT((P$7-(Assumptions!$I42-WEEKDAY(Assumptions!$I42,2)+1))/7),2)=0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AND(Assumptions!$I42&gt;=P$7, Assumptions!$I42&lt;=P$8),
                      AND(
                        Assumptions!$I42&lt;P$7,
                        MOD(INT((P$7-(Assumptions!$I42-WEEKDAY(Assumptions!$I42,2)+1))/7),3)=0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ISNUMBER(MATCH(MONTH(P$7),IF(Assumptions!$H42="Jan / Apr / Jul / Oct",{1,4,7,10},IF(Assumptions!$H42="Feb / May / Aug / Nov",{2,5,8,11},{3,6,9,12})),0)),
                          DATE(YEAR(P$7),MONTH(P$7),Assumptions!$G42)&gt;=P$7,
                          DATE(YEAR(P$7),MONTH(P$7),Assumptions!$G42)&lt;=P$8
                        ),
                        AND(
                          ISNUMBER(MATCH(MONTH(P$8),IF(Assumptions!$H42="Jan / Apr / Jul / Oct",{1,4,7,10},IF(Assumptions!$H42="Feb / May / Aug / Nov",{2,5,8,11},{3,6,9,12})),0)),
                          DATE(YEAR(P$8),MONTH(P$8),Assumptions!$G42)&gt;=P$7,
                          DATE(YEAR(P$8),MONTH(P$8),Assumptions!$G42)&lt;=P$8
                        )
                      ),
                    "Yes","No"),
                  "No")
                )
              )
            )
          )
        )
      )
    )
  )
)</f>
        <v>No</v>
      </c>
      <c r="Q30" s="59" t="str">
        <f>IF(
  Assumptions!$K42="Off",
  "No",
  IF(
    Assumptions!$F42="I will phase manually",
    "No",
    IF(
      Assumptions!$F42="Last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Assumptions!$F42="End of month",
        IF(
          OR(
            AND(EOMONTH(Q$7,0)&gt;=Q$7, EOMONTH(Q$7,0)&lt;=Q$8),
            AND(EOMONTH(Q$8,0)&gt;=Q$7, EOMONTH(Q$8,0)&lt;=Q$8)
          ),
        "Yes","No"),
        IF(
          Assumptions!$F42="Specific day of month",
          IF(
            OR(
              AND(DATE(YEAR(Q$7),MONTH(Q$7),Assumptions!$G42)&gt;=Q$7, DATE(YEAR(Q$7),MONTH(Q$7),Assumptions!$G42)&lt;=Q$8),
              AND(DATE(YEAR(Q$8),MONTH(Q$8),Assumptions!$G42)&gt;=Q$7, DATE(YEAR(Q$8),MONTH(Q$8),Assumptions!$G42)&lt;=Q$8)
            ),
          "Yes","No"),
          IF(
            Assumptions!$F42="Last X day of month",
            IF(
              AND(
                WEEKDAY(Q$7,2)&lt;=MATCH(Assumptions!$J42,{"Monday","Tuesday","Wednesday","Thursday","Friday"},0),
                WEEKDAY(Q$8,2)&gt;=MATCH(Assumptions!$J42,{"Monday","Tuesday","Wednesday","Thursday","Friday"},0),
                (Q$7+(MATCH(Assumptions!$J42,{"Monday","Tuesday","Wednesday","Thursday","Friday"},0)-WEEKDAY(Q$7,2)))+7&gt;EOMONTH((Q$7+(MATCH(Assumptions!$J42,{"Monday","Tuesday","Wednesday","Thursday","Friday"},0)-WEEKDAY(Q$7,2))),0)
              ),
            "Yes","No"),
            IF(
              Assumptions!$F42="Weekly",
              IF(
                AND(
                  WEEKDAY(Q$7,2)&lt;=MATCH(Assumptions!$J42,{"Monday","Tuesday","Wednesday","Thursday","Friday"},0),
                  WEEKDAY(Q$8,2)&gt;=MATCH(Assumptions!$J42,{"Monday","Tuesday","Wednesday","Thursday","Friday"},0)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AND(Assumptions!$I42&gt;=Q$7, Assumptions!$I42&lt;=Q$8),
                    AND(
                      Assumptions!$I42&lt;Q$7,
                      MOD(INT((Q$7-(Assumptions!$I42-WEEKDAY(Assumptions!$I42,2)+1))/7),2)=0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AND(Assumptions!$I42&gt;=Q$7, Assumptions!$I42&lt;=Q$8),
                      AND(
                        Assumptions!$I42&lt;Q$7,
                        MOD(INT((Q$7-(Assumptions!$I42-WEEKDAY(Assumptions!$I42,2)+1))/7),3)=0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ISNUMBER(MATCH(MONTH(Q$7),IF(Assumptions!$H42="Jan / Apr / Jul / Oct",{1,4,7,10},IF(Assumptions!$H42="Feb / May / Aug / Nov",{2,5,8,11},{3,6,9,12})),0)),
                          DATE(YEAR(Q$7),MONTH(Q$7),Assumptions!$G42)&gt;=Q$7,
                          DATE(YEAR(Q$7),MONTH(Q$7),Assumptions!$G42)&lt;=Q$8
                        ),
                        AND(
                          ISNUMBER(MATCH(MONTH(Q$8),IF(Assumptions!$H42="Jan / Apr / Jul / Oct",{1,4,7,10},IF(Assumptions!$H42="Feb / May / Aug / Nov",{2,5,8,11},{3,6,9,12})),0)),
                          DATE(YEAR(Q$8),MONTH(Q$8),Assumptions!$G42)&gt;=Q$7,
                          DATE(YEAR(Q$8),MONTH(Q$8),Assumptions!$G42)&lt;=Q$8
                        )
                      ),
                    "Yes","No"),
                  "No")
                )
              )
            )
          )
        )
      )
    )
  )
)</f>
        <v>No</v>
      </c>
      <c r="R30" s="59" t="str">
        <f>IF(
  Assumptions!$K42="Off",
  "No",
  IF(
    Assumptions!$F42="I will phase manually",
    "No",
    IF(
      Assumptions!$F42="Last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Assumptions!$F42="End of month",
        IF(
          OR(
            AND(EOMONTH(R$7,0)&gt;=R$7, EOMONTH(R$7,0)&lt;=R$8),
            AND(EOMONTH(R$8,0)&gt;=R$7, EOMONTH(R$8,0)&lt;=R$8)
          ),
        "Yes","No"),
        IF(
          Assumptions!$F42="Specific day of month",
          IF(
            OR(
              AND(DATE(YEAR(R$7),MONTH(R$7),Assumptions!$G42)&gt;=R$7, DATE(YEAR(R$7),MONTH(R$7),Assumptions!$G42)&lt;=R$8),
              AND(DATE(YEAR(R$8),MONTH(R$8),Assumptions!$G42)&gt;=R$7, DATE(YEAR(R$8),MONTH(R$8),Assumptions!$G42)&lt;=R$8)
            ),
          "Yes","No"),
          IF(
            Assumptions!$F42="Last X day of month",
            IF(
              AND(
                WEEKDAY(R$7,2)&lt;=MATCH(Assumptions!$J42,{"Monday","Tuesday","Wednesday","Thursday","Friday"},0),
                WEEKDAY(R$8,2)&gt;=MATCH(Assumptions!$J42,{"Monday","Tuesday","Wednesday","Thursday","Friday"},0),
                (R$7+(MATCH(Assumptions!$J42,{"Monday","Tuesday","Wednesday","Thursday","Friday"},0)-WEEKDAY(R$7,2)))+7&gt;EOMONTH((R$7+(MATCH(Assumptions!$J42,{"Monday","Tuesday","Wednesday","Thursday","Friday"},0)-WEEKDAY(R$7,2))),0)
              ),
            "Yes","No"),
            IF(
              Assumptions!$F42="Weekly",
              IF(
                AND(
                  WEEKDAY(R$7,2)&lt;=MATCH(Assumptions!$J42,{"Monday","Tuesday","Wednesday","Thursday","Friday"},0),
                  WEEKDAY(R$8,2)&gt;=MATCH(Assumptions!$J42,{"Monday","Tuesday","Wednesday","Thursday","Friday"},0)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AND(Assumptions!$I42&gt;=R$7, Assumptions!$I42&lt;=R$8),
                    AND(
                      Assumptions!$I42&lt;R$7,
                      MOD(INT((R$7-(Assumptions!$I42-WEEKDAY(Assumptions!$I42,2)+1))/7),2)=0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AND(Assumptions!$I42&gt;=R$7, Assumptions!$I42&lt;=R$8),
                      AND(
                        Assumptions!$I42&lt;R$7,
                        MOD(INT((R$7-(Assumptions!$I42-WEEKDAY(Assumptions!$I42,2)+1))/7),3)=0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ISNUMBER(MATCH(MONTH(R$7),IF(Assumptions!$H42="Jan / Apr / Jul / Oct",{1,4,7,10},IF(Assumptions!$H42="Feb / May / Aug / Nov",{2,5,8,11},{3,6,9,12})),0)),
                          DATE(YEAR(R$7),MONTH(R$7),Assumptions!$G42)&gt;=R$7,
                          DATE(YEAR(R$7),MONTH(R$7),Assumptions!$G42)&lt;=R$8
                        ),
                        AND(
                          ISNUMBER(MATCH(MONTH(R$8),IF(Assumptions!$H42="Jan / Apr / Jul / Oct",{1,4,7,10},IF(Assumptions!$H42="Feb / May / Aug / Nov",{2,5,8,11},{3,6,9,12})),0)),
                          DATE(YEAR(R$8),MONTH(R$8),Assumptions!$G42)&gt;=R$7,
                          DATE(YEAR(R$8),MONTH(R$8),Assumptions!$G42)&lt;=R$8
                        )
                      ),
                    "Yes","No"),
                  "No")
                )
              )
            )
          )
        )
      )
    )
  )
)</f>
        <v>No</v>
      </c>
      <c r="S30" s="59" t="str">
        <f>IF(
  Assumptions!$K42="Off",
  "No",
  IF(
    Assumptions!$F42="I will phase manually",
    "No",
    IF(
      Assumptions!$F42="Last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Assumptions!$F42="End of month",
        IF(
          OR(
            AND(EOMONTH(S$7,0)&gt;=S$7, EOMONTH(S$7,0)&lt;=S$8),
            AND(EOMONTH(S$8,0)&gt;=S$7, EOMONTH(S$8,0)&lt;=S$8)
          ),
        "Yes","No"),
        IF(
          Assumptions!$F42="Specific day of month",
          IF(
            OR(
              AND(DATE(YEAR(S$7),MONTH(S$7),Assumptions!$G42)&gt;=S$7, DATE(YEAR(S$7),MONTH(S$7),Assumptions!$G42)&lt;=S$8),
              AND(DATE(YEAR(S$8),MONTH(S$8),Assumptions!$G42)&gt;=S$7, DATE(YEAR(S$8),MONTH(S$8),Assumptions!$G42)&lt;=S$8)
            ),
          "Yes","No"),
          IF(
            Assumptions!$F42="Last X day of month",
            IF(
              AND(
                WEEKDAY(S$7,2)&lt;=MATCH(Assumptions!$J42,{"Monday","Tuesday","Wednesday","Thursday","Friday"},0),
                WEEKDAY(S$8,2)&gt;=MATCH(Assumptions!$J42,{"Monday","Tuesday","Wednesday","Thursday","Friday"},0),
                (S$7+(MATCH(Assumptions!$J42,{"Monday","Tuesday","Wednesday","Thursday","Friday"},0)-WEEKDAY(S$7,2)))+7&gt;EOMONTH((S$7+(MATCH(Assumptions!$J42,{"Monday","Tuesday","Wednesday","Thursday","Friday"},0)-WEEKDAY(S$7,2))),0)
              ),
            "Yes","No"),
            IF(
              Assumptions!$F42="Weekly",
              IF(
                AND(
                  WEEKDAY(S$7,2)&lt;=MATCH(Assumptions!$J42,{"Monday","Tuesday","Wednesday","Thursday","Friday"},0),
                  WEEKDAY(S$8,2)&gt;=MATCH(Assumptions!$J42,{"Monday","Tuesday","Wednesday","Thursday","Friday"},0)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AND(Assumptions!$I42&gt;=S$7, Assumptions!$I42&lt;=S$8),
                    AND(
                      Assumptions!$I42&lt;S$7,
                      MOD(INT((S$7-(Assumptions!$I42-WEEKDAY(Assumptions!$I42,2)+1))/7),2)=0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AND(Assumptions!$I42&gt;=S$7, Assumptions!$I42&lt;=S$8),
                      AND(
                        Assumptions!$I42&lt;S$7,
                        MOD(INT((S$7-(Assumptions!$I42-WEEKDAY(Assumptions!$I42,2)+1))/7),3)=0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ISNUMBER(MATCH(MONTH(S$7),IF(Assumptions!$H42="Jan / Apr / Jul / Oct",{1,4,7,10},IF(Assumptions!$H42="Feb / May / Aug / Nov",{2,5,8,11},{3,6,9,12})),0)),
                          DATE(YEAR(S$7),MONTH(S$7),Assumptions!$G42)&gt;=S$7,
                          DATE(YEAR(S$7),MONTH(S$7),Assumptions!$G42)&lt;=S$8
                        ),
                        AND(
                          ISNUMBER(MATCH(MONTH(S$8),IF(Assumptions!$H42="Jan / Apr / Jul / Oct",{1,4,7,10},IF(Assumptions!$H42="Feb / May / Aug / Nov",{2,5,8,11},{3,6,9,12})),0)),
                          DATE(YEAR(S$8),MONTH(S$8),Assumptions!$G42)&gt;=S$7,
                          DATE(YEAR(S$8),MONTH(S$8),Assumptions!$G42)&lt;=S$8
                        )
                      ),
                    "Yes","No"),
                  "No")
                )
              )
            )
          )
        )
      )
    )
  )
)</f>
        <v>No</v>
      </c>
      <c r="T30" s="59" t="s">
        <v>124</v>
      </c>
    </row>
    <row r="31" spans="3:20" hidden="1" outlineLevel="1" x14ac:dyDescent="0.25">
      <c r="C31" s="58">
        <f>Assumptions!D43</f>
        <v>0</v>
      </c>
      <c r="D31" s="58"/>
      <c r="E31" s="58"/>
      <c r="F31" s="58"/>
      <c r="G31" s="59" t="str">
        <f>IF(
  Assumptions!$K43="Off",
  "No",
  IF(
    Assumptions!$F43="I will phase manually",
    "No",
    IF(
      Assumptions!$F43="Last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Assumptions!$F43="End of month",
        IF(
          OR(
            AND(EOMONTH(G$7,0)&gt;=G$7, EOMONTH(G$7,0)&lt;=G$8),
            AND(EOMONTH(G$8,0)&gt;=G$7, EOMONTH(G$8,0)&lt;=G$8)
          ),
        "Yes","No"),
        IF(
          Assumptions!$F43="Specific day of month",
          IF(
            OR(
              AND(DATE(YEAR(G$7),MONTH(G$7),Assumptions!$G43)&gt;=G$7, DATE(YEAR(G$7),MONTH(G$7),Assumptions!$G43)&lt;=G$8),
              AND(DATE(YEAR(G$8),MONTH(G$8),Assumptions!$G43)&gt;=G$7, DATE(YEAR(G$8),MONTH(G$8),Assumptions!$G43)&lt;=G$8)
            ),
          "Yes","No"),
          IF(
            Assumptions!$F43="Last X day of month",
            IF(
              AND(
                WEEKDAY(G$7,2)&lt;=MATCH(Assumptions!$J43,{"Monday","Tuesday","Wednesday","Thursday","Friday"},0),
                WEEKDAY(G$8,2)&gt;=MATCH(Assumptions!$J43,{"Monday","Tuesday","Wednesday","Thursday","Friday"},0),
                (G$7+(MATCH(Assumptions!$J43,{"Monday","Tuesday","Wednesday","Thursday","Friday"},0)-WEEKDAY(G$7,2)))+7&gt;EOMONTH((G$7+(MATCH(Assumptions!$J43,{"Monday","Tuesday","Wednesday","Thursday","Friday"},0)-WEEKDAY(G$7,2))),0)
              ),
            "Yes","No"),
            IF(
              Assumptions!$F43="Weekly",
              IF(
                AND(
                  WEEKDAY(G$7,2)&lt;=MATCH(Assumptions!$J43,{"Monday","Tuesday","Wednesday","Thursday","Friday"},0),
                  WEEKDAY(G$8,2)&gt;=MATCH(Assumptions!$J43,{"Monday","Tuesday","Wednesday","Thursday","Friday"},0)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AND(Assumptions!$I43&gt;=G$7, Assumptions!$I43&lt;=G$8),
                    AND(
                      Assumptions!$I43&lt;G$7,
                      MOD(INT((G$7-(Assumptions!$I43-WEEKDAY(Assumptions!$I43,2)+1))/7),2)=0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AND(Assumptions!$I43&gt;=G$7, Assumptions!$I43&lt;=G$8),
                      AND(
                        Assumptions!$I43&lt;G$7,
                        MOD(INT((G$7-(Assumptions!$I43-WEEKDAY(Assumptions!$I43,2)+1))/7),3)=0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ISNUMBER(MATCH(MONTH(G$7),IF(Assumptions!$H43="Jan / Apr / Jul / Oct",{1,4,7,10},IF(Assumptions!$H43="Feb / May / Aug / Nov",{2,5,8,11},{3,6,9,12})),0)),
                          DATE(YEAR(G$7),MONTH(G$7),Assumptions!$G43)&gt;=G$7,
                          DATE(YEAR(G$7),MONTH(G$7),Assumptions!$G43)&lt;=G$8
                        ),
                        AND(
                          ISNUMBER(MATCH(MONTH(G$8),IF(Assumptions!$H43="Jan / Apr / Jul / Oct",{1,4,7,10},IF(Assumptions!$H43="Feb / May / Aug / Nov",{2,5,8,11},{3,6,9,12})),0)),
                          DATE(YEAR(G$8),MONTH(G$8),Assumptions!$G43)&gt;=G$7,
                          DATE(YEAR(G$8),MONTH(G$8),Assumptions!$G43)&lt;=G$8
                        )
                      ),
                    "Yes","No"),
                  "No")
                )
              )
            )
          )
        )
      )
    )
  )
)</f>
        <v>No</v>
      </c>
      <c r="H31" s="59" t="str">
        <f>IF(
  Assumptions!$K43="Off",
  "No",
  IF(
    Assumptions!$F43="I will phase manually",
    "No",
    IF(
      Assumptions!$F43="Last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Assumptions!$F43="End of month",
        IF(
          OR(
            AND(EOMONTH(H$7,0)&gt;=H$7, EOMONTH(H$7,0)&lt;=H$8),
            AND(EOMONTH(H$8,0)&gt;=H$7, EOMONTH(H$8,0)&lt;=H$8)
          ),
        "Yes","No"),
        IF(
          Assumptions!$F43="Specific day of month",
          IF(
            OR(
              AND(DATE(YEAR(H$7),MONTH(H$7),Assumptions!$G43)&gt;=H$7, DATE(YEAR(H$7),MONTH(H$7),Assumptions!$G43)&lt;=H$8),
              AND(DATE(YEAR(H$8),MONTH(H$8),Assumptions!$G43)&gt;=H$7, DATE(YEAR(H$8),MONTH(H$8),Assumptions!$G43)&lt;=H$8)
            ),
          "Yes","No"),
          IF(
            Assumptions!$F43="Last X day of month",
            IF(
              AND(
                WEEKDAY(H$7,2)&lt;=MATCH(Assumptions!$J43,{"Monday","Tuesday","Wednesday","Thursday","Friday"},0),
                WEEKDAY(H$8,2)&gt;=MATCH(Assumptions!$J43,{"Monday","Tuesday","Wednesday","Thursday","Friday"},0),
                (H$7+(MATCH(Assumptions!$J43,{"Monday","Tuesday","Wednesday","Thursday","Friday"},0)-WEEKDAY(H$7,2)))+7&gt;EOMONTH((H$7+(MATCH(Assumptions!$J43,{"Monday","Tuesday","Wednesday","Thursday","Friday"},0)-WEEKDAY(H$7,2))),0)
              ),
            "Yes","No"),
            IF(
              Assumptions!$F43="Weekly",
              IF(
                AND(
                  WEEKDAY(H$7,2)&lt;=MATCH(Assumptions!$J43,{"Monday","Tuesday","Wednesday","Thursday","Friday"},0),
                  WEEKDAY(H$8,2)&gt;=MATCH(Assumptions!$J43,{"Monday","Tuesday","Wednesday","Thursday","Friday"},0)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AND(Assumptions!$I43&gt;=H$7, Assumptions!$I43&lt;=H$8),
                    AND(
                      Assumptions!$I43&lt;H$7,
                      MOD(INT((H$7-(Assumptions!$I43-WEEKDAY(Assumptions!$I43,2)+1))/7),2)=0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AND(Assumptions!$I43&gt;=H$7, Assumptions!$I43&lt;=H$8),
                      AND(
                        Assumptions!$I43&lt;H$7,
                        MOD(INT((H$7-(Assumptions!$I43-WEEKDAY(Assumptions!$I43,2)+1))/7),3)=0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ISNUMBER(MATCH(MONTH(H$7),IF(Assumptions!$H43="Jan / Apr / Jul / Oct",{1,4,7,10},IF(Assumptions!$H43="Feb / May / Aug / Nov",{2,5,8,11},{3,6,9,12})),0)),
                          DATE(YEAR(H$7),MONTH(H$7),Assumptions!$G43)&gt;=H$7,
                          DATE(YEAR(H$7),MONTH(H$7),Assumptions!$G43)&lt;=H$8
                        ),
                        AND(
                          ISNUMBER(MATCH(MONTH(H$8),IF(Assumptions!$H43="Jan / Apr / Jul / Oct",{1,4,7,10},IF(Assumptions!$H43="Feb / May / Aug / Nov",{2,5,8,11},{3,6,9,12})),0)),
                          DATE(YEAR(H$8),MONTH(H$8),Assumptions!$G43)&gt;=H$7,
                          DATE(YEAR(H$8),MONTH(H$8),Assumptions!$G43)&lt;=H$8
                        )
                      ),
                    "Yes","No"),
                  "No")
                )
              )
            )
          )
        )
      )
    )
  )
)</f>
        <v>No</v>
      </c>
      <c r="I31" s="59" t="str">
        <f>IF(
  Assumptions!$K43="Off",
  "No",
  IF(
    Assumptions!$F43="I will phase manually",
    "No",
    IF(
      Assumptions!$F43="Last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Assumptions!$F43="End of month",
        IF(
          OR(
            AND(EOMONTH(I$7,0)&gt;=I$7, EOMONTH(I$7,0)&lt;=I$8),
            AND(EOMONTH(I$8,0)&gt;=I$7, EOMONTH(I$8,0)&lt;=I$8)
          ),
        "Yes","No"),
        IF(
          Assumptions!$F43="Specific day of month",
          IF(
            OR(
              AND(DATE(YEAR(I$7),MONTH(I$7),Assumptions!$G43)&gt;=I$7, DATE(YEAR(I$7),MONTH(I$7),Assumptions!$G43)&lt;=I$8),
              AND(DATE(YEAR(I$8),MONTH(I$8),Assumptions!$G43)&gt;=I$7, DATE(YEAR(I$8),MONTH(I$8),Assumptions!$G43)&lt;=I$8)
            ),
          "Yes","No"),
          IF(
            Assumptions!$F43="Last X day of month",
            IF(
              AND(
                WEEKDAY(I$7,2)&lt;=MATCH(Assumptions!$J43,{"Monday","Tuesday","Wednesday","Thursday","Friday"},0),
                WEEKDAY(I$8,2)&gt;=MATCH(Assumptions!$J43,{"Monday","Tuesday","Wednesday","Thursday","Friday"},0),
                (I$7+(MATCH(Assumptions!$J43,{"Monday","Tuesday","Wednesday","Thursday","Friday"},0)-WEEKDAY(I$7,2)))+7&gt;EOMONTH((I$7+(MATCH(Assumptions!$J43,{"Monday","Tuesday","Wednesday","Thursday","Friday"},0)-WEEKDAY(I$7,2))),0)
              ),
            "Yes","No"),
            IF(
              Assumptions!$F43="Weekly",
              IF(
                AND(
                  WEEKDAY(I$7,2)&lt;=MATCH(Assumptions!$J43,{"Monday","Tuesday","Wednesday","Thursday","Friday"},0),
                  WEEKDAY(I$8,2)&gt;=MATCH(Assumptions!$J43,{"Monday","Tuesday","Wednesday","Thursday","Friday"},0)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AND(Assumptions!$I43&gt;=I$7, Assumptions!$I43&lt;=I$8),
                    AND(
                      Assumptions!$I43&lt;I$7,
                      MOD(INT((I$7-(Assumptions!$I43-WEEKDAY(Assumptions!$I43,2)+1))/7),2)=0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AND(Assumptions!$I43&gt;=I$7, Assumptions!$I43&lt;=I$8),
                      AND(
                        Assumptions!$I43&lt;I$7,
                        MOD(INT((I$7-(Assumptions!$I43-WEEKDAY(Assumptions!$I43,2)+1))/7),3)=0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ISNUMBER(MATCH(MONTH(I$7),IF(Assumptions!$H43="Jan / Apr / Jul / Oct",{1,4,7,10},IF(Assumptions!$H43="Feb / May / Aug / Nov",{2,5,8,11},{3,6,9,12})),0)),
                          DATE(YEAR(I$7),MONTH(I$7),Assumptions!$G43)&gt;=I$7,
                          DATE(YEAR(I$7),MONTH(I$7),Assumptions!$G43)&lt;=I$8
                        ),
                        AND(
                          ISNUMBER(MATCH(MONTH(I$8),IF(Assumptions!$H43="Jan / Apr / Jul / Oct",{1,4,7,10},IF(Assumptions!$H43="Feb / May / Aug / Nov",{2,5,8,11},{3,6,9,12})),0)),
                          DATE(YEAR(I$8),MONTH(I$8),Assumptions!$G43)&gt;=I$7,
                          DATE(YEAR(I$8),MONTH(I$8),Assumptions!$G43)&lt;=I$8
                        )
                      ),
                    "Yes","No"),
                  "No")
                )
              )
            )
          )
        )
      )
    )
  )
)</f>
        <v>No</v>
      </c>
      <c r="J31" s="59" t="str">
        <f>IF(
  Assumptions!$K43="Off",
  "No",
  IF(
    Assumptions!$F43="I will phase manually",
    "No",
    IF(
      Assumptions!$F43="Last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Assumptions!$F43="End of month",
        IF(
          OR(
            AND(EOMONTH(J$7,0)&gt;=J$7, EOMONTH(J$7,0)&lt;=J$8),
            AND(EOMONTH(J$8,0)&gt;=J$7, EOMONTH(J$8,0)&lt;=J$8)
          ),
        "Yes","No"),
        IF(
          Assumptions!$F43="Specific day of month",
          IF(
            OR(
              AND(DATE(YEAR(J$7),MONTH(J$7),Assumptions!$G43)&gt;=J$7, DATE(YEAR(J$7),MONTH(J$7),Assumptions!$G43)&lt;=J$8),
              AND(DATE(YEAR(J$8),MONTH(J$8),Assumptions!$G43)&gt;=J$7, DATE(YEAR(J$8),MONTH(J$8),Assumptions!$G43)&lt;=J$8)
            ),
          "Yes","No"),
          IF(
            Assumptions!$F43="Last X day of month",
            IF(
              AND(
                WEEKDAY(J$7,2)&lt;=MATCH(Assumptions!$J43,{"Monday","Tuesday","Wednesday","Thursday","Friday"},0),
                WEEKDAY(J$8,2)&gt;=MATCH(Assumptions!$J43,{"Monday","Tuesday","Wednesday","Thursday","Friday"},0),
                (J$7+(MATCH(Assumptions!$J43,{"Monday","Tuesday","Wednesday","Thursday","Friday"},0)-WEEKDAY(J$7,2)))+7&gt;EOMONTH((J$7+(MATCH(Assumptions!$J43,{"Monday","Tuesday","Wednesday","Thursday","Friday"},0)-WEEKDAY(J$7,2))),0)
              ),
            "Yes","No"),
            IF(
              Assumptions!$F43="Weekly",
              IF(
                AND(
                  WEEKDAY(J$7,2)&lt;=MATCH(Assumptions!$J43,{"Monday","Tuesday","Wednesday","Thursday","Friday"},0),
                  WEEKDAY(J$8,2)&gt;=MATCH(Assumptions!$J43,{"Monday","Tuesday","Wednesday","Thursday","Friday"},0)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AND(Assumptions!$I43&gt;=J$7, Assumptions!$I43&lt;=J$8),
                    AND(
                      Assumptions!$I43&lt;J$7,
                      MOD(INT((J$7-(Assumptions!$I43-WEEKDAY(Assumptions!$I43,2)+1))/7),2)=0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AND(Assumptions!$I43&gt;=J$7, Assumptions!$I43&lt;=J$8),
                      AND(
                        Assumptions!$I43&lt;J$7,
                        MOD(INT((J$7-(Assumptions!$I43-WEEKDAY(Assumptions!$I43,2)+1))/7),3)=0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ISNUMBER(MATCH(MONTH(J$7),IF(Assumptions!$H43="Jan / Apr / Jul / Oct",{1,4,7,10},IF(Assumptions!$H43="Feb / May / Aug / Nov",{2,5,8,11},{3,6,9,12})),0)),
                          DATE(YEAR(J$7),MONTH(J$7),Assumptions!$G43)&gt;=J$7,
                          DATE(YEAR(J$7),MONTH(J$7),Assumptions!$G43)&lt;=J$8
                        ),
                        AND(
                          ISNUMBER(MATCH(MONTH(J$8),IF(Assumptions!$H43="Jan / Apr / Jul / Oct",{1,4,7,10},IF(Assumptions!$H43="Feb / May / Aug / Nov",{2,5,8,11},{3,6,9,12})),0)),
                          DATE(YEAR(J$8),MONTH(J$8),Assumptions!$G43)&gt;=J$7,
                          DATE(YEAR(J$8),MONTH(J$8),Assumptions!$G43)&lt;=J$8
                        )
                      ),
                    "Yes","No"),
                  "No")
                )
              )
            )
          )
        )
      )
    )
  )
)</f>
        <v>No</v>
      </c>
      <c r="K31" s="59" t="str">
        <f>IF(
  Assumptions!$K43="Off",
  "No",
  IF(
    Assumptions!$F43="I will phase manually",
    "No",
    IF(
      Assumptions!$F43="Last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Assumptions!$F43="End of month",
        IF(
          OR(
            AND(EOMONTH(K$7,0)&gt;=K$7, EOMONTH(K$7,0)&lt;=K$8),
            AND(EOMONTH(K$8,0)&gt;=K$7, EOMONTH(K$8,0)&lt;=K$8)
          ),
        "Yes","No"),
        IF(
          Assumptions!$F43="Specific day of month",
          IF(
            OR(
              AND(DATE(YEAR(K$7),MONTH(K$7),Assumptions!$G43)&gt;=K$7, DATE(YEAR(K$7),MONTH(K$7),Assumptions!$G43)&lt;=K$8),
              AND(DATE(YEAR(K$8),MONTH(K$8),Assumptions!$G43)&gt;=K$7, DATE(YEAR(K$8),MONTH(K$8),Assumptions!$G43)&lt;=K$8)
            ),
          "Yes","No"),
          IF(
            Assumptions!$F43="Last X day of month",
            IF(
              AND(
                WEEKDAY(K$7,2)&lt;=MATCH(Assumptions!$J43,{"Monday","Tuesday","Wednesday","Thursday","Friday"},0),
                WEEKDAY(K$8,2)&gt;=MATCH(Assumptions!$J43,{"Monday","Tuesday","Wednesday","Thursday","Friday"},0),
                (K$7+(MATCH(Assumptions!$J43,{"Monday","Tuesday","Wednesday","Thursday","Friday"},0)-WEEKDAY(K$7,2)))+7&gt;EOMONTH((K$7+(MATCH(Assumptions!$J43,{"Monday","Tuesday","Wednesday","Thursday","Friday"},0)-WEEKDAY(K$7,2))),0)
              ),
            "Yes","No"),
            IF(
              Assumptions!$F43="Weekly",
              IF(
                AND(
                  WEEKDAY(K$7,2)&lt;=MATCH(Assumptions!$J43,{"Monday","Tuesday","Wednesday","Thursday","Friday"},0),
                  WEEKDAY(K$8,2)&gt;=MATCH(Assumptions!$J43,{"Monday","Tuesday","Wednesday","Thursday","Friday"},0)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AND(Assumptions!$I43&gt;=K$7, Assumptions!$I43&lt;=K$8),
                    AND(
                      Assumptions!$I43&lt;K$7,
                      MOD(INT((K$7-(Assumptions!$I43-WEEKDAY(Assumptions!$I43,2)+1))/7),2)=0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AND(Assumptions!$I43&gt;=K$7, Assumptions!$I43&lt;=K$8),
                      AND(
                        Assumptions!$I43&lt;K$7,
                        MOD(INT((K$7-(Assumptions!$I43-WEEKDAY(Assumptions!$I43,2)+1))/7),3)=0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ISNUMBER(MATCH(MONTH(K$7),IF(Assumptions!$H43="Jan / Apr / Jul / Oct",{1,4,7,10},IF(Assumptions!$H43="Feb / May / Aug / Nov",{2,5,8,11},{3,6,9,12})),0)),
                          DATE(YEAR(K$7),MONTH(K$7),Assumptions!$G43)&gt;=K$7,
                          DATE(YEAR(K$7),MONTH(K$7),Assumptions!$G43)&lt;=K$8
                        ),
                        AND(
                          ISNUMBER(MATCH(MONTH(K$8),IF(Assumptions!$H43="Jan / Apr / Jul / Oct",{1,4,7,10},IF(Assumptions!$H43="Feb / May / Aug / Nov",{2,5,8,11},{3,6,9,12})),0)),
                          DATE(YEAR(K$8),MONTH(K$8),Assumptions!$G43)&gt;=K$7,
                          DATE(YEAR(K$8),MONTH(K$8),Assumptions!$G43)&lt;=K$8
                        )
                      ),
                    "Yes","No"),
                  "No")
                )
              )
            )
          )
        )
      )
    )
  )
)</f>
        <v>No</v>
      </c>
      <c r="L31" s="59" t="str">
        <f>IF(
  Assumptions!$K43="Off",
  "No",
  IF(
    Assumptions!$F43="I will phase manually",
    "No",
    IF(
      Assumptions!$F43="Last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Assumptions!$F43="End of month",
        IF(
          OR(
            AND(EOMONTH(L$7,0)&gt;=L$7, EOMONTH(L$7,0)&lt;=L$8),
            AND(EOMONTH(L$8,0)&gt;=L$7, EOMONTH(L$8,0)&lt;=L$8)
          ),
        "Yes","No"),
        IF(
          Assumptions!$F43="Specific day of month",
          IF(
            OR(
              AND(DATE(YEAR(L$7),MONTH(L$7),Assumptions!$G43)&gt;=L$7, DATE(YEAR(L$7),MONTH(L$7),Assumptions!$G43)&lt;=L$8),
              AND(DATE(YEAR(L$8),MONTH(L$8),Assumptions!$G43)&gt;=L$7, DATE(YEAR(L$8),MONTH(L$8),Assumptions!$G43)&lt;=L$8)
            ),
          "Yes","No"),
          IF(
            Assumptions!$F43="Last X day of month",
            IF(
              AND(
                WEEKDAY(L$7,2)&lt;=MATCH(Assumptions!$J43,{"Monday","Tuesday","Wednesday","Thursday","Friday"},0),
                WEEKDAY(L$8,2)&gt;=MATCH(Assumptions!$J43,{"Monday","Tuesday","Wednesday","Thursday","Friday"},0),
                (L$7+(MATCH(Assumptions!$J43,{"Monday","Tuesday","Wednesday","Thursday","Friday"},0)-WEEKDAY(L$7,2)))+7&gt;EOMONTH((L$7+(MATCH(Assumptions!$J43,{"Monday","Tuesday","Wednesday","Thursday","Friday"},0)-WEEKDAY(L$7,2))),0)
              ),
            "Yes","No"),
            IF(
              Assumptions!$F43="Weekly",
              IF(
                AND(
                  WEEKDAY(L$7,2)&lt;=MATCH(Assumptions!$J43,{"Monday","Tuesday","Wednesday","Thursday","Friday"},0),
                  WEEKDAY(L$8,2)&gt;=MATCH(Assumptions!$J43,{"Monday","Tuesday","Wednesday","Thursday","Friday"},0)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AND(Assumptions!$I43&gt;=L$7, Assumptions!$I43&lt;=L$8),
                    AND(
                      Assumptions!$I43&lt;L$7,
                      MOD(INT((L$7-(Assumptions!$I43-WEEKDAY(Assumptions!$I43,2)+1))/7),2)=0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AND(Assumptions!$I43&gt;=L$7, Assumptions!$I43&lt;=L$8),
                      AND(
                        Assumptions!$I43&lt;L$7,
                        MOD(INT((L$7-(Assumptions!$I43-WEEKDAY(Assumptions!$I43,2)+1))/7),3)=0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ISNUMBER(MATCH(MONTH(L$7),IF(Assumptions!$H43="Jan / Apr / Jul / Oct",{1,4,7,10},IF(Assumptions!$H43="Feb / May / Aug / Nov",{2,5,8,11},{3,6,9,12})),0)),
                          DATE(YEAR(L$7),MONTH(L$7),Assumptions!$G43)&gt;=L$7,
                          DATE(YEAR(L$7),MONTH(L$7),Assumptions!$G43)&lt;=L$8
                        ),
                        AND(
                          ISNUMBER(MATCH(MONTH(L$8),IF(Assumptions!$H43="Jan / Apr / Jul / Oct",{1,4,7,10},IF(Assumptions!$H43="Feb / May / Aug / Nov",{2,5,8,11},{3,6,9,12})),0)),
                          DATE(YEAR(L$8),MONTH(L$8),Assumptions!$G43)&gt;=L$7,
                          DATE(YEAR(L$8),MONTH(L$8),Assumptions!$G43)&lt;=L$8
                        )
                      ),
                    "Yes","No"),
                  "No")
                )
              )
            )
          )
        )
      )
    )
  )
)</f>
        <v>No</v>
      </c>
      <c r="M31" s="59" t="str">
        <f>IF(
  Assumptions!$K43="Off",
  "No",
  IF(
    Assumptions!$F43="I will phase manually",
    "No",
    IF(
      Assumptions!$F43="Last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Assumptions!$F43="End of month",
        IF(
          OR(
            AND(EOMONTH(M$7,0)&gt;=M$7, EOMONTH(M$7,0)&lt;=M$8),
            AND(EOMONTH(M$8,0)&gt;=M$7, EOMONTH(M$8,0)&lt;=M$8)
          ),
        "Yes","No"),
        IF(
          Assumptions!$F43="Specific day of month",
          IF(
            OR(
              AND(DATE(YEAR(M$7),MONTH(M$7),Assumptions!$G43)&gt;=M$7, DATE(YEAR(M$7),MONTH(M$7),Assumptions!$G43)&lt;=M$8),
              AND(DATE(YEAR(M$8),MONTH(M$8),Assumptions!$G43)&gt;=M$7, DATE(YEAR(M$8),MONTH(M$8),Assumptions!$G43)&lt;=M$8)
            ),
          "Yes","No"),
          IF(
            Assumptions!$F43="Last X day of month",
            IF(
              AND(
                WEEKDAY(M$7,2)&lt;=MATCH(Assumptions!$J43,{"Monday","Tuesday","Wednesday","Thursday","Friday"},0),
                WEEKDAY(M$8,2)&gt;=MATCH(Assumptions!$J43,{"Monday","Tuesday","Wednesday","Thursday","Friday"},0),
                (M$7+(MATCH(Assumptions!$J43,{"Monday","Tuesday","Wednesday","Thursday","Friday"},0)-WEEKDAY(M$7,2)))+7&gt;EOMONTH((M$7+(MATCH(Assumptions!$J43,{"Monday","Tuesday","Wednesday","Thursday","Friday"},0)-WEEKDAY(M$7,2))),0)
              ),
            "Yes","No"),
            IF(
              Assumptions!$F43="Weekly",
              IF(
                AND(
                  WEEKDAY(M$7,2)&lt;=MATCH(Assumptions!$J43,{"Monday","Tuesday","Wednesday","Thursday","Friday"},0),
                  WEEKDAY(M$8,2)&gt;=MATCH(Assumptions!$J43,{"Monday","Tuesday","Wednesday","Thursday","Friday"},0)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AND(Assumptions!$I43&gt;=M$7, Assumptions!$I43&lt;=M$8),
                    AND(
                      Assumptions!$I43&lt;M$7,
                      MOD(INT((M$7-(Assumptions!$I43-WEEKDAY(Assumptions!$I43,2)+1))/7),2)=0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AND(Assumptions!$I43&gt;=M$7, Assumptions!$I43&lt;=M$8),
                      AND(
                        Assumptions!$I43&lt;M$7,
                        MOD(INT((M$7-(Assumptions!$I43-WEEKDAY(Assumptions!$I43,2)+1))/7),3)=0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ISNUMBER(MATCH(MONTH(M$7),IF(Assumptions!$H43="Jan / Apr / Jul / Oct",{1,4,7,10},IF(Assumptions!$H43="Feb / May / Aug / Nov",{2,5,8,11},{3,6,9,12})),0)),
                          DATE(YEAR(M$7),MONTH(M$7),Assumptions!$G43)&gt;=M$7,
                          DATE(YEAR(M$7),MONTH(M$7),Assumptions!$G43)&lt;=M$8
                        ),
                        AND(
                          ISNUMBER(MATCH(MONTH(M$8),IF(Assumptions!$H43="Jan / Apr / Jul / Oct",{1,4,7,10},IF(Assumptions!$H43="Feb / May / Aug / Nov",{2,5,8,11},{3,6,9,12})),0)),
                          DATE(YEAR(M$8),MONTH(M$8),Assumptions!$G43)&gt;=M$7,
                          DATE(YEAR(M$8),MONTH(M$8),Assumptions!$G43)&lt;=M$8
                        )
                      ),
                    "Yes","No"),
                  "No")
                )
              )
            )
          )
        )
      )
    )
  )
)</f>
        <v>No</v>
      </c>
      <c r="N31" s="59" t="str">
        <f>IF(
  Assumptions!$K43="Off",
  "No",
  IF(
    Assumptions!$F43="I will phase manually",
    "No",
    IF(
      Assumptions!$F43="Last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Assumptions!$F43="End of month",
        IF(
          OR(
            AND(EOMONTH(N$7,0)&gt;=N$7, EOMONTH(N$7,0)&lt;=N$8),
            AND(EOMONTH(N$8,0)&gt;=N$7, EOMONTH(N$8,0)&lt;=N$8)
          ),
        "Yes","No"),
        IF(
          Assumptions!$F43="Specific day of month",
          IF(
            OR(
              AND(DATE(YEAR(N$7),MONTH(N$7),Assumptions!$G43)&gt;=N$7, DATE(YEAR(N$7),MONTH(N$7),Assumptions!$G43)&lt;=N$8),
              AND(DATE(YEAR(N$8),MONTH(N$8),Assumptions!$G43)&gt;=N$7, DATE(YEAR(N$8),MONTH(N$8),Assumptions!$G43)&lt;=N$8)
            ),
          "Yes","No"),
          IF(
            Assumptions!$F43="Last X day of month",
            IF(
              AND(
                WEEKDAY(N$7,2)&lt;=MATCH(Assumptions!$J43,{"Monday","Tuesday","Wednesday","Thursday","Friday"},0),
                WEEKDAY(N$8,2)&gt;=MATCH(Assumptions!$J43,{"Monday","Tuesday","Wednesday","Thursday","Friday"},0),
                (N$7+(MATCH(Assumptions!$J43,{"Monday","Tuesday","Wednesday","Thursday","Friday"},0)-WEEKDAY(N$7,2)))+7&gt;EOMONTH((N$7+(MATCH(Assumptions!$J43,{"Monday","Tuesday","Wednesday","Thursday","Friday"},0)-WEEKDAY(N$7,2))),0)
              ),
            "Yes","No"),
            IF(
              Assumptions!$F43="Weekly",
              IF(
                AND(
                  WEEKDAY(N$7,2)&lt;=MATCH(Assumptions!$J43,{"Monday","Tuesday","Wednesday","Thursday","Friday"},0),
                  WEEKDAY(N$8,2)&gt;=MATCH(Assumptions!$J43,{"Monday","Tuesday","Wednesday","Thursday","Friday"},0)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AND(Assumptions!$I43&gt;=N$7, Assumptions!$I43&lt;=N$8),
                    AND(
                      Assumptions!$I43&lt;N$7,
                      MOD(INT((N$7-(Assumptions!$I43-WEEKDAY(Assumptions!$I43,2)+1))/7),2)=0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AND(Assumptions!$I43&gt;=N$7, Assumptions!$I43&lt;=N$8),
                      AND(
                        Assumptions!$I43&lt;N$7,
                        MOD(INT((N$7-(Assumptions!$I43-WEEKDAY(Assumptions!$I43,2)+1))/7),3)=0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ISNUMBER(MATCH(MONTH(N$7),IF(Assumptions!$H43="Jan / Apr / Jul / Oct",{1,4,7,10},IF(Assumptions!$H43="Feb / May / Aug / Nov",{2,5,8,11},{3,6,9,12})),0)),
                          DATE(YEAR(N$7),MONTH(N$7),Assumptions!$G43)&gt;=N$7,
                          DATE(YEAR(N$7),MONTH(N$7),Assumptions!$G43)&lt;=N$8
                        ),
                        AND(
                          ISNUMBER(MATCH(MONTH(N$8),IF(Assumptions!$H43="Jan / Apr / Jul / Oct",{1,4,7,10},IF(Assumptions!$H43="Feb / May / Aug / Nov",{2,5,8,11},{3,6,9,12})),0)),
                          DATE(YEAR(N$8),MONTH(N$8),Assumptions!$G43)&gt;=N$7,
                          DATE(YEAR(N$8),MONTH(N$8),Assumptions!$G43)&lt;=N$8
                        )
                      ),
                    "Yes","No"),
                  "No")
                )
              )
            )
          )
        )
      )
    )
  )
)</f>
        <v>No</v>
      </c>
      <c r="O31" s="59" t="str">
        <f>IF(
  Assumptions!$K43="Off",
  "No",
  IF(
    Assumptions!$F43="I will phase manually",
    "No",
    IF(
      Assumptions!$F43="Last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Assumptions!$F43="End of month",
        IF(
          OR(
            AND(EOMONTH(O$7,0)&gt;=O$7, EOMONTH(O$7,0)&lt;=O$8),
            AND(EOMONTH(O$8,0)&gt;=O$7, EOMONTH(O$8,0)&lt;=O$8)
          ),
        "Yes","No"),
        IF(
          Assumptions!$F43="Specific day of month",
          IF(
            OR(
              AND(DATE(YEAR(O$7),MONTH(O$7),Assumptions!$G43)&gt;=O$7, DATE(YEAR(O$7),MONTH(O$7),Assumptions!$G43)&lt;=O$8),
              AND(DATE(YEAR(O$8),MONTH(O$8),Assumptions!$G43)&gt;=O$7, DATE(YEAR(O$8),MONTH(O$8),Assumptions!$G43)&lt;=O$8)
            ),
          "Yes","No"),
          IF(
            Assumptions!$F43="Last X day of month",
            IF(
              AND(
                WEEKDAY(O$7,2)&lt;=MATCH(Assumptions!$J43,{"Monday","Tuesday","Wednesday","Thursday","Friday"},0),
                WEEKDAY(O$8,2)&gt;=MATCH(Assumptions!$J43,{"Monday","Tuesday","Wednesday","Thursday","Friday"},0),
                (O$7+(MATCH(Assumptions!$J43,{"Monday","Tuesday","Wednesday","Thursday","Friday"},0)-WEEKDAY(O$7,2)))+7&gt;EOMONTH((O$7+(MATCH(Assumptions!$J43,{"Monday","Tuesday","Wednesday","Thursday","Friday"},0)-WEEKDAY(O$7,2))),0)
              ),
            "Yes","No"),
            IF(
              Assumptions!$F43="Weekly",
              IF(
                AND(
                  WEEKDAY(O$7,2)&lt;=MATCH(Assumptions!$J43,{"Monday","Tuesday","Wednesday","Thursday","Friday"},0),
                  WEEKDAY(O$8,2)&gt;=MATCH(Assumptions!$J43,{"Monday","Tuesday","Wednesday","Thursday","Friday"},0)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AND(Assumptions!$I43&gt;=O$7, Assumptions!$I43&lt;=O$8),
                    AND(
                      Assumptions!$I43&lt;O$7,
                      MOD(INT((O$7-(Assumptions!$I43-WEEKDAY(Assumptions!$I43,2)+1))/7),2)=0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AND(Assumptions!$I43&gt;=O$7, Assumptions!$I43&lt;=O$8),
                      AND(
                        Assumptions!$I43&lt;O$7,
                        MOD(INT((O$7-(Assumptions!$I43-WEEKDAY(Assumptions!$I43,2)+1))/7),3)=0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ISNUMBER(MATCH(MONTH(O$7),IF(Assumptions!$H43="Jan / Apr / Jul / Oct",{1,4,7,10},IF(Assumptions!$H43="Feb / May / Aug / Nov",{2,5,8,11},{3,6,9,12})),0)),
                          DATE(YEAR(O$7),MONTH(O$7),Assumptions!$G43)&gt;=O$7,
                          DATE(YEAR(O$7),MONTH(O$7),Assumptions!$G43)&lt;=O$8
                        ),
                        AND(
                          ISNUMBER(MATCH(MONTH(O$8),IF(Assumptions!$H43="Jan / Apr / Jul / Oct",{1,4,7,10},IF(Assumptions!$H43="Feb / May / Aug / Nov",{2,5,8,11},{3,6,9,12})),0)),
                          DATE(YEAR(O$8),MONTH(O$8),Assumptions!$G43)&gt;=O$7,
                          DATE(YEAR(O$8),MONTH(O$8),Assumptions!$G43)&lt;=O$8
                        )
                      ),
                    "Yes","No"),
                  "No")
                )
              )
            )
          )
        )
      )
    )
  )
)</f>
        <v>No</v>
      </c>
      <c r="P31" s="59" t="str">
        <f>IF(
  Assumptions!$K43="Off",
  "No",
  IF(
    Assumptions!$F43="I will phase manually",
    "No",
    IF(
      Assumptions!$F43="Last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Assumptions!$F43="End of month",
        IF(
          OR(
            AND(EOMONTH(P$7,0)&gt;=P$7, EOMONTH(P$7,0)&lt;=P$8),
            AND(EOMONTH(P$8,0)&gt;=P$7, EOMONTH(P$8,0)&lt;=P$8)
          ),
        "Yes","No"),
        IF(
          Assumptions!$F43="Specific day of month",
          IF(
            OR(
              AND(DATE(YEAR(P$7),MONTH(P$7),Assumptions!$G43)&gt;=P$7, DATE(YEAR(P$7),MONTH(P$7),Assumptions!$G43)&lt;=P$8),
              AND(DATE(YEAR(P$8),MONTH(P$8),Assumptions!$G43)&gt;=P$7, DATE(YEAR(P$8),MONTH(P$8),Assumptions!$G43)&lt;=P$8)
            ),
          "Yes","No"),
          IF(
            Assumptions!$F43="Last X day of month",
            IF(
              AND(
                WEEKDAY(P$7,2)&lt;=MATCH(Assumptions!$J43,{"Monday","Tuesday","Wednesday","Thursday","Friday"},0),
                WEEKDAY(P$8,2)&gt;=MATCH(Assumptions!$J43,{"Monday","Tuesday","Wednesday","Thursday","Friday"},0),
                (P$7+(MATCH(Assumptions!$J43,{"Monday","Tuesday","Wednesday","Thursday","Friday"},0)-WEEKDAY(P$7,2)))+7&gt;EOMONTH((P$7+(MATCH(Assumptions!$J43,{"Monday","Tuesday","Wednesday","Thursday","Friday"},0)-WEEKDAY(P$7,2))),0)
              ),
            "Yes","No"),
            IF(
              Assumptions!$F43="Weekly",
              IF(
                AND(
                  WEEKDAY(P$7,2)&lt;=MATCH(Assumptions!$J43,{"Monday","Tuesday","Wednesday","Thursday","Friday"},0),
                  WEEKDAY(P$8,2)&gt;=MATCH(Assumptions!$J43,{"Monday","Tuesday","Wednesday","Thursday","Friday"},0)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AND(Assumptions!$I43&gt;=P$7, Assumptions!$I43&lt;=P$8),
                    AND(
                      Assumptions!$I43&lt;P$7,
                      MOD(INT((P$7-(Assumptions!$I43-WEEKDAY(Assumptions!$I43,2)+1))/7),2)=0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AND(Assumptions!$I43&gt;=P$7, Assumptions!$I43&lt;=P$8),
                      AND(
                        Assumptions!$I43&lt;P$7,
                        MOD(INT((P$7-(Assumptions!$I43-WEEKDAY(Assumptions!$I43,2)+1))/7),3)=0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ISNUMBER(MATCH(MONTH(P$7),IF(Assumptions!$H43="Jan / Apr / Jul / Oct",{1,4,7,10},IF(Assumptions!$H43="Feb / May / Aug / Nov",{2,5,8,11},{3,6,9,12})),0)),
                          DATE(YEAR(P$7),MONTH(P$7),Assumptions!$G43)&gt;=P$7,
                          DATE(YEAR(P$7),MONTH(P$7),Assumptions!$G43)&lt;=P$8
                        ),
                        AND(
                          ISNUMBER(MATCH(MONTH(P$8),IF(Assumptions!$H43="Jan / Apr / Jul / Oct",{1,4,7,10},IF(Assumptions!$H43="Feb / May / Aug / Nov",{2,5,8,11},{3,6,9,12})),0)),
                          DATE(YEAR(P$8),MONTH(P$8),Assumptions!$G43)&gt;=P$7,
                          DATE(YEAR(P$8),MONTH(P$8),Assumptions!$G43)&lt;=P$8
                        )
                      ),
                    "Yes","No"),
                  "No")
                )
              )
            )
          )
        )
      )
    )
  )
)</f>
        <v>No</v>
      </c>
      <c r="Q31" s="59" t="str">
        <f>IF(
  Assumptions!$K43="Off",
  "No",
  IF(
    Assumptions!$F43="I will phase manually",
    "No",
    IF(
      Assumptions!$F43="Last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Assumptions!$F43="End of month",
        IF(
          OR(
            AND(EOMONTH(Q$7,0)&gt;=Q$7, EOMONTH(Q$7,0)&lt;=Q$8),
            AND(EOMONTH(Q$8,0)&gt;=Q$7, EOMONTH(Q$8,0)&lt;=Q$8)
          ),
        "Yes","No"),
        IF(
          Assumptions!$F43="Specific day of month",
          IF(
            OR(
              AND(DATE(YEAR(Q$7),MONTH(Q$7),Assumptions!$G43)&gt;=Q$7, DATE(YEAR(Q$7),MONTH(Q$7),Assumptions!$G43)&lt;=Q$8),
              AND(DATE(YEAR(Q$8),MONTH(Q$8),Assumptions!$G43)&gt;=Q$7, DATE(YEAR(Q$8),MONTH(Q$8),Assumptions!$G43)&lt;=Q$8)
            ),
          "Yes","No"),
          IF(
            Assumptions!$F43="Last X day of month",
            IF(
              AND(
                WEEKDAY(Q$7,2)&lt;=MATCH(Assumptions!$J43,{"Monday","Tuesday","Wednesday","Thursday","Friday"},0),
                WEEKDAY(Q$8,2)&gt;=MATCH(Assumptions!$J43,{"Monday","Tuesday","Wednesday","Thursday","Friday"},0),
                (Q$7+(MATCH(Assumptions!$J43,{"Monday","Tuesday","Wednesday","Thursday","Friday"},0)-WEEKDAY(Q$7,2)))+7&gt;EOMONTH((Q$7+(MATCH(Assumptions!$J43,{"Monday","Tuesday","Wednesday","Thursday","Friday"},0)-WEEKDAY(Q$7,2))),0)
              ),
            "Yes","No"),
            IF(
              Assumptions!$F43="Weekly",
              IF(
                AND(
                  WEEKDAY(Q$7,2)&lt;=MATCH(Assumptions!$J43,{"Monday","Tuesday","Wednesday","Thursday","Friday"},0),
                  WEEKDAY(Q$8,2)&gt;=MATCH(Assumptions!$J43,{"Monday","Tuesday","Wednesday","Thursday","Friday"},0)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AND(Assumptions!$I43&gt;=Q$7, Assumptions!$I43&lt;=Q$8),
                    AND(
                      Assumptions!$I43&lt;Q$7,
                      MOD(INT((Q$7-(Assumptions!$I43-WEEKDAY(Assumptions!$I43,2)+1))/7),2)=0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AND(Assumptions!$I43&gt;=Q$7, Assumptions!$I43&lt;=Q$8),
                      AND(
                        Assumptions!$I43&lt;Q$7,
                        MOD(INT((Q$7-(Assumptions!$I43-WEEKDAY(Assumptions!$I43,2)+1))/7),3)=0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ISNUMBER(MATCH(MONTH(Q$7),IF(Assumptions!$H43="Jan / Apr / Jul / Oct",{1,4,7,10},IF(Assumptions!$H43="Feb / May / Aug / Nov",{2,5,8,11},{3,6,9,12})),0)),
                          DATE(YEAR(Q$7),MONTH(Q$7),Assumptions!$G43)&gt;=Q$7,
                          DATE(YEAR(Q$7),MONTH(Q$7),Assumptions!$G43)&lt;=Q$8
                        ),
                        AND(
                          ISNUMBER(MATCH(MONTH(Q$8),IF(Assumptions!$H43="Jan / Apr / Jul / Oct",{1,4,7,10},IF(Assumptions!$H43="Feb / May / Aug / Nov",{2,5,8,11},{3,6,9,12})),0)),
                          DATE(YEAR(Q$8),MONTH(Q$8),Assumptions!$G43)&gt;=Q$7,
                          DATE(YEAR(Q$8),MONTH(Q$8),Assumptions!$G43)&lt;=Q$8
                        )
                      ),
                    "Yes","No"),
                  "No")
                )
              )
            )
          )
        )
      )
    )
  )
)</f>
        <v>No</v>
      </c>
      <c r="R31" s="59" t="str">
        <f>IF(
  Assumptions!$K43="Off",
  "No",
  IF(
    Assumptions!$F43="I will phase manually",
    "No",
    IF(
      Assumptions!$F43="Last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Assumptions!$F43="End of month",
        IF(
          OR(
            AND(EOMONTH(R$7,0)&gt;=R$7, EOMONTH(R$7,0)&lt;=R$8),
            AND(EOMONTH(R$8,0)&gt;=R$7, EOMONTH(R$8,0)&lt;=R$8)
          ),
        "Yes","No"),
        IF(
          Assumptions!$F43="Specific day of month",
          IF(
            OR(
              AND(DATE(YEAR(R$7),MONTH(R$7),Assumptions!$G43)&gt;=R$7, DATE(YEAR(R$7),MONTH(R$7),Assumptions!$G43)&lt;=R$8),
              AND(DATE(YEAR(R$8),MONTH(R$8),Assumptions!$G43)&gt;=R$7, DATE(YEAR(R$8),MONTH(R$8),Assumptions!$G43)&lt;=R$8)
            ),
          "Yes","No"),
          IF(
            Assumptions!$F43="Last X day of month",
            IF(
              AND(
                WEEKDAY(R$7,2)&lt;=MATCH(Assumptions!$J43,{"Monday","Tuesday","Wednesday","Thursday","Friday"},0),
                WEEKDAY(R$8,2)&gt;=MATCH(Assumptions!$J43,{"Monday","Tuesday","Wednesday","Thursday","Friday"},0),
                (R$7+(MATCH(Assumptions!$J43,{"Monday","Tuesday","Wednesday","Thursday","Friday"},0)-WEEKDAY(R$7,2)))+7&gt;EOMONTH((R$7+(MATCH(Assumptions!$J43,{"Monday","Tuesday","Wednesday","Thursday","Friday"},0)-WEEKDAY(R$7,2))),0)
              ),
            "Yes","No"),
            IF(
              Assumptions!$F43="Weekly",
              IF(
                AND(
                  WEEKDAY(R$7,2)&lt;=MATCH(Assumptions!$J43,{"Monday","Tuesday","Wednesday","Thursday","Friday"},0),
                  WEEKDAY(R$8,2)&gt;=MATCH(Assumptions!$J43,{"Monday","Tuesday","Wednesday","Thursday","Friday"},0)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AND(Assumptions!$I43&gt;=R$7, Assumptions!$I43&lt;=R$8),
                    AND(
                      Assumptions!$I43&lt;R$7,
                      MOD(INT((R$7-(Assumptions!$I43-WEEKDAY(Assumptions!$I43,2)+1))/7),2)=0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AND(Assumptions!$I43&gt;=R$7, Assumptions!$I43&lt;=R$8),
                      AND(
                        Assumptions!$I43&lt;R$7,
                        MOD(INT((R$7-(Assumptions!$I43-WEEKDAY(Assumptions!$I43,2)+1))/7),3)=0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ISNUMBER(MATCH(MONTH(R$7),IF(Assumptions!$H43="Jan / Apr / Jul / Oct",{1,4,7,10},IF(Assumptions!$H43="Feb / May / Aug / Nov",{2,5,8,11},{3,6,9,12})),0)),
                          DATE(YEAR(R$7),MONTH(R$7),Assumptions!$G43)&gt;=R$7,
                          DATE(YEAR(R$7),MONTH(R$7),Assumptions!$G43)&lt;=R$8
                        ),
                        AND(
                          ISNUMBER(MATCH(MONTH(R$8),IF(Assumptions!$H43="Jan / Apr / Jul / Oct",{1,4,7,10},IF(Assumptions!$H43="Feb / May / Aug / Nov",{2,5,8,11},{3,6,9,12})),0)),
                          DATE(YEAR(R$8),MONTH(R$8),Assumptions!$G43)&gt;=R$7,
                          DATE(YEAR(R$8),MONTH(R$8),Assumptions!$G43)&lt;=R$8
                        )
                      ),
                    "Yes","No"),
                  "No")
                )
              )
            )
          )
        )
      )
    )
  )
)</f>
        <v>No</v>
      </c>
      <c r="S31" s="59" t="str">
        <f>IF(
  Assumptions!$K43="Off",
  "No",
  IF(
    Assumptions!$F43="I will phase manually",
    "No",
    IF(
      Assumptions!$F43="Last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Assumptions!$F43="End of month",
        IF(
          OR(
            AND(EOMONTH(S$7,0)&gt;=S$7, EOMONTH(S$7,0)&lt;=S$8),
            AND(EOMONTH(S$8,0)&gt;=S$7, EOMONTH(S$8,0)&lt;=S$8)
          ),
        "Yes","No"),
        IF(
          Assumptions!$F43="Specific day of month",
          IF(
            OR(
              AND(DATE(YEAR(S$7),MONTH(S$7),Assumptions!$G43)&gt;=S$7, DATE(YEAR(S$7),MONTH(S$7),Assumptions!$G43)&lt;=S$8),
              AND(DATE(YEAR(S$8),MONTH(S$8),Assumptions!$G43)&gt;=S$7, DATE(YEAR(S$8),MONTH(S$8),Assumptions!$G43)&lt;=S$8)
            ),
          "Yes","No"),
          IF(
            Assumptions!$F43="Last X day of month",
            IF(
              AND(
                WEEKDAY(S$7,2)&lt;=MATCH(Assumptions!$J43,{"Monday","Tuesday","Wednesday","Thursday","Friday"},0),
                WEEKDAY(S$8,2)&gt;=MATCH(Assumptions!$J43,{"Monday","Tuesday","Wednesday","Thursday","Friday"},0),
                (S$7+(MATCH(Assumptions!$J43,{"Monday","Tuesday","Wednesday","Thursday","Friday"},0)-WEEKDAY(S$7,2)))+7&gt;EOMONTH((S$7+(MATCH(Assumptions!$J43,{"Monday","Tuesday","Wednesday","Thursday","Friday"},0)-WEEKDAY(S$7,2))),0)
              ),
            "Yes","No"),
            IF(
              Assumptions!$F43="Weekly",
              IF(
                AND(
                  WEEKDAY(S$7,2)&lt;=MATCH(Assumptions!$J43,{"Monday","Tuesday","Wednesday","Thursday","Friday"},0),
                  WEEKDAY(S$8,2)&gt;=MATCH(Assumptions!$J43,{"Monday","Tuesday","Wednesday","Thursday","Friday"},0)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AND(Assumptions!$I43&gt;=S$7, Assumptions!$I43&lt;=S$8),
                    AND(
                      Assumptions!$I43&lt;S$7,
                      MOD(INT((S$7-(Assumptions!$I43-WEEKDAY(Assumptions!$I43,2)+1))/7),2)=0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AND(Assumptions!$I43&gt;=S$7, Assumptions!$I43&lt;=S$8),
                      AND(
                        Assumptions!$I43&lt;S$7,
                        MOD(INT((S$7-(Assumptions!$I43-WEEKDAY(Assumptions!$I43,2)+1))/7),3)=0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ISNUMBER(MATCH(MONTH(S$7),IF(Assumptions!$H43="Jan / Apr / Jul / Oct",{1,4,7,10},IF(Assumptions!$H43="Feb / May / Aug / Nov",{2,5,8,11},{3,6,9,12})),0)),
                          DATE(YEAR(S$7),MONTH(S$7),Assumptions!$G43)&gt;=S$7,
                          DATE(YEAR(S$7),MONTH(S$7),Assumptions!$G43)&lt;=S$8
                        ),
                        AND(
                          ISNUMBER(MATCH(MONTH(S$8),IF(Assumptions!$H43="Jan / Apr / Jul / Oct",{1,4,7,10},IF(Assumptions!$H43="Feb / May / Aug / Nov",{2,5,8,11},{3,6,9,12})),0)),
                          DATE(YEAR(S$8),MONTH(S$8),Assumptions!$G43)&gt;=S$7,
                          DATE(YEAR(S$8),MONTH(S$8),Assumptions!$G43)&lt;=S$8
                        )
                      ),
                    "Yes","No"),
                  "No")
                )
              )
            )
          )
        )
      )
    )
  )
)</f>
        <v>No</v>
      </c>
      <c r="T31" s="59" t="s">
        <v>124</v>
      </c>
    </row>
    <row r="32" spans="3:20" hidden="1" outlineLevel="1" x14ac:dyDescent="0.25">
      <c r="C32" s="58">
        <f>Assumptions!D44</f>
        <v>0</v>
      </c>
      <c r="D32" s="58"/>
      <c r="E32" s="58"/>
      <c r="F32" s="58"/>
      <c r="G32" s="59" t="str">
        <f>IF(
  Assumptions!$K44="Off",
  "No",
  IF(
    Assumptions!$F44="I will phase manually",
    "No",
    IF(
      Assumptions!$F44="Last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Assumptions!$F44="End of month",
        IF(
          OR(
            AND(EOMONTH(G$7,0)&gt;=G$7, EOMONTH(G$7,0)&lt;=G$8),
            AND(EOMONTH(G$8,0)&gt;=G$7, EOMONTH(G$8,0)&lt;=G$8)
          ),
        "Yes","No"),
        IF(
          Assumptions!$F44="Specific day of month",
          IF(
            OR(
              AND(DATE(YEAR(G$7),MONTH(G$7),Assumptions!$G44)&gt;=G$7, DATE(YEAR(G$7),MONTH(G$7),Assumptions!$G44)&lt;=G$8),
              AND(DATE(YEAR(G$8),MONTH(G$8),Assumptions!$G44)&gt;=G$7, DATE(YEAR(G$8),MONTH(G$8),Assumptions!$G44)&lt;=G$8)
            ),
          "Yes","No"),
          IF(
            Assumptions!$F44="Last X day of month",
            IF(
              AND(
                WEEKDAY(G$7,2)&lt;=MATCH(Assumptions!$J44,{"Monday","Tuesday","Wednesday","Thursday","Friday"},0),
                WEEKDAY(G$8,2)&gt;=MATCH(Assumptions!$J44,{"Monday","Tuesday","Wednesday","Thursday","Friday"},0),
                (G$7+(MATCH(Assumptions!$J44,{"Monday","Tuesday","Wednesday","Thursday","Friday"},0)-WEEKDAY(G$7,2)))+7&gt;EOMONTH((G$7+(MATCH(Assumptions!$J44,{"Monday","Tuesday","Wednesday","Thursday","Friday"},0)-WEEKDAY(G$7,2))),0)
              ),
            "Yes","No"),
            IF(
              Assumptions!$F44="Weekly",
              IF(
                AND(
                  WEEKDAY(G$7,2)&lt;=MATCH(Assumptions!$J44,{"Monday","Tuesday","Wednesday","Thursday","Friday"},0),
                  WEEKDAY(G$8,2)&gt;=MATCH(Assumptions!$J44,{"Monday","Tuesday","Wednesday","Thursday","Friday"},0)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AND(Assumptions!$I44&gt;=G$7, Assumptions!$I44&lt;=G$8),
                    AND(
                      Assumptions!$I44&lt;G$7,
                      MOD(INT((G$7-(Assumptions!$I44-WEEKDAY(Assumptions!$I44,2)+1))/7),2)=0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AND(Assumptions!$I44&gt;=G$7, Assumptions!$I44&lt;=G$8),
                      AND(
                        Assumptions!$I44&lt;G$7,
                        MOD(INT((G$7-(Assumptions!$I44-WEEKDAY(Assumptions!$I44,2)+1))/7),3)=0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ISNUMBER(MATCH(MONTH(G$7),IF(Assumptions!$H44="Jan / Apr / Jul / Oct",{1,4,7,10},IF(Assumptions!$H44="Feb / May / Aug / Nov",{2,5,8,11},{3,6,9,12})),0)),
                          DATE(YEAR(G$7),MONTH(G$7),Assumptions!$G44)&gt;=G$7,
                          DATE(YEAR(G$7),MONTH(G$7),Assumptions!$G44)&lt;=G$8
                        ),
                        AND(
                          ISNUMBER(MATCH(MONTH(G$8),IF(Assumptions!$H44="Jan / Apr / Jul / Oct",{1,4,7,10},IF(Assumptions!$H44="Feb / May / Aug / Nov",{2,5,8,11},{3,6,9,12})),0)),
                          DATE(YEAR(G$8),MONTH(G$8),Assumptions!$G44)&gt;=G$7,
                          DATE(YEAR(G$8),MONTH(G$8),Assumptions!$G44)&lt;=G$8
                        )
                      ),
                    "Yes","No"),
                  "No")
                )
              )
            )
          )
        )
      )
    )
  )
)</f>
        <v>No</v>
      </c>
      <c r="H32" s="59" t="str">
        <f>IF(
  Assumptions!$K44="Off",
  "No",
  IF(
    Assumptions!$F44="I will phase manually",
    "No",
    IF(
      Assumptions!$F44="Last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Assumptions!$F44="End of month",
        IF(
          OR(
            AND(EOMONTH(H$7,0)&gt;=H$7, EOMONTH(H$7,0)&lt;=H$8),
            AND(EOMONTH(H$8,0)&gt;=H$7, EOMONTH(H$8,0)&lt;=H$8)
          ),
        "Yes","No"),
        IF(
          Assumptions!$F44="Specific day of month",
          IF(
            OR(
              AND(DATE(YEAR(H$7),MONTH(H$7),Assumptions!$G44)&gt;=H$7, DATE(YEAR(H$7),MONTH(H$7),Assumptions!$G44)&lt;=H$8),
              AND(DATE(YEAR(H$8),MONTH(H$8),Assumptions!$G44)&gt;=H$7, DATE(YEAR(H$8),MONTH(H$8),Assumptions!$G44)&lt;=H$8)
            ),
          "Yes","No"),
          IF(
            Assumptions!$F44="Last X day of month",
            IF(
              AND(
                WEEKDAY(H$7,2)&lt;=MATCH(Assumptions!$J44,{"Monday","Tuesday","Wednesday","Thursday","Friday"},0),
                WEEKDAY(H$8,2)&gt;=MATCH(Assumptions!$J44,{"Monday","Tuesday","Wednesday","Thursday","Friday"},0),
                (H$7+(MATCH(Assumptions!$J44,{"Monday","Tuesday","Wednesday","Thursday","Friday"},0)-WEEKDAY(H$7,2)))+7&gt;EOMONTH((H$7+(MATCH(Assumptions!$J44,{"Monday","Tuesday","Wednesday","Thursday","Friday"},0)-WEEKDAY(H$7,2))),0)
              ),
            "Yes","No"),
            IF(
              Assumptions!$F44="Weekly",
              IF(
                AND(
                  WEEKDAY(H$7,2)&lt;=MATCH(Assumptions!$J44,{"Monday","Tuesday","Wednesday","Thursday","Friday"},0),
                  WEEKDAY(H$8,2)&gt;=MATCH(Assumptions!$J44,{"Monday","Tuesday","Wednesday","Thursday","Friday"},0)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AND(Assumptions!$I44&gt;=H$7, Assumptions!$I44&lt;=H$8),
                    AND(
                      Assumptions!$I44&lt;H$7,
                      MOD(INT((H$7-(Assumptions!$I44-WEEKDAY(Assumptions!$I44,2)+1))/7),2)=0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AND(Assumptions!$I44&gt;=H$7, Assumptions!$I44&lt;=H$8),
                      AND(
                        Assumptions!$I44&lt;H$7,
                        MOD(INT((H$7-(Assumptions!$I44-WEEKDAY(Assumptions!$I44,2)+1))/7),3)=0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ISNUMBER(MATCH(MONTH(H$7),IF(Assumptions!$H44="Jan / Apr / Jul / Oct",{1,4,7,10},IF(Assumptions!$H44="Feb / May / Aug / Nov",{2,5,8,11},{3,6,9,12})),0)),
                          DATE(YEAR(H$7),MONTH(H$7),Assumptions!$G44)&gt;=H$7,
                          DATE(YEAR(H$7),MONTH(H$7),Assumptions!$G44)&lt;=H$8
                        ),
                        AND(
                          ISNUMBER(MATCH(MONTH(H$8),IF(Assumptions!$H44="Jan / Apr / Jul / Oct",{1,4,7,10},IF(Assumptions!$H44="Feb / May / Aug / Nov",{2,5,8,11},{3,6,9,12})),0)),
                          DATE(YEAR(H$8),MONTH(H$8),Assumptions!$G44)&gt;=H$7,
                          DATE(YEAR(H$8),MONTH(H$8),Assumptions!$G44)&lt;=H$8
                        )
                      ),
                    "Yes","No"),
                  "No")
                )
              )
            )
          )
        )
      )
    )
  )
)</f>
        <v>No</v>
      </c>
      <c r="I32" s="59" t="str">
        <f>IF(
  Assumptions!$K44="Off",
  "No",
  IF(
    Assumptions!$F44="I will phase manually",
    "No",
    IF(
      Assumptions!$F44="Last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Assumptions!$F44="End of month",
        IF(
          OR(
            AND(EOMONTH(I$7,0)&gt;=I$7, EOMONTH(I$7,0)&lt;=I$8),
            AND(EOMONTH(I$8,0)&gt;=I$7, EOMONTH(I$8,0)&lt;=I$8)
          ),
        "Yes","No"),
        IF(
          Assumptions!$F44="Specific day of month",
          IF(
            OR(
              AND(DATE(YEAR(I$7),MONTH(I$7),Assumptions!$G44)&gt;=I$7, DATE(YEAR(I$7),MONTH(I$7),Assumptions!$G44)&lt;=I$8),
              AND(DATE(YEAR(I$8),MONTH(I$8),Assumptions!$G44)&gt;=I$7, DATE(YEAR(I$8),MONTH(I$8),Assumptions!$G44)&lt;=I$8)
            ),
          "Yes","No"),
          IF(
            Assumptions!$F44="Last X day of month",
            IF(
              AND(
                WEEKDAY(I$7,2)&lt;=MATCH(Assumptions!$J44,{"Monday","Tuesday","Wednesday","Thursday","Friday"},0),
                WEEKDAY(I$8,2)&gt;=MATCH(Assumptions!$J44,{"Monday","Tuesday","Wednesday","Thursday","Friday"},0),
                (I$7+(MATCH(Assumptions!$J44,{"Monday","Tuesday","Wednesday","Thursday","Friday"},0)-WEEKDAY(I$7,2)))+7&gt;EOMONTH((I$7+(MATCH(Assumptions!$J44,{"Monday","Tuesday","Wednesday","Thursday","Friday"},0)-WEEKDAY(I$7,2))),0)
              ),
            "Yes","No"),
            IF(
              Assumptions!$F44="Weekly",
              IF(
                AND(
                  WEEKDAY(I$7,2)&lt;=MATCH(Assumptions!$J44,{"Monday","Tuesday","Wednesday","Thursday","Friday"},0),
                  WEEKDAY(I$8,2)&gt;=MATCH(Assumptions!$J44,{"Monday","Tuesday","Wednesday","Thursday","Friday"},0)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AND(Assumptions!$I44&gt;=I$7, Assumptions!$I44&lt;=I$8),
                    AND(
                      Assumptions!$I44&lt;I$7,
                      MOD(INT((I$7-(Assumptions!$I44-WEEKDAY(Assumptions!$I44,2)+1))/7),2)=0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AND(Assumptions!$I44&gt;=I$7, Assumptions!$I44&lt;=I$8),
                      AND(
                        Assumptions!$I44&lt;I$7,
                        MOD(INT((I$7-(Assumptions!$I44-WEEKDAY(Assumptions!$I44,2)+1))/7),3)=0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ISNUMBER(MATCH(MONTH(I$7),IF(Assumptions!$H44="Jan / Apr / Jul / Oct",{1,4,7,10},IF(Assumptions!$H44="Feb / May / Aug / Nov",{2,5,8,11},{3,6,9,12})),0)),
                          DATE(YEAR(I$7),MONTH(I$7),Assumptions!$G44)&gt;=I$7,
                          DATE(YEAR(I$7),MONTH(I$7),Assumptions!$G44)&lt;=I$8
                        ),
                        AND(
                          ISNUMBER(MATCH(MONTH(I$8),IF(Assumptions!$H44="Jan / Apr / Jul / Oct",{1,4,7,10},IF(Assumptions!$H44="Feb / May / Aug / Nov",{2,5,8,11},{3,6,9,12})),0)),
                          DATE(YEAR(I$8),MONTH(I$8),Assumptions!$G44)&gt;=I$7,
                          DATE(YEAR(I$8),MONTH(I$8),Assumptions!$G44)&lt;=I$8
                        )
                      ),
                    "Yes","No"),
                  "No")
                )
              )
            )
          )
        )
      )
    )
  )
)</f>
        <v>No</v>
      </c>
      <c r="J32" s="59" t="str">
        <f>IF(
  Assumptions!$K44="Off",
  "No",
  IF(
    Assumptions!$F44="I will phase manually",
    "No",
    IF(
      Assumptions!$F44="Last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Assumptions!$F44="End of month",
        IF(
          OR(
            AND(EOMONTH(J$7,0)&gt;=J$7, EOMONTH(J$7,0)&lt;=J$8),
            AND(EOMONTH(J$8,0)&gt;=J$7, EOMONTH(J$8,0)&lt;=J$8)
          ),
        "Yes","No"),
        IF(
          Assumptions!$F44="Specific day of month",
          IF(
            OR(
              AND(DATE(YEAR(J$7),MONTH(J$7),Assumptions!$G44)&gt;=J$7, DATE(YEAR(J$7),MONTH(J$7),Assumptions!$G44)&lt;=J$8),
              AND(DATE(YEAR(J$8),MONTH(J$8),Assumptions!$G44)&gt;=J$7, DATE(YEAR(J$8),MONTH(J$8),Assumptions!$G44)&lt;=J$8)
            ),
          "Yes","No"),
          IF(
            Assumptions!$F44="Last X day of month",
            IF(
              AND(
                WEEKDAY(J$7,2)&lt;=MATCH(Assumptions!$J44,{"Monday","Tuesday","Wednesday","Thursday","Friday"},0),
                WEEKDAY(J$8,2)&gt;=MATCH(Assumptions!$J44,{"Monday","Tuesday","Wednesday","Thursday","Friday"},0),
                (J$7+(MATCH(Assumptions!$J44,{"Monday","Tuesday","Wednesday","Thursday","Friday"},0)-WEEKDAY(J$7,2)))+7&gt;EOMONTH((J$7+(MATCH(Assumptions!$J44,{"Monday","Tuesday","Wednesday","Thursday","Friday"},0)-WEEKDAY(J$7,2))),0)
              ),
            "Yes","No"),
            IF(
              Assumptions!$F44="Weekly",
              IF(
                AND(
                  WEEKDAY(J$7,2)&lt;=MATCH(Assumptions!$J44,{"Monday","Tuesday","Wednesday","Thursday","Friday"},0),
                  WEEKDAY(J$8,2)&gt;=MATCH(Assumptions!$J44,{"Monday","Tuesday","Wednesday","Thursday","Friday"},0)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AND(Assumptions!$I44&gt;=J$7, Assumptions!$I44&lt;=J$8),
                    AND(
                      Assumptions!$I44&lt;J$7,
                      MOD(INT((J$7-(Assumptions!$I44-WEEKDAY(Assumptions!$I44,2)+1))/7),2)=0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AND(Assumptions!$I44&gt;=J$7, Assumptions!$I44&lt;=J$8),
                      AND(
                        Assumptions!$I44&lt;J$7,
                        MOD(INT((J$7-(Assumptions!$I44-WEEKDAY(Assumptions!$I44,2)+1))/7),3)=0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ISNUMBER(MATCH(MONTH(J$7),IF(Assumptions!$H44="Jan / Apr / Jul / Oct",{1,4,7,10},IF(Assumptions!$H44="Feb / May / Aug / Nov",{2,5,8,11},{3,6,9,12})),0)),
                          DATE(YEAR(J$7),MONTH(J$7),Assumptions!$G44)&gt;=J$7,
                          DATE(YEAR(J$7),MONTH(J$7),Assumptions!$G44)&lt;=J$8
                        ),
                        AND(
                          ISNUMBER(MATCH(MONTH(J$8),IF(Assumptions!$H44="Jan / Apr / Jul / Oct",{1,4,7,10},IF(Assumptions!$H44="Feb / May / Aug / Nov",{2,5,8,11},{3,6,9,12})),0)),
                          DATE(YEAR(J$8),MONTH(J$8),Assumptions!$G44)&gt;=J$7,
                          DATE(YEAR(J$8),MONTH(J$8),Assumptions!$G44)&lt;=J$8
                        )
                      ),
                    "Yes","No"),
                  "No")
                )
              )
            )
          )
        )
      )
    )
  )
)</f>
        <v>No</v>
      </c>
      <c r="K32" s="59" t="str">
        <f>IF(
  Assumptions!$K44="Off",
  "No",
  IF(
    Assumptions!$F44="I will phase manually",
    "No",
    IF(
      Assumptions!$F44="Last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Assumptions!$F44="End of month",
        IF(
          OR(
            AND(EOMONTH(K$7,0)&gt;=K$7, EOMONTH(K$7,0)&lt;=K$8),
            AND(EOMONTH(K$8,0)&gt;=K$7, EOMONTH(K$8,0)&lt;=K$8)
          ),
        "Yes","No"),
        IF(
          Assumptions!$F44="Specific day of month",
          IF(
            OR(
              AND(DATE(YEAR(K$7),MONTH(K$7),Assumptions!$G44)&gt;=K$7, DATE(YEAR(K$7),MONTH(K$7),Assumptions!$G44)&lt;=K$8),
              AND(DATE(YEAR(K$8),MONTH(K$8),Assumptions!$G44)&gt;=K$7, DATE(YEAR(K$8),MONTH(K$8),Assumptions!$G44)&lt;=K$8)
            ),
          "Yes","No"),
          IF(
            Assumptions!$F44="Last X day of month",
            IF(
              AND(
                WEEKDAY(K$7,2)&lt;=MATCH(Assumptions!$J44,{"Monday","Tuesday","Wednesday","Thursday","Friday"},0),
                WEEKDAY(K$8,2)&gt;=MATCH(Assumptions!$J44,{"Monday","Tuesday","Wednesday","Thursday","Friday"},0),
                (K$7+(MATCH(Assumptions!$J44,{"Monday","Tuesday","Wednesday","Thursday","Friday"},0)-WEEKDAY(K$7,2)))+7&gt;EOMONTH((K$7+(MATCH(Assumptions!$J44,{"Monday","Tuesday","Wednesday","Thursday","Friday"},0)-WEEKDAY(K$7,2))),0)
              ),
            "Yes","No"),
            IF(
              Assumptions!$F44="Weekly",
              IF(
                AND(
                  WEEKDAY(K$7,2)&lt;=MATCH(Assumptions!$J44,{"Monday","Tuesday","Wednesday","Thursday","Friday"},0),
                  WEEKDAY(K$8,2)&gt;=MATCH(Assumptions!$J44,{"Monday","Tuesday","Wednesday","Thursday","Friday"},0)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AND(Assumptions!$I44&gt;=K$7, Assumptions!$I44&lt;=K$8),
                    AND(
                      Assumptions!$I44&lt;K$7,
                      MOD(INT((K$7-(Assumptions!$I44-WEEKDAY(Assumptions!$I44,2)+1))/7),2)=0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AND(Assumptions!$I44&gt;=K$7, Assumptions!$I44&lt;=K$8),
                      AND(
                        Assumptions!$I44&lt;K$7,
                        MOD(INT((K$7-(Assumptions!$I44-WEEKDAY(Assumptions!$I44,2)+1))/7),3)=0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ISNUMBER(MATCH(MONTH(K$7),IF(Assumptions!$H44="Jan / Apr / Jul / Oct",{1,4,7,10},IF(Assumptions!$H44="Feb / May / Aug / Nov",{2,5,8,11},{3,6,9,12})),0)),
                          DATE(YEAR(K$7),MONTH(K$7),Assumptions!$G44)&gt;=K$7,
                          DATE(YEAR(K$7),MONTH(K$7),Assumptions!$G44)&lt;=K$8
                        ),
                        AND(
                          ISNUMBER(MATCH(MONTH(K$8),IF(Assumptions!$H44="Jan / Apr / Jul / Oct",{1,4,7,10},IF(Assumptions!$H44="Feb / May / Aug / Nov",{2,5,8,11},{3,6,9,12})),0)),
                          DATE(YEAR(K$8),MONTH(K$8),Assumptions!$G44)&gt;=K$7,
                          DATE(YEAR(K$8),MONTH(K$8),Assumptions!$G44)&lt;=K$8
                        )
                      ),
                    "Yes","No"),
                  "No")
                )
              )
            )
          )
        )
      )
    )
  )
)</f>
        <v>No</v>
      </c>
      <c r="L32" s="59" t="str">
        <f>IF(
  Assumptions!$K44="Off",
  "No",
  IF(
    Assumptions!$F44="I will phase manually",
    "No",
    IF(
      Assumptions!$F44="Last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Assumptions!$F44="End of month",
        IF(
          OR(
            AND(EOMONTH(L$7,0)&gt;=L$7, EOMONTH(L$7,0)&lt;=L$8),
            AND(EOMONTH(L$8,0)&gt;=L$7, EOMONTH(L$8,0)&lt;=L$8)
          ),
        "Yes","No"),
        IF(
          Assumptions!$F44="Specific day of month",
          IF(
            OR(
              AND(DATE(YEAR(L$7),MONTH(L$7),Assumptions!$G44)&gt;=L$7, DATE(YEAR(L$7),MONTH(L$7),Assumptions!$G44)&lt;=L$8),
              AND(DATE(YEAR(L$8),MONTH(L$8),Assumptions!$G44)&gt;=L$7, DATE(YEAR(L$8),MONTH(L$8),Assumptions!$G44)&lt;=L$8)
            ),
          "Yes","No"),
          IF(
            Assumptions!$F44="Last X day of month",
            IF(
              AND(
                WEEKDAY(L$7,2)&lt;=MATCH(Assumptions!$J44,{"Monday","Tuesday","Wednesday","Thursday","Friday"},0),
                WEEKDAY(L$8,2)&gt;=MATCH(Assumptions!$J44,{"Monday","Tuesday","Wednesday","Thursday","Friday"},0),
                (L$7+(MATCH(Assumptions!$J44,{"Monday","Tuesday","Wednesday","Thursday","Friday"},0)-WEEKDAY(L$7,2)))+7&gt;EOMONTH((L$7+(MATCH(Assumptions!$J44,{"Monday","Tuesday","Wednesday","Thursday","Friday"},0)-WEEKDAY(L$7,2))),0)
              ),
            "Yes","No"),
            IF(
              Assumptions!$F44="Weekly",
              IF(
                AND(
                  WEEKDAY(L$7,2)&lt;=MATCH(Assumptions!$J44,{"Monday","Tuesday","Wednesday","Thursday","Friday"},0),
                  WEEKDAY(L$8,2)&gt;=MATCH(Assumptions!$J44,{"Monday","Tuesday","Wednesday","Thursday","Friday"},0)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AND(Assumptions!$I44&gt;=L$7, Assumptions!$I44&lt;=L$8),
                    AND(
                      Assumptions!$I44&lt;L$7,
                      MOD(INT((L$7-(Assumptions!$I44-WEEKDAY(Assumptions!$I44,2)+1))/7),2)=0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AND(Assumptions!$I44&gt;=L$7, Assumptions!$I44&lt;=L$8),
                      AND(
                        Assumptions!$I44&lt;L$7,
                        MOD(INT((L$7-(Assumptions!$I44-WEEKDAY(Assumptions!$I44,2)+1))/7),3)=0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ISNUMBER(MATCH(MONTH(L$7),IF(Assumptions!$H44="Jan / Apr / Jul / Oct",{1,4,7,10},IF(Assumptions!$H44="Feb / May / Aug / Nov",{2,5,8,11},{3,6,9,12})),0)),
                          DATE(YEAR(L$7),MONTH(L$7),Assumptions!$G44)&gt;=L$7,
                          DATE(YEAR(L$7),MONTH(L$7),Assumptions!$G44)&lt;=L$8
                        ),
                        AND(
                          ISNUMBER(MATCH(MONTH(L$8),IF(Assumptions!$H44="Jan / Apr / Jul / Oct",{1,4,7,10},IF(Assumptions!$H44="Feb / May / Aug / Nov",{2,5,8,11},{3,6,9,12})),0)),
                          DATE(YEAR(L$8),MONTH(L$8),Assumptions!$G44)&gt;=L$7,
                          DATE(YEAR(L$8),MONTH(L$8),Assumptions!$G44)&lt;=L$8
                        )
                      ),
                    "Yes","No"),
                  "No")
                )
              )
            )
          )
        )
      )
    )
  )
)</f>
        <v>No</v>
      </c>
      <c r="M32" s="59" t="str">
        <f>IF(
  Assumptions!$K44="Off",
  "No",
  IF(
    Assumptions!$F44="I will phase manually",
    "No",
    IF(
      Assumptions!$F44="Last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Assumptions!$F44="End of month",
        IF(
          OR(
            AND(EOMONTH(M$7,0)&gt;=M$7, EOMONTH(M$7,0)&lt;=M$8),
            AND(EOMONTH(M$8,0)&gt;=M$7, EOMONTH(M$8,0)&lt;=M$8)
          ),
        "Yes","No"),
        IF(
          Assumptions!$F44="Specific day of month",
          IF(
            OR(
              AND(DATE(YEAR(M$7),MONTH(M$7),Assumptions!$G44)&gt;=M$7, DATE(YEAR(M$7),MONTH(M$7),Assumptions!$G44)&lt;=M$8),
              AND(DATE(YEAR(M$8),MONTH(M$8),Assumptions!$G44)&gt;=M$7, DATE(YEAR(M$8),MONTH(M$8),Assumptions!$G44)&lt;=M$8)
            ),
          "Yes","No"),
          IF(
            Assumptions!$F44="Last X day of month",
            IF(
              AND(
                WEEKDAY(M$7,2)&lt;=MATCH(Assumptions!$J44,{"Monday","Tuesday","Wednesday","Thursday","Friday"},0),
                WEEKDAY(M$8,2)&gt;=MATCH(Assumptions!$J44,{"Monday","Tuesday","Wednesday","Thursday","Friday"},0),
                (M$7+(MATCH(Assumptions!$J44,{"Monday","Tuesday","Wednesday","Thursday","Friday"},0)-WEEKDAY(M$7,2)))+7&gt;EOMONTH((M$7+(MATCH(Assumptions!$J44,{"Monday","Tuesday","Wednesday","Thursday","Friday"},0)-WEEKDAY(M$7,2))),0)
              ),
            "Yes","No"),
            IF(
              Assumptions!$F44="Weekly",
              IF(
                AND(
                  WEEKDAY(M$7,2)&lt;=MATCH(Assumptions!$J44,{"Monday","Tuesday","Wednesday","Thursday","Friday"},0),
                  WEEKDAY(M$8,2)&gt;=MATCH(Assumptions!$J44,{"Monday","Tuesday","Wednesday","Thursday","Friday"},0)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AND(Assumptions!$I44&gt;=M$7, Assumptions!$I44&lt;=M$8),
                    AND(
                      Assumptions!$I44&lt;M$7,
                      MOD(INT((M$7-(Assumptions!$I44-WEEKDAY(Assumptions!$I44,2)+1))/7),2)=0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AND(Assumptions!$I44&gt;=M$7, Assumptions!$I44&lt;=M$8),
                      AND(
                        Assumptions!$I44&lt;M$7,
                        MOD(INT((M$7-(Assumptions!$I44-WEEKDAY(Assumptions!$I44,2)+1))/7),3)=0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ISNUMBER(MATCH(MONTH(M$7),IF(Assumptions!$H44="Jan / Apr / Jul / Oct",{1,4,7,10},IF(Assumptions!$H44="Feb / May / Aug / Nov",{2,5,8,11},{3,6,9,12})),0)),
                          DATE(YEAR(M$7),MONTH(M$7),Assumptions!$G44)&gt;=M$7,
                          DATE(YEAR(M$7),MONTH(M$7),Assumptions!$G44)&lt;=M$8
                        ),
                        AND(
                          ISNUMBER(MATCH(MONTH(M$8),IF(Assumptions!$H44="Jan / Apr / Jul / Oct",{1,4,7,10},IF(Assumptions!$H44="Feb / May / Aug / Nov",{2,5,8,11},{3,6,9,12})),0)),
                          DATE(YEAR(M$8),MONTH(M$8),Assumptions!$G44)&gt;=M$7,
                          DATE(YEAR(M$8),MONTH(M$8),Assumptions!$G44)&lt;=M$8
                        )
                      ),
                    "Yes","No"),
                  "No")
                )
              )
            )
          )
        )
      )
    )
  )
)</f>
        <v>No</v>
      </c>
      <c r="N32" s="59" t="str">
        <f>IF(
  Assumptions!$K44="Off",
  "No",
  IF(
    Assumptions!$F44="I will phase manually",
    "No",
    IF(
      Assumptions!$F44="Last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Assumptions!$F44="End of month",
        IF(
          OR(
            AND(EOMONTH(N$7,0)&gt;=N$7, EOMONTH(N$7,0)&lt;=N$8),
            AND(EOMONTH(N$8,0)&gt;=N$7, EOMONTH(N$8,0)&lt;=N$8)
          ),
        "Yes","No"),
        IF(
          Assumptions!$F44="Specific day of month",
          IF(
            OR(
              AND(DATE(YEAR(N$7),MONTH(N$7),Assumptions!$G44)&gt;=N$7, DATE(YEAR(N$7),MONTH(N$7),Assumptions!$G44)&lt;=N$8),
              AND(DATE(YEAR(N$8),MONTH(N$8),Assumptions!$G44)&gt;=N$7, DATE(YEAR(N$8),MONTH(N$8),Assumptions!$G44)&lt;=N$8)
            ),
          "Yes","No"),
          IF(
            Assumptions!$F44="Last X day of month",
            IF(
              AND(
                WEEKDAY(N$7,2)&lt;=MATCH(Assumptions!$J44,{"Monday","Tuesday","Wednesday","Thursday","Friday"},0),
                WEEKDAY(N$8,2)&gt;=MATCH(Assumptions!$J44,{"Monday","Tuesday","Wednesday","Thursday","Friday"},0),
                (N$7+(MATCH(Assumptions!$J44,{"Monday","Tuesday","Wednesday","Thursday","Friday"},0)-WEEKDAY(N$7,2)))+7&gt;EOMONTH((N$7+(MATCH(Assumptions!$J44,{"Monday","Tuesday","Wednesday","Thursday","Friday"},0)-WEEKDAY(N$7,2))),0)
              ),
            "Yes","No"),
            IF(
              Assumptions!$F44="Weekly",
              IF(
                AND(
                  WEEKDAY(N$7,2)&lt;=MATCH(Assumptions!$J44,{"Monday","Tuesday","Wednesday","Thursday","Friday"},0),
                  WEEKDAY(N$8,2)&gt;=MATCH(Assumptions!$J44,{"Monday","Tuesday","Wednesday","Thursday","Friday"},0)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AND(Assumptions!$I44&gt;=N$7, Assumptions!$I44&lt;=N$8),
                    AND(
                      Assumptions!$I44&lt;N$7,
                      MOD(INT((N$7-(Assumptions!$I44-WEEKDAY(Assumptions!$I44,2)+1))/7),2)=0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AND(Assumptions!$I44&gt;=N$7, Assumptions!$I44&lt;=N$8),
                      AND(
                        Assumptions!$I44&lt;N$7,
                        MOD(INT((N$7-(Assumptions!$I44-WEEKDAY(Assumptions!$I44,2)+1))/7),3)=0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ISNUMBER(MATCH(MONTH(N$7),IF(Assumptions!$H44="Jan / Apr / Jul / Oct",{1,4,7,10},IF(Assumptions!$H44="Feb / May / Aug / Nov",{2,5,8,11},{3,6,9,12})),0)),
                          DATE(YEAR(N$7),MONTH(N$7),Assumptions!$G44)&gt;=N$7,
                          DATE(YEAR(N$7),MONTH(N$7),Assumptions!$G44)&lt;=N$8
                        ),
                        AND(
                          ISNUMBER(MATCH(MONTH(N$8),IF(Assumptions!$H44="Jan / Apr / Jul / Oct",{1,4,7,10},IF(Assumptions!$H44="Feb / May / Aug / Nov",{2,5,8,11},{3,6,9,12})),0)),
                          DATE(YEAR(N$8),MONTH(N$8),Assumptions!$G44)&gt;=N$7,
                          DATE(YEAR(N$8),MONTH(N$8),Assumptions!$G44)&lt;=N$8
                        )
                      ),
                    "Yes","No"),
                  "No")
                )
              )
            )
          )
        )
      )
    )
  )
)</f>
        <v>No</v>
      </c>
      <c r="O32" s="59" t="str">
        <f>IF(
  Assumptions!$K44="Off",
  "No",
  IF(
    Assumptions!$F44="I will phase manually",
    "No",
    IF(
      Assumptions!$F44="Last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Assumptions!$F44="End of month",
        IF(
          OR(
            AND(EOMONTH(O$7,0)&gt;=O$7, EOMONTH(O$7,0)&lt;=O$8),
            AND(EOMONTH(O$8,0)&gt;=O$7, EOMONTH(O$8,0)&lt;=O$8)
          ),
        "Yes","No"),
        IF(
          Assumptions!$F44="Specific day of month",
          IF(
            OR(
              AND(DATE(YEAR(O$7),MONTH(O$7),Assumptions!$G44)&gt;=O$7, DATE(YEAR(O$7),MONTH(O$7),Assumptions!$G44)&lt;=O$8),
              AND(DATE(YEAR(O$8),MONTH(O$8),Assumptions!$G44)&gt;=O$7, DATE(YEAR(O$8),MONTH(O$8),Assumptions!$G44)&lt;=O$8)
            ),
          "Yes","No"),
          IF(
            Assumptions!$F44="Last X day of month",
            IF(
              AND(
                WEEKDAY(O$7,2)&lt;=MATCH(Assumptions!$J44,{"Monday","Tuesday","Wednesday","Thursday","Friday"},0),
                WEEKDAY(O$8,2)&gt;=MATCH(Assumptions!$J44,{"Monday","Tuesday","Wednesday","Thursday","Friday"},0),
                (O$7+(MATCH(Assumptions!$J44,{"Monday","Tuesday","Wednesday","Thursday","Friday"},0)-WEEKDAY(O$7,2)))+7&gt;EOMONTH((O$7+(MATCH(Assumptions!$J44,{"Monday","Tuesday","Wednesday","Thursday","Friday"},0)-WEEKDAY(O$7,2))),0)
              ),
            "Yes","No"),
            IF(
              Assumptions!$F44="Weekly",
              IF(
                AND(
                  WEEKDAY(O$7,2)&lt;=MATCH(Assumptions!$J44,{"Monday","Tuesday","Wednesday","Thursday","Friday"},0),
                  WEEKDAY(O$8,2)&gt;=MATCH(Assumptions!$J44,{"Monday","Tuesday","Wednesday","Thursday","Friday"},0)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AND(Assumptions!$I44&gt;=O$7, Assumptions!$I44&lt;=O$8),
                    AND(
                      Assumptions!$I44&lt;O$7,
                      MOD(INT((O$7-(Assumptions!$I44-WEEKDAY(Assumptions!$I44,2)+1))/7),2)=0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AND(Assumptions!$I44&gt;=O$7, Assumptions!$I44&lt;=O$8),
                      AND(
                        Assumptions!$I44&lt;O$7,
                        MOD(INT((O$7-(Assumptions!$I44-WEEKDAY(Assumptions!$I44,2)+1))/7),3)=0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ISNUMBER(MATCH(MONTH(O$7),IF(Assumptions!$H44="Jan / Apr / Jul / Oct",{1,4,7,10},IF(Assumptions!$H44="Feb / May / Aug / Nov",{2,5,8,11},{3,6,9,12})),0)),
                          DATE(YEAR(O$7),MONTH(O$7),Assumptions!$G44)&gt;=O$7,
                          DATE(YEAR(O$7),MONTH(O$7),Assumptions!$G44)&lt;=O$8
                        ),
                        AND(
                          ISNUMBER(MATCH(MONTH(O$8),IF(Assumptions!$H44="Jan / Apr / Jul / Oct",{1,4,7,10},IF(Assumptions!$H44="Feb / May / Aug / Nov",{2,5,8,11},{3,6,9,12})),0)),
                          DATE(YEAR(O$8),MONTH(O$8),Assumptions!$G44)&gt;=O$7,
                          DATE(YEAR(O$8),MONTH(O$8),Assumptions!$G44)&lt;=O$8
                        )
                      ),
                    "Yes","No"),
                  "No")
                )
              )
            )
          )
        )
      )
    )
  )
)</f>
        <v>No</v>
      </c>
      <c r="P32" s="59" t="str">
        <f>IF(
  Assumptions!$K44="Off",
  "No",
  IF(
    Assumptions!$F44="I will phase manually",
    "No",
    IF(
      Assumptions!$F44="Last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Assumptions!$F44="End of month",
        IF(
          OR(
            AND(EOMONTH(P$7,0)&gt;=P$7, EOMONTH(P$7,0)&lt;=P$8),
            AND(EOMONTH(P$8,0)&gt;=P$7, EOMONTH(P$8,0)&lt;=P$8)
          ),
        "Yes","No"),
        IF(
          Assumptions!$F44="Specific day of month",
          IF(
            OR(
              AND(DATE(YEAR(P$7),MONTH(P$7),Assumptions!$G44)&gt;=P$7, DATE(YEAR(P$7),MONTH(P$7),Assumptions!$G44)&lt;=P$8),
              AND(DATE(YEAR(P$8),MONTH(P$8),Assumptions!$G44)&gt;=P$7, DATE(YEAR(P$8),MONTH(P$8),Assumptions!$G44)&lt;=P$8)
            ),
          "Yes","No"),
          IF(
            Assumptions!$F44="Last X day of month",
            IF(
              AND(
                WEEKDAY(P$7,2)&lt;=MATCH(Assumptions!$J44,{"Monday","Tuesday","Wednesday","Thursday","Friday"},0),
                WEEKDAY(P$8,2)&gt;=MATCH(Assumptions!$J44,{"Monday","Tuesday","Wednesday","Thursday","Friday"},0),
                (P$7+(MATCH(Assumptions!$J44,{"Monday","Tuesday","Wednesday","Thursday","Friday"},0)-WEEKDAY(P$7,2)))+7&gt;EOMONTH((P$7+(MATCH(Assumptions!$J44,{"Monday","Tuesday","Wednesday","Thursday","Friday"},0)-WEEKDAY(P$7,2))),0)
              ),
            "Yes","No"),
            IF(
              Assumptions!$F44="Weekly",
              IF(
                AND(
                  WEEKDAY(P$7,2)&lt;=MATCH(Assumptions!$J44,{"Monday","Tuesday","Wednesday","Thursday","Friday"},0),
                  WEEKDAY(P$8,2)&gt;=MATCH(Assumptions!$J44,{"Monday","Tuesday","Wednesday","Thursday","Friday"},0)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AND(Assumptions!$I44&gt;=P$7, Assumptions!$I44&lt;=P$8),
                    AND(
                      Assumptions!$I44&lt;P$7,
                      MOD(INT((P$7-(Assumptions!$I44-WEEKDAY(Assumptions!$I44,2)+1))/7),2)=0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AND(Assumptions!$I44&gt;=P$7, Assumptions!$I44&lt;=P$8),
                      AND(
                        Assumptions!$I44&lt;P$7,
                        MOD(INT((P$7-(Assumptions!$I44-WEEKDAY(Assumptions!$I44,2)+1))/7),3)=0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ISNUMBER(MATCH(MONTH(P$7),IF(Assumptions!$H44="Jan / Apr / Jul / Oct",{1,4,7,10},IF(Assumptions!$H44="Feb / May / Aug / Nov",{2,5,8,11},{3,6,9,12})),0)),
                          DATE(YEAR(P$7),MONTH(P$7),Assumptions!$G44)&gt;=P$7,
                          DATE(YEAR(P$7),MONTH(P$7),Assumptions!$G44)&lt;=P$8
                        ),
                        AND(
                          ISNUMBER(MATCH(MONTH(P$8),IF(Assumptions!$H44="Jan / Apr / Jul / Oct",{1,4,7,10},IF(Assumptions!$H44="Feb / May / Aug / Nov",{2,5,8,11},{3,6,9,12})),0)),
                          DATE(YEAR(P$8),MONTH(P$8),Assumptions!$G44)&gt;=P$7,
                          DATE(YEAR(P$8),MONTH(P$8),Assumptions!$G44)&lt;=P$8
                        )
                      ),
                    "Yes","No"),
                  "No")
                )
              )
            )
          )
        )
      )
    )
  )
)</f>
        <v>No</v>
      </c>
      <c r="Q32" s="59" t="str">
        <f>IF(
  Assumptions!$K44="Off",
  "No",
  IF(
    Assumptions!$F44="I will phase manually",
    "No",
    IF(
      Assumptions!$F44="Last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Assumptions!$F44="End of month",
        IF(
          OR(
            AND(EOMONTH(Q$7,0)&gt;=Q$7, EOMONTH(Q$7,0)&lt;=Q$8),
            AND(EOMONTH(Q$8,0)&gt;=Q$7, EOMONTH(Q$8,0)&lt;=Q$8)
          ),
        "Yes","No"),
        IF(
          Assumptions!$F44="Specific day of month",
          IF(
            OR(
              AND(DATE(YEAR(Q$7),MONTH(Q$7),Assumptions!$G44)&gt;=Q$7, DATE(YEAR(Q$7),MONTH(Q$7),Assumptions!$G44)&lt;=Q$8),
              AND(DATE(YEAR(Q$8),MONTH(Q$8),Assumptions!$G44)&gt;=Q$7, DATE(YEAR(Q$8),MONTH(Q$8),Assumptions!$G44)&lt;=Q$8)
            ),
          "Yes","No"),
          IF(
            Assumptions!$F44="Last X day of month",
            IF(
              AND(
                WEEKDAY(Q$7,2)&lt;=MATCH(Assumptions!$J44,{"Monday","Tuesday","Wednesday","Thursday","Friday"},0),
                WEEKDAY(Q$8,2)&gt;=MATCH(Assumptions!$J44,{"Monday","Tuesday","Wednesday","Thursday","Friday"},0),
                (Q$7+(MATCH(Assumptions!$J44,{"Monday","Tuesday","Wednesday","Thursday","Friday"},0)-WEEKDAY(Q$7,2)))+7&gt;EOMONTH((Q$7+(MATCH(Assumptions!$J44,{"Monday","Tuesday","Wednesday","Thursday","Friday"},0)-WEEKDAY(Q$7,2))),0)
              ),
            "Yes","No"),
            IF(
              Assumptions!$F44="Weekly",
              IF(
                AND(
                  WEEKDAY(Q$7,2)&lt;=MATCH(Assumptions!$J44,{"Monday","Tuesday","Wednesday","Thursday","Friday"},0),
                  WEEKDAY(Q$8,2)&gt;=MATCH(Assumptions!$J44,{"Monday","Tuesday","Wednesday","Thursday","Friday"},0)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AND(Assumptions!$I44&gt;=Q$7, Assumptions!$I44&lt;=Q$8),
                    AND(
                      Assumptions!$I44&lt;Q$7,
                      MOD(INT((Q$7-(Assumptions!$I44-WEEKDAY(Assumptions!$I44,2)+1))/7),2)=0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AND(Assumptions!$I44&gt;=Q$7, Assumptions!$I44&lt;=Q$8),
                      AND(
                        Assumptions!$I44&lt;Q$7,
                        MOD(INT((Q$7-(Assumptions!$I44-WEEKDAY(Assumptions!$I44,2)+1))/7),3)=0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ISNUMBER(MATCH(MONTH(Q$7),IF(Assumptions!$H44="Jan / Apr / Jul / Oct",{1,4,7,10},IF(Assumptions!$H44="Feb / May / Aug / Nov",{2,5,8,11},{3,6,9,12})),0)),
                          DATE(YEAR(Q$7),MONTH(Q$7),Assumptions!$G44)&gt;=Q$7,
                          DATE(YEAR(Q$7),MONTH(Q$7),Assumptions!$G44)&lt;=Q$8
                        ),
                        AND(
                          ISNUMBER(MATCH(MONTH(Q$8),IF(Assumptions!$H44="Jan / Apr / Jul / Oct",{1,4,7,10},IF(Assumptions!$H44="Feb / May / Aug / Nov",{2,5,8,11},{3,6,9,12})),0)),
                          DATE(YEAR(Q$8),MONTH(Q$8),Assumptions!$G44)&gt;=Q$7,
                          DATE(YEAR(Q$8),MONTH(Q$8),Assumptions!$G44)&lt;=Q$8
                        )
                      ),
                    "Yes","No"),
                  "No")
                )
              )
            )
          )
        )
      )
    )
  )
)</f>
        <v>No</v>
      </c>
      <c r="R32" s="59" t="str">
        <f>IF(
  Assumptions!$K44="Off",
  "No",
  IF(
    Assumptions!$F44="I will phase manually",
    "No",
    IF(
      Assumptions!$F44="Last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Assumptions!$F44="End of month",
        IF(
          OR(
            AND(EOMONTH(R$7,0)&gt;=R$7, EOMONTH(R$7,0)&lt;=R$8),
            AND(EOMONTH(R$8,0)&gt;=R$7, EOMONTH(R$8,0)&lt;=R$8)
          ),
        "Yes","No"),
        IF(
          Assumptions!$F44="Specific day of month",
          IF(
            OR(
              AND(DATE(YEAR(R$7),MONTH(R$7),Assumptions!$G44)&gt;=R$7, DATE(YEAR(R$7),MONTH(R$7),Assumptions!$G44)&lt;=R$8),
              AND(DATE(YEAR(R$8),MONTH(R$8),Assumptions!$G44)&gt;=R$7, DATE(YEAR(R$8),MONTH(R$8),Assumptions!$G44)&lt;=R$8)
            ),
          "Yes","No"),
          IF(
            Assumptions!$F44="Last X day of month",
            IF(
              AND(
                WEEKDAY(R$7,2)&lt;=MATCH(Assumptions!$J44,{"Monday","Tuesday","Wednesday","Thursday","Friday"},0),
                WEEKDAY(R$8,2)&gt;=MATCH(Assumptions!$J44,{"Monday","Tuesday","Wednesday","Thursday","Friday"},0),
                (R$7+(MATCH(Assumptions!$J44,{"Monday","Tuesday","Wednesday","Thursday","Friday"},0)-WEEKDAY(R$7,2)))+7&gt;EOMONTH((R$7+(MATCH(Assumptions!$J44,{"Monday","Tuesday","Wednesday","Thursday","Friday"},0)-WEEKDAY(R$7,2))),0)
              ),
            "Yes","No"),
            IF(
              Assumptions!$F44="Weekly",
              IF(
                AND(
                  WEEKDAY(R$7,2)&lt;=MATCH(Assumptions!$J44,{"Monday","Tuesday","Wednesday","Thursday","Friday"},0),
                  WEEKDAY(R$8,2)&gt;=MATCH(Assumptions!$J44,{"Monday","Tuesday","Wednesday","Thursday","Friday"},0)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AND(Assumptions!$I44&gt;=R$7, Assumptions!$I44&lt;=R$8),
                    AND(
                      Assumptions!$I44&lt;R$7,
                      MOD(INT((R$7-(Assumptions!$I44-WEEKDAY(Assumptions!$I44,2)+1))/7),2)=0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AND(Assumptions!$I44&gt;=R$7, Assumptions!$I44&lt;=R$8),
                      AND(
                        Assumptions!$I44&lt;R$7,
                        MOD(INT((R$7-(Assumptions!$I44-WEEKDAY(Assumptions!$I44,2)+1))/7),3)=0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ISNUMBER(MATCH(MONTH(R$7),IF(Assumptions!$H44="Jan / Apr / Jul / Oct",{1,4,7,10},IF(Assumptions!$H44="Feb / May / Aug / Nov",{2,5,8,11},{3,6,9,12})),0)),
                          DATE(YEAR(R$7),MONTH(R$7),Assumptions!$G44)&gt;=R$7,
                          DATE(YEAR(R$7),MONTH(R$7),Assumptions!$G44)&lt;=R$8
                        ),
                        AND(
                          ISNUMBER(MATCH(MONTH(R$8),IF(Assumptions!$H44="Jan / Apr / Jul / Oct",{1,4,7,10},IF(Assumptions!$H44="Feb / May / Aug / Nov",{2,5,8,11},{3,6,9,12})),0)),
                          DATE(YEAR(R$8),MONTH(R$8),Assumptions!$G44)&gt;=R$7,
                          DATE(YEAR(R$8),MONTH(R$8),Assumptions!$G44)&lt;=R$8
                        )
                      ),
                    "Yes","No"),
                  "No")
                )
              )
            )
          )
        )
      )
    )
  )
)</f>
        <v>No</v>
      </c>
      <c r="S32" s="59" t="str">
        <f>IF(
  Assumptions!$K44="Off",
  "No",
  IF(
    Assumptions!$F44="I will phase manually",
    "No",
    IF(
      Assumptions!$F44="Last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Assumptions!$F44="End of month",
        IF(
          OR(
            AND(EOMONTH(S$7,0)&gt;=S$7, EOMONTH(S$7,0)&lt;=S$8),
            AND(EOMONTH(S$8,0)&gt;=S$7, EOMONTH(S$8,0)&lt;=S$8)
          ),
        "Yes","No"),
        IF(
          Assumptions!$F44="Specific day of month",
          IF(
            OR(
              AND(DATE(YEAR(S$7),MONTH(S$7),Assumptions!$G44)&gt;=S$7, DATE(YEAR(S$7),MONTH(S$7),Assumptions!$G44)&lt;=S$8),
              AND(DATE(YEAR(S$8),MONTH(S$8),Assumptions!$G44)&gt;=S$7, DATE(YEAR(S$8),MONTH(S$8),Assumptions!$G44)&lt;=S$8)
            ),
          "Yes","No"),
          IF(
            Assumptions!$F44="Last X day of month",
            IF(
              AND(
                WEEKDAY(S$7,2)&lt;=MATCH(Assumptions!$J44,{"Monday","Tuesday","Wednesday","Thursday","Friday"},0),
                WEEKDAY(S$8,2)&gt;=MATCH(Assumptions!$J44,{"Monday","Tuesday","Wednesday","Thursday","Friday"},0),
                (S$7+(MATCH(Assumptions!$J44,{"Monday","Tuesday","Wednesday","Thursday","Friday"},0)-WEEKDAY(S$7,2)))+7&gt;EOMONTH((S$7+(MATCH(Assumptions!$J44,{"Monday","Tuesday","Wednesday","Thursday","Friday"},0)-WEEKDAY(S$7,2))),0)
              ),
            "Yes","No"),
            IF(
              Assumptions!$F44="Weekly",
              IF(
                AND(
                  WEEKDAY(S$7,2)&lt;=MATCH(Assumptions!$J44,{"Monday","Tuesday","Wednesday","Thursday","Friday"},0),
                  WEEKDAY(S$8,2)&gt;=MATCH(Assumptions!$J44,{"Monday","Tuesday","Wednesday","Thursday","Friday"},0)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AND(Assumptions!$I44&gt;=S$7, Assumptions!$I44&lt;=S$8),
                    AND(
                      Assumptions!$I44&lt;S$7,
                      MOD(INT((S$7-(Assumptions!$I44-WEEKDAY(Assumptions!$I44,2)+1))/7),2)=0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AND(Assumptions!$I44&gt;=S$7, Assumptions!$I44&lt;=S$8),
                      AND(
                        Assumptions!$I44&lt;S$7,
                        MOD(INT((S$7-(Assumptions!$I44-WEEKDAY(Assumptions!$I44,2)+1))/7),3)=0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ISNUMBER(MATCH(MONTH(S$7),IF(Assumptions!$H44="Jan / Apr / Jul / Oct",{1,4,7,10},IF(Assumptions!$H44="Feb / May / Aug / Nov",{2,5,8,11},{3,6,9,12})),0)),
                          DATE(YEAR(S$7),MONTH(S$7),Assumptions!$G44)&gt;=S$7,
                          DATE(YEAR(S$7),MONTH(S$7),Assumptions!$G44)&lt;=S$8
                        ),
                        AND(
                          ISNUMBER(MATCH(MONTH(S$8),IF(Assumptions!$H44="Jan / Apr / Jul / Oct",{1,4,7,10},IF(Assumptions!$H44="Feb / May / Aug / Nov",{2,5,8,11},{3,6,9,12})),0)),
                          DATE(YEAR(S$8),MONTH(S$8),Assumptions!$G44)&gt;=S$7,
                          DATE(YEAR(S$8),MONTH(S$8),Assumptions!$G44)&lt;=S$8
                        )
                      ),
                    "Yes","No"),
                  "No")
                )
              )
            )
          )
        )
      )
    )
  )
)</f>
        <v>No</v>
      </c>
      <c r="T32" s="59" t="s">
        <v>124</v>
      </c>
    </row>
    <row r="33" spans="3:20" hidden="1" outlineLevel="1" x14ac:dyDescent="0.25">
      <c r="C33" s="58">
        <f>Assumptions!D45</f>
        <v>0</v>
      </c>
      <c r="D33" s="58"/>
      <c r="E33" s="58"/>
      <c r="F33" s="58"/>
      <c r="G33" s="59" t="str">
        <f>IF(
  Assumptions!$K45="Off",
  "No",
  IF(
    Assumptions!$F45="I will phase manually",
    "No",
    IF(
      Assumptions!$F45="Last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Assumptions!$F45="End of month",
        IF(
          OR(
            AND(EOMONTH(G$7,0)&gt;=G$7, EOMONTH(G$7,0)&lt;=G$8),
            AND(EOMONTH(G$8,0)&gt;=G$7, EOMONTH(G$8,0)&lt;=G$8)
          ),
        "Yes","No"),
        IF(
          Assumptions!$F45="Specific day of month",
          IF(
            OR(
              AND(DATE(YEAR(G$7),MONTH(G$7),Assumptions!$G45)&gt;=G$7, DATE(YEAR(G$7),MONTH(G$7),Assumptions!$G45)&lt;=G$8),
              AND(DATE(YEAR(G$8),MONTH(G$8),Assumptions!$G45)&gt;=G$7, DATE(YEAR(G$8),MONTH(G$8),Assumptions!$G45)&lt;=G$8)
            ),
          "Yes","No"),
          IF(
            Assumptions!$F45="Last X day of month",
            IF(
              AND(
                WEEKDAY(G$7,2)&lt;=MATCH(Assumptions!$J45,{"Monday","Tuesday","Wednesday","Thursday","Friday"},0),
                WEEKDAY(G$8,2)&gt;=MATCH(Assumptions!$J45,{"Monday","Tuesday","Wednesday","Thursday","Friday"},0),
                (G$7+(MATCH(Assumptions!$J45,{"Monday","Tuesday","Wednesday","Thursday","Friday"},0)-WEEKDAY(G$7,2)))+7&gt;EOMONTH((G$7+(MATCH(Assumptions!$J45,{"Monday","Tuesday","Wednesday","Thursday","Friday"},0)-WEEKDAY(G$7,2))),0)
              ),
            "Yes","No"),
            IF(
              Assumptions!$F45="Weekly",
              IF(
                AND(
                  WEEKDAY(G$7,2)&lt;=MATCH(Assumptions!$J45,{"Monday","Tuesday","Wednesday","Thursday","Friday"},0),
                  WEEKDAY(G$8,2)&gt;=MATCH(Assumptions!$J45,{"Monday","Tuesday","Wednesday","Thursday","Friday"},0)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AND(Assumptions!$I45&gt;=G$7, Assumptions!$I45&lt;=G$8),
                    AND(
                      Assumptions!$I45&lt;G$7,
                      MOD(INT((G$7-(Assumptions!$I45-WEEKDAY(Assumptions!$I45,2)+1))/7),2)=0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AND(Assumptions!$I45&gt;=G$7, Assumptions!$I45&lt;=G$8),
                      AND(
                        Assumptions!$I45&lt;G$7,
                        MOD(INT((G$7-(Assumptions!$I45-WEEKDAY(Assumptions!$I45,2)+1))/7),3)=0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ISNUMBER(MATCH(MONTH(G$7),IF(Assumptions!$H45="Jan / Apr / Jul / Oct",{1,4,7,10},IF(Assumptions!$H45="Feb / May / Aug / Nov",{2,5,8,11},{3,6,9,12})),0)),
                          DATE(YEAR(G$7),MONTH(G$7),Assumptions!$G45)&gt;=G$7,
                          DATE(YEAR(G$7),MONTH(G$7),Assumptions!$G45)&lt;=G$8
                        ),
                        AND(
                          ISNUMBER(MATCH(MONTH(G$8),IF(Assumptions!$H45="Jan / Apr / Jul / Oct",{1,4,7,10},IF(Assumptions!$H45="Feb / May / Aug / Nov",{2,5,8,11},{3,6,9,12})),0)),
                          DATE(YEAR(G$8),MONTH(G$8),Assumptions!$G45)&gt;=G$7,
                          DATE(YEAR(G$8),MONTH(G$8),Assumptions!$G45)&lt;=G$8
                        )
                      ),
                    "Yes","No"),
                  "No")
                )
              )
            )
          )
        )
      )
    )
  )
)</f>
        <v>No</v>
      </c>
      <c r="H33" s="59" t="str">
        <f>IF(
  Assumptions!$K45="Off",
  "No",
  IF(
    Assumptions!$F45="I will phase manually",
    "No",
    IF(
      Assumptions!$F45="Last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Assumptions!$F45="End of month",
        IF(
          OR(
            AND(EOMONTH(H$7,0)&gt;=H$7, EOMONTH(H$7,0)&lt;=H$8),
            AND(EOMONTH(H$8,0)&gt;=H$7, EOMONTH(H$8,0)&lt;=H$8)
          ),
        "Yes","No"),
        IF(
          Assumptions!$F45="Specific day of month",
          IF(
            OR(
              AND(DATE(YEAR(H$7),MONTH(H$7),Assumptions!$G45)&gt;=H$7, DATE(YEAR(H$7),MONTH(H$7),Assumptions!$G45)&lt;=H$8),
              AND(DATE(YEAR(H$8),MONTH(H$8),Assumptions!$G45)&gt;=H$7, DATE(YEAR(H$8),MONTH(H$8),Assumptions!$G45)&lt;=H$8)
            ),
          "Yes","No"),
          IF(
            Assumptions!$F45="Last X day of month",
            IF(
              AND(
                WEEKDAY(H$7,2)&lt;=MATCH(Assumptions!$J45,{"Monday","Tuesday","Wednesday","Thursday","Friday"},0),
                WEEKDAY(H$8,2)&gt;=MATCH(Assumptions!$J45,{"Monday","Tuesday","Wednesday","Thursday","Friday"},0),
                (H$7+(MATCH(Assumptions!$J45,{"Monday","Tuesday","Wednesday","Thursday","Friday"},0)-WEEKDAY(H$7,2)))+7&gt;EOMONTH((H$7+(MATCH(Assumptions!$J45,{"Monday","Tuesday","Wednesday","Thursday","Friday"},0)-WEEKDAY(H$7,2))),0)
              ),
            "Yes","No"),
            IF(
              Assumptions!$F45="Weekly",
              IF(
                AND(
                  WEEKDAY(H$7,2)&lt;=MATCH(Assumptions!$J45,{"Monday","Tuesday","Wednesday","Thursday","Friday"},0),
                  WEEKDAY(H$8,2)&gt;=MATCH(Assumptions!$J45,{"Monday","Tuesday","Wednesday","Thursday","Friday"},0)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AND(Assumptions!$I45&gt;=H$7, Assumptions!$I45&lt;=H$8),
                    AND(
                      Assumptions!$I45&lt;H$7,
                      MOD(INT((H$7-(Assumptions!$I45-WEEKDAY(Assumptions!$I45,2)+1))/7),2)=0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AND(Assumptions!$I45&gt;=H$7, Assumptions!$I45&lt;=H$8),
                      AND(
                        Assumptions!$I45&lt;H$7,
                        MOD(INT((H$7-(Assumptions!$I45-WEEKDAY(Assumptions!$I45,2)+1))/7),3)=0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ISNUMBER(MATCH(MONTH(H$7),IF(Assumptions!$H45="Jan / Apr / Jul / Oct",{1,4,7,10},IF(Assumptions!$H45="Feb / May / Aug / Nov",{2,5,8,11},{3,6,9,12})),0)),
                          DATE(YEAR(H$7),MONTH(H$7),Assumptions!$G45)&gt;=H$7,
                          DATE(YEAR(H$7),MONTH(H$7),Assumptions!$G45)&lt;=H$8
                        ),
                        AND(
                          ISNUMBER(MATCH(MONTH(H$8),IF(Assumptions!$H45="Jan / Apr / Jul / Oct",{1,4,7,10},IF(Assumptions!$H45="Feb / May / Aug / Nov",{2,5,8,11},{3,6,9,12})),0)),
                          DATE(YEAR(H$8),MONTH(H$8),Assumptions!$G45)&gt;=H$7,
                          DATE(YEAR(H$8),MONTH(H$8),Assumptions!$G45)&lt;=H$8
                        )
                      ),
                    "Yes","No"),
                  "No")
                )
              )
            )
          )
        )
      )
    )
  )
)</f>
        <v>No</v>
      </c>
      <c r="I33" s="59" t="str">
        <f>IF(
  Assumptions!$K45="Off",
  "No",
  IF(
    Assumptions!$F45="I will phase manually",
    "No",
    IF(
      Assumptions!$F45="Last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Assumptions!$F45="End of month",
        IF(
          OR(
            AND(EOMONTH(I$7,0)&gt;=I$7, EOMONTH(I$7,0)&lt;=I$8),
            AND(EOMONTH(I$8,0)&gt;=I$7, EOMONTH(I$8,0)&lt;=I$8)
          ),
        "Yes","No"),
        IF(
          Assumptions!$F45="Specific day of month",
          IF(
            OR(
              AND(DATE(YEAR(I$7),MONTH(I$7),Assumptions!$G45)&gt;=I$7, DATE(YEAR(I$7),MONTH(I$7),Assumptions!$G45)&lt;=I$8),
              AND(DATE(YEAR(I$8),MONTH(I$8),Assumptions!$G45)&gt;=I$7, DATE(YEAR(I$8),MONTH(I$8),Assumptions!$G45)&lt;=I$8)
            ),
          "Yes","No"),
          IF(
            Assumptions!$F45="Last X day of month",
            IF(
              AND(
                WEEKDAY(I$7,2)&lt;=MATCH(Assumptions!$J45,{"Monday","Tuesday","Wednesday","Thursday","Friday"},0),
                WEEKDAY(I$8,2)&gt;=MATCH(Assumptions!$J45,{"Monday","Tuesday","Wednesday","Thursday","Friday"},0),
                (I$7+(MATCH(Assumptions!$J45,{"Monday","Tuesday","Wednesday","Thursday","Friday"},0)-WEEKDAY(I$7,2)))+7&gt;EOMONTH((I$7+(MATCH(Assumptions!$J45,{"Monday","Tuesday","Wednesday","Thursday","Friday"},0)-WEEKDAY(I$7,2))),0)
              ),
            "Yes","No"),
            IF(
              Assumptions!$F45="Weekly",
              IF(
                AND(
                  WEEKDAY(I$7,2)&lt;=MATCH(Assumptions!$J45,{"Monday","Tuesday","Wednesday","Thursday","Friday"},0),
                  WEEKDAY(I$8,2)&gt;=MATCH(Assumptions!$J45,{"Monday","Tuesday","Wednesday","Thursday","Friday"},0)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AND(Assumptions!$I45&gt;=I$7, Assumptions!$I45&lt;=I$8),
                    AND(
                      Assumptions!$I45&lt;I$7,
                      MOD(INT((I$7-(Assumptions!$I45-WEEKDAY(Assumptions!$I45,2)+1))/7),2)=0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AND(Assumptions!$I45&gt;=I$7, Assumptions!$I45&lt;=I$8),
                      AND(
                        Assumptions!$I45&lt;I$7,
                        MOD(INT((I$7-(Assumptions!$I45-WEEKDAY(Assumptions!$I45,2)+1))/7),3)=0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ISNUMBER(MATCH(MONTH(I$7),IF(Assumptions!$H45="Jan / Apr / Jul / Oct",{1,4,7,10},IF(Assumptions!$H45="Feb / May / Aug / Nov",{2,5,8,11},{3,6,9,12})),0)),
                          DATE(YEAR(I$7),MONTH(I$7),Assumptions!$G45)&gt;=I$7,
                          DATE(YEAR(I$7),MONTH(I$7),Assumptions!$G45)&lt;=I$8
                        ),
                        AND(
                          ISNUMBER(MATCH(MONTH(I$8),IF(Assumptions!$H45="Jan / Apr / Jul / Oct",{1,4,7,10},IF(Assumptions!$H45="Feb / May / Aug / Nov",{2,5,8,11},{3,6,9,12})),0)),
                          DATE(YEAR(I$8),MONTH(I$8),Assumptions!$G45)&gt;=I$7,
                          DATE(YEAR(I$8),MONTH(I$8),Assumptions!$G45)&lt;=I$8
                        )
                      ),
                    "Yes","No"),
                  "No")
                )
              )
            )
          )
        )
      )
    )
  )
)</f>
        <v>No</v>
      </c>
      <c r="J33" s="59" t="str">
        <f>IF(
  Assumptions!$K45="Off",
  "No",
  IF(
    Assumptions!$F45="I will phase manually",
    "No",
    IF(
      Assumptions!$F45="Last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Assumptions!$F45="End of month",
        IF(
          OR(
            AND(EOMONTH(J$7,0)&gt;=J$7, EOMONTH(J$7,0)&lt;=J$8),
            AND(EOMONTH(J$8,0)&gt;=J$7, EOMONTH(J$8,0)&lt;=J$8)
          ),
        "Yes","No"),
        IF(
          Assumptions!$F45="Specific day of month",
          IF(
            OR(
              AND(DATE(YEAR(J$7),MONTH(J$7),Assumptions!$G45)&gt;=J$7, DATE(YEAR(J$7),MONTH(J$7),Assumptions!$G45)&lt;=J$8),
              AND(DATE(YEAR(J$8),MONTH(J$8),Assumptions!$G45)&gt;=J$7, DATE(YEAR(J$8),MONTH(J$8),Assumptions!$G45)&lt;=J$8)
            ),
          "Yes","No"),
          IF(
            Assumptions!$F45="Last X day of month",
            IF(
              AND(
                WEEKDAY(J$7,2)&lt;=MATCH(Assumptions!$J45,{"Monday","Tuesday","Wednesday","Thursday","Friday"},0),
                WEEKDAY(J$8,2)&gt;=MATCH(Assumptions!$J45,{"Monday","Tuesday","Wednesday","Thursday","Friday"},0),
                (J$7+(MATCH(Assumptions!$J45,{"Monday","Tuesday","Wednesday","Thursday","Friday"},0)-WEEKDAY(J$7,2)))+7&gt;EOMONTH((J$7+(MATCH(Assumptions!$J45,{"Monday","Tuesday","Wednesday","Thursday","Friday"},0)-WEEKDAY(J$7,2))),0)
              ),
            "Yes","No"),
            IF(
              Assumptions!$F45="Weekly",
              IF(
                AND(
                  WEEKDAY(J$7,2)&lt;=MATCH(Assumptions!$J45,{"Monday","Tuesday","Wednesday","Thursday","Friday"},0),
                  WEEKDAY(J$8,2)&gt;=MATCH(Assumptions!$J45,{"Monday","Tuesday","Wednesday","Thursday","Friday"},0)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AND(Assumptions!$I45&gt;=J$7, Assumptions!$I45&lt;=J$8),
                    AND(
                      Assumptions!$I45&lt;J$7,
                      MOD(INT((J$7-(Assumptions!$I45-WEEKDAY(Assumptions!$I45,2)+1))/7),2)=0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AND(Assumptions!$I45&gt;=J$7, Assumptions!$I45&lt;=J$8),
                      AND(
                        Assumptions!$I45&lt;J$7,
                        MOD(INT((J$7-(Assumptions!$I45-WEEKDAY(Assumptions!$I45,2)+1))/7),3)=0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ISNUMBER(MATCH(MONTH(J$7),IF(Assumptions!$H45="Jan / Apr / Jul / Oct",{1,4,7,10},IF(Assumptions!$H45="Feb / May / Aug / Nov",{2,5,8,11},{3,6,9,12})),0)),
                          DATE(YEAR(J$7),MONTH(J$7),Assumptions!$G45)&gt;=J$7,
                          DATE(YEAR(J$7),MONTH(J$7),Assumptions!$G45)&lt;=J$8
                        ),
                        AND(
                          ISNUMBER(MATCH(MONTH(J$8),IF(Assumptions!$H45="Jan / Apr / Jul / Oct",{1,4,7,10},IF(Assumptions!$H45="Feb / May / Aug / Nov",{2,5,8,11},{3,6,9,12})),0)),
                          DATE(YEAR(J$8),MONTH(J$8),Assumptions!$G45)&gt;=J$7,
                          DATE(YEAR(J$8),MONTH(J$8),Assumptions!$G45)&lt;=J$8
                        )
                      ),
                    "Yes","No"),
                  "No")
                )
              )
            )
          )
        )
      )
    )
  )
)</f>
        <v>No</v>
      </c>
      <c r="K33" s="59" t="str">
        <f>IF(
  Assumptions!$K45="Off",
  "No",
  IF(
    Assumptions!$F45="I will phase manually",
    "No",
    IF(
      Assumptions!$F45="Last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Assumptions!$F45="End of month",
        IF(
          OR(
            AND(EOMONTH(K$7,0)&gt;=K$7, EOMONTH(K$7,0)&lt;=K$8),
            AND(EOMONTH(K$8,0)&gt;=K$7, EOMONTH(K$8,0)&lt;=K$8)
          ),
        "Yes","No"),
        IF(
          Assumptions!$F45="Specific day of month",
          IF(
            OR(
              AND(DATE(YEAR(K$7),MONTH(K$7),Assumptions!$G45)&gt;=K$7, DATE(YEAR(K$7),MONTH(K$7),Assumptions!$G45)&lt;=K$8),
              AND(DATE(YEAR(K$8),MONTH(K$8),Assumptions!$G45)&gt;=K$7, DATE(YEAR(K$8),MONTH(K$8),Assumptions!$G45)&lt;=K$8)
            ),
          "Yes","No"),
          IF(
            Assumptions!$F45="Last X day of month",
            IF(
              AND(
                WEEKDAY(K$7,2)&lt;=MATCH(Assumptions!$J45,{"Monday","Tuesday","Wednesday","Thursday","Friday"},0),
                WEEKDAY(K$8,2)&gt;=MATCH(Assumptions!$J45,{"Monday","Tuesday","Wednesday","Thursday","Friday"},0),
                (K$7+(MATCH(Assumptions!$J45,{"Monday","Tuesday","Wednesday","Thursday","Friday"},0)-WEEKDAY(K$7,2)))+7&gt;EOMONTH((K$7+(MATCH(Assumptions!$J45,{"Monday","Tuesday","Wednesday","Thursday","Friday"},0)-WEEKDAY(K$7,2))),0)
              ),
            "Yes","No"),
            IF(
              Assumptions!$F45="Weekly",
              IF(
                AND(
                  WEEKDAY(K$7,2)&lt;=MATCH(Assumptions!$J45,{"Monday","Tuesday","Wednesday","Thursday","Friday"},0),
                  WEEKDAY(K$8,2)&gt;=MATCH(Assumptions!$J45,{"Monday","Tuesday","Wednesday","Thursday","Friday"},0)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AND(Assumptions!$I45&gt;=K$7, Assumptions!$I45&lt;=K$8),
                    AND(
                      Assumptions!$I45&lt;K$7,
                      MOD(INT((K$7-(Assumptions!$I45-WEEKDAY(Assumptions!$I45,2)+1))/7),2)=0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AND(Assumptions!$I45&gt;=K$7, Assumptions!$I45&lt;=K$8),
                      AND(
                        Assumptions!$I45&lt;K$7,
                        MOD(INT((K$7-(Assumptions!$I45-WEEKDAY(Assumptions!$I45,2)+1))/7),3)=0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ISNUMBER(MATCH(MONTH(K$7),IF(Assumptions!$H45="Jan / Apr / Jul / Oct",{1,4,7,10},IF(Assumptions!$H45="Feb / May / Aug / Nov",{2,5,8,11},{3,6,9,12})),0)),
                          DATE(YEAR(K$7),MONTH(K$7),Assumptions!$G45)&gt;=K$7,
                          DATE(YEAR(K$7),MONTH(K$7),Assumptions!$G45)&lt;=K$8
                        ),
                        AND(
                          ISNUMBER(MATCH(MONTH(K$8),IF(Assumptions!$H45="Jan / Apr / Jul / Oct",{1,4,7,10},IF(Assumptions!$H45="Feb / May / Aug / Nov",{2,5,8,11},{3,6,9,12})),0)),
                          DATE(YEAR(K$8),MONTH(K$8),Assumptions!$G45)&gt;=K$7,
                          DATE(YEAR(K$8),MONTH(K$8),Assumptions!$G45)&lt;=K$8
                        )
                      ),
                    "Yes","No"),
                  "No")
                )
              )
            )
          )
        )
      )
    )
  )
)</f>
        <v>No</v>
      </c>
      <c r="L33" s="59" t="str">
        <f>IF(
  Assumptions!$K45="Off",
  "No",
  IF(
    Assumptions!$F45="I will phase manually",
    "No",
    IF(
      Assumptions!$F45="Last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Assumptions!$F45="End of month",
        IF(
          OR(
            AND(EOMONTH(L$7,0)&gt;=L$7, EOMONTH(L$7,0)&lt;=L$8),
            AND(EOMONTH(L$8,0)&gt;=L$7, EOMONTH(L$8,0)&lt;=L$8)
          ),
        "Yes","No"),
        IF(
          Assumptions!$F45="Specific day of month",
          IF(
            OR(
              AND(DATE(YEAR(L$7),MONTH(L$7),Assumptions!$G45)&gt;=L$7, DATE(YEAR(L$7),MONTH(L$7),Assumptions!$G45)&lt;=L$8),
              AND(DATE(YEAR(L$8),MONTH(L$8),Assumptions!$G45)&gt;=L$7, DATE(YEAR(L$8),MONTH(L$8),Assumptions!$G45)&lt;=L$8)
            ),
          "Yes","No"),
          IF(
            Assumptions!$F45="Last X day of month",
            IF(
              AND(
                WEEKDAY(L$7,2)&lt;=MATCH(Assumptions!$J45,{"Monday","Tuesday","Wednesday","Thursday","Friday"},0),
                WEEKDAY(L$8,2)&gt;=MATCH(Assumptions!$J45,{"Monday","Tuesday","Wednesday","Thursday","Friday"},0),
                (L$7+(MATCH(Assumptions!$J45,{"Monday","Tuesday","Wednesday","Thursday","Friday"},0)-WEEKDAY(L$7,2)))+7&gt;EOMONTH((L$7+(MATCH(Assumptions!$J45,{"Monday","Tuesday","Wednesday","Thursday","Friday"},0)-WEEKDAY(L$7,2))),0)
              ),
            "Yes","No"),
            IF(
              Assumptions!$F45="Weekly",
              IF(
                AND(
                  WEEKDAY(L$7,2)&lt;=MATCH(Assumptions!$J45,{"Monday","Tuesday","Wednesday","Thursday","Friday"},0),
                  WEEKDAY(L$8,2)&gt;=MATCH(Assumptions!$J45,{"Monday","Tuesday","Wednesday","Thursday","Friday"},0)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AND(Assumptions!$I45&gt;=L$7, Assumptions!$I45&lt;=L$8),
                    AND(
                      Assumptions!$I45&lt;L$7,
                      MOD(INT((L$7-(Assumptions!$I45-WEEKDAY(Assumptions!$I45,2)+1))/7),2)=0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AND(Assumptions!$I45&gt;=L$7, Assumptions!$I45&lt;=L$8),
                      AND(
                        Assumptions!$I45&lt;L$7,
                        MOD(INT((L$7-(Assumptions!$I45-WEEKDAY(Assumptions!$I45,2)+1))/7),3)=0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ISNUMBER(MATCH(MONTH(L$7),IF(Assumptions!$H45="Jan / Apr / Jul / Oct",{1,4,7,10},IF(Assumptions!$H45="Feb / May / Aug / Nov",{2,5,8,11},{3,6,9,12})),0)),
                          DATE(YEAR(L$7),MONTH(L$7),Assumptions!$G45)&gt;=L$7,
                          DATE(YEAR(L$7),MONTH(L$7),Assumptions!$G45)&lt;=L$8
                        ),
                        AND(
                          ISNUMBER(MATCH(MONTH(L$8),IF(Assumptions!$H45="Jan / Apr / Jul / Oct",{1,4,7,10},IF(Assumptions!$H45="Feb / May / Aug / Nov",{2,5,8,11},{3,6,9,12})),0)),
                          DATE(YEAR(L$8),MONTH(L$8),Assumptions!$G45)&gt;=L$7,
                          DATE(YEAR(L$8),MONTH(L$8),Assumptions!$G45)&lt;=L$8
                        )
                      ),
                    "Yes","No"),
                  "No")
                )
              )
            )
          )
        )
      )
    )
  )
)</f>
        <v>No</v>
      </c>
      <c r="M33" s="59" t="str">
        <f>IF(
  Assumptions!$K45="Off",
  "No",
  IF(
    Assumptions!$F45="I will phase manually",
    "No",
    IF(
      Assumptions!$F45="Last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Assumptions!$F45="End of month",
        IF(
          OR(
            AND(EOMONTH(M$7,0)&gt;=M$7, EOMONTH(M$7,0)&lt;=M$8),
            AND(EOMONTH(M$8,0)&gt;=M$7, EOMONTH(M$8,0)&lt;=M$8)
          ),
        "Yes","No"),
        IF(
          Assumptions!$F45="Specific day of month",
          IF(
            OR(
              AND(DATE(YEAR(M$7),MONTH(M$7),Assumptions!$G45)&gt;=M$7, DATE(YEAR(M$7),MONTH(M$7),Assumptions!$G45)&lt;=M$8),
              AND(DATE(YEAR(M$8),MONTH(M$8),Assumptions!$G45)&gt;=M$7, DATE(YEAR(M$8),MONTH(M$8),Assumptions!$G45)&lt;=M$8)
            ),
          "Yes","No"),
          IF(
            Assumptions!$F45="Last X day of month",
            IF(
              AND(
                WEEKDAY(M$7,2)&lt;=MATCH(Assumptions!$J45,{"Monday","Tuesday","Wednesday","Thursday","Friday"},0),
                WEEKDAY(M$8,2)&gt;=MATCH(Assumptions!$J45,{"Monday","Tuesday","Wednesday","Thursday","Friday"},0),
                (M$7+(MATCH(Assumptions!$J45,{"Monday","Tuesday","Wednesday","Thursday","Friday"},0)-WEEKDAY(M$7,2)))+7&gt;EOMONTH((M$7+(MATCH(Assumptions!$J45,{"Monday","Tuesday","Wednesday","Thursday","Friday"},0)-WEEKDAY(M$7,2))),0)
              ),
            "Yes","No"),
            IF(
              Assumptions!$F45="Weekly",
              IF(
                AND(
                  WEEKDAY(M$7,2)&lt;=MATCH(Assumptions!$J45,{"Monday","Tuesday","Wednesday","Thursday","Friday"},0),
                  WEEKDAY(M$8,2)&gt;=MATCH(Assumptions!$J45,{"Monday","Tuesday","Wednesday","Thursday","Friday"},0)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AND(Assumptions!$I45&gt;=M$7, Assumptions!$I45&lt;=M$8),
                    AND(
                      Assumptions!$I45&lt;M$7,
                      MOD(INT((M$7-(Assumptions!$I45-WEEKDAY(Assumptions!$I45,2)+1))/7),2)=0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AND(Assumptions!$I45&gt;=M$7, Assumptions!$I45&lt;=M$8),
                      AND(
                        Assumptions!$I45&lt;M$7,
                        MOD(INT((M$7-(Assumptions!$I45-WEEKDAY(Assumptions!$I45,2)+1))/7),3)=0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ISNUMBER(MATCH(MONTH(M$7),IF(Assumptions!$H45="Jan / Apr / Jul / Oct",{1,4,7,10},IF(Assumptions!$H45="Feb / May / Aug / Nov",{2,5,8,11},{3,6,9,12})),0)),
                          DATE(YEAR(M$7),MONTH(M$7),Assumptions!$G45)&gt;=M$7,
                          DATE(YEAR(M$7),MONTH(M$7),Assumptions!$G45)&lt;=M$8
                        ),
                        AND(
                          ISNUMBER(MATCH(MONTH(M$8),IF(Assumptions!$H45="Jan / Apr / Jul / Oct",{1,4,7,10},IF(Assumptions!$H45="Feb / May / Aug / Nov",{2,5,8,11},{3,6,9,12})),0)),
                          DATE(YEAR(M$8),MONTH(M$8),Assumptions!$G45)&gt;=M$7,
                          DATE(YEAR(M$8),MONTH(M$8),Assumptions!$G45)&lt;=M$8
                        )
                      ),
                    "Yes","No"),
                  "No")
                )
              )
            )
          )
        )
      )
    )
  )
)</f>
        <v>No</v>
      </c>
      <c r="N33" s="59" t="str">
        <f>IF(
  Assumptions!$K45="Off",
  "No",
  IF(
    Assumptions!$F45="I will phase manually",
    "No",
    IF(
      Assumptions!$F45="Last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Assumptions!$F45="End of month",
        IF(
          OR(
            AND(EOMONTH(N$7,0)&gt;=N$7, EOMONTH(N$7,0)&lt;=N$8),
            AND(EOMONTH(N$8,0)&gt;=N$7, EOMONTH(N$8,0)&lt;=N$8)
          ),
        "Yes","No"),
        IF(
          Assumptions!$F45="Specific day of month",
          IF(
            OR(
              AND(DATE(YEAR(N$7),MONTH(N$7),Assumptions!$G45)&gt;=N$7, DATE(YEAR(N$7),MONTH(N$7),Assumptions!$G45)&lt;=N$8),
              AND(DATE(YEAR(N$8),MONTH(N$8),Assumptions!$G45)&gt;=N$7, DATE(YEAR(N$8),MONTH(N$8),Assumptions!$G45)&lt;=N$8)
            ),
          "Yes","No"),
          IF(
            Assumptions!$F45="Last X day of month",
            IF(
              AND(
                WEEKDAY(N$7,2)&lt;=MATCH(Assumptions!$J45,{"Monday","Tuesday","Wednesday","Thursday","Friday"},0),
                WEEKDAY(N$8,2)&gt;=MATCH(Assumptions!$J45,{"Monday","Tuesday","Wednesday","Thursday","Friday"},0),
                (N$7+(MATCH(Assumptions!$J45,{"Monday","Tuesday","Wednesday","Thursday","Friday"},0)-WEEKDAY(N$7,2)))+7&gt;EOMONTH((N$7+(MATCH(Assumptions!$J45,{"Monday","Tuesday","Wednesday","Thursday","Friday"},0)-WEEKDAY(N$7,2))),0)
              ),
            "Yes","No"),
            IF(
              Assumptions!$F45="Weekly",
              IF(
                AND(
                  WEEKDAY(N$7,2)&lt;=MATCH(Assumptions!$J45,{"Monday","Tuesday","Wednesday","Thursday","Friday"},0),
                  WEEKDAY(N$8,2)&gt;=MATCH(Assumptions!$J45,{"Monday","Tuesday","Wednesday","Thursday","Friday"},0)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AND(Assumptions!$I45&gt;=N$7, Assumptions!$I45&lt;=N$8),
                    AND(
                      Assumptions!$I45&lt;N$7,
                      MOD(INT((N$7-(Assumptions!$I45-WEEKDAY(Assumptions!$I45,2)+1))/7),2)=0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AND(Assumptions!$I45&gt;=N$7, Assumptions!$I45&lt;=N$8),
                      AND(
                        Assumptions!$I45&lt;N$7,
                        MOD(INT((N$7-(Assumptions!$I45-WEEKDAY(Assumptions!$I45,2)+1))/7),3)=0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ISNUMBER(MATCH(MONTH(N$7),IF(Assumptions!$H45="Jan / Apr / Jul / Oct",{1,4,7,10},IF(Assumptions!$H45="Feb / May / Aug / Nov",{2,5,8,11},{3,6,9,12})),0)),
                          DATE(YEAR(N$7),MONTH(N$7),Assumptions!$G45)&gt;=N$7,
                          DATE(YEAR(N$7),MONTH(N$7),Assumptions!$G45)&lt;=N$8
                        ),
                        AND(
                          ISNUMBER(MATCH(MONTH(N$8),IF(Assumptions!$H45="Jan / Apr / Jul / Oct",{1,4,7,10},IF(Assumptions!$H45="Feb / May / Aug / Nov",{2,5,8,11},{3,6,9,12})),0)),
                          DATE(YEAR(N$8),MONTH(N$8),Assumptions!$G45)&gt;=N$7,
                          DATE(YEAR(N$8),MONTH(N$8),Assumptions!$G45)&lt;=N$8
                        )
                      ),
                    "Yes","No"),
                  "No")
                )
              )
            )
          )
        )
      )
    )
  )
)</f>
        <v>No</v>
      </c>
      <c r="O33" s="59" t="str">
        <f>IF(
  Assumptions!$K45="Off",
  "No",
  IF(
    Assumptions!$F45="I will phase manually",
    "No",
    IF(
      Assumptions!$F45="Last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Assumptions!$F45="End of month",
        IF(
          OR(
            AND(EOMONTH(O$7,0)&gt;=O$7, EOMONTH(O$7,0)&lt;=O$8),
            AND(EOMONTH(O$8,0)&gt;=O$7, EOMONTH(O$8,0)&lt;=O$8)
          ),
        "Yes","No"),
        IF(
          Assumptions!$F45="Specific day of month",
          IF(
            OR(
              AND(DATE(YEAR(O$7),MONTH(O$7),Assumptions!$G45)&gt;=O$7, DATE(YEAR(O$7),MONTH(O$7),Assumptions!$G45)&lt;=O$8),
              AND(DATE(YEAR(O$8),MONTH(O$8),Assumptions!$G45)&gt;=O$7, DATE(YEAR(O$8),MONTH(O$8),Assumptions!$G45)&lt;=O$8)
            ),
          "Yes","No"),
          IF(
            Assumptions!$F45="Last X day of month",
            IF(
              AND(
                WEEKDAY(O$7,2)&lt;=MATCH(Assumptions!$J45,{"Monday","Tuesday","Wednesday","Thursday","Friday"},0),
                WEEKDAY(O$8,2)&gt;=MATCH(Assumptions!$J45,{"Monday","Tuesday","Wednesday","Thursday","Friday"},0),
                (O$7+(MATCH(Assumptions!$J45,{"Monday","Tuesday","Wednesday","Thursday","Friday"},0)-WEEKDAY(O$7,2)))+7&gt;EOMONTH((O$7+(MATCH(Assumptions!$J45,{"Monday","Tuesday","Wednesday","Thursday","Friday"},0)-WEEKDAY(O$7,2))),0)
              ),
            "Yes","No"),
            IF(
              Assumptions!$F45="Weekly",
              IF(
                AND(
                  WEEKDAY(O$7,2)&lt;=MATCH(Assumptions!$J45,{"Monday","Tuesday","Wednesday","Thursday","Friday"},0),
                  WEEKDAY(O$8,2)&gt;=MATCH(Assumptions!$J45,{"Monday","Tuesday","Wednesday","Thursday","Friday"},0)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AND(Assumptions!$I45&gt;=O$7, Assumptions!$I45&lt;=O$8),
                    AND(
                      Assumptions!$I45&lt;O$7,
                      MOD(INT((O$7-(Assumptions!$I45-WEEKDAY(Assumptions!$I45,2)+1))/7),2)=0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AND(Assumptions!$I45&gt;=O$7, Assumptions!$I45&lt;=O$8),
                      AND(
                        Assumptions!$I45&lt;O$7,
                        MOD(INT((O$7-(Assumptions!$I45-WEEKDAY(Assumptions!$I45,2)+1))/7),3)=0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ISNUMBER(MATCH(MONTH(O$7),IF(Assumptions!$H45="Jan / Apr / Jul / Oct",{1,4,7,10},IF(Assumptions!$H45="Feb / May / Aug / Nov",{2,5,8,11},{3,6,9,12})),0)),
                          DATE(YEAR(O$7),MONTH(O$7),Assumptions!$G45)&gt;=O$7,
                          DATE(YEAR(O$7),MONTH(O$7),Assumptions!$G45)&lt;=O$8
                        ),
                        AND(
                          ISNUMBER(MATCH(MONTH(O$8),IF(Assumptions!$H45="Jan / Apr / Jul / Oct",{1,4,7,10},IF(Assumptions!$H45="Feb / May / Aug / Nov",{2,5,8,11},{3,6,9,12})),0)),
                          DATE(YEAR(O$8),MONTH(O$8),Assumptions!$G45)&gt;=O$7,
                          DATE(YEAR(O$8),MONTH(O$8),Assumptions!$G45)&lt;=O$8
                        )
                      ),
                    "Yes","No"),
                  "No")
                )
              )
            )
          )
        )
      )
    )
  )
)</f>
        <v>No</v>
      </c>
      <c r="P33" s="59" t="str">
        <f>IF(
  Assumptions!$K45="Off",
  "No",
  IF(
    Assumptions!$F45="I will phase manually",
    "No",
    IF(
      Assumptions!$F45="Last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Assumptions!$F45="End of month",
        IF(
          OR(
            AND(EOMONTH(P$7,0)&gt;=P$7, EOMONTH(P$7,0)&lt;=P$8),
            AND(EOMONTH(P$8,0)&gt;=P$7, EOMONTH(P$8,0)&lt;=P$8)
          ),
        "Yes","No"),
        IF(
          Assumptions!$F45="Specific day of month",
          IF(
            OR(
              AND(DATE(YEAR(P$7),MONTH(P$7),Assumptions!$G45)&gt;=P$7, DATE(YEAR(P$7),MONTH(P$7),Assumptions!$G45)&lt;=P$8),
              AND(DATE(YEAR(P$8),MONTH(P$8),Assumptions!$G45)&gt;=P$7, DATE(YEAR(P$8),MONTH(P$8),Assumptions!$G45)&lt;=P$8)
            ),
          "Yes","No"),
          IF(
            Assumptions!$F45="Last X day of month",
            IF(
              AND(
                WEEKDAY(P$7,2)&lt;=MATCH(Assumptions!$J45,{"Monday","Tuesday","Wednesday","Thursday","Friday"},0),
                WEEKDAY(P$8,2)&gt;=MATCH(Assumptions!$J45,{"Monday","Tuesday","Wednesday","Thursday","Friday"},0),
                (P$7+(MATCH(Assumptions!$J45,{"Monday","Tuesday","Wednesday","Thursday","Friday"},0)-WEEKDAY(P$7,2)))+7&gt;EOMONTH((P$7+(MATCH(Assumptions!$J45,{"Monday","Tuesday","Wednesday","Thursday","Friday"},0)-WEEKDAY(P$7,2))),0)
              ),
            "Yes","No"),
            IF(
              Assumptions!$F45="Weekly",
              IF(
                AND(
                  WEEKDAY(P$7,2)&lt;=MATCH(Assumptions!$J45,{"Monday","Tuesday","Wednesday","Thursday","Friday"},0),
                  WEEKDAY(P$8,2)&gt;=MATCH(Assumptions!$J45,{"Monday","Tuesday","Wednesday","Thursday","Friday"},0)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AND(Assumptions!$I45&gt;=P$7, Assumptions!$I45&lt;=P$8),
                    AND(
                      Assumptions!$I45&lt;P$7,
                      MOD(INT((P$7-(Assumptions!$I45-WEEKDAY(Assumptions!$I45,2)+1))/7),2)=0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AND(Assumptions!$I45&gt;=P$7, Assumptions!$I45&lt;=P$8),
                      AND(
                        Assumptions!$I45&lt;P$7,
                        MOD(INT((P$7-(Assumptions!$I45-WEEKDAY(Assumptions!$I45,2)+1))/7),3)=0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ISNUMBER(MATCH(MONTH(P$7),IF(Assumptions!$H45="Jan / Apr / Jul / Oct",{1,4,7,10},IF(Assumptions!$H45="Feb / May / Aug / Nov",{2,5,8,11},{3,6,9,12})),0)),
                          DATE(YEAR(P$7),MONTH(P$7),Assumptions!$G45)&gt;=P$7,
                          DATE(YEAR(P$7),MONTH(P$7),Assumptions!$G45)&lt;=P$8
                        ),
                        AND(
                          ISNUMBER(MATCH(MONTH(P$8),IF(Assumptions!$H45="Jan / Apr / Jul / Oct",{1,4,7,10},IF(Assumptions!$H45="Feb / May / Aug / Nov",{2,5,8,11},{3,6,9,12})),0)),
                          DATE(YEAR(P$8),MONTH(P$8),Assumptions!$G45)&gt;=P$7,
                          DATE(YEAR(P$8),MONTH(P$8),Assumptions!$G45)&lt;=P$8
                        )
                      ),
                    "Yes","No"),
                  "No")
                )
              )
            )
          )
        )
      )
    )
  )
)</f>
        <v>No</v>
      </c>
      <c r="Q33" s="59" t="str">
        <f>IF(
  Assumptions!$K45="Off",
  "No",
  IF(
    Assumptions!$F45="I will phase manually",
    "No",
    IF(
      Assumptions!$F45="Last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Assumptions!$F45="End of month",
        IF(
          OR(
            AND(EOMONTH(Q$7,0)&gt;=Q$7, EOMONTH(Q$7,0)&lt;=Q$8),
            AND(EOMONTH(Q$8,0)&gt;=Q$7, EOMONTH(Q$8,0)&lt;=Q$8)
          ),
        "Yes","No"),
        IF(
          Assumptions!$F45="Specific day of month",
          IF(
            OR(
              AND(DATE(YEAR(Q$7),MONTH(Q$7),Assumptions!$G45)&gt;=Q$7, DATE(YEAR(Q$7),MONTH(Q$7),Assumptions!$G45)&lt;=Q$8),
              AND(DATE(YEAR(Q$8),MONTH(Q$8),Assumptions!$G45)&gt;=Q$7, DATE(YEAR(Q$8),MONTH(Q$8),Assumptions!$G45)&lt;=Q$8)
            ),
          "Yes","No"),
          IF(
            Assumptions!$F45="Last X day of month",
            IF(
              AND(
                WEEKDAY(Q$7,2)&lt;=MATCH(Assumptions!$J45,{"Monday","Tuesday","Wednesday","Thursday","Friday"},0),
                WEEKDAY(Q$8,2)&gt;=MATCH(Assumptions!$J45,{"Monday","Tuesday","Wednesday","Thursday","Friday"},0),
                (Q$7+(MATCH(Assumptions!$J45,{"Monday","Tuesday","Wednesday","Thursday","Friday"},0)-WEEKDAY(Q$7,2)))+7&gt;EOMONTH((Q$7+(MATCH(Assumptions!$J45,{"Monday","Tuesday","Wednesday","Thursday","Friday"},0)-WEEKDAY(Q$7,2))),0)
              ),
            "Yes","No"),
            IF(
              Assumptions!$F45="Weekly",
              IF(
                AND(
                  WEEKDAY(Q$7,2)&lt;=MATCH(Assumptions!$J45,{"Monday","Tuesday","Wednesday","Thursday","Friday"},0),
                  WEEKDAY(Q$8,2)&gt;=MATCH(Assumptions!$J45,{"Monday","Tuesday","Wednesday","Thursday","Friday"},0)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AND(Assumptions!$I45&gt;=Q$7, Assumptions!$I45&lt;=Q$8),
                    AND(
                      Assumptions!$I45&lt;Q$7,
                      MOD(INT((Q$7-(Assumptions!$I45-WEEKDAY(Assumptions!$I45,2)+1))/7),2)=0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AND(Assumptions!$I45&gt;=Q$7, Assumptions!$I45&lt;=Q$8),
                      AND(
                        Assumptions!$I45&lt;Q$7,
                        MOD(INT((Q$7-(Assumptions!$I45-WEEKDAY(Assumptions!$I45,2)+1))/7),3)=0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ISNUMBER(MATCH(MONTH(Q$7),IF(Assumptions!$H45="Jan / Apr / Jul / Oct",{1,4,7,10},IF(Assumptions!$H45="Feb / May / Aug / Nov",{2,5,8,11},{3,6,9,12})),0)),
                          DATE(YEAR(Q$7),MONTH(Q$7),Assumptions!$G45)&gt;=Q$7,
                          DATE(YEAR(Q$7),MONTH(Q$7),Assumptions!$G45)&lt;=Q$8
                        ),
                        AND(
                          ISNUMBER(MATCH(MONTH(Q$8),IF(Assumptions!$H45="Jan / Apr / Jul / Oct",{1,4,7,10},IF(Assumptions!$H45="Feb / May / Aug / Nov",{2,5,8,11},{3,6,9,12})),0)),
                          DATE(YEAR(Q$8),MONTH(Q$8),Assumptions!$G45)&gt;=Q$7,
                          DATE(YEAR(Q$8),MONTH(Q$8),Assumptions!$G45)&lt;=Q$8
                        )
                      ),
                    "Yes","No"),
                  "No")
                )
              )
            )
          )
        )
      )
    )
  )
)</f>
        <v>No</v>
      </c>
      <c r="R33" s="59" t="str">
        <f>IF(
  Assumptions!$K45="Off",
  "No",
  IF(
    Assumptions!$F45="I will phase manually",
    "No",
    IF(
      Assumptions!$F45="Last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Assumptions!$F45="End of month",
        IF(
          OR(
            AND(EOMONTH(R$7,0)&gt;=R$7, EOMONTH(R$7,0)&lt;=R$8),
            AND(EOMONTH(R$8,0)&gt;=R$7, EOMONTH(R$8,0)&lt;=R$8)
          ),
        "Yes","No"),
        IF(
          Assumptions!$F45="Specific day of month",
          IF(
            OR(
              AND(DATE(YEAR(R$7),MONTH(R$7),Assumptions!$G45)&gt;=R$7, DATE(YEAR(R$7),MONTH(R$7),Assumptions!$G45)&lt;=R$8),
              AND(DATE(YEAR(R$8),MONTH(R$8),Assumptions!$G45)&gt;=R$7, DATE(YEAR(R$8),MONTH(R$8),Assumptions!$G45)&lt;=R$8)
            ),
          "Yes","No"),
          IF(
            Assumptions!$F45="Last X day of month",
            IF(
              AND(
                WEEKDAY(R$7,2)&lt;=MATCH(Assumptions!$J45,{"Monday","Tuesday","Wednesday","Thursday","Friday"},0),
                WEEKDAY(R$8,2)&gt;=MATCH(Assumptions!$J45,{"Monday","Tuesday","Wednesday","Thursday","Friday"},0),
                (R$7+(MATCH(Assumptions!$J45,{"Monday","Tuesday","Wednesday","Thursday","Friday"},0)-WEEKDAY(R$7,2)))+7&gt;EOMONTH((R$7+(MATCH(Assumptions!$J45,{"Monday","Tuesday","Wednesday","Thursday","Friday"},0)-WEEKDAY(R$7,2))),0)
              ),
            "Yes","No"),
            IF(
              Assumptions!$F45="Weekly",
              IF(
                AND(
                  WEEKDAY(R$7,2)&lt;=MATCH(Assumptions!$J45,{"Monday","Tuesday","Wednesday","Thursday","Friday"},0),
                  WEEKDAY(R$8,2)&gt;=MATCH(Assumptions!$J45,{"Monday","Tuesday","Wednesday","Thursday","Friday"},0)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AND(Assumptions!$I45&gt;=R$7, Assumptions!$I45&lt;=R$8),
                    AND(
                      Assumptions!$I45&lt;R$7,
                      MOD(INT((R$7-(Assumptions!$I45-WEEKDAY(Assumptions!$I45,2)+1))/7),2)=0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AND(Assumptions!$I45&gt;=R$7, Assumptions!$I45&lt;=R$8),
                      AND(
                        Assumptions!$I45&lt;R$7,
                        MOD(INT((R$7-(Assumptions!$I45-WEEKDAY(Assumptions!$I45,2)+1))/7),3)=0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ISNUMBER(MATCH(MONTH(R$7),IF(Assumptions!$H45="Jan / Apr / Jul / Oct",{1,4,7,10},IF(Assumptions!$H45="Feb / May / Aug / Nov",{2,5,8,11},{3,6,9,12})),0)),
                          DATE(YEAR(R$7),MONTH(R$7),Assumptions!$G45)&gt;=R$7,
                          DATE(YEAR(R$7),MONTH(R$7),Assumptions!$G45)&lt;=R$8
                        ),
                        AND(
                          ISNUMBER(MATCH(MONTH(R$8),IF(Assumptions!$H45="Jan / Apr / Jul / Oct",{1,4,7,10},IF(Assumptions!$H45="Feb / May / Aug / Nov",{2,5,8,11},{3,6,9,12})),0)),
                          DATE(YEAR(R$8),MONTH(R$8),Assumptions!$G45)&gt;=R$7,
                          DATE(YEAR(R$8),MONTH(R$8),Assumptions!$G45)&lt;=R$8
                        )
                      ),
                    "Yes","No"),
                  "No")
                )
              )
            )
          )
        )
      )
    )
  )
)</f>
        <v>No</v>
      </c>
      <c r="S33" s="59" t="str">
        <f>IF(
  Assumptions!$K45="Off",
  "No",
  IF(
    Assumptions!$F45="I will phase manually",
    "No",
    IF(
      Assumptions!$F45="Last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Assumptions!$F45="End of month",
        IF(
          OR(
            AND(EOMONTH(S$7,0)&gt;=S$7, EOMONTH(S$7,0)&lt;=S$8),
            AND(EOMONTH(S$8,0)&gt;=S$7, EOMONTH(S$8,0)&lt;=S$8)
          ),
        "Yes","No"),
        IF(
          Assumptions!$F45="Specific day of month",
          IF(
            OR(
              AND(DATE(YEAR(S$7),MONTH(S$7),Assumptions!$G45)&gt;=S$7, DATE(YEAR(S$7),MONTH(S$7),Assumptions!$G45)&lt;=S$8),
              AND(DATE(YEAR(S$8),MONTH(S$8),Assumptions!$G45)&gt;=S$7, DATE(YEAR(S$8),MONTH(S$8),Assumptions!$G45)&lt;=S$8)
            ),
          "Yes","No"),
          IF(
            Assumptions!$F45="Last X day of month",
            IF(
              AND(
                WEEKDAY(S$7,2)&lt;=MATCH(Assumptions!$J45,{"Monday","Tuesday","Wednesday","Thursday","Friday"},0),
                WEEKDAY(S$8,2)&gt;=MATCH(Assumptions!$J45,{"Monday","Tuesday","Wednesday","Thursday","Friday"},0),
                (S$7+(MATCH(Assumptions!$J45,{"Monday","Tuesday","Wednesday","Thursday","Friday"},0)-WEEKDAY(S$7,2)))+7&gt;EOMONTH((S$7+(MATCH(Assumptions!$J45,{"Monday","Tuesday","Wednesday","Thursday","Friday"},0)-WEEKDAY(S$7,2))),0)
              ),
            "Yes","No"),
            IF(
              Assumptions!$F45="Weekly",
              IF(
                AND(
                  WEEKDAY(S$7,2)&lt;=MATCH(Assumptions!$J45,{"Monday","Tuesday","Wednesday","Thursday","Friday"},0),
                  WEEKDAY(S$8,2)&gt;=MATCH(Assumptions!$J45,{"Monday","Tuesday","Wednesday","Thursday","Friday"},0)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AND(Assumptions!$I45&gt;=S$7, Assumptions!$I45&lt;=S$8),
                    AND(
                      Assumptions!$I45&lt;S$7,
                      MOD(INT((S$7-(Assumptions!$I45-WEEKDAY(Assumptions!$I45,2)+1))/7),2)=0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AND(Assumptions!$I45&gt;=S$7, Assumptions!$I45&lt;=S$8),
                      AND(
                        Assumptions!$I45&lt;S$7,
                        MOD(INT((S$7-(Assumptions!$I45-WEEKDAY(Assumptions!$I45,2)+1))/7),3)=0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ISNUMBER(MATCH(MONTH(S$7),IF(Assumptions!$H45="Jan / Apr / Jul / Oct",{1,4,7,10},IF(Assumptions!$H45="Feb / May / Aug / Nov",{2,5,8,11},{3,6,9,12})),0)),
                          DATE(YEAR(S$7),MONTH(S$7),Assumptions!$G45)&gt;=S$7,
                          DATE(YEAR(S$7),MONTH(S$7),Assumptions!$G45)&lt;=S$8
                        ),
                        AND(
                          ISNUMBER(MATCH(MONTH(S$8),IF(Assumptions!$H45="Jan / Apr / Jul / Oct",{1,4,7,10},IF(Assumptions!$H45="Feb / May / Aug / Nov",{2,5,8,11},{3,6,9,12})),0)),
                          DATE(YEAR(S$8),MONTH(S$8),Assumptions!$G45)&gt;=S$7,
                          DATE(YEAR(S$8),MONTH(S$8),Assumptions!$G45)&lt;=S$8
                        )
                      ),
                    "Yes","No"),
                  "No")
                )
              )
            )
          )
        )
      )
    )
  )
)</f>
        <v>No</v>
      </c>
      <c r="T33" s="59" t="s">
        <v>124</v>
      </c>
    </row>
    <row r="34" spans="3:20" hidden="1" outlineLevel="1" x14ac:dyDescent="0.25">
      <c r="C34" s="58">
        <f>Assumptions!D46</f>
        <v>0</v>
      </c>
      <c r="D34" s="58"/>
      <c r="E34" s="58"/>
      <c r="F34" s="58"/>
      <c r="G34" s="59" t="str">
        <f>IF(
  Assumptions!$K46="Off",
  "No",
  IF(
    Assumptions!$F46="I will phase manually",
    "No",
    IF(
      Assumptions!$F46="Last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Assumptions!$F46="End of month",
        IF(
          OR(
            AND(EOMONTH(G$7,0)&gt;=G$7, EOMONTH(G$7,0)&lt;=G$8),
            AND(EOMONTH(G$8,0)&gt;=G$7, EOMONTH(G$8,0)&lt;=G$8)
          ),
        "Yes","No"),
        IF(
          Assumptions!$F46="Specific day of month",
          IF(
            OR(
              AND(DATE(YEAR(G$7),MONTH(G$7),Assumptions!$G46)&gt;=G$7, DATE(YEAR(G$7),MONTH(G$7),Assumptions!$G46)&lt;=G$8),
              AND(DATE(YEAR(G$8),MONTH(G$8),Assumptions!$G46)&gt;=G$7, DATE(YEAR(G$8),MONTH(G$8),Assumptions!$G46)&lt;=G$8)
            ),
          "Yes","No"),
          IF(
            Assumptions!$F46="Last X day of month",
            IF(
              AND(
                WEEKDAY(G$7,2)&lt;=MATCH(Assumptions!$J46,{"Monday","Tuesday","Wednesday","Thursday","Friday"},0),
                WEEKDAY(G$8,2)&gt;=MATCH(Assumptions!$J46,{"Monday","Tuesday","Wednesday","Thursday","Friday"},0),
                (G$7+(MATCH(Assumptions!$J46,{"Monday","Tuesday","Wednesday","Thursday","Friday"},0)-WEEKDAY(G$7,2)))+7&gt;EOMONTH((G$7+(MATCH(Assumptions!$J46,{"Monday","Tuesday","Wednesday","Thursday","Friday"},0)-WEEKDAY(G$7,2))),0)
              ),
            "Yes","No"),
            IF(
              Assumptions!$F46="Weekly",
              IF(
                AND(
                  WEEKDAY(G$7,2)&lt;=MATCH(Assumptions!$J46,{"Monday","Tuesday","Wednesday","Thursday","Friday"},0),
                  WEEKDAY(G$8,2)&gt;=MATCH(Assumptions!$J46,{"Monday","Tuesday","Wednesday","Thursday","Friday"},0)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AND(Assumptions!$I46&gt;=G$7, Assumptions!$I46&lt;=G$8),
                    AND(
                      Assumptions!$I46&lt;G$7,
                      MOD(INT((G$7-(Assumptions!$I46-WEEKDAY(Assumptions!$I46,2)+1))/7),2)=0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AND(Assumptions!$I46&gt;=G$7, Assumptions!$I46&lt;=G$8),
                      AND(
                        Assumptions!$I46&lt;G$7,
                        MOD(INT((G$7-(Assumptions!$I46-WEEKDAY(Assumptions!$I46,2)+1))/7),3)=0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ISNUMBER(MATCH(MONTH(G$7),IF(Assumptions!$H46="Jan / Apr / Jul / Oct",{1,4,7,10},IF(Assumptions!$H46="Feb / May / Aug / Nov",{2,5,8,11},{3,6,9,12})),0)),
                          DATE(YEAR(G$7),MONTH(G$7),Assumptions!$G46)&gt;=G$7,
                          DATE(YEAR(G$7),MONTH(G$7),Assumptions!$G46)&lt;=G$8
                        ),
                        AND(
                          ISNUMBER(MATCH(MONTH(G$8),IF(Assumptions!$H46="Jan / Apr / Jul / Oct",{1,4,7,10},IF(Assumptions!$H46="Feb / May / Aug / Nov",{2,5,8,11},{3,6,9,12})),0)),
                          DATE(YEAR(G$8),MONTH(G$8),Assumptions!$G46)&gt;=G$7,
                          DATE(YEAR(G$8),MONTH(G$8),Assumptions!$G46)&lt;=G$8
                        )
                      ),
                    "Yes","No"),
                  "No")
                )
              )
            )
          )
        )
      )
    )
  )
)</f>
        <v>No</v>
      </c>
      <c r="H34" s="59" t="str">
        <f>IF(
  Assumptions!$K46="Off",
  "No",
  IF(
    Assumptions!$F46="I will phase manually",
    "No",
    IF(
      Assumptions!$F46="Last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Assumptions!$F46="End of month",
        IF(
          OR(
            AND(EOMONTH(H$7,0)&gt;=H$7, EOMONTH(H$7,0)&lt;=H$8),
            AND(EOMONTH(H$8,0)&gt;=H$7, EOMONTH(H$8,0)&lt;=H$8)
          ),
        "Yes","No"),
        IF(
          Assumptions!$F46="Specific day of month",
          IF(
            OR(
              AND(DATE(YEAR(H$7),MONTH(H$7),Assumptions!$G46)&gt;=H$7, DATE(YEAR(H$7),MONTH(H$7),Assumptions!$G46)&lt;=H$8),
              AND(DATE(YEAR(H$8),MONTH(H$8),Assumptions!$G46)&gt;=H$7, DATE(YEAR(H$8),MONTH(H$8),Assumptions!$G46)&lt;=H$8)
            ),
          "Yes","No"),
          IF(
            Assumptions!$F46="Last X day of month",
            IF(
              AND(
                WEEKDAY(H$7,2)&lt;=MATCH(Assumptions!$J46,{"Monday","Tuesday","Wednesday","Thursday","Friday"},0),
                WEEKDAY(H$8,2)&gt;=MATCH(Assumptions!$J46,{"Monday","Tuesday","Wednesday","Thursday","Friday"},0),
                (H$7+(MATCH(Assumptions!$J46,{"Monday","Tuesday","Wednesday","Thursday","Friday"},0)-WEEKDAY(H$7,2)))+7&gt;EOMONTH((H$7+(MATCH(Assumptions!$J46,{"Monday","Tuesday","Wednesday","Thursday","Friday"},0)-WEEKDAY(H$7,2))),0)
              ),
            "Yes","No"),
            IF(
              Assumptions!$F46="Weekly",
              IF(
                AND(
                  WEEKDAY(H$7,2)&lt;=MATCH(Assumptions!$J46,{"Monday","Tuesday","Wednesday","Thursday","Friday"},0),
                  WEEKDAY(H$8,2)&gt;=MATCH(Assumptions!$J46,{"Monday","Tuesday","Wednesday","Thursday","Friday"},0)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AND(Assumptions!$I46&gt;=H$7, Assumptions!$I46&lt;=H$8),
                    AND(
                      Assumptions!$I46&lt;H$7,
                      MOD(INT((H$7-(Assumptions!$I46-WEEKDAY(Assumptions!$I46,2)+1))/7),2)=0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AND(Assumptions!$I46&gt;=H$7, Assumptions!$I46&lt;=H$8),
                      AND(
                        Assumptions!$I46&lt;H$7,
                        MOD(INT((H$7-(Assumptions!$I46-WEEKDAY(Assumptions!$I46,2)+1))/7),3)=0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ISNUMBER(MATCH(MONTH(H$7),IF(Assumptions!$H46="Jan / Apr / Jul / Oct",{1,4,7,10},IF(Assumptions!$H46="Feb / May / Aug / Nov",{2,5,8,11},{3,6,9,12})),0)),
                          DATE(YEAR(H$7),MONTH(H$7),Assumptions!$G46)&gt;=H$7,
                          DATE(YEAR(H$7),MONTH(H$7),Assumptions!$G46)&lt;=H$8
                        ),
                        AND(
                          ISNUMBER(MATCH(MONTH(H$8),IF(Assumptions!$H46="Jan / Apr / Jul / Oct",{1,4,7,10},IF(Assumptions!$H46="Feb / May / Aug / Nov",{2,5,8,11},{3,6,9,12})),0)),
                          DATE(YEAR(H$8),MONTH(H$8),Assumptions!$G46)&gt;=H$7,
                          DATE(YEAR(H$8),MONTH(H$8),Assumptions!$G46)&lt;=H$8
                        )
                      ),
                    "Yes","No"),
                  "No")
                )
              )
            )
          )
        )
      )
    )
  )
)</f>
        <v>No</v>
      </c>
      <c r="I34" s="59" t="str">
        <f>IF(
  Assumptions!$K46="Off",
  "No",
  IF(
    Assumptions!$F46="I will phase manually",
    "No",
    IF(
      Assumptions!$F46="Last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Assumptions!$F46="End of month",
        IF(
          OR(
            AND(EOMONTH(I$7,0)&gt;=I$7, EOMONTH(I$7,0)&lt;=I$8),
            AND(EOMONTH(I$8,0)&gt;=I$7, EOMONTH(I$8,0)&lt;=I$8)
          ),
        "Yes","No"),
        IF(
          Assumptions!$F46="Specific day of month",
          IF(
            OR(
              AND(DATE(YEAR(I$7),MONTH(I$7),Assumptions!$G46)&gt;=I$7, DATE(YEAR(I$7),MONTH(I$7),Assumptions!$G46)&lt;=I$8),
              AND(DATE(YEAR(I$8),MONTH(I$8),Assumptions!$G46)&gt;=I$7, DATE(YEAR(I$8),MONTH(I$8),Assumptions!$G46)&lt;=I$8)
            ),
          "Yes","No"),
          IF(
            Assumptions!$F46="Last X day of month",
            IF(
              AND(
                WEEKDAY(I$7,2)&lt;=MATCH(Assumptions!$J46,{"Monday","Tuesday","Wednesday","Thursday","Friday"},0),
                WEEKDAY(I$8,2)&gt;=MATCH(Assumptions!$J46,{"Monday","Tuesday","Wednesday","Thursday","Friday"},0),
                (I$7+(MATCH(Assumptions!$J46,{"Monday","Tuesday","Wednesday","Thursday","Friday"},0)-WEEKDAY(I$7,2)))+7&gt;EOMONTH((I$7+(MATCH(Assumptions!$J46,{"Monday","Tuesday","Wednesday","Thursday","Friday"},0)-WEEKDAY(I$7,2))),0)
              ),
            "Yes","No"),
            IF(
              Assumptions!$F46="Weekly",
              IF(
                AND(
                  WEEKDAY(I$7,2)&lt;=MATCH(Assumptions!$J46,{"Monday","Tuesday","Wednesday","Thursday","Friday"},0),
                  WEEKDAY(I$8,2)&gt;=MATCH(Assumptions!$J46,{"Monday","Tuesday","Wednesday","Thursday","Friday"},0)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AND(Assumptions!$I46&gt;=I$7, Assumptions!$I46&lt;=I$8),
                    AND(
                      Assumptions!$I46&lt;I$7,
                      MOD(INT((I$7-(Assumptions!$I46-WEEKDAY(Assumptions!$I46,2)+1))/7),2)=0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AND(Assumptions!$I46&gt;=I$7, Assumptions!$I46&lt;=I$8),
                      AND(
                        Assumptions!$I46&lt;I$7,
                        MOD(INT((I$7-(Assumptions!$I46-WEEKDAY(Assumptions!$I46,2)+1))/7),3)=0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ISNUMBER(MATCH(MONTH(I$7),IF(Assumptions!$H46="Jan / Apr / Jul / Oct",{1,4,7,10},IF(Assumptions!$H46="Feb / May / Aug / Nov",{2,5,8,11},{3,6,9,12})),0)),
                          DATE(YEAR(I$7),MONTH(I$7),Assumptions!$G46)&gt;=I$7,
                          DATE(YEAR(I$7),MONTH(I$7),Assumptions!$G46)&lt;=I$8
                        ),
                        AND(
                          ISNUMBER(MATCH(MONTH(I$8),IF(Assumptions!$H46="Jan / Apr / Jul / Oct",{1,4,7,10},IF(Assumptions!$H46="Feb / May / Aug / Nov",{2,5,8,11},{3,6,9,12})),0)),
                          DATE(YEAR(I$8),MONTH(I$8),Assumptions!$G46)&gt;=I$7,
                          DATE(YEAR(I$8),MONTH(I$8),Assumptions!$G46)&lt;=I$8
                        )
                      ),
                    "Yes","No"),
                  "No")
                )
              )
            )
          )
        )
      )
    )
  )
)</f>
        <v>No</v>
      </c>
      <c r="J34" s="59" t="str">
        <f>IF(
  Assumptions!$K46="Off",
  "No",
  IF(
    Assumptions!$F46="I will phase manually",
    "No",
    IF(
      Assumptions!$F46="Last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Assumptions!$F46="End of month",
        IF(
          OR(
            AND(EOMONTH(J$7,0)&gt;=J$7, EOMONTH(J$7,0)&lt;=J$8),
            AND(EOMONTH(J$8,0)&gt;=J$7, EOMONTH(J$8,0)&lt;=J$8)
          ),
        "Yes","No"),
        IF(
          Assumptions!$F46="Specific day of month",
          IF(
            OR(
              AND(DATE(YEAR(J$7),MONTH(J$7),Assumptions!$G46)&gt;=J$7, DATE(YEAR(J$7),MONTH(J$7),Assumptions!$G46)&lt;=J$8),
              AND(DATE(YEAR(J$8),MONTH(J$8),Assumptions!$G46)&gt;=J$7, DATE(YEAR(J$8),MONTH(J$8),Assumptions!$G46)&lt;=J$8)
            ),
          "Yes","No"),
          IF(
            Assumptions!$F46="Last X day of month",
            IF(
              AND(
                WEEKDAY(J$7,2)&lt;=MATCH(Assumptions!$J46,{"Monday","Tuesday","Wednesday","Thursday","Friday"},0),
                WEEKDAY(J$8,2)&gt;=MATCH(Assumptions!$J46,{"Monday","Tuesday","Wednesday","Thursday","Friday"},0),
                (J$7+(MATCH(Assumptions!$J46,{"Monday","Tuesday","Wednesday","Thursday","Friday"},0)-WEEKDAY(J$7,2)))+7&gt;EOMONTH((J$7+(MATCH(Assumptions!$J46,{"Monday","Tuesday","Wednesday","Thursday","Friday"},0)-WEEKDAY(J$7,2))),0)
              ),
            "Yes","No"),
            IF(
              Assumptions!$F46="Weekly",
              IF(
                AND(
                  WEEKDAY(J$7,2)&lt;=MATCH(Assumptions!$J46,{"Monday","Tuesday","Wednesday","Thursday","Friday"},0),
                  WEEKDAY(J$8,2)&gt;=MATCH(Assumptions!$J46,{"Monday","Tuesday","Wednesday","Thursday","Friday"},0)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AND(Assumptions!$I46&gt;=J$7, Assumptions!$I46&lt;=J$8),
                    AND(
                      Assumptions!$I46&lt;J$7,
                      MOD(INT((J$7-(Assumptions!$I46-WEEKDAY(Assumptions!$I46,2)+1))/7),2)=0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AND(Assumptions!$I46&gt;=J$7, Assumptions!$I46&lt;=J$8),
                      AND(
                        Assumptions!$I46&lt;J$7,
                        MOD(INT((J$7-(Assumptions!$I46-WEEKDAY(Assumptions!$I46,2)+1))/7),3)=0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ISNUMBER(MATCH(MONTH(J$7),IF(Assumptions!$H46="Jan / Apr / Jul / Oct",{1,4,7,10},IF(Assumptions!$H46="Feb / May / Aug / Nov",{2,5,8,11},{3,6,9,12})),0)),
                          DATE(YEAR(J$7),MONTH(J$7),Assumptions!$G46)&gt;=J$7,
                          DATE(YEAR(J$7),MONTH(J$7),Assumptions!$G46)&lt;=J$8
                        ),
                        AND(
                          ISNUMBER(MATCH(MONTH(J$8),IF(Assumptions!$H46="Jan / Apr / Jul / Oct",{1,4,7,10},IF(Assumptions!$H46="Feb / May / Aug / Nov",{2,5,8,11},{3,6,9,12})),0)),
                          DATE(YEAR(J$8),MONTH(J$8),Assumptions!$G46)&gt;=J$7,
                          DATE(YEAR(J$8),MONTH(J$8),Assumptions!$G46)&lt;=J$8
                        )
                      ),
                    "Yes","No"),
                  "No")
                )
              )
            )
          )
        )
      )
    )
  )
)</f>
        <v>No</v>
      </c>
      <c r="K34" s="59" t="str">
        <f>IF(
  Assumptions!$K46="Off",
  "No",
  IF(
    Assumptions!$F46="I will phase manually",
    "No",
    IF(
      Assumptions!$F46="Last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Assumptions!$F46="End of month",
        IF(
          OR(
            AND(EOMONTH(K$7,0)&gt;=K$7, EOMONTH(K$7,0)&lt;=K$8),
            AND(EOMONTH(K$8,0)&gt;=K$7, EOMONTH(K$8,0)&lt;=K$8)
          ),
        "Yes","No"),
        IF(
          Assumptions!$F46="Specific day of month",
          IF(
            OR(
              AND(DATE(YEAR(K$7),MONTH(K$7),Assumptions!$G46)&gt;=K$7, DATE(YEAR(K$7),MONTH(K$7),Assumptions!$G46)&lt;=K$8),
              AND(DATE(YEAR(K$8),MONTH(K$8),Assumptions!$G46)&gt;=K$7, DATE(YEAR(K$8),MONTH(K$8),Assumptions!$G46)&lt;=K$8)
            ),
          "Yes","No"),
          IF(
            Assumptions!$F46="Last X day of month",
            IF(
              AND(
                WEEKDAY(K$7,2)&lt;=MATCH(Assumptions!$J46,{"Monday","Tuesday","Wednesday","Thursday","Friday"},0),
                WEEKDAY(K$8,2)&gt;=MATCH(Assumptions!$J46,{"Monday","Tuesday","Wednesday","Thursday","Friday"},0),
                (K$7+(MATCH(Assumptions!$J46,{"Monday","Tuesday","Wednesday","Thursday","Friday"},0)-WEEKDAY(K$7,2)))+7&gt;EOMONTH((K$7+(MATCH(Assumptions!$J46,{"Monday","Tuesday","Wednesday","Thursday","Friday"},0)-WEEKDAY(K$7,2))),0)
              ),
            "Yes","No"),
            IF(
              Assumptions!$F46="Weekly",
              IF(
                AND(
                  WEEKDAY(K$7,2)&lt;=MATCH(Assumptions!$J46,{"Monday","Tuesday","Wednesday","Thursday","Friday"},0),
                  WEEKDAY(K$8,2)&gt;=MATCH(Assumptions!$J46,{"Monday","Tuesday","Wednesday","Thursday","Friday"},0)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AND(Assumptions!$I46&gt;=K$7, Assumptions!$I46&lt;=K$8),
                    AND(
                      Assumptions!$I46&lt;K$7,
                      MOD(INT((K$7-(Assumptions!$I46-WEEKDAY(Assumptions!$I46,2)+1))/7),2)=0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AND(Assumptions!$I46&gt;=K$7, Assumptions!$I46&lt;=K$8),
                      AND(
                        Assumptions!$I46&lt;K$7,
                        MOD(INT((K$7-(Assumptions!$I46-WEEKDAY(Assumptions!$I46,2)+1))/7),3)=0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ISNUMBER(MATCH(MONTH(K$7),IF(Assumptions!$H46="Jan / Apr / Jul / Oct",{1,4,7,10},IF(Assumptions!$H46="Feb / May / Aug / Nov",{2,5,8,11},{3,6,9,12})),0)),
                          DATE(YEAR(K$7),MONTH(K$7),Assumptions!$G46)&gt;=K$7,
                          DATE(YEAR(K$7),MONTH(K$7),Assumptions!$G46)&lt;=K$8
                        ),
                        AND(
                          ISNUMBER(MATCH(MONTH(K$8),IF(Assumptions!$H46="Jan / Apr / Jul / Oct",{1,4,7,10},IF(Assumptions!$H46="Feb / May / Aug / Nov",{2,5,8,11},{3,6,9,12})),0)),
                          DATE(YEAR(K$8),MONTH(K$8),Assumptions!$G46)&gt;=K$7,
                          DATE(YEAR(K$8),MONTH(K$8),Assumptions!$G46)&lt;=K$8
                        )
                      ),
                    "Yes","No"),
                  "No")
                )
              )
            )
          )
        )
      )
    )
  )
)</f>
        <v>No</v>
      </c>
      <c r="L34" s="59" t="str">
        <f>IF(
  Assumptions!$K46="Off",
  "No",
  IF(
    Assumptions!$F46="I will phase manually",
    "No",
    IF(
      Assumptions!$F46="Last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Assumptions!$F46="End of month",
        IF(
          OR(
            AND(EOMONTH(L$7,0)&gt;=L$7, EOMONTH(L$7,0)&lt;=L$8),
            AND(EOMONTH(L$8,0)&gt;=L$7, EOMONTH(L$8,0)&lt;=L$8)
          ),
        "Yes","No"),
        IF(
          Assumptions!$F46="Specific day of month",
          IF(
            OR(
              AND(DATE(YEAR(L$7),MONTH(L$7),Assumptions!$G46)&gt;=L$7, DATE(YEAR(L$7),MONTH(L$7),Assumptions!$G46)&lt;=L$8),
              AND(DATE(YEAR(L$8),MONTH(L$8),Assumptions!$G46)&gt;=L$7, DATE(YEAR(L$8),MONTH(L$8),Assumptions!$G46)&lt;=L$8)
            ),
          "Yes","No"),
          IF(
            Assumptions!$F46="Last X day of month",
            IF(
              AND(
                WEEKDAY(L$7,2)&lt;=MATCH(Assumptions!$J46,{"Monday","Tuesday","Wednesday","Thursday","Friday"},0),
                WEEKDAY(L$8,2)&gt;=MATCH(Assumptions!$J46,{"Monday","Tuesday","Wednesday","Thursday","Friday"},0),
                (L$7+(MATCH(Assumptions!$J46,{"Monday","Tuesday","Wednesday","Thursday","Friday"},0)-WEEKDAY(L$7,2)))+7&gt;EOMONTH((L$7+(MATCH(Assumptions!$J46,{"Monday","Tuesday","Wednesday","Thursday","Friday"},0)-WEEKDAY(L$7,2))),0)
              ),
            "Yes","No"),
            IF(
              Assumptions!$F46="Weekly",
              IF(
                AND(
                  WEEKDAY(L$7,2)&lt;=MATCH(Assumptions!$J46,{"Monday","Tuesday","Wednesday","Thursday","Friday"},0),
                  WEEKDAY(L$8,2)&gt;=MATCH(Assumptions!$J46,{"Monday","Tuesday","Wednesday","Thursday","Friday"},0)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AND(Assumptions!$I46&gt;=L$7, Assumptions!$I46&lt;=L$8),
                    AND(
                      Assumptions!$I46&lt;L$7,
                      MOD(INT((L$7-(Assumptions!$I46-WEEKDAY(Assumptions!$I46,2)+1))/7),2)=0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AND(Assumptions!$I46&gt;=L$7, Assumptions!$I46&lt;=L$8),
                      AND(
                        Assumptions!$I46&lt;L$7,
                        MOD(INT((L$7-(Assumptions!$I46-WEEKDAY(Assumptions!$I46,2)+1))/7),3)=0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ISNUMBER(MATCH(MONTH(L$7),IF(Assumptions!$H46="Jan / Apr / Jul / Oct",{1,4,7,10},IF(Assumptions!$H46="Feb / May / Aug / Nov",{2,5,8,11},{3,6,9,12})),0)),
                          DATE(YEAR(L$7),MONTH(L$7),Assumptions!$G46)&gt;=L$7,
                          DATE(YEAR(L$7),MONTH(L$7),Assumptions!$G46)&lt;=L$8
                        ),
                        AND(
                          ISNUMBER(MATCH(MONTH(L$8),IF(Assumptions!$H46="Jan / Apr / Jul / Oct",{1,4,7,10},IF(Assumptions!$H46="Feb / May / Aug / Nov",{2,5,8,11},{3,6,9,12})),0)),
                          DATE(YEAR(L$8),MONTH(L$8),Assumptions!$G46)&gt;=L$7,
                          DATE(YEAR(L$8),MONTH(L$8),Assumptions!$G46)&lt;=L$8
                        )
                      ),
                    "Yes","No"),
                  "No")
                )
              )
            )
          )
        )
      )
    )
  )
)</f>
        <v>No</v>
      </c>
      <c r="M34" s="59" t="str">
        <f>IF(
  Assumptions!$K46="Off",
  "No",
  IF(
    Assumptions!$F46="I will phase manually",
    "No",
    IF(
      Assumptions!$F46="Last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Assumptions!$F46="End of month",
        IF(
          OR(
            AND(EOMONTH(M$7,0)&gt;=M$7, EOMONTH(M$7,0)&lt;=M$8),
            AND(EOMONTH(M$8,0)&gt;=M$7, EOMONTH(M$8,0)&lt;=M$8)
          ),
        "Yes","No"),
        IF(
          Assumptions!$F46="Specific day of month",
          IF(
            OR(
              AND(DATE(YEAR(M$7),MONTH(M$7),Assumptions!$G46)&gt;=M$7, DATE(YEAR(M$7),MONTH(M$7),Assumptions!$G46)&lt;=M$8),
              AND(DATE(YEAR(M$8),MONTH(M$8),Assumptions!$G46)&gt;=M$7, DATE(YEAR(M$8),MONTH(M$8),Assumptions!$G46)&lt;=M$8)
            ),
          "Yes","No"),
          IF(
            Assumptions!$F46="Last X day of month",
            IF(
              AND(
                WEEKDAY(M$7,2)&lt;=MATCH(Assumptions!$J46,{"Monday","Tuesday","Wednesday","Thursday","Friday"},0),
                WEEKDAY(M$8,2)&gt;=MATCH(Assumptions!$J46,{"Monday","Tuesday","Wednesday","Thursday","Friday"},0),
                (M$7+(MATCH(Assumptions!$J46,{"Monday","Tuesday","Wednesday","Thursday","Friday"},0)-WEEKDAY(M$7,2)))+7&gt;EOMONTH((M$7+(MATCH(Assumptions!$J46,{"Monday","Tuesday","Wednesday","Thursday","Friday"},0)-WEEKDAY(M$7,2))),0)
              ),
            "Yes","No"),
            IF(
              Assumptions!$F46="Weekly",
              IF(
                AND(
                  WEEKDAY(M$7,2)&lt;=MATCH(Assumptions!$J46,{"Monday","Tuesday","Wednesday","Thursday","Friday"},0),
                  WEEKDAY(M$8,2)&gt;=MATCH(Assumptions!$J46,{"Monday","Tuesday","Wednesday","Thursday","Friday"},0)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AND(Assumptions!$I46&gt;=M$7, Assumptions!$I46&lt;=M$8),
                    AND(
                      Assumptions!$I46&lt;M$7,
                      MOD(INT((M$7-(Assumptions!$I46-WEEKDAY(Assumptions!$I46,2)+1))/7),2)=0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AND(Assumptions!$I46&gt;=M$7, Assumptions!$I46&lt;=M$8),
                      AND(
                        Assumptions!$I46&lt;M$7,
                        MOD(INT((M$7-(Assumptions!$I46-WEEKDAY(Assumptions!$I46,2)+1))/7),3)=0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ISNUMBER(MATCH(MONTH(M$7),IF(Assumptions!$H46="Jan / Apr / Jul / Oct",{1,4,7,10},IF(Assumptions!$H46="Feb / May / Aug / Nov",{2,5,8,11},{3,6,9,12})),0)),
                          DATE(YEAR(M$7),MONTH(M$7),Assumptions!$G46)&gt;=M$7,
                          DATE(YEAR(M$7),MONTH(M$7),Assumptions!$G46)&lt;=M$8
                        ),
                        AND(
                          ISNUMBER(MATCH(MONTH(M$8),IF(Assumptions!$H46="Jan / Apr / Jul / Oct",{1,4,7,10},IF(Assumptions!$H46="Feb / May / Aug / Nov",{2,5,8,11},{3,6,9,12})),0)),
                          DATE(YEAR(M$8),MONTH(M$8),Assumptions!$G46)&gt;=M$7,
                          DATE(YEAR(M$8),MONTH(M$8),Assumptions!$G46)&lt;=M$8
                        )
                      ),
                    "Yes","No"),
                  "No")
                )
              )
            )
          )
        )
      )
    )
  )
)</f>
        <v>No</v>
      </c>
      <c r="N34" s="59" t="str">
        <f>IF(
  Assumptions!$K46="Off",
  "No",
  IF(
    Assumptions!$F46="I will phase manually",
    "No",
    IF(
      Assumptions!$F46="Last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Assumptions!$F46="End of month",
        IF(
          OR(
            AND(EOMONTH(N$7,0)&gt;=N$7, EOMONTH(N$7,0)&lt;=N$8),
            AND(EOMONTH(N$8,0)&gt;=N$7, EOMONTH(N$8,0)&lt;=N$8)
          ),
        "Yes","No"),
        IF(
          Assumptions!$F46="Specific day of month",
          IF(
            OR(
              AND(DATE(YEAR(N$7),MONTH(N$7),Assumptions!$G46)&gt;=N$7, DATE(YEAR(N$7),MONTH(N$7),Assumptions!$G46)&lt;=N$8),
              AND(DATE(YEAR(N$8),MONTH(N$8),Assumptions!$G46)&gt;=N$7, DATE(YEAR(N$8),MONTH(N$8),Assumptions!$G46)&lt;=N$8)
            ),
          "Yes","No"),
          IF(
            Assumptions!$F46="Last X day of month",
            IF(
              AND(
                WEEKDAY(N$7,2)&lt;=MATCH(Assumptions!$J46,{"Monday","Tuesday","Wednesday","Thursday","Friday"},0),
                WEEKDAY(N$8,2)&gt;=MATCH(Assumptions!$J46,{"Monday","Tuesday","Wednesday","Thursday","Friday"},0),
                (N$7+(MATCH(Assumptions!$J46,{"Monday","Tuesday","Wednesday","Thursday","Friday"},0)-WEEKDAY(N$7,2)))+7&gt;EOMONTH((N$7+(MATCH(Assumptions!$J46,{"Monday","Tuesday","Wednesday","Thursday","Friday"},0)-WEEKDAY(N$7,2))),0)
              ),
            "Yes","No"),
            IF(
              Assumptions!$F46="Weekly",
              IF(
                AND(
                  WEEKDAY(N$7,2)&lt;=MATCH(Assumptions!$J46,{"Monday","Tuesday","Wednesday","Thursday","Friday"},0),
                  WEEKDAY(N$8,2)&gt;=MATCH(Assumptions!$J46,{"Monday","Tuesday","Wednesday","Thursday","Friday"},0)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AND(Assumptions!$I46&gt;=N$7, Assumptions!$I46&lt;=N$8),
                    AND(
                      Assumptions!$I46&lt;N$7,
                      MOD(INT((N$7-(Assumptions!$I46-WEEKDAY(Assumptions!$I46,2)+1))/7),2)=0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AND(Assumptions!$I46&gt;=N$7, Assumptions!$I46&lt;=N$8),
                      AND(
                        Assumptions!$I46&lt;N$7,
                        MOD(INT((N$7-(Assumptions!$I46-WEEKDAY(Assumptions!$I46,2)+1))/7),3)=0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ISNUMBER(MATCH(MONTH(N$7),IF(Assumptions!$H46="Jan / Apr / Jul / Oct",{1,4,7,10},IF(Assumptions!$H46="Feb / May / Aug / Nov",{2,5,8,11},{3,6,9,12})),0)),
                          DATE(YEAR(N$7),MONTH(N$7),Assumptions!$G46)&gt;=N$7,
                          DATE(YEAR(N$7),MONTH(N$7),Assumptions!$G46)&lt;=N$8
                        ),
                        AND(
                          ISNUMBER(MATCH(MONTH(N$8),IF(Assumptions!$H46="Jan / Apr / Jul / Oct",{1,4,7,10},IF(Assumptions!$H46="Feb / May / Aug / Nov",{2,5,8,11},{3,6,9,12})),0)),
                          DATE(YEAR(N$8),MONTH(N$8),Assumptions!$G46)&gt;=N$7,
                          DATE(YEAR(N$8),MONTH(N$8),Assumptions!$G46)&lt;=N$8
                        )
                      ),
                    "Yes","No"),
                  "No")
                )
              )
            )
          )
        )
      )
    )
  )
)</f>
        <v>No</v>
      </c>
      <c r="O34" s="59" t="str">
        <f>IF(
  Assumptions!$K46="Off",
  "No",
  IF(
    Assumptions!$F46="I will phase manually",
    "No",
    IF(
      Assumptions!$F46="Last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Assumptions!$F46="End of month",
        IF(
          OR(
            AND(EOMONTH(O$7,0)&gt;=O$7, EOMONTH(O$7,0)&lt;=O$8),
            AND(EOMONTH(O$8,0)&gt;=O$7, EOMONTH(O$8,0)&lt;=O$8)
          ),
        "Yes","No"),
        IF(
          Assumptions!$F46="Specific day of month",
          IF(
            OR(
              AND(DATE(YEAR(O$7),MONTH(O$7),Assumptions!$G46)&gt;=O$7, DATE(YEAR(O$7),MONTH(O$7),Assumptions!$G46)&lt;=O$8),
              AND(DATE(YEAR(O$8),MONTH(O$8),Assumptions!$G46)&gt;=O$7, DATE(YEAR(O$8),MONTH(O$8),Assumptions!$G46)&lt;=O$8)
            ),
          "Yes","No"),
          IF(
            Assumptions!$F46="Last X day of month",
            IF(
              AND(
                WEEKDAY(O$7,2)&lt;=MATCH(Assumptions!$J46,{"Monday","Tuesday","Wednesday","Thursday","Friday"},0),
                WEEKDAY(O$8,2)&gt;=MATCH(Assumptions!$J46,{"Monday","Tuesday","Wednesday","Thursday","Friday"},0),
                (O$7+(MATCH(Assumptions!$J46,{"Monday","Tuesday","Wednesday","Thursday","Friday"},0)-WEEKDAY(O$7,2)))+7&gt;EOMONTH((O$7+(MATCH(Assumptions!$J46,{"Monday","Tuesday","Wednesday","Thursday","Friday"},0)-WEEKDAY(O$7,2))),0)
              ),
            "Yes","No"),
            IF(
              Assumptions!$F46="Weekly",
              IF(
                AND(
                  WEEKDAY(O$7,2)&lt;=MATCH(Assumptions!$J46,{"Monday","Tuesday","Wednesday","Thursday","Friday"},0),
                  WEEKDAY(O$8,2)&gt;=MATCH(Assumptions!$J46,{"Monday","Tuesday","Wednesday","Thursday","Friday"},0)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AND(Assumptions!$I46&gt;=O$7, Assumptions!$I46&lt;=O$8),
                    AND(
                      Assumptions!$I46&lt;O$7,
                      MOD(INT((O$7-(Assumptions!$I46-WEEKDAY(Assumptions!$I46,2)+1))/7),2)=0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AND(Assumptions!$I46&gt;=O$7, Assumptions!$I46&lt;=O$8),
                      AND(
                        Assumptions!$I46&lt;O$7,
                        MOD(INT((O$7-(Assumptions!$I46-WEEKDAY(Assumptions!$I46,2)+1))/7),3)=0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ISNUMBER(MATCH(MONTH(O$7),IF(Assumptions!$H46="Jan / Apr / Jul / Oct",{1,4,7,10},IF(Assumptions!$H46="Feb / May / Aug / Nov",{2,5,8,11},{3,6,9,12})),0)),
                          DATE(YEAR(O$7),MONTH(O$7),Assumptions!$G46)&gt;=O$7,
                          DATE(YEAR(O$7),MONTH(O$7),Assumptions!$G46)&lt;=O$8
                        ),
                        AND(
                          ISNUMBER(MATCH(MONTH(O$8),IF(Assumptions!$H46="Jan / Apr / Jul / Oct",{1,4,7,10},IF(Assumptions!$H46="Feb / May / Aug / Nov",{2,5,8,11},{3,6,9,12})),0)),
                          DATE(YEAR(O$8),MONTH(O$8),Assumptions!$G46)&gt;=O$7,
                          DATE(YEAR(O$8),MONTH(O$8),Assumptions!$G46)&lt;=O$8
                        )
                      ),
                    "Yes","No"),
                  "No")
                )
              )
            )
          )
        )
      )
    )
  )
)</f>
        <v>No</v>
      </c>
      <c r="P34" s="59" t="str">
        <f>IF(
  Assumptions!$K46="Off",
  "No",
  IF(
    Assumptions!$F46="I will phase manually",
    "No",
    IF(
      Assumptions!$F46="Last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Assumptions!$F46="End of month",
        IF(
          OR(
            AND(EOMONTH(P$7,0)&gt;=P$7, EOMONTH(P$7,0)&lt;=P$8),
            AND(EOMONTH(P$8,0)&gt;=P$7, EOMONTH(P$8,0)&lt;=P$8)
          ),
        "Yes","No"),
        IF(
          Assumptions!$F46="Specific day of month",
          IF(
            OR(
              AND(DATE(YEAR(P$7),MONTH(P$7),Assumptions!$G46)&gt;=P$7, DATE(YEAR(P$7),MONTH(P$7),Assumptions!$G46)&lt;=P$8),
              AND(DATE(YEAR(P$8),MONTH(P$8),Assumptions!$G46)&gt;=P$7, DATE(YEAR(P$8),MONTH(P$8),Assumptions!$G46)&lt;=P$8)
            ),
          "Yes","No"),
          IF(
            Assumptions!$F46="Last X day of month",
            IF(
              AND(
                WEEKDAY(P$7,2)&lt;=MATCH(Assumptions!$J46,{"Monday","Tuesday","Wednesday","Thursday","Friday"},0),
                WEEKDAY(P$8,2)&gt;=MATCH(Assumptions!$J46,{"Monday","Tuesday","Wednesday","Thursday","Friday"},0),
                (P$7+(MATCH(Assumptions!$J46,{"Monday","Tuesday","Wednesday","Thursday","Friday"},0)-WEEKDAY(P$7,2)))+7&gt;EOMONTH((P$7+(MATCH(Assumptions!$J46,{"Monday","Tuesday","Wednesday","Thursday","Friday"},0)-WEEKDAY(P$7,2))),0)
              ),
            "Yes","No"),
            IF(
              Assumptions!$F46="Weekly",
              IF(
                AND(
                  WEEKDAY(P$7,2)&lt;=MATCH(Assumptions!$J46,{"Monday","Tuesday","Wednesday","Thursday","Friday"},0),
                  WEEKDAY(P$8,2)&gt;=MATCH(Assumptions!$J46,{"Monday","Tuesday","Wednesday","Thursday","Friday"},0)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AND(Assumptions!$I46&gt;=P$7, Assumptions!$I46&lt;=P$8),
                    AND(
                      Assumptions!$I46&lt;P$7,
                      MOD(INT((P$7-(Assumptions!$I46-WEEKDAY(Assumptions!$I46,2)+1))/7),2)=0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AND(Assumptions!$I46&gt;=P$7, Assumptions!$I46&lt;=P$8),
                      AND(
                        Assumptions!$I46&lt;P$7,
                        MOD(INT((P$7-(Assumptions!$I46-WEEKDAY(Assumptions!$I46,2)+1))/7),3)=0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ISNUMBER(MATCH(MONTH(P$7),IF(Assumptions!$H46="Jan / Apr / Jul / Oct",{1,4,7,10},IF(Assumptions!$H46="Feb / May / Aug / Nov",{2,5,8,11},{3,6,9,12})),0)),
                          DATE(YEAR(P$7),MONTH(P$7),Assumptions!$G46)&gt;=P$7,
                          DATE(YEAR(P$7),MONTH(P$7),Assumptions!$G46)&lt;=P$8
                        ),
                        AND(
                          ISNUMBER(MATCH(MONTH(P$8),IF(Assumptions!$H46="Jan / Apr / Jul / Oct",{1,4,7,10},IF(Assumptions!$H46="Feb / May / Aug / Nov",{2,5,8,11},{3,6,9,12})),0)),
                          DATE(YEAR(P$8),MONTH(P$8),Assumptions!$G46)&gt;=P$7,
                          DATE(YEAR(P$8),MONTH(P$8),Assumptions!$G46)&lt;=P$8
                        )
                      ),
                    "Yes","No"),
                  "No")
                )
              )
            )
          )
        )
      )
    )
  )
)</f>
        <v>No</v>
      </c>
      <c r="Q34" s="59" t="str">
        <f>IF(
  Assumptions!$K46="Off",
  "No",
  IF(
    Assumptions!$F46="I will phase manually",
    "No",
    IF(
      Assumptions!$F46="Last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Assumptions!$F46="End of month",
        IF(
          OR(
            AND(EOMONTH(Q$7,0)&gt;=Q$7, EOMONTH(Q$7,0)&lt;=Q$8),
            AND(EOMONTH(Q$8,0)&gt;=Q$7, EOMONTH(Q$8,0)&lt;=Q$8)
          ),
        "Yes","No"),
        IF(
          Assumptions!$F46="Specific day of month",
          IF(
            OR(
              AND(DATE(YEAR(Q$7),MONTH(Q$7),Assumptions!$G46)&gt;=Q$7, DATE(YEAR(Q$7),MONTH(Q$7),Assumptions!$G46)&lt;=Q$8),
              AND(DATE(YEAR(Q$8),MONTH(Q$8),Assumptions!$G46)&gt;=Q$7, DATE(YEAR(Q$8),MONTH(Q$8),Assumptions!$G46)&lt;=Q$8)
            ),
          "Yes","No"),
          IF(
            Assumptions!$F46="Last X day of month",
            IF(
              AND(
                WEEKDAY(Q$7,2)&lt;=MATCH(Assumptions!$J46,{"Monday","Tuesday","Wednesday","Thursday","Friday"},0),
                WEEKDAY(Q$8,2)&gt;=MATCH(Assumptions!$J46,{"Monday","Tuesday","Wednesday","Thursday","Friday"},0),
                (Q$7+(MATCH(Assumptions!$J46,{"Monday","Tuesday","Wednesday","Thursday","Friday"},0)-WEEKDAY(Q$7,2)))+7&gt;EOMONTH((Q$7+(MATCH(Assumptions!$J46,{"Monday","Tuesday","Wednesday","Thursday","Friday"},0)-WEEKDAY(Q$7,2))),0)
              ),
            "Yes","No"),
            IF(
              Assumptions!$F46="Weekly",
              IF(
                AND(
                  WEEKDAY(Q$7,2)&lt;=MATCH(Assumptions!$J46,{"Monday","Tuesday","Wednesday","Thursday","Friday"},0),
                  WEEKDAY(Q$8,2)&gt;=MATCH(Assumptions!$J46,{"Monday","Tuesday","Wednesday","Thursday","Friday"},0)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AND(Assumptions!$I46&gt;=Q$7, Assumptions!$I46&lt;=Q$8),
                    AND(
                      Assumptions!$I46&lt;Q$7,
                      MOD(INT((Q$7-(Assumptions!$I46-WEEKDAY(Assumptions!$I46,2)+1))/7),2)=0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AND(Assumptions!$I46&gt;=Q$7, Assumptions!$I46&lt;=Q$8),
                      AND(
                        Assumptions!$I46&lt;Q$7,
                        MOD(INT((Q$7-(Assumptions!$I46-WEEKDAY(Assumptions!$I46,2)+1))/7),3)=0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ISNUMBER(MATCH(MONTH(Q$7),IF(Assumptions!$H46="Jan / Apr / Jul / Oct",{1,4,7,10},IF(Assumptions!$H46="Feb / May / Aug / Nov",{2,5,8,11},{3,6,9,12})),0)),
                          DATE(YEAR(Q$7),MONTH(Q$7),Assumptions!$G46)&gt;=Q$7,
                          DATE(YEAR(Q$7),MONTH(Q$7),Assumptions!$G46)&lt;=Q$8
                        ),
                        AND(
                          ISNUMBER(MATCH(MONTH(Q$8),IF(Assumptions!$H46="Jan / Apr / Jul / Oct",{1,4,7,10},IF(Assumptions!$H46="Feb / May / Aug / Nov",{2,5,8,11},{3,6,9,12})),0)),
                          DATE(YEAR(Q$8),MONTH(Q$8),Assumptions!$G46)&gt;=Q$7,
                          DATE(YEAR(Q$8),MONTH(Q$8),Assumptions!$G46)&lt;=Q$8
                        )
                      ),
                    "Yes","No"),
                  "No")
                )
              )
            )
          )
        )
      )
    )
  )
)</f>
        <v>No</v>
      </c>
      <c r="R34" s="59" t="str">
        <f>IF(
  Assumptions!$K46="Off",
  "No",
  IF(
    Assumptions!$F46="I will phase manually",
    "No",
    IF(
      Assumptions!$F46="Last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Assumptions!$F46="End of month",
        IF(
          OR(
            AND(EOMONTH(R$7,0)&gt;=R$7, EOMONTH(R$7,0)&lt;=R$8),
            AND(EOMONTH(R$8,0)&gt;=R$7, EOMONTH(R$8,0)&lt;=R$8)
          ),
        "Yes","No"),
        IF(
          Assumptions!$F46="Specific day of month",
          IF(
            OR(
              AND(DATE(YEAR(R$7),MONTH(R$7),Assumptions!$G46)&gt;=R$7, DATE(YEAR(R$7),MONTH(R$7),Assumptions!$G46)&lt;=R$8),
              AND(DATE(YEAR(R$8),MONTH(R$8),Assumptions!$G46)&gt;=R$7, DATE(YEAR(R$8),MONTH(R$8),Assumptions!$G46)&lt;=R$8)
            ),
          "Yes","No"),
          IF(
            Assumptions!$F46="Last X day of month",
            IF(
              AND(
                WEEKDAY(R$7,2)&lt;=MATCH(Assumptions!$J46,{"Monday","Tuesday","Wednesday","Thursday","Friday"},0),
                WEEKDAY(R$8,2)&gt;=MATCH(Assumptions!$J46,{"Monday","Tuesday","Wednesday","Thursday","Friday"},0),
                (R$7+(MATCH(Assumptions!$J46,{"Monday","Tuesday","Wednesday","Thursday","Friday"},0)-WEEKDAY(R$7,2)))+7&gt;EOMONTH((R$7+(MATCH(Assumptions!$J46,{"Monday","Tuesday","Wednesday","Thursday","Friday"},0)-WEEKDAY(R$7,2))),0)
              ),
            "Yes","No"),
            IF(
              Assumptions!$F46="Weekly",
              IF(
                AND(
                  WEEKDAY(R$7,2)&lt;=MATCH(Assumptions!$J46,{"Monday","Tuesday","Wednesday","Thursday","Friday"},0),
                  WEEKDAY(R$8,2)&gt;=MATCH(Assumptions!$J46,{"Monday","Tuesday","Wednesday","Thursday","Friday"},0)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AND(Assumptions!$I46&gt;=R$7, Assumptions!$I46&lt;=R$8),
                    AND(
                      Assumptions!$I46&lt;R$7,
                      MOD(INT((R$7-(Assumptions!$I46-WEEKDAY(Assumptions!$I46,2)+1))/7),2)=0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AND(Assumptions!$I46&gt;=R$7, Assumptions!$I46&lt;=R$8),
                      AND(
                        Assumptions!$I46&lt;R$7,
                        MOD(INT((R$7-(Assumptions!$I46-WEEKDAY(Assumptions!$I46,2)+1))/7),3)=0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ISNUMBER(MATCH(MONTH(R$7),IF(Assumptions!$H46="Jan / Apr / Jul / Oct",{1,4,7,10},IF(Assumptions!$H46="Feb / May / Aug / Nov",{2,5,8,11},{3,6,9,12})),0)),
                          DATE(YEAR(R$7),MONTH(R$7),Assumptions!$G46)&gt;=R$7,
                          DATE(YEAR(R$7),MONTH(R$7),Assumptions!$G46)&lt;=R$8
                        ),
                        AND(
                          ISNUMBER(MATCH(MONTH(R$8),IF(Assumptions!$H46="Jan / Apr / Jul / Oct",{1,4,7,10},IF(Assumptions!$H46="Feb / May / Aug / Nov",{2,5,8,11},{3,6,9,12})),0)),
                          DATE(YEAR(R$8),MONTH(R$8),Assumptions!$G46)&gt;=R$7,
                          DATE(YEAR(R$8),MONTH(R$8),Assumptions!$G46)&lt;=R$8
                        )
                      ),
                    "Yes","No"),
                  "No")
                )
              )
            )
          )
        )
      )
    )
  )
)</f>
        <v>No</v>
      </c>
      <c r="S34" s="59" t="str">
        <f>IF(
  Assumptions!$K46="Off",
  "No",
  IF(
    Assumptions!$F46="I will phase manually",
    "No",
    IF(
      Assumptions!$F46="Last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Assumptions!$F46="End of month",
        IF(
          OR(
            AND(EOMONTH(S$7,0)&gt;=S$7, EOMONTH(S$7,0)&lt;=S$8),
            AND(EOMONTH(S$8,0)&gt;=S$7, EOMONTH(S$8,0)&lt;=S$8)
          ),
        "Yes","No"),
        IF(
          Assumptions!$F46="Specific day of month",
          IF(
            OR(
              AND(DATE(YEAR(S$7),MONTH(S$7),Assumptions!$G46)&gt;=S$7, DATE(YEAR(S$7),MONTH(S$7),Assumptions!$G46)&lt;=S$8),
              AND(DATE(YEAR(S$8),MONTH(S$8),Assumptions!$G46)&gt;=S$7, DATE(YEAR(S$8),MONTH(S$8),Assumptions!$G46)&lt;=S$8)
            ),
          "Yes","No"),
          IF(
            Assumptions!$F46="Last X day of month",
            IF(
              AND(
                WEEKDAY(S$7,2)&lt;=MATCH(Assumptions!$J46,{"Monday","Tuesday","Wednesday","Thursday","Friday"},0),
                WEEKDAY(S$8,2)&gt;=MATCH(Assumptions!$J46,{"Monday","Tuesday","Wednesday","Thursday","Friday"},0),
                (S$7+(MATCH(Assumptions!$J46,{"Monday","Tuesday","Wednesday","Thursday","Friday"},0)-WEEKDAY(S$7,2)))+7&gt;EOMONTH((S$7+(MATCH(Assumptions!$J46,{"Monday","Tuesday","Wednesday","Thursday","Friday"},0)-WEEKDAY(S$7,2))),0)
              ),
            "Yes","No"),
            IF(
              Assumptions!$F46="Weekly",
              IF(
                AND(
                  WEEKDAY(S$7,2)&lt;=MATCH(Assumptions!$J46,{"Monday","Tuesday","Wednesday","Thursday","Friday"},0),
                  WEEKDAY(S$8,2)&gt;=MATCH(Assumptions!$J46,{"Monday","Tuesday","Wednesday","Thursday","Friday"},0)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AND(Assumptions!$I46&gt;=S$7, Assumptions!$I46&lt;=S$8),
                    AND(
                      Assumptions!$I46&lt;S$7,
                      MOD(INT((S$7-(Assumptions!$I46-WEEKDAY(Assumptions!$I46,2)+1))/7),2)=0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AND(Assumptions!$I46&gt;=S$7, Assumptions!$I46&lt;=S$8),
                      AND(
                        Assumptions!$I46&lt;S$7,
                        MOD(INT((S$7-(Assumptions!$I46-WEEKDAY(Assumptions!$I46,2)+1))/7),3)=0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ISNUMBER(MATCH(MONTH(S$7),IF(Assumptions!$H46="Jan / Apr / Jul / Oct",{1,4,7,10},IF(Assumptions!$H46="Feb / May / Aug / Nov",{2,5,8,11},{3,6,9,12})),0)),
                          DATE(YEAR(S$7),MONTH(S$7),Assumptions!$G46)&gt;=S$7,
                          DATE(YEAR(S$7),MONTH(S$7),Assumptions!$G46)&lt;=S$8
                        ),
                        AND(
                          ISNUMBER(MATCH(MONTH(S$8),IF(Assumptions!$H46="Jan / Apr / Jul / Oct",{1,4,7,10},IF(Assumptions!$H46="Feb / May / Aug / Nov",{2,5,8,11},{3,6,9,12})),0)),
                          DATE(YEAR(S$8),MONTH(S$8),Assumptions!$G46)&gt;=S$7,
                          DATE(YEAR(S$8),MONTH(S$8),Assumptions!$G46)&lt;=S$8
                        )
                      ),
                    "Yes","No"),
                  "No")
                )
              )
            )
          )
        )
      )
    )
  )
)</f>
        <v>No</v>
      </c>
      <c r="T34" s="59" t="s">
        <v>124</v>
      </c>
    </row>
    <row r="35" spans="3:20" hidden="1" outlineLevel="1" x14ac:dyDescent="0.25">
      <c r="C35" s="58">
        <f>Assumptions!D47</f>
        <v>0</v>
      </c>
      <c r="D35" s="58"/>
      <c r="E35" s="58"/>
      <c r="F35" s="58"/>
      <c r="G35" s="59" t="str">
        <f>IF(
  Assumptions!$K47="Off",
  "No",
  IF(
    Assumptions!$F47="I will phase manually",
    "No",
    IF(
      Assumptions!$F47="Last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Assumptions!$F47="End of month",
        IF(
          OR(
            AND(EOMONTH(G$7,0)&gt;=G$7, EOMONTH(G$7,0)&lt;=G$8),
            AND(EOMONTH(G$8,0)&gt;=G$7, EOMONTH(G$8,0)&lt;=G$8)
          ),
        "Yes","No"),
        IF(
          Assumptions!$F47="Specific day of month",
          IF(
            OR(
              AND(DATE(YEAR(G$7),MONTH(G$7),Assumptions!$G47)&gt;=G$7, DATE(YEAR(G$7),MONTH(G$7),Assumptions!$G47)&lt;=G$8),
              AND(DATE(YEAR(G$8),MONTH(G$8),Assumptions!$G47)&gt;=G$7, DATE(YEAR(G$8),MONTH(G$8),Assumptions!$G47)&lt;=G$8)
            ),
          "Yes","No"),
          IF(
            Assumptions!$F47="Last X day of month",
            IF(
              AND(
                WEEKDAY(G$7,2)&lt;=MATCH(Assumptions!$J47,{"Monday","Tuesday","Wednesday","Thursday","Friday"},0),
                WEEKDAY(G$8,2)&gt;=MATCH(Assumptions!$J47,{"Monday","Tuesday","Wednesday","Thursday","Friday"},0),
                (G$7+(MATCH(Assumptions!$J47,{"Monday","Tuesday","Wednesday","Thursday","Friday"},0)-WEEKDAY(G$7,2)))+7&gt;EOMONTH((G$7+(MATCH(Assumptions!$J47,{"Monday","Tuesday","Wednesday","Thursday","Friday"},0)-WEEKDAY(G$7,2))),0)
              ),
            "Yes","No"),
            IF(
              Assumptions!$F47="Weekly",
              IF(
                AND(
                  WEEKDAY(G$7,2)&lt;=MATCH(Assumptions!$J47,{"Monday","Tuesday","Wednesday","Thursday","Friday"},0),
                  WEEKDAY(G$8,2)&gt;=MATCH(Assumptions!$J47,{"Monday","Tuesday","Wednesday","Thursday","Friday"},0)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AND(Assumptions!$I47&gt;=G$7, Assumptions!$I47&lt;=G$8),
                    AND(
                      Assumptions!$I47&lt;G$7,
                      MOD(INT((G$7-(Assumptions!$I47-WEEKDAY(Assumptions!$I47,2)+1))/7),2)=0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AND(Assumptions!$I47&gt;=G$7, Assumptions!$I47&lt;=G$8),
                      AND(
                        Assumptions!$I47&lt;G$7,
                        MOD(INT((G$7-(Assumptions!$I47-WEEKDAY(Assumptions!$I47,2)+1))/7),3)=0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ISNUMBER(MATCH(MONTH(G$7),IF(Assumptions!$H47="Jan / Apr / Jul / Oct",{1,4,7,10},IF(Assumptions!$H47="Feb / May / Aug / Nov",{2,5,8,11},{3,6,9,12})),0)),
                          DATE(YEAR(G$7),MONTH(G$7),Assumptions!$G47)&gt;=G$7,
                          DATE(YEAR(G$7),MONTH(G$7),Assumptions!$G47)&lt;=G$8
                        ),
                        AND(
                          ISNUMBER(MATCH(MONTH(G$8),IF(Assumptions!$H47="Jan / Apr / Jul / Oct",{1,4,7,10},IF(Assumptions!$H47="Feb / May / Aug / Nov",{2,5,8,11},{3,6,9,12})),0)),
                          DATE(YEAR(G$8),MONTH(G$8),Assumptions!$G47)&gt;=G$7,
                          DATE(YEAR(G$8),MONTH(G$8),Assumptions!$G47)&lt;=G$8
                        )
                      ),
                    "Yes","No"),
                  "No")
                )
              )
            )
          )
        )
      )
    )
  )
)</f>
        <v>No</v>
      </c>
      <c r="H35" s="59" t="str">
        <f>IF(
  Assumptions!$K47="Off",
  "No",
  IF(
    Assumptions!$F47="I will phase manually",
    "No",
    IF(
      Assumptions!$F47="Last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Assumptions!$F47="End of month",
        IF(
          OR(
            AND(EOMONTH(H$7,0)&gt;=H$7, EOMONTH(H$7,0)&lt;=H$8),
            AND(EOMONTH(H$8,0)&gt;=H$7, EOMONTH(H$8,0)&lt;=H$8)
          ),
        "Yes","No"),
        IF(
          Assumptions!$F47="Specific day of month",
          IF(
            OR(
              AND(DATE(YEAR(H$7),MONTH(H$7),Assumptions!$G47)&gt;=H$7, DATE(YEAR(H$7),MONTH(H$7),Assumptions!$G47)&lt;=H$8),
              AND(DATE(YEAR(H$8),MONTH(H$8),Assumptions!$G47)&gt;=H$7, DATE(YEAR(H$8),MONTH(H$8),Assumptions!$G47)&lt;=H$8)
            ),
          "Yes","No"),
          IF(
            Assumptions!$F47="Last X day of month",
            IF(
              AND(
                WEEKDAY(H$7,2)&lt;=MATCH(Assumptions!$J47,{"Monday","Tuesday","Wednesday","Thursday","Friday"},0),
                WEEKDAY(H$8,2)&gt;=MATCH(Assumptions!$J47,{"Monday","Tuesday","Wednesday","Thursday","Friday"},0),
                (H$7+(MATCH(Assumptions!$J47,{"Monday","Tuesday","Wednesday","Thursday","Friday"},0)-WEEKDAY(H$7,2)))+7&gt;EOMONTH((H$7+(MATCH(Assumptions!$J47,{"Monday","Tuesday","Wednesday","Thursday","Friday"},0)-WEEKDAY(H$7,2))),0)
              ),
            "Yes","No"),
            IF(
              Assumptions!$F47="Weekly",
              IF(
                AND(
                  WEEKDAY(H$7,2)&lt;=MATCH(Assumptions!$J47,{"Monday","Tuesday","Wednesday","Thursday","Friday"},0),
                  WEEKDAY(H$8,2)&gt;=MATCH(Assumptions!$J47,{"Monday","Tuesday","Wednesday","Thursday","Friday"},0)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AND(Assumptions!$I47&gt;=H$7, Assumptions!$I47&lt;=H$8),
                    AND(
                      Assumptions!$I47&lt;H$7,
                      MOD(INT((H$7-(Assumptions!$I47-WEEKDAY(Assumptions!$I47,2)+1))/7),2)=0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AND(Assumptions!$I47&gt;=H$7, Assumptions!$I47&lt;=H$8),
                      AND(
                        Assumptions!$I47&lt;H$7,
                        MOD(INT((H$7-(Assumptions!$I47-WEEKDAY(Assumptions!$I47,2)+1))/7),3)=0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ISNUMBER(MATCH(MONTH(H$7),IF(Assumptions!$H47="Jan / Apr / Jul / Oct",{1,4,7,10},IF(Assumptions!$H47="Feb / May / Aug / Nov",{2,5,8,11},{3,6,9,12})),0)),
                          DATE(YEAR(H$7),MONTH(H$7),Assumptions!$G47)&gt;=H$7,
                          DATE(YEAR(H$7),MONTH(H$7),Assumptions!$G47)&lt;=H$8
                        ),
                        AND(
                          ISNUMBER(MATCH(MONTH(H$8),IF(Assumptions!$H47="Jan / Apr / Jul / Oct",{1,4,7,10},IF(Assumptions!$H47="Feb / May / Aug / Nov",{2,5,8,11},{3,6,9,12})),0)),
                          DATE(YEAR(H$8),MONTH(H$8),Assumptions!$G47)&gt;=H$7,
                          DATE(YEAR(H$8),MONTH(H$8),Assumptions!$G47)&lt;=H$8
                        )
                      ),
                    "Yes","No"),
                  "No")
                )
              )
            )
          )
        )
      )
    )
  )
)</f>
        <v>No</v>
      </c>
      <c r="I35" s="59" t="str">
        <f>IF(
  Assumptions!$K47="Off",
  "No",
  IF(
    Assumptions!$F47="I will phase manually",
    "No",
    IF(
      Assumptions!$F47="Last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Assumptions!$F47="End of month",
        IF(
          OR(
            AND(EOMONTH(I$7,0)&gt;=I$7, EOMONTH(I$7,0)&lt;=I$8),
            AND(EOMONTH(I$8,0)&gt;=I$7, EOMONTH(I$8,0)&lt;=I$8)
          ),
        "Yes","No"),
        IF(
          Assumptions!$F47="Specific day of month",
          IF(
            OR(
              AND(DATE(YEAR(I$7),MONTH(I$7),Assumptions!$G47)&gt;=I$7, DATE(YEAR(I$7),MONTH(I$7),Assumptions!$G47)&lt;=I$8),
              AND(DATE(YEAR(I$8),MONTH(I$8),Assumptions!$G47)&gt;=I$7, DATE(YEAR(I$8),MONTH(I$8),Assumptions!$G47)&lt;=I$8)
            ),
          "Yes","No"),
          IF(
            Assumptions!$F47="Last X day of month",
            IF(
              AND(
                WEEKDAY(I$7,2)&lt;=MATCH(Assumptions!$J47,{"Monday","Tuesday","Wednesday","Thursday","Friday"},0),
                WEEKDAY(I$8,2)&gt;=MATCH(Assumptions!$J47,{"Monday","Tuesday","Wednesday","Thursday","Friday"},0),
                (I$7+(MATCH(Assumptions!$J47,{"Monday","Tuesday","Wednesday","Thursday","Friday"},0)-WEEKDAY(I$7,2)))+7&gt;EOMONTH((I$7+(MATCH(Assumptions!$J47,{"Monday","Tuesday","Wednesday","Thursday","Friday"},0)-WEEKDAY(I$7,2))),0)
              ),
            "Yes","No"),
            IF(
              Assumptions!$F47="Weekly",
              IF(
                AND(
                  WEEKDAY(I$7,2)&lt;=MATCH(Assumptions!$J47,{"Monday","Tuesday","Wednesday","Thursday","Friday"},0),
                  WEEKDAY(I$8,2)&gt;=MATCH(Assumptions!$J47,{"Monday","Tuesday","Wednesday","Thursday","Friday"},0)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AND(Assumptions!$I47&gt;=I$7, Assumptions!$I47&lt;=I$8),
                    AND(
                      Assumptions!$I47&lt;I$7,
                      MOD(INT((I$7-(Assumptions!$I47-WEEKDAY(Assumptions!$I47,2)+1))/7),2)=0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AND(Assumptions!$I47&gt;=I$7, Assumptions!$I47&lt;=I$8),
                      AND(
                        Assumptions!$I47&lt;I$7,
                        MOD(INT((I$7-(Assumptions!$I47-WEEKDAY(Assumptions!$I47,2)+1))/7),3)=0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ISNUMBER(MATCH(MONTH(I$7),IF(Assumptions!$H47="Jan / Apr / Jul / Oct",{1,4,7,10},IF(Assumptions!$H47="Feb / May / Aug / Nov",{2,5,8,11},{3,6,9,12})),0)),
                          DATE(YEAR(I$7),MONTH(I$7),Assumptions!$G47)&gt;=I$7,
                          DATE(YEAR(I$7),MONTH(I$7),Assumptions!$G47)&lt;=I$8
                        ),
                        AND(
                          ISNUMBER(MATCH(MONTH(I$8),IF(Assumptions!$H47="Jan / Apr / Jul / Oct",{1,4,7,10},IF(Assumptions!$H47="Feb / May / Aug / Nov",{2,5,8,11},{3,6,9,12})),0)),
                          DATE(YEAR(I$8),MONTH(I$8),Assumptions!$G47)&gt;=I$7,
                          DATE(YEAR(I$8),MONTH(I$8),Assumptions!$G47)&lt;=I$8
                        )
                      ),
                    "Yes","No"),
                  "No")
                )
              )
            )
          )
        )
      )
    )
  )
)</f>
        <v>No</v>
      </c>
      <c r="J35" s="59" t="str">
        <f>IF(
  Assumptions!$K47="Off",
  "No",
  IF(
    Assumptions!$F47="I will phase manually",
    "No",
    IF(
      Assumptions!$F47="Last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Assumptions!$F47="End of month",
        IF(
          OR(
            AND(EOMONTH(J$7,0)&gt;=J$7, EOMONTH(J$7,0)&lt;=J$8),
            AND(EOMONTH(J$8,0)&gt;=J$7, EOMONTH(J$8,0)&lt;=J$8)
          ),
        "Yes","No"),
        IF(
          Assumptions!$F47="Specific day of month",
          IF(
            OR(
              AND(DATE(YEAR(J$7),MONTH(J$7),Assumptions!$G47)&gt;=J$7, DATE(YEAR(J$7),MONTH(J$7),Assumptions!$G47)&lt;=J$8),
              AND(DATE(YEAR(J$8),MONTH(J$8),Assumptions!$G47)&gt;=J$7, DATE(YEAR(J$8),MONTH(J$8),Assumptions!$G47)&lt;=J$8)
            ),
          "Yes","No"),
          IF(
            Assumptions!$F47="Last X day of month",
            IF(
              AND(
                WEEKDAY(J$7,2)&lt;=MATCH(Assumptions!$J47,{"Monday","Tuesday","Wednesday","Thursday","Friday"},0),
                WEEKDAY(J$8,2)&gt;=MATCH(Assumptions!$J47,{"Monday","Tuesday","Wednesday","Thursday","Friday"},0),
                (J$7+(MATCH(Assumptions!$J47,{"Monday","Tuesday","Wednesday","Thursday","Friday"},0)-WEEKDAY(J$7,2)))+7&gt;EOMONTH((J$7+(MATCH(Assumptions!$J47,{"Monday","Tuesday","Wednesday","Thursday","Friday"},0)-WEEKDAY(J$7,2))),0)
              ),
            "Yes","No"),
            IF(
              Assumptions!$F47="Weekly",
              IF(
                AND(
                  WEEKDAY(J$7,2)&lt;=MATCH(Assumptions!$J47,{"Monday","Tuesday","Wednesday","Thursday","Friday"},0),
                  WEEKDAY(J$8,2)&gt;=MATCH(Assumptions!$J47,{"Monday","Tuesday","Wednesday","Thursday","Friday"},0)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AND(Assumptions!$I47&gt;=J$7, Assumptions!$I47&lt;=J$8),
                    AND(
                      Assumptions!$I47&lt;J$7,
                      MOD(INT((J$7-(Assumptions!$I47-WEEKDAY(Assumptions!$I47,2)+1))/7),2)=0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AND(Assumptions!$I47&gt;=J$7, Assumptions!$I47&lt;=J$8),
                      AND(
                        Assumptions!$I47&lt;J$7,
                        MOD(INT((J$7-(Assumptions!$I47-WEEKDAY(Assumptions!$I47,2)+1))/7),3)=0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ISNUMBER(MATCH(MONTH(J$7),IF(Assumptions!$H47="Jan / Apr / Jul / Oct",{1,4,7,10},IF(Assumptions!$H47="Feb / May / Aug / Nov",{2,5,8,11},{3,6,9,12})),0)),
                          DATE(YEAR(J$7),MONTH(J$7),Assumptions!$G47)&gt;=J$7,
                          DATE(YEAR(J$7),MONTH(J$7),Assumptions!$G47)&lt;=J$8
                        ),
                        AND(
                          ISNUMBER(MATCH(MONTH(J$8),IF(Assumptions!$H47="Jan / Apr / Jul / Oct",{1,4,7,10},IF(Assumptions!$H47="Feb / May / Aug / Nov",{2,5,8,11},{3,6,9,12})),0)),
                          DATE(YEAR(J$8),MONTH(J$8),Assumptions!$G47)&gt;=J$7,
                          DATE(YEAR(J$8),MONTH(J$8),Assumptions!$G47)&lt;=J$8
                        )
                      ),
                    "Yes","No"),
                  "No")
                )
              )
            )
          )
        )
      )
    )
  )
)</f>
        <v>No</v>
      </c>
      <c r="K35" s="59" t="str">
        <f>IF(
  Assumptions!$K47="Off",
  "No",
  IF(
    Assumptions!$F47="I will phase manually",
    "No",
    IF(
      Assumptions!$F47="Last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Assumptions!$F47="End of month",
        IF(
          OR(
            AND(EOMONTH(K$7,0)&gt;=K$7, EOMONTH(K$7,0)&lt;=K$8),
            AND(EOMONTH(K$8,0)&gt;=K$7, EOMONTH(K$8,0)&lt;=K$8)
          ),
        "Yes","No"),
        IF(
          Assumptions!$F47="Specific day of month",
          IF(
            OR(
              AND(DATE(YEAR(K$7),MONTH(K$7),Assumptions!$G47)&gt;=K$7, DATE(YEAR(K$7),MONTH(K$7),Assumptions!$G47)&lt;=K$8),
              AND(DATE(YEAR(K$8),MONTH(K$8),Assumptions!$G47)&gt;=K$7, DATE(YEAR(K$8),MONTH(K$8),Assumptions!$G47)&lt;=K$8)
            ),
          "Yes","No"),
          IF(
            Assumptions!$F47="Last X day of month",
            IF(
              AND(
                WEEKDAY(K$7,2)&lt;=MATCH(Assumptions!$J47,{"Monday","Tuesday","Wednesday","Thursday","Friday"},0),
                WEEKDAY(K$8,2)&gt;=MATCH(Assumptions!$J47,{"Monday","Tuesday","Wednesday","Thursday","Friday"},0),
                (K$7+(MATCH(Assumptions!$J47,{"Monday","Tuesday","Wednesday","Thursday","Friday"},0)-WEEKDAY(K$7,2)))+7&gt;EOMONTH((K$7+(MATCH(Assumptions!$J47,{"Monday","Tuesday","Wednesday","Thursday","Friday"},0)-WEEKDAY(K$7,2))),0)
              ),
            "Yes","No"),
            IF(
              Assumptions!$F47="Weekly",
              IF(
                AND(
                  WEEKDAY(K$7,2)&lt;=MATCH(Assumptions!$J47,{"Monday","Tuesday","Wednesday","Thursday","Friday"},0),
                  WEEKDAY(K$8,2)&gt;=MATCH(Assumptions!$J47,{"Monday","Tuesday","Wednesday","Thursday","Friday"},0)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AND(Assumptions!$I47&gt;=K$7, Assumptions!$I47&lt;=K$8),
                    AND(
                      Assumptions!$I47&lt;K$7,
                      MOD(INT((K$7-(Assumptions!$I47-WEEKDAY(Assumptions!$I47,2)+1))/7),2)=0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AND(Assumptions!$I47&gt;=K$7, Assumptions!$I47&lt;=K$8),
                      AND(
                        Assumptions!$I47&lt;K$7,
                        MOD(INT((K$7-(Assumptions!$I47-WEEKDAY(Assumptions!$I47,2)+1))/7),3)=0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ISNUMBER(MATCH(MONTH(K$7),IF(Assumptions!$H47="Jan / Apr / Jul / Oct",{1,4,7,10},IF(Assumptions!$H47="Feb / May / Aug / Nov",{2,5,8,11},{3,6,9,12})),0)),
                          DATE(YEAR(K$7),MONTH(K$7),Assumptions!$G47)&gt;=K$7,
                          DATE(YEAR(K$7),MONTH(K$7),Assumptions!$G47)&lt;=K$8
                        ),
                        AND(
                          ISNUMBER(MATCH(MONTH(K$8),IF(Assumptions!$H47="Jan / Apr / Jul / Oct",{1,4,7,10},IF(Assumptions!$H47="Feb / May / Aug / Nov",{2,5,8,11},{3,6,9,12})),0)),
                          DATE(YEAR(K$8),MONTH(K$8),Assumptions!$G47)&gt;=K$7,
                          DATE(YEAR(K$8),MONTH(K$8),Assumptions!$G47)&lt;=K$8
                        )
                      ),
                    "Yes","No"),
                  "No")
                )
              )
            )
          )
        )
      )
    )
  )
)</f>
        <v>No</v>
      </c>
      <c r="L35" s="59" t="str">
        <f>IF(
  Assumptions!$K47="Off",
  "No",
  IF(
    Assumptions!$F47="I will phase manually",
    "No",
    IF(
      Assumptions!$F47="Last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Assumptions!$F47="End of month",
        IF(
          OR(
            AND(EOMONTH(L$7,0)&gt;=L$7, EOMONTH(L$7,0)&lt;=L$8),
            AND(EOMONTH(L$8,0)&gt;=L$7, EOMONTH(L$8,0)&lt;=L$8)
          ),
        "Yes","No"),
        IF(
          Assumptions!$F47="Specific day of month",
          IF(
            OR(
              AND(DATE(YEAR(L$7),MONTH(L$7),Assumptions!$G47)&gt;=L$7, DATE(YEAR(L$7),MONTH(L$7),Assumptions!$G47)&lt;=L$8),
              AND(DATE(YEAR(L$8),MONTH(L$8),Assumptions!$G47)&gt;=L$7, DATE(YEAR(L$8),MONTH(L$8),Assumptions!$G47)&lt;=L$8)
            ),
          "Yes","No"),
          IF(
            Assumptions!$F47="Last X day of month",
            IF(
              AND(
                WEEKDAY(L$7,2)&lt;=MATCH(Assumptions!$J47,{"Monday","Tuesday","Wednesday","Thursday","Friday"},0),
                WEEKDAY(L$8,2)&gt;=MATCH(Assumptions!$J47,{"Monday","Tuesday","Wednesday","Thursday","Friday"},0),
                (L$7+(MATCH(Assumptions!$J47,{"Monday","Tuesday","Wednesday","Thursday","Friday"},0)-WEEKDAY(L$7,2)))+7&gt;EOMONTH((L$7+(MATCH(Assumptions!$J47,{"Monday","Tuesday","Wednesday","Thursday","Friday"},0)-WEEKDAY(L$7,2))),0)
              ),
            "Yes","No"),
            IF(
              Assumptions!$F47="Weekly",
              IF(
                AND(
                  WEEKDAY(L$7,2)&lt;=MATCH(Assumptions!$J47,{"Monday","Tuesday","Wednesday","Thursday","Friday"},0),
                  WEEKDAY(L$8,2)&gt;=MATCH(Assumptions!$J47,{"Monday","Tuesday","Wednesday","Thursday","Friday"},0)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AND(Assumptions!$I47&gt;=L$7, Assumptions!$I47&lt;=L$8),
                    AND(
                      Assumptions!$I47&lt;L$7,
                      MOD(INT((L$7-(Assumptions!$I47-WEEKDAY(Assumptions!$I47,2)+1))/7),2)=0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AND(Assumptions!$I47&gt;=L$7, Assumptions!$I47&lt;=L$8),
                      AND(
                        Assumptions!$I47&lt;L$7,
                        MOD(INT((L$7-(Assumptions!$I47-WEEKDAY(Assumptions!$I47,2)+1))/7),3)=0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ISNUMBER(MATCH(MONTH(L$7),IF(Assumptions!$H47="Jan / Apr / Jul / Oct",{1,4,7,10},IF(Assumptions!$H47="Feb / May / Aug / Nov",{2,5,8,11},{3,6,9,12})),0)),
                          DATE(YEAR(L$7),MONTH(L$7),Assumptions!$G47)&gt;=L$7,
                          DATE(YEAR(L$7),MONTH(L$7),Assumptions!$G47)&lt;=L$8
                        ),
                        AND(
                          ISNUMBER(MATCH(MONTH(L$8),IF(Assumptions!$H47="Jan / Apr / Jul / Oct",{1,4,7,10},IF(Assumptions!$H47="Feb / May / Aug / Nov",{2,5,8,11},{3,6,9,12})),0)),
                          DATE(YEAR(L$8),MONTH(L$8),Assumptions!$G47)&gt;=L$7,
                          DATE(YEAR(L$8),MONTH(L$8),Assumptions!$G47)&lt;=L$8
                        )
                      ),
                    "Yes","No"),
                  "No")
                )
              )
            )
          )
        )
      )
    )
  )
)</f>
        <v>No</v>
      </c>
      <c r="M35" s="59" t="str">
        <f>IF(
  Assumptions!$K47="Off",
  "No",
  IF(
    Assumptions!$F47="I will phase manually",
    "No",
    IF(
      Assumptions!$F47="Last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Assumptions!$F47="End of month",
        IF(
          OR(
            AND(EOMONTH(M$7,0)&gt;=M$7, EOMONTH(M$7,0)&lt;=M$8),
            AND(EOMONTH(M$8,0)&gt;=M$7, EOMONTH(M$8,0)&lt;=M$8)
          ),
        "Yes","No"),
        IF(
          Assumptions!$F47="Specific day of month",
          IF(
            OR(
              AND(DATE(YEAR(M$7),MONTH(M$7),Assumptions!$G47)&gt;=M$7, DATE(YEAR(M$7),MONTH(M$7),Assumptions!$G47)&lt;=M$8),
              AND(DATE(YEAR(M$8),MONTH(M$8),Assumptions!$G47)&gt;=M$7, DATE(YEAR(M$8),MONTH(M$8),Assumptions!$G47)&lt;=M$8)
            ),
          "Yes","No"),
          IF(
            Assumptions!$F47="Last X day of month",
            IF(
              AND(
                WEEKDAY(M$7,2)&lt;=MATCH(Assumptions!$J47,{"Monday","Tuesday","Wednesday","Thursday","Friday"},0),
                WEEKDAY(M$8,2)&gt;=MATCH(Assumptions!$J47,{"Monday","Tuesday","Wednesday","Thursday","Friday"},0),
                (M$7+(MATCH(Assumptions!$J47,{"Monday","Tuesday","Wednesday","Thursday","Friday"},0)-WEEKDAY(M$7,2)))+7&gt;EOMONTH((M$7+(MATCH(Assumptions!$J47,{"Monday","Tuesday","Wednesday","Thursday","Friday"},0)-WEEKDAY(M$7,2))),0)
              ),
            "Yes","No"),
            IF(
              Assumptions!$F47="Weekly",
              IF(
                AND(
                  WEEKDAY(M$7,2)&lt;=MATCH(Assumptions!$J47,{"Monday","Tuesday","Wednesday","Thursday","Friday"},0),
                  WEEKDAY(M$8,2)&gt;=MATCH(Assumptions!$J47,{"Monday","Tuesday","Wednesday","Thursday","Friday"},0)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AND(Assumptions!$I47&gt;=M$7, Assumptions!$I47&lt;=M$8),
                    AND(
                      Assumptions!$I47&lt;M$7,
                      MOD(INT((M$7-(Assumptions!$I47-WEEKDAY(Assumptions!$I47,2)+1))/7),2)=0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AND(Assumptions!$I47&gt;=M$7, Assumptions!$I47&lt;=M$8),
                      AND(
                        Assumptions!$I47&lt;M$7,
                        MOD(INT((M$7-(Assumptions!$I47-WEEKDAY(Assumptions!$I47,2)+1))/7),3)=0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ISNUMBER(MATCH(MONTH(M$7),IF(Assumptions!$H47="Jan / Apr / Jul / Oct",{1,4,7,10},IF(Assumptions!$H47="Feb / May / Aug / Nov",{2,5,8,11},{3,6,9,12})),0)),
                          DATE(YEAR(M$7),MONTH(M$7),Assumptions!$G47)&gt;=M$7,
                          DATE(YEAR(M$7),MONTH(M$7),Assumptions!$G47)&lt;=M$8
                        ),
                        AND(
                          ISNUMBER(MATCH(MONTH(M$8),IF(Assumptions!$H47="Jan / Apr / Jul / Oct",{1,4,7,10},IF(Assumptions!$H47="Feb / May / Aug / Nov",{2,5,8,11},{3,6,9,12})),0)),
                          DATE(YEAR(M$8),MONTH(M$8),Assumptions!$G47)&gt;=M$7,
                          DATE(YEAR(M$8),MONTH(M$8),Assumptions!$G47)&lt;=M$8
                        )
                      ),
                    "Yes","No"),
                  "No")
                )
              )
            )
          )
        )
      )
    )
  )
)</f>
        <v>No</v>
      </c>
      <c r="N35" s="59" t="str">
        <f>IF(
  Assumptions!$K47="Off",
  "No",
  IF(
    Assumptions!$F47="I will phase manually",
    "No",
    IF(
      Assumptions!$F47="Last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Assumptions!$F47="End of month",
        IF(
          OR(
            AND(EOMONTH(N$7,0)&gt;=N$7, EOMONTH(N$7,0)&lt;=N$8),
            AND(EOMONTH(N$8,0)&gt;=N$7, EOMONTH(N$8,0)&lt;=N$8)
          ),
        "Yes","No"),
        IF(
          Assumptions!$F47="Specific day of month",
          IF(
            OR(
              AND(DATE(YEAR(N$7),MONTH(N$7),Assumptions!$G47)&gt;=N$7, DATE(YEAR(N$7),MONTH(N$7),Assumptions!$G47)&lt;=N$8),
              AND(DATE(YEAR(N$8),MONTH(N$8),Assumptions!$G47)&gt;=N$7, DATE(YEAR(N$8),MONTH(N$8),Assumptions!$G47)&lt;=N$8)
            ),
          "Yes","No"),
          IF(
            Assumptions!$F47="Last X day of month",
            IF(
              AND(
                WEEKDAY(N$7,2)&lt;=MATCH(Assumptions!$J47,{"Monday","Tuesday","Wednesday","Thursday","Friday"},0),
                WEEKDAY(N$8,2)&gt;=MATCH(Assumptions!$J47,{"Monday","Tuesday","Wednesday","Thursday","Friday"},0),
                (N$7+(MATCH(Assumptions!$J47,{"Monday","Tuesday","Wednesday","Thursday","Friday"},0)-WEEKDAY(N$7,2)))+7&gt;EOMONTH((N$7+(MATCH(Assumptions!$J47,{"Monday","Tuesday","Wednesday","Thursday","Friday"},0)-WEEKDAY(N$7,2))),0)
              ),
            "Yes","No"),
            IF(
              Assumptions!$F47="Weekly",
              IF(
                AND(
                  WEEKDAY(N$7,2)&lt;=MATCH(Assumptions!$J47,{"Monday","Tuesday","Wednesday","Thursday","Friday"},0),
                  WEEKDAY(N$8,2)&gt;=MATCH(Assumptions!$J47,{"Monday","Tuesday","Wednesday","Thursday","Friday"},0)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AND(Assumptions!$I47&gt;=N$7, Assumptions!$I47&lt;=N$8),
                    AND(
                      Assumptions!$I47&lt;N$7,
                      MOD(INT((N$7-(Assumptions!$I47-WEEKDAY(Assumptions!$I47,2)+1))/7),2)=0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AND(Assumptions!$I47&gt;=N$7, Assumptions!$I47&lt;=N$8),
                      AND(
                        Assumptions!$I47&lt;N$7,
                        MOD(INT((N$7-(Assumptions!$I47-WEEKDAY(Assumptions!$I47,2)+1))/7),3)=0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ISNUMBER(MATCH(MONTH(N$7),IF(Assumptions!$H47="Jan / Apr / Jul / Oct",{1,4,7,10},IF(Assumptions!$H47="Feb / May / Aug / Nov",{2,5,8,11},{3,6,9,12})),0)),
                          DATE(YEAR(N$7),MONTH(N$7),Assumptions!$G47)&gt;=N$7,
                          DATE(YEAR(N$7),MONTH(N$7),Assumptions!$G47)&lt;=N$8
                        ),
                        AND(
                          ISNUMBER(MATCH(MONTH(N$8),IF(Assumptions!$H47="Jan / Apr / Jul / Oct",{1,4,7,10},IF(Assumptions!$H47="Feb / May / Aug / Nov",{2,5,8,11},{3,6,9,12})),0)),
                          DATE(YEAR(N$8),MONTH(N$8),Assumptions!$G47)&gt;=N$7,
                          DATE(YEAR(N$8),MONTH(N$8),Assumptions!$G47)&lt;=N$8
                        )
                      ),
                    "Yes","No"),
                  "No")
                )
              )
            )
          )
        )
      )
    )
  )
)</f>
        <v>No</v>
      </c>
      <c r="O35" s="59" t="str">
        <f>IF(
  Assumptions!$K47="Off",
  "No",
  IF(
    Assumptions!$F47="I will phase manually",
    "No",
    IF(
      Assumptions!$F47="Last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Assumptions!$F47="End of month",
        IF(
          OR(
            AND(EOMONTH(O$7,0)&gt;=O$7, EOMONTH(O$7,0)&lt;=O$8),
            AND(EOMONTH(O$8,0)&gt;=O$7, EOMONTH(O$8,0)&lt;=O$8)
          ),
        "Yes","No"),
        IF(
          Assumptions!$F47="Specific day of month",
          IF(
            OR(
              AND(DATE(YEAR(O$7),MONTH(O$7),Assumptions!$G47)&gt;=O$7, DATE(YEAR(O$7),MONTH(O$7),Assumptions!$G47)&lt;=O$8),
              AND(DATE(YEAR(O$8),MONTH(O$8),Assumptions!$G47)&gt;=O$7, DATE(YEAR(O$8),MONTH(O$8),Assumptions!$G47)&lt;=O$8)
            ),
          "Yes","No"),
          IF(
            Assumptions!$F47="Last X day of month",
            IF(
              AND(
                WEEKDAY(O$7,2)&lt;=MATCH(Assumptions!$J47,{"Monday","Tuesday","Wednesday","Thursday","Friday"},0),
                WEEKDAY(O$8,2)&gt;=MATCH(Assumptions!$J47,{"Monday","Tuesday","Wednesday","Thursday","Friday"},0),
                (O$7+(MATCH(Assumptions!$J47,{"Monday","Tuesday","Wednesday","Thursday","Friday"},0)-WEEKDAY(O$7,2)))+7&gt;EOMONTH((O$7+(MATCH(Assumptions!$J47,{"Monday","Tuesday","Wednesday","Thursday","Friday"},0)-WEEKDAY(O$7,2))),0)
              ),
            "Yes","No"),
            IF(
              Assumptions!$F47="Weekly",
              IF(
                AND(
                  WEEKDAY(O$7,2)&lt;=MATCH(Assumptions!$J47,{"Monday","Tuesday","Wednesday","Thursday","Friday"},0),
                  WEEKDAY(O$8,2)&gt;=MATCH(Assumptions!$J47,{"Monday","Tuesday","Wednesday","Thursday","Friday"},0)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AND(Assumptions!$I47&gt;=O$7, Assumptions!$I47&lt;=O$8),
                    AND(
                      Assumptions!$I47&lt;O$7,
                      MOD(INT((O$7-(Assumptions!$I47-WEEKDAY(Assumptions!$I47,2)+1))/7),2)=0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AND(Assumptions!$I47&gt;=O$7, Assumptions!$I47&lt;=O$8),
                      AND(
                        Assumptions!$I47&lt;O$7,
                        MOD(INT((O$7-(Assumptions!$I47-WEEKDAY(Assumptions!$I47,2)+1))/7),3)=0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ISNUMBER(MATCH(MONTH(O$7),IF(Assumptions!$H47="Jan / Apr / Jul / Oct",{1,4,7,10},IF(Assumptions!$H47="Feb / May / Aug / Nov",{2,5,8,11},{3,6,9,12})),0)),
                          DATE(YEAR(O$7),MONTH(O$7),Assumptions!$G47)&gt;=O$7,
                          DATE(YEAR(O$7),MONTH(O$7),Assumptions!$G47)&lt;=O$8
                        ),
                        AND(
                          ISNUMBER(MATCH(MONTH(O$8),IF(Assumptions!$H47="Jan / Apr / Jul / Oct",{1,4,7,10},IF(Assumptions!$H47="Feb / May / Aug / Nov",{2,5,8,11},{3,6,9,12})),0)),
                          DATE(YEAR(O$8),MONTH(O$8),Assumptions!$G47)&gt;=O$7,
                          DATE(YEAR(O$8),MONTH(O$8),Assumptions!$G47)&lt;=O$8
                        )
                      ),
                    "Yes","No"),
                  "No")
                )
              )
            )
          )
        )
      )
    )
  )
)</f>
        <v>No</v>
      </c>
      <c r="P35" s="59" t="str">
        <f>IF(
  Assumptions!$K47="Off",
  "No",
  IF(
    Assumptions!$F47="I will phase manually",
    "No",
    IF(
      Assumptions!$F47="Last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Assumptions!$F47="End of month",
        IF(
          OR(
            AND(EOMONTH(P$7,0)&gt;=P$7, EOMONTH(P$7,0)&lt;=P$8),
            AND(EOMONTH(P$8,0)&gt;=P$7, EOMONTH(P$8,0)&lt;=P$8)
          ),
        "Yes","No"),
        IF(
          Assumptions!$F47="Specific day of month",
          IF(
            OR(
              AND(DATE(YEAR(P$7),MONTH(P$7),Assumptions!$G47)&gt;=P$7, DATE(YEAR(P$7),MONTH(P$7),Assumptions!$G47)&lt;=P$8),
              AND(DATE(YEAR(P$8),MONTH(P$8),Assumptions!$G47)&gt;=P$7, DATE(YEAR(P$8),MONTH(P$8),Assumptions!$G47)&lt;=P$8)
            ),
          "Yes","No"),
          IF(
            Assumptions!$F47="Last X day of month",
            IF(
              AND(
                WEEKDAY(P$7,2)&lt;=MATCH(Assumptions!$J47,{"Monday","Tuesday","Wednesday","Thursday","Friday"},0),
                WEEKDAY(P$8,2)&gt;=MATCH(Assumptions!$J47,{"Monday","Tuesday","Wednesday","Thursday","Friday"},0),
                (P$7+(MATCH(Assumptions!$J47,{"Monday","Tuesday","Wednesday","Thursday","Friday"},0)-WEEKDAY(P$7,2)))+7&gt;EOMONTH((P$7+(MATCH(Assumptions!$J47,{"Monday","Tuesday","Wednesday","Thursday","Friday"},0)-WEEKDAY(P$7,2))),0)
              ),
            "Yes","No"),
            IF(
              Assumptions!$F47="Weekly",
              IF(
                AND(
                  WEEKDAY(P$7,2)&lt;=MATCH(Assumptions!$J47,{"Monday","Tuesday","Wednesday","Thursday","Friday"},0),
                  WEEKDAY(P$8,2)&gt;=MATCH(Assumptions!$J47,{"Monday","Tuesday","Wednesday","Thursday","Friday"},0)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AND(Assumptions!$I47&gt;=P$7, Assumptions!$I47&lt;=P$8),
                    AND(
                      Assumptions!$I47&lt;P$7,
                      MOD(INT((P$7-(Assumptions!$I47-WEEKDAY(Assumptions!$I47,2)+1))/7),2)=0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AND(Assumptions!$I47&gt;=P$7, Assumptions!$I47&lt;=P$8),
                      AND(
                        Assumptions!$I47&lt;P$7,
                        MOD(INT((P$7-(Assumptions!$I47-WEEKDAY(Assumptions!$I47,2)+1))/7),3)=0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ISNUMBER(MATCH(MONTH(P$7),IF(Assumptions!$H47="Jan / Apr / Jul / Oct",{1,4,7,10},IF(Assumptions!$H47="Feb / May / Aug / Nov",{2,5,8,11},{3,6,9,12})),0)),
                          DATE(YEAR(P$7),MONTH(P$7),Assumptions!$G47)&gt;=P$7,
                          DATE(YEAR(P$7),MONTH(P$7),Assumptions!$G47)&lt;=P$8
                        ),
                        AND(
                          ISNUMBER(MATCH(MONTH(P$8),IF(Assumptions!$H47="Jan / Apr / Jul / Oct",{1,4,7,10},IF(Assumptions!$H47="Feb / May / Aug / Nov",{2,5,8,11},{3,6,9,12})),0)),
                          DATE(YEAR(P$8),MONTH(P$8),Assumptions!$G47)&gt;=P$7,
                          DATE(YEAR(P$8),MONTH(P$8),Assumptions!$G47)&lt;=P$8
                        )
                      ),
                    "Yes","No"),
                  "No")
                )
              )
            )
          )
        )
      )
    )
  )
)</f>
        <v>No</v>
      </c>
      <c r="Q35" s="59" t="str">
        <f>IF(
  Assumptions!$K47="Off",
  "No",
  IF(
    Assumptions!$F47="I will phase manually",
    "No",
    IF(
      Assumptions!$F47="Last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Assumptions!$F47="End of month",
        IF(
          OR(
            AND(EOMONTH(Q$7,0)&gt;=Q$7, EOMONTH(Q$7,0)&lt;=Q$8),
            AND(EOMONTH(Q$8,0)&gt;=Q$7, EOMONTH(Q$8,0)&lt;=Q$8)
          ),
        "Yes","No"),
        IF(
          Assumptions!$F47="Specific day of month",
          IF(
            OR(
              AND(DATE(YEAR(Q$7),MONTH(Q$7),Assumptions!$G47)&gt;=Q$7, DATE(YEAR(Q$7),MONTH(Q$7),Assumptions!$G47)&lt;=Q$8),
              AND(DATE(YEAR(Q$8),MONTH(Q$8),Assumptions!$G47)&gt;=Q$7, DATE(YEAR(Q$8),MONTH(Q$8),Assumptions!$G47)&lt;=Q$8)
            ),
          "Yes","No"),
          IF(
            Assumptions!$F47="Last X day of month",
            IF(
              AND(
                WEEKDAY(Q$7,2)&lt;=MATCH(Assumptions!$J47,{"Monday","Tuesday","Wednesday","Thursday","Friday"},0),
                WEEKDAY(Q$8,2)&gt;=MATCH(Assumptions!$J47,{"Monday","Tuesday","Wednesday","Thursday","Friday"},0),
                (Q$7+(MATCH(Assumptions!$J47,{"Monday","Tuesday","Wednesday","Thursday","Friday"},0)-WEEKDAY(Q$7,2)))+7&gt;EOMONTH((Q$7+(MATCH(Assumptions!$J47,{"Monday","Tuesday","Wednesday","Thursday","Friday"},0)-WEEKDAY(Q$7,2))),0)
              ),
            "Yes","No"),
            IF(
              Assumptions!$F47="Weekly",
              IF(
                AND(
                  WEEKDAY(Q$7,2)&lt;=MATCH(Assumptions!$J47,{"Monday","Tuesday","Wednesday","Thursday","Friday"},0),
                  WEEKDAY(Q$8,2)&gt;=MATCH(Assumptions!$J47,{"Monday","Tuesday","Wednesday","Thursday","Friday"},0)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AND(Assumptions!$I47&gt;=Q$7, Assumptions!$I47&lt;=Q$8),
                    AND(
                      Assumptions!$I47&lt;Q$7,
                      MOD(INT((Q$7-(Assumptions!$I47-WEEKDAY(Assumptions!$I47,2)+1))/7),2)=0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AND(Assumptions!$I47&gt;=Q$7, Assumptions!$I47&lt;=Q$8),
                      AND(
                        Assumptions!$I47&lt;Q$7,
                        MOD(INT((Q$7-(Assumptions!$I47-WEEKDAY(Assumptions!$I47,2)+1))/7),3)=0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ISNUMBER(MATCH(MONTH(Q$7),IF(Assumptions!$H47="Jan / Apr / Jul / Oct",{1,4,7,10},IF(Assumptions!$H47="Feb / May / Aug / Nov",{2,5,8,11},{3,6,9,12})),0)),
                          DATE(YEAR(Q$7),MONTH(Q$7),Assumptions!$G47)&gt;=Q$7,
                          DATE(YEAR(Q$7),MONTH(Q$7),Assumptions!$G47)&lt;=Q$8
                        ),
                        AND(
                          ISNUMBER(MATCH(MONTH(Q$8),IF(Assumptions!$H47="Jan / Apr / Jul / Oct",{1,4,7,10},IF(Assumptions!$H47="Feb / May / Aug / Nov",{2,5,8,11},{3,6,9,12})),0)),
                          DATE(YEAR(Q$8),MONTH(Q$8),Assumptions!$G47)&gt;=Q$7,
                          DATE(YEAR(Q$8),MONTH(Q$8),Assumptions!$G47)&lt;=Q$8
                        )
                      ),
                    "Yes","No"),
                  "No")
                )
              )
            )
          )
        )
      )
    )
  )
)</f>
        <v>No</v>
      </c>
      <c r="R35" s="59" t="str">
        <f>IF(
  Assumptions!$K47="Off",
  "No",
  IF(
    Assumptions!$F47="I will phase manually",
    "No",
    IF(
      Assumptions!$F47="Last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Assumptions!$F47="End of month",
        IF(
          OR(
            AND(EOMONTH(R$7,0)&gt;=R$7, EOMONTH(R$7,0)&lt;=R$8),
            AND(EOMONTH(R$8,0)&gt;=R$7, EOMONTH(R$8,0)&lt;=R$8)
          ),
        "Yes","No"),
        IF(
          Assumptions!$F47="Specific day of month",
          IF(
            OR(
              AND(DATE(YEAR(R$7),MONTH(R$7),Assumptions!$G47)&gt;=R$7, DATE(YEAR(R$7),MONTH(R$7),Assumptions!$G47)&lt;=R$8),
              AND(DATE(YEAR(R$8),MONTH(R$8),Assumptions!$G47)&gt;=R$7, DATE(YEAR(R$8),MONTH(R$8),Assumptions!$G47)&lt;=R$8)
            ),
          "Yes","No"),
          IF(
            Assumptions!$F47="Last X day of month",
            IF(
              AND(
                WEEKDAY(R$7,2)&lt;=MATCH(Assumptions!$J47,{"Monday","Tuesday","Wednesday","Thursday","Friday"},0),
                WEEKDAY(R$8,2)&gt;=MATCH(Assumptions!$J47,{"Monday","Tuesday","Wednesday","Thursday","Friday"},0),
                (R$7+(MATCH(Assumptions!$J47,{"Monday","Tuesday","Wednesday","Thursday","Friday"},0)-WEEKDAY(R$7,2)))+7&gt;EOMONTH((R$7+(MATCH(Assumptions!$J47,{"Monday","Tuesday","Wednesday","Thursday","Friday"},0)-WEEKDAY(R$7,2))),0)
              ),
            "Yes","No"),
            IF(
              Assumptions!$F47="Weekly",
              IF(
                AND(
                  WEEKDAY(R$7,2)&lt;=MATCH(Assumptions!$J47,{"Monday","Tuesday","Wednesday","Thursday","Friday"},0),
                  WEEKDAY(R$8,2)&gt;=MATCH(Assumptions!$J47,{"Monday","Tuesday","Wednesday","Thursday","Friday"},0)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AND(Assumptions!$I47&gt;=R$7, Assumptions!$I47&lt;=R$8),
                    AND(
                      Assumptions!$I47&lt;R$7,
                      MOD(INT((R$7-(Assumptions!$I47-WEEKDAY(Assumptions!$I47,2)+1))/7),2)=0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AND(Assumptions!$I47&gt;=R$7, Assumptions!$I47&lt;=R$8),
                      AND(
                        Assumptions!$I47&lt;R$7,
                        MOD(INT((R$7-(Assumptions!$I47-WEEKDAY(Assumptions!$I47,2)+1))/7),3)=0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ISNUMBER(MATCH(MONTH(R$7),IF(Assumptions!$H47="Jan / Apr / Jul / Oct",{1,4,7,10},IF(Assumptions!$H47="Feb / May / Aug / Nov",{2,5,8,11},{3,6,9,12})),0)),
                          DATE(YEAR(R$7),MONTH(R$7),Assumptions!$G47)&gt;=R$7,
                          DATE(YEAR(R$7),MONTH(R$7),Assumptions!$G47)&lt;=R$8
                        ),
                        AND(
                          ISNUMBER(MATCH(MONTH(R$8),IF(Assumptions!$H47="Jan / Apr / Jul / Oct",{1,4,7,10},IF(Assumptions!$H47="Feb / May / Aug / Nov",{2,5,8,11},{3,6,9,12})),0)),
                          DATE(YEAR(R$8),MONTH(R$8),Assumptions!$G47)&gt;=R$7,
                          DATE(YEAR(R$8),MONTH(R$8),Assumptions!$G47)&lt;=R$8
                        )
                      ),
                    "Yes","No"),
                  "No")
                )
              )
            )
          )
        )
      )
    )
  )
)</f>
        <v>No</v>
      </c>
      <c r="S35" s="59" t="str">
        <f>IF(
  Assumptions!$K47="Off",
  "No",
  IF(
    Assumptions!$F47="I will phase manually",
    "No",
    IF(
      Assumptions!$F47="Last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Assumptions!$F47="End of month",
        IF(
          OR(
            AND(EOMONTH(S$7,0)&gt;=S$7, EOMONTH(S$7,0)&lt;=S$8),
            AND(EOMONTH(S$8,0)&gt;=S$7, EOMONTH(S$8,0)&lt;=S$8)
          ),
        "Yes","No"),
        IF(
          Assumptions!$F47="Specific day of month",
          IF(
            OR(
              AND(DATE(YEAR(S$7),MONTH(S$7),Assumptions!$G47)&gt;=S$7, DATE(YEAR(S$7),MONTH(S$7),Assumptions!$G47)&lt;=S$8),
              AND(DATE(YEAR(S$8),MONTH(S$8),Assumptions!$G47)&gt;=S$7, DATE(YEAR(S$8),MONTH(S$8),Assumptions!$G47)&lt;=S$8)
            ),
          "Yes","No"),
          IF(
            Assumptions!$F47="Last X day of month",
            IF(
              AND(
                WEEKDAY(S$7,2)&lt;=MATCH(Assumptions!$J47,{"Monday","Tuesday","Wednesday","Thursday","Friday"},0),
                WEEKDAY(S$8,2)&gt;=MATCH(Assumptions!$J47,{"Monday","Tuesday","Wednesday","Thursday","Friday"},0),
                (S$7+(MATCH(Assumptions!$J47,{"Monday","Tuesday","Wednesday","Thursday","Friday"},0)-WEEKDAY(S$7,2)))+7&gt;EOMONTH((S$7+(MATCH(Assumptions!$J47,{"Monday","Tuesday","Wednesday","Thursday","Friday"},0)-WEEKDAY(S$7,2))),0)
              ),
            "Yes","No"),
            IF(
              Assumptions!$F47="Weekly",
              IF(
                AND(
                  WEEKDAY(S$7,2)&lt;=MATCH(Assumptions!$J47,{"Monday","Tuesday","Wednesday","Thursday","Friday"},0),
                  WEEKDAY(S$8,2)&gt;=MATCH(Assumptions!$J47,{"Monday","Tuesday","Wednesday","Thursday","Friday"},0)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AND(Assumptions!$I47&gt;=S$7, Assumptions!$I47&lt;=S$8),
                    AND(
                      Assumptions!$I47&lt;S$7,
                      MOD(INT((S$7-(Assumptions!$I47-WEEKDAY(Assumptions!$I47,2)+1))/7),2)=0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AND(Assumptions!$I47&gt;=S$7, Assumptions!$I47&lt;=S$8),
                      AND(
                        Assumptions!$I47&lt;S$7,
                        MOD(INT((S$7-(Assumptions!$I47-WEEKDAY(Assumptions!$I47,2)+1))/7),3)=0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ISNUMBER(MATCH(MONTH(S$7),IF(Assumptions!$H47="Jan / Apr / Jul / Oct",{1,4,7,10},IF(Assumptions!$H47="Feb / May / Aug / Nov",{2,5,8,11},{3,6,9,12})),0)),
                          DATE(YEAR(S$7),MONTH(S$7),Assumptions!$G47)&gt;=S$7,
                          DATE(YEAR(S$7),MONTH(S$7),Assumptions!$G47)&lt;=S$8
                        ),
                        AND(
                          ISNUMBER(MATCH(MONTH(S$8),IF(Assumptions!$H47="Jan / Apr / Jul / Oct",{1,4,7,10},IF(Assumptions!$H47="Feb / May / Aug / Nov",{2,5,8,11},{3,6,9,12})),0)),
                          DATE(YEAR(S$8),MONTH(S$8),Assumptions!$G47)&gt;=S$7,
                          DATE(YEAR(S$8),MONTH(S$8),Assumptions!$G47)&lt;=S$8
                        )
                      ),
                    "Yes","No"),
                  "No")
                )
              )
            )
          )
        )
      )
    )
  )
)</f>
        <v>No</v>
      </c>
      <c r="T35" s="59" t="s">
        <v>124</v>
      </c>
    </row>
    <row r="36" spans="3:20" hidden="1" outlineLevel="1" x14ac:dyDescent="0.25">
      <c r="C36" s="58">
        <f>Assumptions!D48</f>
        <v>0</v>
      </c>
      <c r="D36" s="58"/>
      <c r="E36" s="58"/>
      <c r="F36" s="58"/>
      <c r="G36" s="59" t="str">
        <f>IF(
  Assumptions!$K48="Off",
  "No",
  IF(
    Assumptions!$F48="I will phase manually",
    "No",
    IF(
      Assumptions!$F48="Last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Assumptions!$F48="End of month",
        IF(
          OR(
            AND(EOMONTH(G$7,0)&gt;=G$7, EOMONTH(G$7,0)&lt;=G$8),
            AND(EOMONTH(G$8,0)&gt;=G$7, EOMONTH(G$8,0)&lt;=G$8)
          ),
        "Yes","No"),
        IF(
          Assumptions!$F48="Specific day of month",
          IF(
            OR(
              AND(DATE(YEAR(G$7),MONTH(G$7),Assumptions!$G48)&gt;=G$7, DATE(YEAR(G$7),MONTH(G$7),Assumptions!$G48)&lt;=G$8),
              AND(DATE(YEAR(G$8),MONTH(G$8),Assumptions!$G48)&gt;=G$7, DATE(YEAR(G$8),MONTH(G$8),Assumptions!$G48)&lt;=G$8)
            ),
          "Yes","No"),
          IF(
            Assumptions!$F48="Last X day of month",
            IF(
              AND(
                WEEKDAY(G$7,2)&lt;=MATCH(Assumptions!$J48,{"Monday","Tuesday","Wednesday","Thursday","Friday"},0),
                WEEKDAY(G$8,2)&gt;=MATCH(Assumptions!$J48,{"Monday","Tuesday","Wednesday","Thursday","Friday"},0),
                (G$7+(MATCH(Assumptions!$J48,{"Monday","Tuesday","Wednesday","Thursday","Friday"},0)-WEEKDAY(G$7,2)))+7&gt;EOMONTH((G$7+(MATCH(Assumptions!$J48,{"Monday","Tuesday","Wednesday","Thursday","Friday"},0)-WEEKDAY(G$7,2))),0)
              ),
            "Yes","No"),
            IF(
              Assumptions!$F48="Weekly",
              IF(
                AND(
                  WEEKDAY(G$7,2)&lt;=MATCH(Assumptions!$J48,{"Monday","Tuesday","Wednesday","Thursday","Friday"},0),
                  WEEKDAY(G$8,2)&gt;=MATCH(Assumptions!$J48,{"Monday","Tuesday","Wednesday","Thursday","Friday"},0)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AND(Assumptions!$I48&gt;=G$7, Assumptions!$I48&lt;=G$8),
                    AND(
                      Assumptions!$I48&lt;G$7,
                      MOD(INT((G$7-(Assumptions!$I48-WEEKDAY(Assumptions!$I48,2)+1))/7),2)=0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AND(Assumptions!$I48&gt;=G$7, Assumptions!$I48&lt;=G$8),
                      AND(
                        Assumptions!$I48&lt;G$7,
                        MOD(INT((G$7-(Assumptions!$I48-WEEKDAY(Assumptions!$I48,2)+1))/7),3)=0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ISNUMBER(MATCH(MONTH(G$7),IF(Assumptions!$H48="Jan / Apr / Jul / Oct",{1,4,7,10},IF(Assumptions!$H48="Feb / May / Aug / Nov",{2,5,8,11},{3,6,9,12})),0)),
                          DATE(YEAR(G$7),MONTH(G$7),Assumptions!$G48)&gt;=G$7,
                          DATE(YEAR(G$7),MONTH(G$7),Assumptions!$G48)&lt;=G$8
                        ),
                        AND(
                          ISNUMBER(MATCH(MONTH(G$8),IF(Assumptions!$H48="Jan / Apr / Jul / Oct",{1,4,7,10},IF(Assumptions!$H48="Feb / May / Aug / Nov",{2,5,8,11},{3,6,9,12})),0)),
                          DATE(YEAR(G$8),MONTH(G$8),Assumptions!$G48)&gt;=G$7,
                          DATE(YEAR(G$8),MONTH(G$8),Assumptions!$G48)&lt;=G$8
                        )
                      ),
                    "Yes","No"),
                  "No")
                )
              )
            )
          )
        )
      )
    )
  )
)</f>
        <v>No</v>
      </c>
      <c r="H36" s="59" t="str">
        <f>IF(
  Assumptions!$K48="Off",
  "No",
  IF(
    Assumptions!$F48="I will phase manually",
    "No",
    IF(
      Assumptions!$F48="Last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Assumptions!$F48="End of month",
        IF(
          OR(
            AND(EOMONTH(H$7,0)&gt;=H$7, EOMONTH(H$7,0)&lt;=H$8),
            AND(EOMONTH(H$8,0)&gt;=H$7, EOMONTH(H$8,0)&lt;=H$8)
          ),
        "Yes","No"),
        IF(
          Assumptions!$F48="Specific day of month",
          IF(
            OR(
              AND(DATE(YEAR(H$7),MONTH(H$7),Assumptions!$G48)&gt;=H$7, DATE(YEAR(H$7),MONTH(H$7),Assumptions!$G48)&lt;=H$8),
              AND(DATE(YEAR(H$8),MONTH(H$8),Assumptions!$G48)&gt;=H$7, DATE(YEAR(H$8),MONTH(H$8),Assumptions!$G48)&lt;=H$8)
            ),
          "Yes","No"),
          IF(
            Assumptions!$F48="Last X day of month",
            IF(
              AND(
                WEEKDAY(H$7,2)&lt;=MATCH(Assumptions!$J48,{"Monday","Tuesday","Wednesday","Thursday","Friday"},0),
                WEEKDAY(H$8,2)&gt;=MATCH(Assumptions!$J48,{"Monday","Tuesday","Wednesday","Thursday","Friday"},0),
                (H$7+(MATCH(Assumptions!$J48,{"Monday","Tuesday","Wednesday","Thursday","Friday"},0)-WEEKDAY(H$7,2)))+7&gt;EOMONTH((H$7+(MATCH(Assumptions!$J48,{"Monday","Tuesday","Wednesday","Thursday","Friday"},0)-WEEKDAY(H$7,2))),0)
              ),
            "Yes","No"),
            IF(
              Assumptions!$F48="Weekly",
              IF(
                AND(
                  WEEKDAY(H$7,2)&lt;=MATCH(Assumptions!$J48,{"Monday","Tuesday","Wednesday","Thursday","Friday"},0),
                  WEEKDAY(H$8,2)&gt;=MATCH(Assumptions!$J48,{"Monday","Tuesday","Wednesday","Thursday","Friday"},0)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AND(Assumptions!$I48&gt;=H$7, Assumptions!$I48&lt;=H$8),
                    AND(
                      Assumptions!$I48&lt;H$7,
                      MOD(INT((H$7-(Assumptions!$I48-WEEKDAY(Assumptions!$I48,2)+1))/7),2)=0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AND(Assumptions!$I48&gt;=H$7, Assumptions!$I48&lt;=H$8),
                      AND(
                        Assumptions!$I48&lt;H$7,
                        MOD(INT((H$7-(Assumptions!$I48-WEEKDAY(Assumptions!$I48,2)+1))/7),3)=0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ISNUMBER(MATCH(MONTH(H$7),IF(Assumptions!$H48="Jan / Apr / Jul / Oct",{1,4,7,10},IF(Assumptions!$H48="Feb / May / Aug / Nov",{2,5,8,11},{3,6,9,12})),0)),
                          DATE(YEAR(H$7),MONTH(H$7),Assumptions!$G48)&gt;=H$7,
                          DATE(YEAR(H$7),MONTH(H$7),Assumptions!$G48)&lt;=H$8
                        ),
                        AND(
                          ISNUMBER(MATCH(MONTH(H$8),IF(Assumptions!$H48="Jan / Apr / Jul / Oct",{1,4,7,10},IF(Assumptions!$H48="Feb / May / Aug / Nov",{2,5,8,11},{3,6,9,12})),0)),
                          DATE(YEAR(H$8),MONTH(H$8),Assumptions!$G48)&gt;=H$7,
                          DATE(YEAR(H$8),MONTH(H$8),Assumptions!$G48)&lt;=H$8
                        )
                      ),
                    "Yes","No"),
                  "No")
                )
              )
            )
          )
        )
      )
    )
  )
)</f>
        <v>No</v>
      </c>
      <c r="I36" s="59" t="str">
        <f>IF(
  Assumptions!$K48="Off",
  "No",
  IF(
    Assumptions!$F48="I will phase manually",
    "No",
    IF(
      Assumptions!$F48="Last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Assumptions!$F48="End of month",
        IF(
          OR(
            AND(EOMONTH(I$7,0)&gt;=I$7, EOMONTH(I$7,0)&lt;=I$8),
            AND(EOMONTH(I$8,0)&gt;=I$7, EOMONTH(I$8,0)&lt;=I$8)
          ),
        "Yes","No"),
        IF(
          Assumptions!$F48="Specific day of month",
          IF(
            OR(
              AND(DATE(YEAR(I$7),MONTH(I$7),Assumptions!$G48)&gt;=I$7, DATE(YEAR(I$7),MONTH(I$7),Assumptions!$G48)&lt;=I$8),
              AND(DATE(YEAR(I$8),MONTH(I$8),Assumptions!$G48)&gt;=I$7, DATE(YEAR(I$8),MONTH(I$8),Assumptions!$G48)&lt;=I$8)
            ),
          "Yes","No"),
          IF(
            Assumptions!$F48="Last X day of month",
            IF(
              AND(
                WEEKDAY(I$7,2)&lt;=MATCH(Assumptions!$J48,{"Monday","Tuesday","Wednesday","Thursday","Friday"},0),
                WEEKDAY(I$8,2)&gt;=MATCH(Assumptions!$J48,{"Monday","Tuesday","Wednesday","Thursday","Friday"},0),
                (I$7+(MATCH(Assumptions!$J48,{"Monday","Tuesday","Wednesday","Thursday","Friday"},0)-WEEKDAY(I$7,2)))+7&gt;EOMONTH((I$7+(MATCH(Assumptions!$J48,{"Monday","Tuesday","Wednesday","Thursday","Friday"},0)-WEEKDAY(I$7,2))),0)
              ),
            "Yes","No"),
            IF(
              Assumptions!$F48="Weekly",
              IF(
                AND(
                  WEEKDAY(I$7,2)&lt;=MATCH(Assumptions!$J48,{"Monday","Tuesday","Wednesday","Thursday","Friday"},0),
                  WEEKDAY(I$8,2)&gt;=MATCH(Assumptions!$J48,{"Monday","Tuesday","Wednesday","Thursday","Friday"},0)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AND(Assumptions!$I48&gt;=I$7, Assumptions!$I48&lt;=I$8),
                    AND(
                      Assumptions!$I48&lt;I$7,
                      MOD(INT((I$7-(Assumptions!$I48-WEEKDAY(Assumptions!$I48,2)+1))/7),2)=0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AND(Assumptions!$I48&gt;=I$7, Assumptions!$I48&lt;=I$8),
                      AND(
                        Assumptions!$I48&lt;I$7,
                        MOD(INT((I$7-(Assumptions!$I48-WEEKDAY(Assumptions!$I48,2)+1))/7),3)=0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ISNUMBER(MATCH(MONTH(I$7),IF(Assumptions!$H48="Jan / Apr / Jul / Oct",{1,4,7,10},IF(Assumptions!$H48="Feb / May / Aug / Nov",{2,5,8,11},{3,6,9,12})),0)),
                          DATE(YEAR(I$7),MONTH(I$7),Assumptions!$G48)&gt;=I$7,
                          DATE(YEAR(I$7),MONTH(I$7),Assumptions!$G48)&lt;=I$8
                        ),
                        AND(
                          ISNUMBER(MATCH(MONTH(I$8),IF(Assumptions!$H48="Jan / Apr / Jul / Oct",{1,4,7,10},IF(Assumptions!$H48="Feb / May / Aug / Nov",{2,5,8,11},{3,6,9,12})),0)),
                          DATE(YEAR(I$8),MONTH(I$8),Assumptions!$G48)&gt;=I$7,
                          DATE(YEAR(I$8),MONTH(I$8),Assumptions!$G48)&lt;=I$8
                        )
                      ),
                    "Yes","No"),
                  "No")
                )
              )
            )
          )
        )
      )
    )
  )
)</f>
        <v>No</v>
      </c>
      <c r="J36" s="59" t="str">
        <f>IF(
  Assumptions!$K48="Off",
  "No",
  IF(
    Assumptions!$F48="I will phase manually",
    "No",
    IF(
      Assumptions!$F48="Last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Assumptions!$F48="End of month",
        IF(
          OR(
            AND(EOMONTH(J$7,0)&gt;=J$7, EOMONTH(J$7,0)&lt;=J$8),
            AND(EOMONTH(J$8,0)&gt;=J$7, EOMONTH(J$8,0)&lt;=J$8)
          ),
        "Yes","No"),
        IF(
          Assumptions!$F48="Specific day of month",
          IF(
            OR(
              AND(DATE(YEAR(J$7),MONTH(J$7),Assumptions!$G48)&gt;=J$7, DATE(YEAR(J$7),MONTH(J$7),Assumptions!$G48)&lt;=J$8),
              AND(DATE(YEAR(J$8),MONTH(J$8),Assumptions!$G48)&gt;=J$7, DATE(YEAR(J$8),MONTH(J$8),Assumptions!$G48)&lt;=J$8)
            ),
          "Yes","No"),
          IF(
            Assumptions!$F48="Last X day of month",
            IF(
              AND(
                WEEKDAY(J$7,2)&lt;=MATCH(Assumptions!$J48,{"Monday","Tuesday","Wednesday","Thursday","Friday"},0),
                WEEKDAY(J$8,2)&gt;=MATCH(Assumptions!$J48,{"Monday","Tuesday","Wednesday","Thursday","Friday"},0),
                (J$7+(MATCH(Assumptions!$J48,{"Monday","Tuesday","Wednesday","Thursday","Friday"},0)-WEEKDAY(J$7,2)))+7&gt;EOMONTH((J$7+(MATCH(Assumptions!$J48,{"Monday","Tuesday","Wednesday","Thursday","Friday"},0)-WEEKDAY(J$7,2))),0)
              ),
            "Yes","No"),
            IF(
              Assumptions!$F48="Weekly",
              IF(
                AND(
                  WEEKDAY(J$7,2)&lt;=MATCH(Assumptions!$J48,{"Monday","Tuesday","Wednesday","Thursday","Friday"},0),
                  WEEKDAY(J$8,2)&gt;=MATCH(Assumptions!$J48,{"Monday","Tuesday","Wednesday","Thursday","Friday"},0)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AND(Assumptions!$I48&gt;=J$7, Assumptions!$I48&lt;=J$8),
                    AND(
                      Assumptions!$I48&lt;J$7,
                      MOD(INT((J$7-(Assumptions!$I48-WEEKDAY(Assumptions!$I48,2)+1))/7),2)=0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AND(Assumptions!$I48&gt;=J$7, Assumptions!$I48&lt;=J$8),
                      AND(
                        Assumptions!$I48&lt;J$7,
                        MOD(INT((J$7-(Assumptions!$I48-WEEKDAY(Assumptions!$I48,2)+1))/7),3)=0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ISNUMBER(MATCH(MONTH(J$7),IF(Assumptions!$H48="Jan / Apr / Jul / Oct",{1,4,7,10},IF(Assumptions!$H48="Feb / May / Aug / Nov",{2,5,8,11},{3,6,9,12})),0)),
                          DATE(YEAR(J$7),MONTH(J$7),Assumptions!$G48)&gt;=J$7,
                          DATE(YEAR(J$7),MONTH(J$7),Assumptions!$G48)&lt;=J$8
                        ),
                        AND(
                          ISNUMBER(MATCH(MONTH(J$8),IF(Assumptions!$H48="Jan / Apr / Jul / Oct",{1,4,7,10},IF(Assumptions!$H48="Feb / May / Aug / Nov",{2,5,8,11},{3,6,9,12})),0)),
                          DATE(YEAR(J$8),MONTH(J$8),Assumptions!$G48)&gt;=J$7,
                          DATE(YEAR(J$8),MONTH(J$8),Assumptions!$G48)&lt;=J$8
                        )
                      ),
                    "Yes","No"),
                  "No")
                )
              )
            )
          )
        )
      )
    )
  )
)</f>
        <v>No</v>
      </c>
      <c r="K36" s="59" t="str">
        <f>IF(
  Assumptions!$K48="Off",
  "No",
  IF(
    Assumptions!$F48="I will phase manually",
    "No",
    IF(
      Assumptions!$F48="Last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Assumptions!$F48="End of month",
        IF(
          OR(
            AND(EOMONTH(K$7,0)&gt;=K$7, EOMONTH(K$7,0)&lt;=K$8),
            AND(EOMONTH(K$8,0)&gt;=K$7, EOMONTH(K$8,0)&lt;=K$8)
          ),
        "Yes","No"),
        IF(
          Assumptions!$F48="Specific day of month",
          IF(
            OR(
              AND(DATE(YEAR(K$7),MONTH(K$7),Assumptions!$G48)&gt;=K$7, DATE(YEAR(K$7),MONTH(K$7),Assumptions!$G48)&lt;=K$8),
              AND(DATE(YEAR(K$8),MONTH(K$8),Assumptions!$G48)&gt;=K$7, DATE(YEAR(K$8),MONTH(K$8),Assumptions!$G48)&lt;=K$8)
            ),
          "Yes","No"),
          IF(
            Assumptions!$F48="Last X day of month",
            IF(
              AND(
                WEEKDAY(K$7,2)&lt;=MATCH(Assumptions!$J48,{"Monday","Tuesday","Wednesday","Thursday","Friday"},0),
                WEEKDAY(K$8,2)&gt;=MATCH(Assumptions!$J48,{"Monday","Tuesday","Wednesday","Thursday","Friday"},0),
                (K$7+(MATCH(Assumptions!$J48,{"Monday","Tuesday","Wednesday","Thursday","Friday"},0)-WEEKDAY(K$7,2)))+7&gt;EOMONTH((K$7+(MATCH(Assumptions!$J48,{"Monday","Tuesday","Wednesday","Thursday","Friday"},0)-WEEKDAY(K$7,2))),0)
              ),
            "Yes","No"),
            IF(
              Assumptions!$F48="Weekly",
              IF(
                AND(
                  WEEKDAY(K$7,2)&lt;=MATCH(Assumptions!$J48,{"Monday","Tuesday","Wednesday","Thursday","Friday"},0),
                  WEEKDAY(K$8,2)&gt;=MATCH(Assumptions!$J48,{"Monday","Tuesday","Wednesday","Thursday","Friday"},0)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AND(Assumptions!$I48&gt;=K$7, Assumptions!$I48&lt;=K$8),
                    AND(
                      Assumptions!$I48&lt;K$7,
                      MOD(INT((K$7-(Assumptions!$I48-WEEKDAY(Assumptions!$I48,2)+1))/7),2)=0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AND(Assumptions!$I48&gt;=K$7, Assumptions!$I48&lt;=K$8),
                      AND(
                        Assumptions!$I48&lt;K$7,
                        MOD(INT((K$7-(Assumptions!$I48-WEEKDAY(Assumptions!$I48,2)+1))/7),3)=0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ISNUMBER(MATCH(MONTH(K$7),IF(Assumptions!$H48="Jan / Apr / Jul / Oct",{1,4,7,10},IF(Assumptions!$H48="Feb / May / Aug / Nov",{2,5,8,11},{3,6,9,12})),0)),
                          DATE(YEAR(K$7),MONTH(K$7),Assumptions!$G48)&gt;=K$7,
                          DATE(YEAR(K$7),MONTH(K$7),Assumptions!$G48)&lt;=K$8
                        ),
                        AND(
                          ISNUMBER(MATCH(MONTH(K$8),IF(Assumptions!$H48="Jan / Apr / Jul / Oct",{1,4,7,10},IF(Assumptions!$H48="Feb / May / Aug / Nov",{2,5,8,11},{3,6,9,12})),0)),
                          DATE(YEAR(K$8),MONTH(K$8),Assumptions!$G48)&gt;=K$7,
                          DATE(YEAR(K$8),MONTH(K$8),Assumptions!$G48)&lt;=K$8
                        )
                      ),
                    "Yes","No"),
                  "No")
                )
              )
            )
          )
        )
      )
    )
  )
)</f>
        <v>No</v>
      </c>
      <c r="L36" s="59" t="str">
        <f>IF(
  Assumptions!$K48="Off",
  "No",
  IF(
    Assumptions!$F48="I will phase manually",
    "No",
    IF(
      Assumptions!$F48="Last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Assumptions!$F48="End of month",
        IF(
          OR(
            AND(EOMONTH(L$7,0)&gt;=L$7, EOMONTH(L$7,0)&lt;=L$8),
            AND(EOMONTH(L$8,0)&gt;=L$7, EOMONTH(L$8,0)&lt;=L$8)
          ),
        "Yes","No"),
        IF(
          Assumptions!$F48="Specific day of month",
          IF(
            OR(
              AND(DATE(YEAR(L$7),MONTH(L$7),Assumptions!$G48)&gt;=L$7, DATE(YEAR(L$7),MONTH(L$7),Assumptions!$G48)&lt;=L$8),
              AND(DATE(YEAR(L$8),MONTH(L$8),Assumptions!$G48)&gt;=L$7, DATE(YEAR(L$8),MONTH(L$8),Assumptions!$G48)&lt;=L$8)
            ),
          "Yes","No"),
          IF(
            Assumptions!$F48="Last X day of month",
            IF(
              AND(
                WEEKDAY(L$7,2)&lt;=MATCH(Assumptions!$J48,{"Monday","Tuesday","Wednesday","Thursday","Friday"},0),
                WEEKDAY(L$8,2)&gt;=MATCH(Assumptions!$J48,{"Monday","Tuesday","Wednesday","Thursday","Friday"},0),
                (L$7+(MATCH(Assumptions!$J48,{"Monday","Tuesday","Wednesday","Thursday","Friday"},0)-WEEKDAY(L$7,2)))+7&gt;EOMONTH((L$7+(MATCH(Assumptions!$J48,{"Monday","Tuesday","Wednesday","Thursday","Friday"},0)-WEEKDAY(L$7,2))),0)
              ),
            "Yes","No"),
            IF(
              Assumptions!$F48="Weekly",
              IF(
                AND(
                  WEEKDAY(L$7,2)&lt;=MATCH(Assumptions!$J48,{"Monday","Tuesday","Wednesday","Thursday","Friday"},0),
                  WEEKDAY(L$8,2)&gt;=MATCH(Assumptions!$J48,{"Monday","Tuesday","Wednesday","Thursday","Friday"},0)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AND(Assumptions!$I48&gt;=L$7, Assumptions!$I48&lt;=L$8),
                    AND(
                      Assumptions!$I48&lt;L$7,
                      MOD(INT((L$7-(Assumptions!$I48-WEEKDAY(Assumptions!$I48,2)+1))/7),2)=0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AND(Assumptions!$I48&gt;=L$7, Assumptions!$I48&lt;=L$8),
                      AND(
                        Assumptions!$I48&lt;L$7,
                        MOD(INT((L$7-(Assumptions!$I48-WEEKDAY(Assumptions!$I48,2)+1))/7),3)=0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ISNUMBER(MATCH(MONTH(L$7),IF(Assumptions!$H48="Jan / Apr / Jul / Oct",{1,4,7,10},IF(Assumptions!$H48="Feb / May / Aug / Nov",{2,5,8,11},{3,6,9,12})),0)),
                          DATE(YEAR(L$7),MONTH(L$7),Assumptions!$G48)&gt;=L$7,
                          DATE(YEAR(L$7),MONTH(L$7),Assumptions!$G48)&lt;=L$8
                        ),
                        AND(
                          ISNUMBER(MATCH(MONTH(L$8),IF(Assumptions!$H48="Jan / Apr / Jul / Oct",{1,4,7,10},IF(Assumptions!$H48="Feb / May / Aug / Nov",{2,5,8,11},{3,6,9,12})),0)),
                          DATE(YEAR(L$8),MONTH(L$8),Assumptions!$G48)&gt;=L$7,
                          DATE(YEAR(L$8),MONTH(L$8),Assumptions!$G48)&lt;=L$8
                        )
                      ),
                    "Yes","No"),
                  "No")
                )
              )
            )
          )
        )
      )
    )
  )
)</f>
        <v>No</v>
      </c>
      <c r="M36" s="59" t="str">
        <f>IF(
  Assumptions!$K48="Off",
  "No",
  IF(
    Assumptions!$F48="I will phase manually",
    "No",
    IF(
      Assumptions!$F48="Last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Assumptions!$F48="End of month",
        IF(
          OR(
            AND(EOMONTH(M$7,0)&gt;=M$7, EOMONTH(M$7,0)&lt;=M$8),
            AND(EOMONTH(M$8,0)&gt;=M$7, EOMONTH(M$8,0)&lt;=M$8)
          ),
        "Yes","No"),
        IF(
          Assumptions!$F48="Specific day of month",
          IF(
            OR(
              AND(DATE(YEAR(M$7),MONTH(M$7),Assumptions!$G48)&gt;=M$7, DATE(YEAR(M$7),MONTH(M$7),Assumptions!$G48)&lt;=M$8),
              AND(DATE(YEAR(M$8),MONTH(M$8),Assumptions!$G48)&gt;=M$7, DATE(YEAR(M$8),MONTH(M$8),Assumptions!$G48)&lt;=M$8)
            ),
          "Yes","No"),
          IF(
            Assumptions!$F48="Last X day of month",
            IF(
              AND(
                WEEKDAY(M$7,2)&lt;=MATCH(Assumptions!$J48,{"Monday","Tuesday","Wednesday","Thursday","Friday"},0),
                WEEKDAY(M$8,2)&gt;=MATCH(Assumptions!$J48,{"Monday","Tuesday","Wednesday","Thursday","Friday"},0),
                (M$7+(MATCH(Assumptions!$J48,{"Monday","Tuesday","Wednesday","Thursday","Friday"},0)-WEEKDAY(M$7,2)))+7&gt;EOMONTH((M$7+(MATCH(Assumptions!$J48,{"Monday","Tuesday","Wednesday","Thursday","Friday"},0)-WEEKDAY(M$7,2))),0)
              ),
            "Yes","No"),
            IF(
              Assumptions!$F48="Weekly",
              IF(
                AND(
                  WEEKDAY(M$7,2)&lt;=MATCH(Assumptions!$J48,{"Monday","Tuesday","Wednesday","Thursday","Friday"},0),
                  WEEKDAY(M$8,2)&gt;=MATCH(Assumptions!$J48,{"Monday","Tuesday","Wednesday","Thursday","Friday"},0)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AND(Assumptions!$I48&gt;=M$7, Assumptions!$I48&lt;=M$8),
                    AND(
                      Assumptions!$I48&lt;M$7,
                      MOD(INT((M$7-(Assumptions!$I48-WEEKDAY(Assumptions!$I48,2)+1))/7),2)=0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AND(Assumptions!$I48&gt;=M$7, Assumptions!$I48&lt;=M$8),
                      AND(
                        Assumptions!$I48&lt;M$7,
                        MOD(INT((M$7-(Assumptions!$I48-WEEKDAY(Assumptions!$I48,2)+1))/7),3)=0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ISNUMBER(MATCH(MONTH(M$7),IF(Assumptions!$H48="Jan / Apr / Jul / Oct",{1,4,7,10},IF(Assumptions!$H48="Feb / May / Aug / Nov",{2,5,8,11},{3,6,9,12})),0)),
                          DATE(YEAR(M$7),MONTH(M$7),Assumptions!$G48)&gt;=M$7,
                          DATE(YEAR(M$7),MONTH(M$7),Assumptions!$G48)&lt;=M$8
                        ),
                        AND(
                          ISNUMBER(MATCH(MONTH(M$8),IF(Assumptions!$H48="Jan / Apr / Jul / Oct",{1,4,7,10},IF(Assumptions!$H48="Feb / May / Aug / Nov",{2,5,8,11},{3,6,9,12})),0)),
                          DATE(YEAR(M$8),MONTH(M$8),Assumptions!$G48)&gt;=M$7,
                          DATE(YEAR(M$8),MONTH(M$8),Assumptions!$G48)&lt;=M$8
                        )
                      ),
                    "Yes","No"),
                  "No")
                )
              )
            )
          )
        )
      )
    )
  )
)</f>
        <v>No</v>
      </c>
      <c r="N36" s="59" t="str">
        <f>IF(
  Assumptions!$K48="Off",
  "No",
  IF(
    Assumptions!$F48="I will phase manually",
    "No",
    IF(
      Assumptions!$F48="Last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Assumptions!$F48="End of month",
        IF(
          OR(
            AND(EOMONTH(N$7,0)&gt;=N$7, EOMONTH(N$7,0)&lt;=N$8),
            AND(EOMONTH(N$8,0)&gt;=N$7, EOMONTH(N$8,0)&lt;=N$8)
          ),
        "Yes","No"),
        IF(
          Assumptions!$F48="Specific day of month",
          IF(
            OR(
              AND(DATE(YEAR(N$7),MONTH(N$7),Assumptions!$G48)&gt;=N$7, DATE(YEAR(N$7),MONTH(N$7),Assumptions!$G48)&lt;=N$8),
              AND(DATE(YEAR(N$8),MONTH(N$8),Assumptions!$G48)&gt;=N$7, DATE(YEAR(N$8),MONTH(N$8),Assumptions!$G48)&lt;=N$8)
            ),
          "Yes","No"),
          IF(
            Assumptions!$F48="Last X day of month",
            IF(
              AND(
                WEEKDAY(N$7,2)&lt;=MATCH(Assumptions!$J48,{"Monday","Tuesday","Wednesday","Thursday","Friday"},0),
                WEEKDAY(N$8,2)&gt;=MATCH(Assumptions!$J48,{"Monday","Tuesday","Wednesday","Thursday","Friday"},0),
                (N$7+(MATCH(Assumptions!$J48,{"Monday","Tuesday","Wednesday","Thursday","Friday"},0)-WEEKDAY(N$7,2)))+7&gt;EOMONTH((N$7+(MATCH(Assumptions!$J48,{"Monday","Tuesday","Wednesday","Thursday","Friday"},0)-WEEKDAY(N$7,2))),0)
              ),
            "Yes","No"),
            IF(
              Assumptions!$F48="Weekly",
              IF(
                AND(
                  WEEKDAY(N$7,2)&lt;=MATCH(Assumptions!$J48,{"Monday","Tuesday","Wednesday","Thursday","Friday"},0),
                  WEEKDAY(N$8,2)&gt;=MATCH(Assumptions!$J48,{"Monday","Tuesday","Wednesday","Thursday","Friday"},0)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AND(Assumptions!$I48&gt;=N$7, Assumptions!$I48&lt;=N$8),
                    AND(
                      Assumptions!$I48&lt;N$7,
                      MOD(INT((N$7-(Assumptions!$I48-WEEKDAY(Assumptions!$I48,2)+1))/7),2)=0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AND(Assumptions!$I48&gt;=N$7, Assumptions!$I48&lt;=N$8),
                      AND(
                        Assumptions!$I48&lt;N$7,
                        MOD(INT((N$7-(Assumptions!$I48-WEEKDAY(Assumptions!$I48,2)+1))/7),3)=0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ISNUMBER(MATCH(MONTH(N$7),IF(Assumptions!$H48="Jan / Apr / Jul / Oct",{1,4,7,10},IF(Assumptions!$H48="Feb / May / Aug / Nov",{2,5,8,11},{3,6,9,12})),0)),
                          DATE(YEAR(N$7),MONTH(N$7),Assumptions!$G48)&gt;=N$7,
                          DATE(YEAR(N$7),MONTH(N$7),Assumptions!$G48)&lt;=N$8
                        ),
                        AND(
                          ISNUMBER(MATCH(MONTH(N$8),IF(Assumptions!$H48="Jan / Apr / Jul / Oct",{1,4,7,10},IF(Assumptions!$H48="Feb / May / Aug / Nov",{2,5,8,11},{3,6,9,12})),0)),
                          DATE(YEAR(N$8),MONTH(N$8),Assumptions!$G48)&gt;=N$7,
                          DATE(YEAR(N$8),MONTH(N$8),Assumptions!$G48)&lt;=N$8
                        )
                      ),
                    "Yes","No"),
                  "No")
                )
              )
            )
          )
        )
      )
    )
  )
)</f>
        <v>No</v>
      </c>
      <c r="O36" s="59" t="str">
        <f>IF(
  Assumptions!$K48="Off",
  "No",
  IF(
    Assumptions!$F48="I will phase manually",
    "No",
    IF(
      Assumptions!$F48="Last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Assumptions!$F48="End of month",
        IF(
          OR(
            AND(EOMONTH(O$7,0)&gt;=O$7, EOMONTH(O$7,0)&lt;=O$8),
            AND(EOMONTH(O$8,0)&gt;=O$7, EOMONTH(O$8,0)&lt;=O$8)
          ),
        "Yes","No"),
        IF(
          Assumptions!$F48="Specific day of month",
          IF(
            OR(
              AND(DATE(YEAR(O$7),MONTH(O$7),Assumptions!$G48)&gt;=O$7, DATE(YEAR(O$7),MONTH(O$7),Assumptions!$G48)&lt;=O$8),
              AND(DATE(YEAR(O$8),MONTH(O$8),Assumptions!$G48)&gt;=O$7, DATE(YEAR(O$8),MONTH(O$8),Assumptions!$G48)&lt;=O$8)
            ),
          "Yes","No"),
          IF(
            Assumptions!$F48="Last X day of month",
            IF(
              AND(
                WEEKDAY(O$7,2)&lt;=MATCH(Assumptions!$J48,{"Monday","Tuesday","Wednesday","Thursday","Friday"},0),
                WEEKDAY(O$8,2)&gt;=MATCH(Assumptions!$J48,{"Monday","Tuesday","Wednesday","Thursday","Friday"},0),
                (O$7+(MATCH(Assumptions!$J48,{"Monday","Tuesday","Wednesday","Thursday","Friday"},0)-WEEKDAY(O$7,2)))+7&gt;EOMONTH((O$7+(MATCH(Assumptions!$J48,{"Monday","Tuesday","Wednesday","Thursday","Friday"},0)-WEEKDAY(O$7,2))),0)
              ),
            "Yes","No"),
            IF(
              Assumptions!$F48="Weekly",
              IF(
                AND(
                  WEEKDAY(O$7,2)&lt;=MATCH(Assumptions!$J48,{"Monday","Tuesday","Wednesday","Thursday","Friday"},0),
                  WEEKDAY(O$8,2)&gt;=MATCH(Assumptions!$J48,{"Monday","Tuesday","Wednesday","Thursday","Friday"},0)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AND(Assumptions!$I48&gt;=O$7, Assumptions!$I48&lt;=O$8),
                    AND(
                      Assumptions!$I48&lt;O$7,
                      MOD(INT((O$7-(Assumptions!$I48-WEEKDAY(Assumptions!$I48,2)+1))/7),2)=0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AND(Assumptions!$I48&gt;=O$7, Assumptions!$I48&lt;=O$8),
                      AND(
                        Assumptions!$I48&lt;O$7,
                        MOD(INT((O$7-(Assumptions!$I48-WEEKDAY(Assumptions!$I48,2)+1))/7),3)=0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ISNUMBER(MATCH(MONTH(O$7),IF(Assumptions!$H48="Jan / Apr / Jul / Oct",{1,4,7,10},IF(Assumptions!$H48="Feb / May / Aug / Nov",{2,5,8,11},{3,6,9,12})),0)),
                          DATE(YEAR(O$7),MONTH(O$7),Assumptions!$G48)&gt;=O$7,
                          DATE(YEAR(O$7),MONTH(O$7),Assumptions!$G48)&lt;=O$8
                        ),
                        AND(
                          ISNUMBER(MATCH(MONTH(O$8),IF(Assumptions!$H48="Jan / Apr / Jul / Oct",{1,4,7,10},IF(Assumptions!$H48="Feb / May / Aug / Nov",{2,5,8,11},{3,6,9,12})),0)),
                          DATE(YEAR(O$8),MONTH(O$8),Assumptions!$G48)&gt;=O$7,
                          DATE(YEAR(O$8),MONTH(O$8),Assumptions!$G48)&lt;=O$8
                        )
                      ),
                    "Yes","No"),
                  "No")
                )
              )
            )
          )
        )
      )
    )
  )
)</f>
        <v>No</v>
      </c>
      <c r="P36" s="59" t="str">
        <f>IF(
  Assumptions!$K48="Off",
  "No",
  IF(
    Assumptions!$F48="I will phase manually",
    "No",
    IF(
      Assumptions!$F48="Last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Assumptions!$F48="End of month",
        IF(
          OR(
            AND(EOMONTH(P$7,0)&gt;=P$7, EOMONTH(P$7,0)&lt;=P$8),
            AND(EOMONTH(P$8,0)&gt;=P$7, EOMONTH(P$8,0)&lt;=P$8)
          ),
        "Yes","No"),
        IF(
          Assumptions!$F48="Specific day of month",
          IF(
            OR(
              AND(DATE(YEAR(P$7),MONTH(P$7),Assumptions!$G48)&gt;=P$7, DATE(YEAR(P$7),MONTH(P$7),Assumptions!$G48)&lt;=P$8),
              AND(DATE(YEAR(P$8),MONTH(P$8),Assumptions!$G48)&gt;=P$7, DATE(YEAR(P$8),MONTH(P$8),Assumptions!$G48)&lt;=P$8)
            ),
          "Yes","No"),
          IF(
            Assumptions!$F48="Last X day of month",
            IF(
              AND(
                WEEKDAY(P$7,2)&lt;=MATCH(Assumptions!$J48,{"Monday","Tuesday","Wednesday","Thursday","Friday"},0),
                WEEKDAY(P$8,2)&gt;=MATCH(Assumptions!$J48,{"Monday","Tuesday","Wednesday","Thursday","Friday"},0),
                (P$7+(MATCH(Assumptions!$J48,{"Monday","Tuesday","Wednesday","Thursday","Friday"},0)-WEEKDAY(P$7,2)))+7&gt;EOMONTH((P$7+(MATCH(Assumptions!$J48,{"Monday","Tuesday","Wednesday","Thursday","Friday"},0)-WEEKDAY(P$7,2))),0)
              ),
            "Yes","No"),
            IF(
              Assumptions!$F48="Weekly",
              IF(
                AND(
                  WEEKDAY(P$7,2)&lt;=MATCH(Assumptions!$J48,{"Monday","Tuesday","Wednesday","Thursday","Friday"},0),
                  WEEKDAY(P$8,2)&gt;=MATCH(Assumptions!$J48,{"Monday","Tuesday","Wednesday","Thursday","Friday"},0)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AND(Assumptions!$I48&gt;=P$7, Assumptions!$I48&lt;=P$8),
                    AND(
                      Assumptions!$I48&lt;P$7,
                      MOD(INT((P$7-(Assumptions!$I48-WEEKDAY(Assumptions!$I48,2)+1))/7),2)=0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AND(Assumptions!$I48&gt;=P$7, Assumptions!$I48&lt;=P$8),
                      AND(
                        Assumptions!$I48&lt;P$7,
                        MOD(INT((P$7-(Assumptions!$I48-WEEKDAY(Assumptions!$I48,2)+1))/7),3)=0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ISNUMBER(MATCH(MONTH(P$7),IF(Assumptions!$H48="Jan / Apr / Jul / Oct",{1,4,7,10},IF(Assumptions!$H48="Feb / May / Aug / Nov",{2,5,8,11},{3,6,9,12})),0)),
                          DATE(YEAR(P$7),MONTH(P$7),Assumptions!$G48)&gt;=P$7,
                          DATE(YEAR(P$7),MONTH(P$7),Assumptions!$G48)&lt;=P$8
                        ),
                        AND(
                          ISNUMBER(MATCH(MONTH(P$8),IF(Assumptions!$H48="Jan / Apr / Jul / Oct",{1,4,7,10},IF(Assumptions!$H48="Feb / May / Aug / Nov",{2,5,8,11},{3,6,9,12})),0)),
                          DATE(YEAR(P$8),MONTH(P$8),Assumptions!$G48)&gt;=P$7,
                          DATE(YEAR(P$8),MONTH(P$8),Assumptions!$G48)&lt;=P$8
                        )
                      ),
                    "Yes","No"),
                  "No")
                )
              )
            )
          )
        )
      )
    )
  )
)</f>
        <v>No</v>
      </c>
      <c r="Q36" s="59" t="str">
        <f>IF(
  Assumptions!$K48="Off",
  "No",
  IF(
    Assumptions!$F48="I will phase manually",
    "No",
    IF(
      Assumptions!$F48="Last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Assumptions!$F48="End of month",
        IF(
          OR(
            AND(EOMONTH(Q$7,0)&gt;=Q$7, EOMONTH(Q$7,0)&lt;=Q$8),
            AND(EOMONTH(Q$8,0)&gt;=Q$7, EOMONTH(Q$8,0)&lt;=Q$8)
          ),
        "Yes","No"),
        IF(
          Assumptions!$F48="Specific day of month",
          IF(
            OR(
              AND(DATE(YEAR(Q$7),MONTH(Q$7),Assumptions!$G48)&gt;=Q$7, DATE(YEAR(Q$7),MONTH(Q$7),Assumptions!$G48)&lt;=Q$8),
              AND(DATE(YEAR(Q$8),MONTH(Q$8),Assumptions!$G48)&gt;=Q$7, DATE(YEAR(Q$8),MONTH(Q$8),Assumptions!$G48)&lt;=Q$8)
            ),
          "Yes","No"),
          IF(
            Assumptions!$F48="Last X day of month",
            IF(
              AND(
                WEEKDAY(Q$7,2)&lt;=MATCH(Assumptions!$J48,{"Monday","Tuesday","Wednesday","Thursday","Friday"},0),
                WEEKDAY(Q$8,2)&gt;=MATCH(Assumptions!$J48,{"Monday","Tuesday","Wednesday","Thursday","Friday"},0),
                (Q$7+(MATCH(Assumptions!$J48,{"Monday","Tuesday","Wednesday","Thursday","Friday"},0)-WEEKDAY(Q$7,2)))+7&gt;EOMONTH((Q$7+(MATCH(Assumptions!$J48,{"Monday","Tuesday","Wednesday","Thursday","Friday"},0)-WEEKDAY(Q$7,2))),0)
              ),
            "Yes","No"),
            IF(
              Assumptions!$F48="Weekly",
              IF(
                AND(
                  WEEKDAY(Q$7,2)&lt;=MATCH(Assumptions!$J48,{"Monday","Tuesday","Wednesday","Thursday","Friday"},0),
                  WEEKDAY(Q$8,2)&gt;=MATCH(Assumptions!$J48,{"Monday","Tuesday","Wednesday","Thursday","Friday"},0)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AND(Assumptions!$I48&gt;=Q$7, Assumptions!$I48&lt;=Q$8),
                    AND(
                      Assumptions!$I48&lt;Q$7,
                      MOD(INT((Q$7-(Assumptions!$I48-WEEKDAY(Assumptions!$I48,2)+1))/7),2)=0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AND(Assumptions!$I48&gt;=Q$7, Assumptions!$I48&lt;=Q$8),
                      AND(
                        Assumptions!$I48&lt;Q$7,
                        MOD(INT((Q$7-(Assumptions!$I48-WEEKDAY(Assumptions!$I48,2)+1))/7),3)=0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ISNUMBER(MATCH(MONTH(Q$7),IF(Assumptions!$H48="Jan / Apr / Jul / Oct",{1,4,7,10},IF(Assumptions!$H48="Feb / May / Aug / Nov",{2,5,8,11},{3,6,9,12})),0)),
                          DATE(YEAR(Q$7),MONTH(Q$7),Assumptions!$G48)&gt;=Q$7,
                          DATE(YEAR(Q$7),MONTH(Q$7),Assumptions!$G48)&lt;=Q$8
                        ),
                        AND(
                          ISNUMBER(MATCH(MONTH(Q$8),IF(Assumptions!$H48="Jan / Apr / Jul / Oct",{1,4,7,10},IF(Assumptions!$H48="Feb / May / Aug / Nov",{2,5,8,11},{3,6,9,12})),0)),
                          DATE(YEAR(Q$8),MONTH(Q$8),Assumptions!$G48)&gt;=Q$7,
                          DATE(YEAR(Q$8),MONTH(Q$8),Assumptions!$G48)&lt;=Q$8
                        )
                      ),
                    "Yes","No"),
                  "No")
                )
              )
            )
          )
        )
      )
    )
  )
)</f>
        <v>No</v>
      </c>
      <c r="R36" s="59" t="str">
        <f>IF(
  Assumptions!$K48="Off",
  "No",
  IF(
    Assumptions!$F48="I will phase manually",
    "No",
    IF(
      Assumptions!$F48="Last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Assumptions!$F48="End of month",
        IF(
          OR(
            AND(EOMONTH(R$7,0)&gt;=R$7, EOMONTH(R$7,0)&lt;=R$8),
            AND(EOMONTH(R$8,0)&gt;=R$7, EOMONTH(R$8,0)&lt;=R$8)
          ),
        "Yes","No"),
        IF(
          Assumptions!$F48="Specific day of month",
          IF(
            OR(
              AND(DATE(YEAR(R$7),MONTH(R$7),Assumptions!$G48)&gt;=R$7, DATE(YEAR(R$7),MONTH(R$7),Assumptions!$G48)&lt;=R$8),
              AND(DATE(YEAR(R$8),MONTH(R$8),Assumptions!$G48)&gt;=R$7, DATE(YEAR(R$8),MONTH(R$8),Assumptions!$G48)&lt;=R$8)
            ),
          "Yes","No"),
          IF(
            Assumptions!$F48="Last X day of month",
            IF(
              AND(
                WEEKDAY(R$7,2)&lt;=MATCH(Assumptions!$J48,{"Monday","Tuesday","Wednesday","Thursday","Friday"},0),
                WEEKDAY(R$8,2)&gt;=MATCH(Assumptions!$J48,{"Monday","Tuesday","Wednesday","Thursday","Friday"},0),
                (R$7+(MATCH(Assumptions!$J48,{"Monday","Tuesday","Wednesday","Thursday","Friday"},0)-WEEKDAY(R$7,2)))+7&gt;EOMONTH((R$7+(MATCH(Assumptions!$J48,{"Monday","Tuesday","Wednesday","Thursday","Friday"},0)-WEEKDAY(R$7,2))),0)
              ),
            "Yes","No"),
            IF(
              Assumptions!$F48="Weekly",
              IF(
                AND(
                  WEEKDAY(R$7,2)&lt;=MATCH(Assumptions!$J48,{"Monday","Tuesday","Wednesday","Thursday","Friday"},0),
                  WEEKDAY(R$8,2)&gt;=MATCH(Assumptions!$J48,{"Monday","Tuesday","Wednesday","Thursday","Friday"},0)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AND(Assumptions!$I48&gt;=R$7, Assumptions!$I48&lt;=R$8),
                    AND(
                      Assumptions!$I48&lt;R$7,
                      MOD(INT((R$7-(Assumptions!$I48-WEEKDAY(Assumptions!$I48,2)+1))/7),2)=0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AND(Assumptions!$I48&gt;=R$7, Assumptions!$I48&lt;=R$8),
                      AND(
                        Assumptions!$I48&lt;R$7,
                        MOD(INT((R$7-(Assumptions!$I48-WEEKDAY(Assumptions!$I48,2)+1))/7),3)=0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ISNUMBER(MATCH(MONTH(R$7),IF(Assumptions!$H48="Jan / Apr / Jul / Oct",{1,4,7,10},IF(Assumptions!$H48="Feb / May / Aug / Nov",{2,5,8,11},{3,6,9,12})),0)),
                          DATE(YEAR(R$7),MONTH(R$7),Assumptions!$G48)&gt;=R$7,
                          DATE(YEAR(R$7),MONTH(R$7),Assumptions!$G48)&lt;=R$8
                        ),
                        AND(
                          ISNUMBER(MATCH(MONTH(R$8),IF(Assumptions!$H48="Jan / Apr / Jul / Oct",{1,4,7,10},IF(Assumptions!$H48="Feb / May / Aug / Nov",{2,5,8,11},{3,6,9,12})),0)),
                          DATE(YEAR(R$8),MONTH(R$8),Assumptions!$G48)&gt;=R$7,
                          DATE(YEAR(R$8),MONTH(R$8),Assumptions!$G48)&lt;=R$8
                        )
                      ),
                    "Yes","No"),
                  "No")
                )
              )
            )
          )
        )
      )
    )
  )
)</f>
        <v>No</v>
      </c>
      <c r="S36" s="59" t="str">
        <f>IF(
  Assumptions!$K48="Off",
  "No",
  IF(
    Assumptions!$F48="I will phase manually",
    "No",
    IF(
      Assumptions!$F48="Last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Assumptions!$F48="End of month",
        IF(
          OR(
            AND(EOMONTH(S$7,0)&gt;=S$7, EOMONTH(S$7,0)&lt;=S$8),
            AND(EOMONTH(S$8,0)&gt;=S$7, EOMONTH(S$8,0)&lt;=S$8)
          ),
        "Yes","No"),
        IF(
          Assumptions!$F48="Specific day of month",
          IF(
            OR(
              AND(DATE(YEAR(S$7),MONTH(S$7),Assumptions!$G48)&gt;=S$7, DATE(YEAR(S$7),MONTH(S$7),Assumptions!$G48)&lt;=S$8),
              AND(DATE(YEAR(S$8),MONTH(S$8),Assumptions!$G48)&gt;=S$7, DATE(YEAR(S$8),MONTH(S$8),Assumptions!$G48)&lt;=S$8)
            ),
          "Yes","No"),
          IF(
            Assumptions!$F48="Last X day of month",
            IF(
              AND(
                WEEKDAY(S$7,2)&lt;=MATCH(Assumptions!$J48,{"Monday","Tuesday","Wednesday","Thursday","Friday"},0),
                WEEKDAY(S$8,2)&gt;=MATCH(Assumptions!$J48,{"Monday","Tuesday","Wednesday","Thursday","Friday"},0),
                (S$7+(MATCH(Assumptions!$J48,{"Monday","Tuesday","Wednesday","Thursday","Friday"},0)-WEEKDAY(S$7,2)))+7&gt;EOMONTH((S$7+(MATCH(Assumptions!$J48,{"Monday","Tuesday","Wednesday","Thursday","Friday"},0)-WEEKDAY(S$7,2))),0)
              ),
            "Yes","No"),
            IF(
              Assumptions!$F48="Weekly",
              IF(
                AND(
                  WEEKDAY(S$7,2)&lt;=MATCH(Assumptions!$J48,{"Monday","Tuesday","Wednesday","Thursday","Friday"},0),
                  WEEKDAY(S$8,2)&gt;=MATCH(Assumptions!$J48,{"Monday","Tuesday","Wednesday","Thursday","Friday"},0)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AND(Assumptions!$I48&gt;=S$7, Assumptions!$I48&lt;=S$8),
                    AND(
                      Assumptions!$I48&lt;S$7,
                      MOD(INT((S$7-(Assumptions!$I48-WEEKDAY(Assumptions!$I48,2)+1))/7),2)=0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AND(Assumptions!$I48&gt;=S$7, Assumptions!$I48&lt;=S$8),
                      AND(
                        Assumptions!$I48&lt;S$7,
                        MOD(INT((S$7-(Assumptions!$I48-WEEKDAY(Assumptions!$I48,2)+1))/7),3)=0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ISNUMBER(MATCH(MONTH(S$7),IF(Assumptions!$H48="Jan / Apr / Jul / Oct",{1,4,7,10},IF(Assumptions!$H48="Feb / May / Aug / Nov",{2,5,8,11},{3,6,9,12})),0)),
                          DATE(YEAR(S$7),MONTH(S$7),Assumptions!$G48)&gt;=S$7,
                          DATE(YEAR(S$7),MONTH(S$7),Assumptions!$G48)&lt;=S$8
                        ),
                        AND(
                          ISNUMBER(MATCH(MONTH(S$8),IF(Assumptions!$H48="Jan / Apr / Jul / Oct",{1,4,7,10},IF(Assumptions!$H48="Feb / May / Aug / Nov",{2,5,8,11},{3,6,9,12})),0)),
                          DATE(YEAR(S$8),MONTH(S$8),Assumptions!$G48)&gt;=S$7,
                          DATE(YEAR(S$8),MONTH(S$8),Assumptions!$G48)&lt;=S$8
                        )
                      ),
                    "Yes","No"),
                  "No")
                )
              )
            )
          )
        )
      )
    )
  )
)</f>
        <v>No</v>
      </c>
      <c r="T36" s="59" t="s">
        <v>124</v>
      </c>
    </row>
    <row r="37" spans="3:20" hidden="1" outlineLevel="1" x14ac:dyDescent="0.25">
      <c r="C37" s="58">
        <f>Assumptions!D49</f>
        <v>0</v>
      </c>
      <c r="D37" s="58"/>
      <c r="E37" s="58"/>
      <c r="F37" s="58"/>
      <c r="G37" s="59" t="str">
        <f>IF(
  Assumptions!$K49="Off",
  "No",
  IF(
    Assumptions!$F49="I will phase manually",
    "No",
    IF(
      Assumptions!$F49="Last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Assumptions!$F49="End of month",
        IF(
          OR(
            AND(EOMONTH(G$7,0)&gt;=G$7, EOMONTH(G$7,0)&lt;=G$8),
            AND(EOMONTH(G$8,0)&gt;=G$7, EOMONTH(G$8,0)&lt;=G$8)
          ),
        "Yes","No"),
        IF(
          Assumptions!$F49="Specific day of month",
          IF(
            OR(
              AND(DATE(YEAR(G$7),MONTH(G$7),Assumptions!$G49)&gt;=G$7, DATE(YEAR(G$7),MONTH(G$7),Assumptions!$G49)&lt;=G$8),
              AND(DATE(YEAR(G$8),MONTH(G$8),Assumptions!$G49)&gt;=G$7, DATE(YEAR(G$8),MONTH(G$8),Assumptions!$G49)&lt;=G$8)
            ),
          "Yes","No"),
          IF(
            Assumptions!$F49="Last X day of month",
            IF(
              AND(
                WEEKDAY(G$7,2)&lt;=MATCH(Assumptions!$J49,{"Monday","Tuesday","Wednesday","Thursday","Friday"},0),
                WEEKDAY(G$8,2)&gt;=MATCH(Assumptions!$J49,{"Monday","Tuesday","Wednesday","Thursday","Friday"},0),
                (G$7+(MATCH(Assumptions!$J49,{"Monday","Tuesday","Wednesday","Thursday","Friday"},0)-WEEKDAY(G$7,2)))+7&gt;EOMONTH((G$7+(MATCH(Assumptions!$J49,{"Monday","Tuesday","Wednesday","Thursday","Friday"},0)-WEEKDAY(G$7,2))),0)
              ),
            "Yes","No"),
            IF(
              Assumptions!$F49="Weekly",
              IF(
                AND(
                  WEEKDAY(G$7,2)&lt;=MATCH(Assumptions!$J49,{"Monday","Tuesday","Wednesday","Thursday","Friday"},0),
                  WEEKDAY(G$8,2)&gt;=MATCH(Assumptions!$J49,{"Monday","Tuesday","Wednesday","Thursday","Friday"},0)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AND(Assumptions!$I49&gt;=G$7, Assumptions!$I49&lt;=G$8),
                    AND(
                      Assumptions!$I49&lt;G$7,
                      MOD(INT((G$7-(Assumptions!$I49-WEEKDAY(Assumptions!$I49,2)+1))/7),2)=0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AND(Assumptions!$I49&gt;=G$7, Assumptions!$I49&lt;=G$8),
                      AND(
                        Assumptions!$I49&lt;G$7,
                        MOD(INT((G$7-(Assumptions!$I49-WEEKDAY(Assumptions!$I49,2)+1))/7),3)=0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ISNUMBER(MATCH(MONTH(G$7),IF(Assumptions!$H49="Jan / Apr / Jul / Oct",{1,4,7,10},IF(Assumptions!$H49="Feb / May / Aug / Nov",{2,5,8,11},{3,6,9,12})),0)),
                          DATE(YEAR(G$7),MONTH(G$7),Assumptions!$G49)&gt;=G$7,
                          DATE(YEAR(G$7),MONTH(G$7),Assumptions!$G49)&lt;=G$8
                        ),
                        AND(
                          ISNUMBER(MATCH(MONTH(G$8),IF(Assumptions!$H49="Jan / Apr / Jul / Oct",{1,4,7,10},IF(Assumptions!$H49="Feb / May / Aug / Nov",{2,5,8,11},{3,6,9,12})),0)),
                          DATE(YEAR(G$8),MONTH(G$8),Assumptions!$G49)&gt;=G$7,
                          DATE(YEAR(G$8),MONTH(G$8),Assumptions!$G49)&lt;=G$8
                        )
                      ),
                    "Yes","No"),
                  "No")
                )
              )
            )
          )
        )
      )
    )
  )
)</f>
        <v>No</v>
      </c>
      <c r="H37" s="59" t="str">
        <f>IF(
  Assumptions!$K49="Off",
  "No",
  IF(
    Assumptions!$F49="I will phase manually",
    "No",
    IF(
      Assumptions!$F49="Last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Assumptions!$F49="End of month",
        IF(
          OR(
            AND(EOMONTH(H$7,0)&gt;=H$7, EOMONTH(H$7,0)&lt;=H$8),
            AND(EOMONTH(H$8,0)&gt;=H$7, EOMONTH(H$8,0)&lt;=H$8)
          ),
        "Yes","No"),
        IF(
          Assumptions!$F49="Specific day of month",
          IF(
            OR(
              AND(DATE(YEAR(H$7),MONTH(H$7),Assumptions!$G49)&gt;=H$7, DATE(YEAR(H$7),MONTH(H$7),Assumptions!$G49)&lt;=H$8),
              AND(DATE(YEAR(H$8),MONTH(H$8),Assumptions!$G49)&gt;=H$7, DATE(YEAR(H$8),MONTH(H$8),Assumptions!$G49)&lt;=H$8)
            ),
          "Yes","No"),
          IF(
            Assumptions!$F49="Last X day of month",
            IF(
              AND(
                WEEKDAY(H$7,2)&lt;=MATCH(Assumptions!$J49,{"Monday","Tuesday","Wednesday","Thursday","Friday"},0),
                WEEKDAY(H$8,2)&gt;=MATCH(Assumptions!$J49,{"Monday","Tuesday","Wednesday","Thursday","Friday"},0),
                (H$7+(MATCH(Assumptions!$J49,{"Monday","Tuesday","Wednesday","Thursday","Friday"},0)-WEEKDAY(H$7,2)))+7&gt;EOMONTH((H$7+(MATCH(Assumptions!$J49,{"Monday","Tuesday","Wednesday","Thursday","Friday"},0)-WEEKDAY(H$7,2))),0)
              ),
            "Yes","No"),
            IF(
              Assumptions!$F49="Weekly",
              IF(
                AND(
                  WEEKDAY(H$7,2)&lt;=MATCH(Assumptions!$J49,{"Monday","Tuesday","Wednesday","Thursday","Friday"},0),
                  WEEKDAY(H$8,2)&gt;=MATCH(Assumptions!$J49,{"Monday","Tuesday","Wednesday","Thursday","Friday"},0)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AND(Assumptions!$I49&gt;=H$7, Assumptions!$I49&lt;=H$8),
                    AND(
                      Assumptions!$I49&lt;H$7,
                      MOD(INT((H$7-(Assumptions!$I49-WEEKDAY(Assumptions!$I49,2)+1))/7),2)=0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AND(Assumptions!$I49&gt;=H$7, Assumptions!$I49&lt;=H$8),
                      AND(
                        Assumptions!$I49&lt;H$7,
                        MOD(INT((H$7-(Assumptions!$I49-WEEKDAY(Assumptions!$I49,2)+1))/7),3)=0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ISNUMBER(MATCH(MONTH(H$7),IF(Assumptions!$H49="Jan / Apr / Jul / Oct",{1,4,7,10},IF(Assumptions!$H49="Feb / May / Aug / Nov",{2,5,8,11},{3,6,9,12})),0)),
                          DATE(YEAR(H$7),MONTH(H$7),Assumptions!$G49)&gt;=H$7,
                          DATE(YEAR(H$7),MONTH(H$7),Assumptions!$G49)&lt;=H$8
                        ),
                        AND(
                          ISNUMBER(MATCH(MONTH(H$8),IF(Assumptions!$H49="Jan / Apr / Jul / Oct",{1,4,7,10},IF(Assumptions!$H49="Feb / May / Aug / Nov",{2,5,8,11},{3,6,9,12})),0)),
                          DATE(YEAR(H$8),MONTH(H$8),Assumptions!$G49)&gt;=H$7,
                          DATE(YEAR(H$8),MONTH(H$8),Assumptions!$G49)&lt;=H$8
                        )
                      ),
                    "Yes","No"),
                  "No")
                )
              )
            )
          )
        )
      )
    )
  )
)</f>
        <v>No</v>
      </c>
      <c r="I37" s="59" t="str">
        <f>IF(
  Assumptions!$K49="Off",
  "No",
  IF(
    Assumptions!$F49="I will phase manually",
    "No",
    IF(
      Assumptions!$F49="Last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Assumptions!$F49="End of month",
        IF(
          OR(
            AND(EOMONTH(I$7,0)&gt;=I$7, EOMONTH(I$7,0)&lt;=I$8),
            AND(EOMONTH(I$8,0)&gt;=I$7, EOMONTH(I$8,0)&lt;=I$8)
          ),
        "Yes","No"),
        IF(
          Assumptions!$F49="Specific day of month",
          IF(
            OR(
              AND(DATE(YEAR(I$7),MONTH(I$7),Assumptions!$G49)&gt;=I$7, DATE(YEAR(I$7),MONTH(I$7),Assumptions!$G49)&lt;=I$8),
              AND(DATE(YEAR(I$8),MONTH(I$8),Assumptions!$G49)&gt;=I$7, DATE(YEAR(I$8),MONTH(I$8),Assumptions!$G49)&lt;=I$8)
            ),
          "Yes","No"),
          IF(
            Assumptions!$F49="Last X day of month",
            IF(
              AND(
                WEEKDAY(I$7,2)&lt;=MATCH(Assumptions!$J49,{"Monday","Tuesday","Wednesday","Thursday","Friday"},0),
                WEEKDAY(I$8,2)&gt;=MATCH(Assumptions!$J49,{"Monday","Tuesday","Wednesday","Thursday","Friday"},0),
                (I$7+(MATCH(Assumptions!$J49,{"Monday","Tuesday","Wednesday","Thursday","Friday"},0)-WEEKDAY(I$7,2)))+7&gt;EOMONTH((I$7+(MATCH(Assumptions!$J49,{"Monday","Tuesday","Wednesday","Thursday","Friday"},0)-WEEKDAY(I$7,2))),0)
              ),
            "Yes","No"),
            IF(
              Assumptions!$F49="Weekly",
              IF(
                AND(
                  WEEKDAY(I$7,2)&lt;=MATCH(Assumptions!$J49,{"Monday","Tuesday","Wednesday","Thursday","Friday"},0),
                  WEEKDAY(I$8,2)&gt;=MATCH(Assumptions!$J49,{"Monday","Tuesday","Wednesday","Thursday","Friday"},0)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AND(Assumptions!$I49&gt;=I$7, Assumptions!$I49&lt;=I$8),
                    AND(
                      Assumptions!$I49&lt;I$7,
                      MOD(INT((I$7-(Assumptions!$I49-WEEKDAY(Assumptions!$I49,2)+1))/7),2)=0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AND(Assumptions!$I49&gt;=I$7, Assumptions!$I49&lt;=I$8),
                      AND(
                        Assumptions!$I49&lt;I$7,
                        MOD(INT((I$7-(Assumptions!$I49-WEEKDAY(Assumptions!$I49,2)+1))/7),3)=0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ISNUMBER(MATCH(MONTH(I$7),IF(Assumptions!$H49="Jan / Apr / Jul / Oct",{1,4,7,10},IF(Assumptions!$H49="Feb / May / Aug / Nov",{2,5,8,11},{3,6,9,12})),0)),
                          DATE(YEAR(I$7),MONTH(I$7),Assumptions!$G49)&gt;=I$7,
                          DATE(YEAR(I$7),MONTH(I$7),Assumptions!$G49)&lt;=I$8
                        ),
                        AND(
                          ISNUMBER(MATCH(MONTH(I$8),IF(Assumptions!$H49="Jan / Apr / Jul / Oct",{1,4,7,10},IF(Assumptions!$H49="Feb / May / Aug / Nov",{2,5,8,11},{3,6,9,12})),0)),
                          DATE(YEAR(I$8),MONTH(I$8),Assumptions!$G49)&gt;=I$7,
                          DATE(YEAR(I$8),MONTH(I$8),Assumptions!$G49)&lt;=I$8
                        )
                      ),
                    "Yes","No"),
                  "No")
                )
              )
            )
          )
        )
      )
    )
  )
)</f>
        <v>No</v>
      </c>
      <c r="J37" s="59" t="str">
        <f>IF(
  Assumptions!$K49="Off",
  "No",
  IF(
    Assumptions!$F49="I will phase manually",
    "No",
    IF(
      Assumptions!$F49="Last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Assumptions!$F49="End of month",
        IF(
          OR(
            AND(EOMONTH(J$7,0)&gt;=J$7, EOMONTH(J$7,0)&lt;=J$8),
            AND(EOMONTH(J$8,0)&gt;=J$7, EOMONTH(J$8,0)&lt;=J$8)
          ),
        "Yes","No"),
        IF(
          Assumptions!$F49="Specific day of month",
          IF(
            OR(
              AND(DATE(YEAR(J$7),MONTH(J$7),Assumptions!$G49)&gt;=J$7, DATE(YEAR(J$7),MONTH(J$7),Assumptions!$G49)&lt;=J$8),
              AND(DATE(YEAR(J$8),MONTH(J$8),Assumptions!$G49)&gt;=J$7, DATE(YEAR(J$8),MONTH(J$8),Assumptions!$G49)&lt;=J$8)
            ),
          "Yes","No"),
          IF(
            Assumptions!$F49="Last X day of month",
            IF(
              AND(
                WEEKDAY(J$7,2)&lt;=MATCH(Assumptions!$J49,{"Monday","Tuesday","Wednesday","Thursday","Friday"},0),
                WEEKDAY(J$8,2)&gt;=MATCH(Assumptions!$J49,{"Monday","Tuesday","Wednesday","Thursday","Friday"},0),
                (J$7+(MATCH(Assumptions!$J49,{"Monday","Tuesday","Wednesday","Thursday","Friday"},0)-WEEKDAY(J$7,2)))+7&gt;EOMONTH((J$7+(MATCH(Assumptions!$J49,{"Monday","Tuesday","Wednesday","Thursday","Friday"},0)-WEEKDAY(J$7,2))),0)
              ),
            "Yes","No"),
            IF(
              Assumptions!$F49="Weekly",
              IF(
                AND(
                  WEEKDAY(J$7,2)&lt;=MATCH(Assumptions!$J49,{"Monday","Tuesday","Wednesday","Thursday","Friday"},0),
                  WEEKDAY(J$8,2)&gt;=MATCH(Assumptions!$J49,{"Monday","Tuesday","Wednesday","Thursday","Friday"},0)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AND(Assumptions!$I49&gt;=J$7, Assumptions!$I49&lt;=J$8),
                    AND(
                      Assumptions!$I49&lt;J$7,
                      MOD(INT((J$7-(Assumptions!$I49-WEEKDAY(Assumptions!$I49,2)+1))/7),2)=0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AND(Assumptions!$I49&gt;=J$7, Assumptions!$I49&lt;=J$8),
                      AND(
                        Assumptions!$I49&lt;J$7,
                        MOD(INT((J$7-(Assumptions!$I49-WEEKDAY(Assumptions!$I49,2)+1))/7),3)=0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ISNUMBER(MATCH(MONTH(J$7),IF(Assumptions!$H49="Jan / Apr / Jul / Oct",{1,4,7,10},IF(Assumptions!$H49="Feb / May / Aug / Nov",{2,5,8,11},{3,6,9,12})),0)),
                          DATE(YEAR(J$7),MONTH(J$7),Assumptions!$G49)&gt;=J$7,
                          DATE(YEAR(J$7),MONTH(J$7),Assumptions!$G49)&lt;=J$8
                        ),
                        AND(
                          ISNUMBER(MATCH(MONTH(J$8),IF(Assumptions!$H49="Jan / Apr / Jul / Oct",{1,4,7,10},IF(Assumptions!$H49="Feb / May / Aug / Nov",{2,5,8,11},{3,6,9,12})),0)),
                          DATE(YEAR(J$8),MONTH(J$8),Assumptions!$G49)&gt;=J$7,
                          DATE(YEAR(J$8),MONTH(J$8),Assumptions!$G49)&lt;=J$8
                        )
                      ),
                    "Yes","No"),
                  "No")
                )
              )
            )
          )
        )
      )
    )
  )
)</f>
        <v>No</v>
      </c>
      <c r="K37" s="59" t="str">
        <f>IF(
  Assumptions!$K49="Off",
  "No",
  IF(
    Assumptions!$F49="I will phase manually",
    "No",
    IF(
      Assumptions!$F49="Last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Assumptions!$F49="End of month",
        IF(
          OR(
            AND(EOMONTH(K$7,0)&gt;=K$7, EOMONTH(K$7,0)&lt;=K$8),
            AND(EOMONTH(K$8,0)&gt;=K$7, EOMONTH(K$8,0)&lt;=K$8)
          ),
        "Yes","No"),
        IF(
          Assumptions!$F49="Specific day of month",
          IF(
            OR(
              AND(DATE(YEAR(K$7),MONTH(K$7),Assumptions!$G49)&gt;=K$7, DATE(YEAR(K$7),MONTH(K$7),Assumptions!$G49)&lt;=K$8),
              AND(DATE(YEAR(K$8),MONTH(K$8),Assumptions!$G49)&gt;=K$7, DATE(YEAR(K$8),MONTH(K$8),Assumptions!$G49)&lt;=K$8)
            ),
          "Yes","No"),
          IF(
            Assumptions!$F49="Last X day of month",
            IF(
              AND(
                WEEKDAY(K$7,2)&lt;=MATCH(Assumptions!$J49,{"Monday","Tuesday","Wednesday","Thursday","Friday"},0),
                WEEKDAY(K$8,2)&gt;=MATCH(Assumptions!$J49,{"Monday","Tuesday","Wednesday","Thursday","Friday"},0),
                (K$7+(MATCH(Assumptions!$J49,{"Monday","Tuesday","Wednesday","Thursday","Friday"},0)-WEEKDAY(K$7,2)))+7&gt;EOMONTH((K$7+(MATCH(Assumptions!$J49,{"Monday","Tuesday","Wednesday","Thursday","Friday"},0)-WEEKDAY(K$7,2))),0)
              ),
            "Yes","No"),
            IF(
              Assumptions!$F49="Weekly",
              IF(
                AND(
                  WEEKDAY(K$7,2)&lt;=MATCH(Assumptions!$J49,{"Monday","Tuesday","Wednesday","Thursday","Friday"},0),
                  WEEKDAY(K$8,2)&gt;=MATCH(Assumptions!$J49,{"Monday","Tuesday","Wednesday","Thursday","Friday"},0)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AND(Assumptions!$I49&gt;=K$7, Assumptions!$I49&lt;=K$8),
                    AND(
                      Assumptions!$I49&lt;K$7,
                      MOD(INT((K$7-(Assumptions!$I49-WEEKDAY(Assumptions!$I49,2)+1))/7),2)=0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AND(Assumptions!$I49&gt;=K$7, Assumptions!$I49&lt;=K$8),
                      AND(
                        Assumptions!$I49&lt;K$7,
                        MOD(INT((K$7-(Assumptions!$I49-WEEKDAY(Assumptions!$I49,2)+1))/7),3)=0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ISNUMBER(MATCH(MONTH(K$7),IF(Assumptions!$H49="Jan / Apr / Jul / Oct",{1,4,7,10},IF(Assumptions!$H49="Feb / May / Aug / Nov",{2,5,8,11},{3,6,9,12})),0)),
                          DATE(YEAR(K$7),MONTH(K$7),Assumptions!$G49)&gt;=K$7,
                          DATE(YEAR(K$7),MONTH(K$7),Assumptions!$G49)&lt;=K$8
                        ),
                        AND(
                          ISNUMBER(MATCH(MONTH(K$8),IF(Assumptions!$H49="Jan / Apr / Jul / Oct",{1,4,7,10},IF(Assumptions!$H49="Feb / May / Aug / Nov",{2,5,8,11},{3,6,9,12})),0)),
                          DATE(YEAR(K$8),MONTH(K$8),Assumptions!$G49)&gt;=K$7,
                          DATE(YEAR(K$8),MONTH(K$8),Assumptions!$G49)&lt;=K$8
                        )
                      ),
                    "Yes","No"),
                  "No")
                )
              )
            )
          )
        )
      )
    )
  )
)</f>
        <v>No</v>
      </c>
      <c r="L37" s="59" t="str">
        <f>IF(
  Assumptions!$K49="Off",
  "No",
  IF(
    Assumptions!$F49="I will phase manually",
    "No",
    IF(
      Assumptions!$F49="Last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Assumptions!$F49="End of month",
        IF(
          OR(
            AND(EOMONTH(L$7,0)&gt;=L$7, EOMONTH(L$7,0)&lt;=L$8),
            AND(EOMONTH(L$8,0)&gt;=L$7, EOMONTH(L$8,0)&lt;=L$8)
          ),
        "Yes","No"),
        IF(
          Assumptions!$F49="Specific day of month",
          IF(
            OR(
              AND(DATE(YEAR(L$7),MONTH(L$7),Assumptions!$G49)&gt;=L$7, DATE(YEAR(L$7),MONTH(L$7),Assumptions!$G49)&lt;=L$8),
              AND(DATE(YEAR(L$8),MONTH(L$8),Assumptions!$G49)&gt;=L$7, DATE(YEAR(L$8),MONTH(L$8),Assumptions!$G49)&lt;=L$8)
            ),
          "Yes","No"),
          IF(
            Assumptions!$F49="Last X day of month",
            IF(
              AND(
                WEEKDAY(L$7,2)&lt;=MATCH(Assumptions!$J49,{"Monday","Tuesday","Wednesday","Thursday","Friday"},0),
                WEEKDAY(L$8,2)&gt;=MATCH(Assumptions!$J49,{"Monday","Tuesday","Wednesday","Thursday","Friday"},0),
                (L$7+(MATCH(Assumptions!$J49,{"Monday","Tuesday","Wednesday","Thursday","Friday"},0)-WEEKDAY(L$7,2)))+7&gt;EOMONTH((L$7+(MATCH(Assumptions!$J49,{"Monday","Tuesday","Wednesday","Thursday","Friday"},0)-WEEKDAY(L$7,2))),0)
              ),
            "Yes","No"),
            IF(
              Assumptions!$F49="Weekly",
              IF(
                AND(
                  WEEKDAY(L$7,2)&lt;=MATCH(Assumptions!$J49,{"Monday","Tuesday","Wednesday","Thursday","Friday"},0),
                  WEEKDAY(L$8,2)&gt;=MATCH(Assumptions!$J49,{"Monday","Tuesday","Wednesday","Thursday","Friday"},0)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AND(Assumptions!$I49&gt;=L$7, Assumptions!$I49&lt;=L$8),
                    AND(
                      Assumptions!$I49&lt;L$7,
                      MOD(INT((L$7-(Assumptions!$I49-WEEKDAY(Assumptions!$I49,2)+1))/7),2)=0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AND(Assumptions!$I49&gt;=L$7, Assumptions!$I49&lt;=L$8),
                      AND(
                        Assumptions!$I49&lt;L$7,
                        MOD(INT((L$7-(Assumptions!$I49-WEEKDAY(Assumptions!$I49,2)+1))/7),3)=0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ISNUMBER(MATCH(MONTH(L$7),IF(Assumptions!$H49="Jan / Apr / Jul / Oct",{1,4,7,10},IF(Assumptions!$H49="Feb / May / Aug / Nov",{2,5,8,11},{3,6,9,12})),0)),
                          DATE(YEAR(L$7),MONTH(L$7),Assumptions!$G49)&gt;=L$7,
                          DATE(YEAR(L$7),MONTH(L$7),Assumptions!$G49)&lt;=L$8
                        ),
                        AND(
                          ISNUMBER(MATCH(MONTH(L$8),IF(Assumptions!$H49="Jan / Apr / Jul / Oct",{1,4,7,10},IF(Assumptions!$H49="Feb / May / Aug / Nov",{2,5,8,11},{3,6,9,12})),0)),
                          DATE(YEAR(L$8),MONTH(L$8),Assumptions!$G49)&gt;=L$7,
                          DATE(YEAR(L$8),MONTH(L$8),Assumptions!$G49)&lt;=L$8
                        )
                      ),
                    "Yes","No"),
                  "No")
                )
              )
            )
          )
        )
      )
    )
  )
)</f>
        <v>No</v>
      </c>
      <c r="M37" s="59" t="str">
        <f>IF(
  Assumptions!$K49="Off",
  "No",
  IF(
    Assumptions!$F49="I will phase manually",
    "No",
    IF(
      Assumptions!$F49="Last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Assumptions!$F49="End of month",
        IF(
          OR(
            AND(EOMONTH(M$7,0)&gt;=M$7, EOMONTH(M$7,0)&lt;=M$8),
            AND(EOMONTH(M$8,0)&gt;=M$7, EOMONTH(M$8,0)&lt;=M$8)
          ),
        "Yes","No"),
        IF(
          Assumptions!$F49="Specific day of month",
          IF(
            OR(
              AND(DATE(YEAR(M$7),MONTH(M$7),Assumptions!$G49)&gt;=M$7, DATE(YEAR(M$7),MONTH(M$7),Assumptions!$G49)&lt;=M$8),
              AND(DATE(YEAR(M$8),MONTH(M$8),Assumptions!$G49)&gt;=M$7, DATE(YEAR(M$8),MONTH(M$8),Assumptions!$G49)&lt;=M$8)
            ),
          "Yes","No"),
          IF(
            Assumptions!$F49="Last X day of month",
            IF(
              AND(
                WEEKDAY(M$7,2)&lt;=MATCH(Assumptions!$J49,{"Monday","Tuesday","Wednesday","Thursday","Friday"},0),
                WEEKDAY(M$8,2)&gt;=MATCH(Assumptions!$J49,{"Monday","Tuesday","Wednesday","Thursday","Friday"},0),
                (M$7+(MATCH(Assumptions!$J49,{"Monday","Tuesday","Wednesday","Thursday","Friday"},0)-WEEKDAY(M$7,2)))+7&gt;EOMONTH((M$7+(MATCH(Assumptions!$J49,{"Monday","Tuesday","Wednesday","Thursday","Friday"},0)-WEEKDAY(M$7,2))),0)
              ),
            "Yes","No"),
            IF(
              Assumptions!$F49="Weekly",
              IF(
                AND(
                  WEEKDAY(M$7,2)&lt;=MATCH(Assumptions!$J49,{"Monday","Tuesday","Wednesday","Thursday","Friday"},0),
                  WEEKDAY(M$8,2)&gt;=MATCH(Assumptions!$J49,{"Monday","Tuesday","Wednesday","Thursday","Friday"},0)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AND(Assumptions!$I49&gt;=M$7, Assumptions!$I49&lt;=M$8),
                    AND(
                      Assumptions!$I49&lt;M$7,
                      MOD(INT((M$7-(Assumptions!$I49-WEEKDAY(Assumptions!$I49,2)+1))/7),2)=0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AND(Assumptions!$I49&gt;=M$7, Assumptions!$I49&lt;=M$8),
                      AND(
                        Assumptions!$I49&lt;M$7,
                        MOD(INT((M$7-(Assumptions!$I49-WEEKDAY(Assumptions!$I49,2)+1))/7),3)=0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ISNUMBER(MATCH(MONTH(M$7),IF(Assumptions!$H49="Jan / Apr / Jul / Oct",{1,4,7,10},IF(Assumptions!$H49="Feb / May / Aug / Nov",{2,5,8,11},{3,6,9,12})),0)),
                          DATE(YEAR(M$7),MONTH(M$7),Assumptions!$G49)&gt;=M$7,
                          DATE(YEAR(M$7),MONTH(M$7),Assumptions!$G49)&lt;=M$8
                        ),
                        AND(
                          ISNUMBER(MATCH(MONTH(M$8),IF(Assumptions!$H49="Jan / Apr / Jul / Oct",{1,4,7,10},IF(Assumptions!$H49="Feb / May / Aug / Nov",{2,5,8,11},{3,6,9,12})),0)),
                          DATE(YEAR(M$8),MONTH(M$8),Assumptions!$G49)&gt;=M$7,
                          DATE(YEAR(M$8),MONTH(M$8),Assumptions!$G49)&lt;=M$8
                        )
                      ),
                    "Yes","No"),
                  "No")
                )
              )
            )
          )
        )
      )
    )
  )
)</f>
        <v>No</v>
      </c>
      <c r="N37" s="59" t="str">
        <f>IF(
  Assumptions!$K49="Off",
  "No",
  IF(
    Assumptions!$F49="I will phase manually",
    "No",
    IF(
      Assumptions!$F49="Last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Assumptions!$F49="End of month",
        IF(
          OR(
            AND(EOMONTH(N$7,0)&gt;=N$7, EOMONTH(N$7,0)&lt;=N$8),
            AND(EOMONTH(N$8,0)&gt;=N$7, EOMONTH(N$8,0)&lt;=N$8)
          ),
        "Yes","No"),
        IF(
          Assumptions!$F49="Specific day of month",
          IF(
            OR(
              AND(DATE(YEAR(N$7),MONTH(N$7),Assumptions!$G49)&gt;=N$7, DATE(YEAR(N$7),MONTH(N$7),Assumptions!$G49)&lt;=N$8),
              AND(DATE(YEAR(N$8),MONTH(N$8),Assumptions!$G49)&gt;=N$7, DATE(YEAR(N$8),MONTH(N$8),Assumptions!$G49)&lt;=N$8)
            ),
          "Yes","No"),
          IF(
            Assumptions!$F49="Last X day of month",
            IF(
              AND(
                WEEKDAY(N$7,2)&lt;=MATCH(Assumptions!$J49,{"Monday","Tuesday","Wednesday","Thursday","Friday"},0),
                WEEKDAY(N$8,2)&gt;=MATCH(Assumptions!$J49,{"Monday","Tuesday","Wednesday","Thursday","Friday"},0),
                (N$7+(MATCH(Assumptions!$J49,{"Monday","Tuesday","Wednesday","Thursday","Friday"},0)-WEEKDAY(N$7,2)))+7&gt;EOMONTH((N$7+(MATCH(Assumptions!$J49,{"Monday","Tuesday","Wednesday","Thursday","Friday"},0)-WEEKDAY(N$7,2))),0)
              ),
            "Yes","No"),
            IF(
              Assumptions!$F49="Weekly",
              IF(
                AND(
                  WEEKDAY(N$7,2)&lt;=MATCH(Assumptions!$J49,{"Monday","Tuesday","Wednesday","Thursday","Friday"},0),
                  WEEKDAY(N$8,2)&gt;=MATCH(Assumptions!$J49,{"Monday","Tuesday","Wednesday","Thursday","Friday"},0)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AND(Assumptions!$I49&gt;=N$7, Assumptions!$I49&lt;=N$8),
                    AND(
                      Assumptions!$I49&lt;N$7,
                      MOD(INT((N$7-(Assumptions!$I49-WEEKDAY(Assumptions!$I49,2)+1))/7),2)=0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AND(Assumptions!$I49&gt;=N$7, Assumptions!$I49&lt;=N$8),
                      AND(
                        Assumptions!$I49&lt;N$7,
                        MOD(INT((N$7-(Assumptions!$I49-WEEKDAY(Assumptions!$I49,2)+1))/7),3)=0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ISNUMBER(MATCH(MONTH(N$7),IF(Assumptions!$H49="Jan / Apr / Jul / Oct",{1,4,7,10},IF(Assumptions!$H49="Feb / May / Aug / Nov",{2,5,8,11},{3,6,9,12})),0)),
                          DATE(YEAR(N$7),MONTH(N$7),Assumptions!$G49)&gt;=N$7,
                          DATE(YEAR(N$7),MONTH(N$7),Assumptions!$G49)&lt;=N$8
                        ),
                        AND(
                          ISNUMBER(MATCH(MONTH(N$8),IF(Assumptions!$H49="Jan / Apr / Jul / Oct",{1,4,7,10},IF(Assumptions!$H49="Feb / May / Aug / Nov",{2,5,8,11},{3,6,9,12})),0)),
                          DATE(YEAR(N$8),MONTH(N$8),Assumptions!$G49)&gt;=N$7,
                          DATE(YEAR(N$8),MONTH(N$8),Assumptions!$G49)&lt;=N$8
                        )
                      ),
                    "Yes","No"),
                  "No")
                )
              )
            )
          )
        )
      )
    )
  )
)</f>
        <v>No</v>
      </c>
      <c r="O37" s="59" t="str">
        <f>IF(
  Assumptions!$K49="Off",
  "No",
  IF(
    Assumptions!$F49="I will phase manually",
    "No",
    IF(
      Assumptions!$F49="Last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Assumptions!$F49="End of month",
        IF(
          OR(
            AND(EOMONTH(O$7,0)&gt;=O$7, EOMONTH(O$7,0)&lt;=O$8),
            AND(EOMONTH(O$8,0)&gt;=O$7, EOMONTH(O$8,0)&lt;=O$8)
          ),
        "Yes","No"),
        IF(
          Assumptions!$F49="Specific day of month",
          IF(
            OR(
              AND(DATE(YEAR(O$7),MONTH(O$7),Assumptions!$G49)&gt;=O$7, DATE(YEAR(O$7),MONTH(O$7),Assumptions!$G49)&lt;=O$8),
              AND(DATE(YEAR(O$8),MONTH(O$8),Assumptions!$G49)&gt;=O$7, DATE(YEAR(O$8),MONTH(O$8),Assumptions!$G49)&lt;=O$8)
            ),
          "Yes","No"),
          IF(
            Assumptions!$F49="Last X day of month",
            IF(
              AND(
                WEEKDAY(O$7,2)&lt;=MATCH(Assumptions!$J49,{"Monday","Tuesday","Wednesday","Thursday","Friday"},0),
                WEEKDAY(O$8,2)&gt;=MATCH(Assumptions!$J49,{"Monday","Tuesday","Wednesday","Thursday","Friday"},0),
                (O$7+(MATCH(Assumptions!$J49,{"Monday","Tuesday","Wednesday","Thursday","Friday"},0)-WEEKDAY(O$7,2)))+7&gt;EOMONTH((O$7+(MATCH(Assumptions!$J49,{"Monday","Tuesday","Wednesday","Thursday","Friday"},0)-WEEKDAY(O$7,2))),0)
              ),
            "Yes","No"),
            IF(
              Assumptions!$F49="Weekly",
              IF(
                AND(
                  WEEKDAY(O$7,2)&lt;=MATCH(Assumptions!$J49,{"Monday","Tuesday","Wednesday","Thursday","Friday"},0),
                  WEEKDAY(O$8,2)&gt;=MATCH(Assumptions!$J49,{"Monday","Tuesday","Wednesday","Thursday","Friday"},0)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AND(Assumptions!$I49&gt;=O$7, Assumptions!$I49&lt;=O$8),
                    AND(
                      Assumptions!$I49&lt;O$7,
                      MOD(INT((O$7-(Assumptions!$I49-WEEKDAY(Assumptions!$I49,2)+1))/7),2)=0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AND(Assumptions!$I49&gt;=O$7, Assumptions!$I49&lt;=O$8),
                      AND(
                        Assumptions!$I49&lt;O$7,
                        MOD(INT((O$7-(Assumptions!$I49-WEEKDAY(Assumptions!$I49,2)+1))/7),3)=0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ISNUMBER(MATCH(MONTH(O$7),IF(Assumptions!$H49="Jan / Apr / Jul / Oct",{1,4,7,10},IF(Assumptions!$H49="Feb / May / Aug / Nov",{2,5,8,11},{3,6,9,12})),0)),
                          DATE(YEAR(O$7),MONTH(O$7),Assumptions!$G49)&gt;=O$7,
                          DATE(YEAR(O$7),MONTH(O$7),Assumptions!$G49)&lt;=O$8
                        ),
                        AND(
                          ISNUMBER(MATCH(MONTH(O$8),IF(Assumptions!$H49="Jan / Apr / Jul / Oct",{1,4,7,10},IF(Assumptions!$H49="Feb / May / Aug / Nov",{2,5,8,11},{3,6,9,12})),0)),
                          DATE(YEAR(O$8),MONTH(O$8),Assumptions!$G49)&gt;=O$7,
                          DATE(YEAR(O$8),MONTH(O$8),Assumptions!$G49)&lt;=O$8
                        )
                      ),
                    "Yes","No"),
                  "No")
                )
              )
            )
          )
        )
      )
    )
  )
)</f>
        <v>No</v>
      </c>
      <c r="P37" s="59" t="str">
        <f>IF(
  Assumptions!$K49="Off",
  "No",
  IF(
    Assumptions!$F49="I will phase manually",
    "No",
    IF(
      Assumptions!$F49="Last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Assumptions!$F49="End of month",
        IF(
          OR(
            AND(EOMONTH(P$7,0)&gt;=P$7, EOMONTH(P$7,0)&lt;=P$8),
            AND(EOMONTH(P$8,0)&gt;=P$7, EOMONTH(P$8,0)&lt;=P$8)
          ),
        "Yes","No"),
        IF(
          Assumptions!$F49="Specific day of month",
          IF(
            OR(
              AND(DATE(YEAR(P$7),MONTH(P$7),Assumptions!$G49)&gt;=P$7, DATE(YEAR(P$7),MONTH(P$7),Assumptions!$G49)&lt;=P$8),
              AND(DATE(YEAR(P$8),MONTH(P$8),Assumptions!$G49)&gt;=P$7, DATE(YEAR(P$8),MONTH(P$8),Assumptions!$G49)&lt;=P$8)
            ),
          "Yes","No"),
          IF(
            Assumptions!$F49="Last X day of month",
            IF(
              AND(
                WEEKDAY(P$7,2)&lt;=MATCH(Assumptions!$J49,{"Monday","Tuesday","Wednesday","Thursday","Friday"},0),
                WEEKDAY(P$8,2)&gt;=MATCH(Assumptions!$J49,{"Monday","Tuesday","Wednesday","Thursday","Friday"},0),
                (P$7+(MATCH(Assumptions!$J49,{"Monday","Tuesday","Wednesday","Thursday","Friday"},0)-WEEKDAY(P$7,2)))+7&gt;EOMONTH((P$7+(MATCH(Assumptions!$J49,{"Monday","Tuesday","Wednesday","Thursday","Friday"},0)-WEEKDAY(P$7,2))),0)
              ),
            "Yes","No"),
            IF(
              Assumptions!$F49="Weekly",
              IF(
                AND(
                  WEEKDAY(P$7,2)&lt;=MATCH(Assumptions!$J49,{"Monday","Tuesday","Wednesday","Thursday","Friday"},0),
                  WEEKDAY(P$8,2)&gt;=MATCH(Assumptions!$J49,{"Monday","Tuesday","Wednesday","Thursday","Friday"},0)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AND(Assumptions!$I49&gt;=P$7, Assumptions!$I49&lt;=P$8),
                    AND(
                      Assumptions!$I49&lt;P$7,
                      MOD(INT((P$7-(Assumptions!$I49-WEEKDAY(Assumptions!$I49,2)+1))/7),2)=0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AND(Assumptions!$I49&gt;=P$7, Assumptions!$I49&lt;=P$8),
                      AND(
                        Assumptions!$I49&lt;P$7,
                        MOD(INT((P$7-(Assumptions!$I49-WEEKDAY(Assumptions!$I49,2)+1))/7),3)=0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ISNUMBER(MATCH(MONTH(P$7),IF(Assumptions!$H49="Jan / Apr / Jul / Oct",{1,4,7,10},IF(Assumptions!$H49="Feb / May / Aug / Nov",{2,5,8,11},{3,6,9,12})),0)),
                          DATE(YEAR(P$7),MONTH(P$7),Assumptions!$G49)&gt;=P$7,
                          DATE(YEAR(P$7),MONTH(P$7),Assumptions!$G49)&lt;=P$8
                        ),
                        AND(
                          ISNUMBER(MATCH(MONTH(P$8),IF(Assumptions!$H49="Jan / Apr / Jul / Oct",{1,4,7,10},IF(Assumptions!$H49="Feb / May / Aug / Nov",{2,5,8,11},{3,6,9,12})),0)),
                          DATE(YEAR(P$8),MONTH(P$8),Assumptions!$G49)&gt;=P$7,
                          DATE(YEAR(P$8),MONTH(P$8),Assumptions!$G49)&lt;=P$8
                        )
                      ),
                    "Yes","No"),
                  "No")
                )
              )
            )
          )
        )
      )
    )
  )
)</f>
        <v>No</v>
      </c>
      <c r="Q37" s="59" t="str">
        <f>IF(
  Assumptions!$K49="Off",
  "No",
  IF(
    Assumptions!$F49="I will phase manually",
    "No",
    IF(
      Assumptions!$F49="Last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Assumptions!$F49="End of month",
        IF(
          OR(
            AND(EOMONTH(Q$7,0)&gt;=Q$7, EOMONTH(Q$7,0)&lt;=Q$8),
            AND(EOMONTH(Q$8,0)&gt;=Q$7, EOMONTH(Q$8,0)&lt;=Q$8)
          ),
        "Yes","No"),
        IF(
          Assumptions!$F49="Specific day of month",
          IF(
            OR(
              AND(DATE(YEAR(Q$7),MONTH(Q$7),Assumptions!$G49)&gt;=Q$7, DATE(YEAR(Q$7),MONTH(Q$7),Assumptions!$G49)&lt;=Q$8),
              AND(DATE(YEAR(Q$8),MONTH(Q$8),Assumptions!$G49)&gt;=Q$7, DATE(YEAR(Q$8),MONTH(Q$8),Assumptions!$G49)&lt;=Q$8)
            ),
          "Yes","No"),
          IF(
            Assumptions!$F49="Last X day of month",
            IF(
              AND(
                WEEKDAY(Q$7,2)&lt;=MATCH(Assumptions!$J49,{"Monday","Tuesday","Wednesday","Thursday","Friday"},0),
                WEEKDAY(Q$8,2)&gt;=MATCH(Assumptions!$J49,{"Monday","Tuesday","Wednesday","Thursday","Friday"},0),
                (Q$7+(MATCH(Assumptions!$J49,{"Monday","Tuesday","Wednesday","Thursday","Friday"},0)-WEEKDAY(Q$7,2)))+7&gt;EOMONTH((Q$7+(MATCH(Assumptions!$J49,{"Monday","Tuesday","Wednesday","Thursday","Friday"},0)-WEEKDAY(Q$7,2))),0)
              ),
            "Yes","No"),
            IF(
              Assumptions!$F49="Weekly",
              IF(
                AND(
                  WEEKDAY(Q$7,2)&lt;=MATCH(Assumptions!$J49,{"Monday","Tuesday","Wednesday","Thursday","Friday"},0),
                  WEEKDAY(Q$8,2)&gt;=MATCH(Assumptions!$J49,{"Monday","Tuesday","Wednesday","Thursday","Friday"},0)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AND(Assumptions!$I49&gt;=Q$7, Assumptions!$I49&lt;=Q$8),
                    AND(
                      Assumptions!$I49&lt;Q$7,
                      MOD(INT((Q$7-(Assumptions!$I49-WEEKDAY(Assumptions!$I49,2)+1))/7),2)=0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AND(Assumptions!$I49&gt;=Q$7, Assumptions!$I49&lt;=Q$8),
                      AND(
                        Assumptions!$I49&lt;Q$7,
                        MOD(INT((Q$7-(Assumptions!$I49-WEEKDAY(Assumptions!$I49,2)+1))/7),3)=0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ISNUMBER(MATCH(MONTH(Q$7),IF(Assumptions!$H49="Jan / Apr / Jul / Oct",{1,4,7,10},IF(Assumptions!$H49="Feb / May / Aug / Nov",{2,5,8,11},{3,6,9,12})),0)),
                          DATE(YEAR(Q$7),MONTH(Q$7),Assumptions!$G49)&gt;=Q$7,
                          DATE(YEAR(Q$7),MONTH(Q$7),Assumptions!$G49)&lt;=Q$8
                        ),
                        AND(
                          ISNUMBER(MATCH(MONTH(Q$8),IF(Assumptions!$H49="Jan / Apr / Jul / Oct",{1,4,7,10},IF(Assumptions!$H49="Feb / May / Aug / Nov",{2,5,8,11},{3,6,9,12})),0)),
                          DATE(YEAR(Q$8),MONTH(Q$8),Assumptions!$G49)&gt;=Q$7,
                          DATE(YEAR(Q$8),MONTH(Q$8),Assumptions!$G49)&lt;=Q$8
                        )
                      ),
                    "Yes","No"),
                  "No")
                )
              )
            )
          )
        )
      )
    )
  )
)</f>
        <v>No</v>
      </c>
      <c r="R37" s="59" t="str">
        <f>IF(
  Assumptions!$K49="Off",
  "No",
  IF(
    Assumptions!$F49="I will phase manually",
    "No",
    IF(
      Assumptions!$F49="Last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Assumptions!$F49="End of month",
        IF(
          OR(
            AND(EOMONTH(R$7,0)&gt;=R$7, EOMONTH(R$7,0)&lt;=R$8),
            AND(EOMONTH(R$8,0)&gt;=R$7, EOMONTH(R$8,0)&lt;=R$8)
          ),
        "Yes","No"),
        IF(
          Assumptions!$F49="Specific day of month",
          IF(
            OR(
              AND(DATE(YEAR(R$7),MONTH(R$7),Assumptions!$G49)&gt;=R$7, DATE(YEAR(R$7),MONTH(R$7),Assumptions!$G49)&lt;=R$8),
              AND(DATE(YEAR(R$8),MONTH(R$8),Assumptions!$G49)&gt;=R$7, DATE(YEAR(R$8),MONTH(R$8),Assumptions!$G49)&lt;=R$8)
            ),
          "Yes","No"),
          IF(
            Assumptions!$F49="Last X day of month",
            IF(
              AND(
                WEEKDAY(R$7,2)&lt;=MATCH(Assumptions!$J49,{"Monday","Tuesday","Wednesday","Thursday","Friday"},0),
                WEEKDAY(R$8,2)&gt;=MATCH(Assumptions!$J49,{"Monday","Tuesday","Wednesday","Thursday","Friday"},0),
                (R$7+(MATCH(Assumptions!$J49,{"Monday","Tuesday","Wednesday","Thursday","Friday"},0)-WEEKDAY(R$7,2)))+7&gt;EOMONTH((R$7+(MATCH(Assumptions!$J49,{"Monday","Tuesday","Wednesday","Thursday","Friday"},0)-WEEKDAY(R$7,2))),0)
              ),
            "Yes","No"),
            IF(
              Assumptions!$F49="Weekly",
              IF(
                AND(
                  WEEKDAY(R$7,2)&lt;=MATCH(Assumptions!$J49,{"Monday","Tuesday","Wednesday","Thursday","Friday"},0),
                  WEEKDAY(R$8,2)&gt;=MATCH(Assumptions!$J49,{"Monday","Tuesday","Wednesday","Thursday","Friday"},0)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AND(Assumptions!$I49&gt;=R$7, Assumptions!$I49&lt;=R$8),
                    AND(
                      Assumptions!$I49&lt;R$7,
                      MOD(INT((R$7-(Assumptions!$I49-WEEKDAY(Assumptions!$I49,2)+1))/7),2)=0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AND(Assumptions!$I49&gt;=R$7, Assumptions!$I49&lt;=R$8),
                      AND(
                        Assumptions!$I49&lt;R$7,
                        MOD(INT((R$7-(Assumptions!$I49-WEEKDAY(Assumptions!$I49,2)+1))/7),3)=0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ISNUMBER(MATCH(MONTH(R$7),IF(Assumptions!$H49="Jan / Apr / Jul / Oct",{1,4,7,10},IF(Assumptions!$H49="Feb / May / Aug / Nov",{2,5,8,11},{3,6,9,12})),0)),
                          DATE(YEAR(R$7),MONTH(R$7),Assumptions!$G49)&gt;=R$7,
                          DATE(YEAR(R$7),MONTH(R$7),Assumptions!$G49)&lt;=R$8
                        ),
                        AND(
                          ISNUMBER(MATCH(MONTH(R$8),IF(Assumptions!$H49="Jan / Apr / Jul / Oct",{1,4,7,10},IF(Assumptions!$H49="Feb / May / Aug / Nov",{2,5,8,11},{3,6,9,12})),0)),
                          DATE(YEAR(R$8),MONTH(R$8),Assumptions!$G49)&gt;=R$7,
                          DATE(YEAR(R$8),MONTH(R$8),Assumptions!$G49)&lt;=R$8
                        )
                      ),
                    "Yes","No"),
                  "No")
                )
              )
            )
          )
        )
      )
    )
  )
)</f>
        <v>No</v>
      </c>
      <c r="S37" s="59" t="str">
        <f>IF(
  Assumptions!$K49="Off",
  "No",
  IF(
    Assumptions!$F49="I will phase manually",
    "No",
    IF(
      Assumptions!$F49="Last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Assumptions!$F49="End of month",
        IF(
          OR(
            AND(EOMONTH(S$7,0)&gt;=S$7, EOMONTH(S$7,0)&lt;=S$8),
            AND(EOMONTH(S$8,0)&gt;=S$7, EOMONTH(S$8,0)&lt;=S$8)
          ),
        "Yes","No"),
        IF(
          Assumptions!$F49="Specific day of month",
          IF(
            OR(
              AND(DATE(YEAR(S$7),MONTH(S$7),Assumptions!$G49)&gt;=S$7, DATE(YEAR(S$7),MONTH(S$7),Assumptions!$G49)&lt;=S$8),
              AND(DATE(YEAR(S$8),MONTH(S$8),Assumptions!$G49)&gt;=S$7, DATE(YEAR(S$8),MONTH(S$8),Assumptions!$G49)&lt;=S$8)
            ),
          "Yes","No"),
          IF(
            Assumptions!$F49="Last X day of month",
            IF(
              AND(
                WEEKDAY(S$7,2)&lt;=MATCH(Assumptions!$J49,{"Monday","Tuesday","Wednesday","Thursday","Friday"},0),
                WEEKDAY(S$8,2)&gt;=MATCH(Assumptions!$J49,{"Monday","Tuesday","Wednesday","Thursday","Friday"},0),
                (S$7+(MATCH(Assumptions!$J49,{"Monday","Tuesday","Wednesday","Thursday","Friday"},0)-WEEKDAY(S$7,2)))+7&gt;EOMONTH((S$7+(MATCH(Assumptions!$J49,{"Monday","Tuesday","Wednesday","Thursday","Friday"},0)-WEEKDAY(S$7,2))),0)
              ),
            "Yes","No"),
            IF(
              Assumptions!$F49="Weekly",
              IF(
                AND(
                  WEEKDAY(S$7,2)&lt;=MATCH(Assumptions!$J49,{"Monday","Tuesday","Wednesday","Thursday","Friday"},0),
                  WEEKDAY(S$8,2)&gt;=MATCH(Assumptions!$J49,{"Monday","Tuesday","Wednesday","Thursday","Friday"},0)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AND(Assumptions!$I49&gt;=S$7, Assumptions!$I49&lt;=S$8),
                    AND(
                      Assumptions!$I49&lt;S$7,
                      MOD(INT((S$7-(Assumptions!$I49-WEEKDAY(Assumptions!$I49,2)+1))/7),2)=0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AND(Assumptions!$I49&gt;=S$7, Assumptions!$I49&lt;=S$8),
                      AND(
                        Assumptions!$I49&lt;S$7,
                        MOD(INT((S$7-(Assumptions!$I49-WEEKDAY(Assumptions!$I49,2)+1))/7),3)=0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ISNUMBER(MATCH(MONTH(S$7),IF(Assumptions!$H49="Jan / Apr / Jul / Oct",{1,4,7,10},IF(Assumptions!$H49="Feb / May / Aug / Nov",{2,5,8,11},{3,6,9,12})),0)),
                          DATE(YEAR(S$7),MONTH(S$7),Assumptions!$G49)&gt;=S$7,
                          DATE(YEAR(S$7),MONTH(S$7),Assumptions!$G49)&lt;=S$8
                        ),
                        AND(
                          ISNUMBER(MATCH(MONTH(S$8),IF(Assumptions!$H49="Jan / Apr / Jul / Oct",{1,4,7,10},IF(Assumptions!$H49="Feb / May / Aug / Nov",{2,5,8,11},{3,6,9,12})),0)),
                          DATE(YEAR(S$8),MONTH(S$8),Assumptions!$G49)&gt;=S$7,
                          DATE(YEAR(S$8),MONTH(S$8),Assumptions!$G49)&lt;=S$8
                        )
                      ),
                    "Yes","No"),
                  "No")
                )
              )
            )
          )
        )
      )
    )
  )
)</f>
        <v>No</v>
      </c>
      <c r="T37" s="59" t="s">
        <v>124</v>
      </c>
    </row>
    <row r="38" spans="3:20" ht="5.0999999999999996" customHeight="1" x14ac:dyDescent="0.25"/>
    <row r="39" spans="3:20" x14ac:dyDescent="0.25">
      <c r="C39" s="12" t="s">
        <v>131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3:20" ht="5.0999999999999996" customHeight="1" x14ac:dyDescent="0.25"/>
    <row r="41" spans="3:20" collapsed="1" x14ac:dyDescent="0.25">
      <c r="C41" s="1" t="s">
        <v>142</v>
      </c>
      <c r="E41" s="66">
        <f>SUMIFS('Cash actuals'!$F$14:$BE$14, 'Cash actuals'!$F$7:$BE$7, CFF!$E$7)</f>
        <v>0</v>
      </c>
      <c r="G41" s="69">
        <f>SUM(G42:G46)</f>
        <v>0</v>
      </c>
      <c r="H41" s="69">
        <f t="shared" ref="H41:S41" si="4">SUM(H42:H46)</f>
        <v>0</v>
      </c>
      <c r="I41" s="69">
        <f t="shared" si="4"/>
        <v>0</v>
      </c>
      <c r="J41" s="69">
        <f t="shared" si="4"/>
        <v>0</v>
      </c>
      <c r="K41" s="69">
        <f t="shared" si="4"/>
        <v>0</v>
      </c>
      <c r="L41" s="69">
        <f t="shared" si="4"/>
        <v>0</v>
      </c>
      <c r="M41" s="69">
        <f t="shared" si="4"/>
        <v>0</v>
      </c>
      <c r="N41" s="69">
        <f t="shared" si="4"/>
        <v>0</v>
      </c>
      <c r="O41" s="69">
        <f t="shared" si="4"/>
        <v>0</v>
      </c>
      <c r="P41" s="69">
        <f t="shared" si="4"/>
        <v>0</v>
      </c>
      <c r="Q41" s="69">
        <f t="shared" si="4"/>
        <v>0</v>
      </c>
      <c r="R41" s="69">
        <f t="shared" si="4"/>
        <v>0</v>
      </c>
      <c r="S41" s="69">
        <f t="shared" si="4"/>
        <v>0</v>
      </c>
      <c r="T41" s="71">
        <f>SUM(G41:S41)</f>
        <v>0</v>
      </c>
    </row>
    <row r="42" spans="3:20" hidden="1" outlineLevel="1" x14ac:dyDescent="0.25">
      <c r="C42" s="67" t="s">
        <v>143</v>
      </c>
      <c r="E42" s="72"/>
      <c r="G42" s="66">
        <f>SUMIFS(AR[Invoice value inc. VAT], AR[Collection date - output], "&gt;="&amp;CFF!G$7, AR[Collection date - output], "&lt;="&amp;CFF!G$8)</f>
        <v>0</v>
      </c>
      <c r="H42" s="66">
        <f>SUMIFS(AR[Invoice value inc. VAT], AR[Collection date - output], "&gt;="&amp;CFF!H$7, AR[Collection date - output], "&lt;="&amp;CFF!H$8)</f>
        <v>0</v>
      </c>
      <c r="I42" s="66">
        <f>SUMIFS(AR[Invoice value inc. VAT], AR[Collection date - output], "&gt;="&amp;CFF!I$7, AR[Collection date - output], "&lt;="&amp;CFF!I$8)</f>
        <v>0</v>
      </c>
      <c r="J42" s="66">
        <f>SUMIFS(AR[Invoice value inc. VAT], AR[Collection date - output], "&gt;="&amp;CFF!J$7, AR[Collection date - output], "&lt;="&amp;CFF!J$8)</f>
        <v>0</v>
      </c>
      <c r="K42" s="66">
        <f>SUMIFS(AR[Invoice value inc. VAT], AR[Collection date - output], "&gt;="&amp;CFF!K$7, AR[Collection date - output], "&lt;="&amp;CFF!K$8)</f>
        <v>0</v>
      </c>
      <c r="L42" s="66">
        <f>SUMIFS(AR[Invoice value inc. VAT], AR[Collection date - output], "&gt;="&amp;CFF!L$7, AR[Collection date - output], "&lt;="&amp;CFF!L$8)</f>
        <v>0</v>
      </c>
      <c r="M42" s="66">
        <f>SUMIFS(AR[Invoice value inc. VAT], AR[Collection date - output], "&gt;="&amp;CFF!M$7, AR[Collection date - output], "&lt;="&amp;CFF!M$8)</f>
        <v>0</v>
      </c>
      <c r="N42" s="66">
        <f>SUMIFS(AR[Invoice value inc. VAT], AR[Collection date - output], "&gt;="&amp;CFF!N$7, AR[Collection date - output], "&lt;="&amp;CFF!N$8)</f>
        <v>0</v>
      </c>
      <c r="O42" s="66">
        <f>SUMIFS(AR[Invoice value inc. VAT], AR[Collection date - output], "&gt;="&amp;CFF!O$7, AR[Collection date - output], "&lt;="&amp;CFF!O$8)</f>
        <v>0</v>
      </c>
      <c r="P42" s="66">
        <f>SUMIFS(AR[Invoice value inc. VAT], AR[Collection date - output], "&gt;="&amp;CFF!P$7, AR[Collection date - output], "&lt;="&amp;CFF!P$8)</f>
        <v>0</v>
      </c>
      <c r="Q42" s="66">
        <f>SUMIFS(AR[Invoice value inc. VAT], AR[Collection date - output], "&gt;="&amp;CFF!Q$7, AR[Collection date - output], "&lt;="&amp;CFF!Q$8)</f>
        <v>0</v>
      </c>
      <c r="R42" s="66">
        <f>SUMIFS(AR[Invoice value inc. VAT], AR[Collection date - output], "&gt;="&amp;CFF!R$7, AR[Collection date - output], "&lt;="&amp;CFF!R$8)</f>
        <v>0</v>
      </c>
      <c r="S42" s="66">
        <f>SUMIFS(AR[Invoice value inc. VAT], AR[Collection date - output], "&gt;="&amp;CFF!S$7, AR[Collection date - output], "&lt;="&amp;CFF!S$8)</f>
        <v>0</v>
      </c>
      <c r="T42" s="70">
        <f t="shared" ref="T42:T46" si="5">SUM(G42:S42)</f>
        <v>0</v>
      </c>
    </row>
    <row r="43" spans="3:20" hidden="1" outlineLevel="1" x14ac:dyDescent="0.25">
      <c r="C43" s="67" t="s">
        <v>144</v>
      </c>
      <c r="E43" s="72"/>
      <c r="G43" s="66">
        <f>SUMIFS(SO[Value inc. GST], SO[Collection date - output], "&gt;="&amp;CFF!G$7, SO[Collection date - output], "&lt;="&amp;CFF!G$8)</f>
        <v>0</v>
      </c>
      <c r="H43" s="66">
        <f>SUMIFS(SO[Value inc. GST], SO[Collection date - output], "&gt;="&amp;CFF!H$7, SO[Collection date - output], "&lt;="&amp;CFF!H$8)</f>
        <v>0</v>
      </c>
      <c r="I43" s="66">
        <f>SUMIFS(SO[Value inc. GST], SO[Collection date - output], "&gt;="&amp;CFF!I$7, SO[Collection date - output], "&lt;="&amp;CFF!I$8)</f>
        <v>0</v>
      </c>
      <c r="J43" s="66">
        <f>SUMIFS(SO[Value inc. GST], SO[Collection date - output], "&gt;="&amp;CFF!J$7, SO[Collection date - output], "&lt;="&amp;CFF!J$8)</f>
        <v>0</v>
      </c>
      <c r="K43" s="66">
        <f>SUMIFS(SO[Value inc. GST], SO[Collection date - output], "&gt;="&amp;CFF!K$7, SO[Collection date - output], "&lt;="&amp;CFF!K$8)</f>
        <v>0</v>
      </c>
      <c r="L43" s="66">
        <f>SUMIFS(SO[Value inc. GST], SO[Collection date - output], "&gt;="&amp;CFF!L$7, SO[Collection date - output], "&lt;="&amp;CFF!L$8)</f>
        <v>0</v>
      </c>
      <c r="M43" s="66">
        <f>SUMIFS(SO[Value inc. GST], SO[Collection date - output], "&gt;="&amp;CFF!M$7, SO[Collection date - output], "&lt;="&amp;CFF!M$8)</f>
        <v>0</v>
      </c>
      <c r="N43" s="66">
        <f>SUMIFS(SO[Value inc. GST], SO[Collection date - output], "&gt;="&amp;CFF!N$7, SO[Collection date - output], "&lt;="&amp;CFF!N$8)</f>
        <v>0</v>
      </c>
      <c r="O43" s="66">
        <f>SUMIFS(SO[Value inc. GST], SO[Collection date - output], "&gt;="&amp;CFF!O$7, SO[Collection date - output], "&lt;="&amp;CFF!O$8)</f>
        <v>0</v>
      </c>
      <c r="P43" s="66">
        <f>SUMIFS(SO[Value inc. GST], SO[Collection date - output], "&gt;="&amp;CFF!P$7, SO[Collection date - output], "&lt;="&amp;CFF!P$8)</f>
        <v>0</v>
      </c>
      <c r="Q43" s="66">
        <f>SUMIFS(SO[Value inc. GST], SO[Collection date - output], "&gt;="&amp;CFF!Q$7, SO[Collection date - output], "&lt;="&amp;CFF!Q$8)</f>
        <v>0</v>
      </c>
      <c r="R43" s="66">
        <f>SUMIFS(SO[Value inc. GST], SO[Collection date - output], "&gt;="&amp;CFF!R$7, SO[Collection date - output], "&lt;="&amp;CFF!R$8)</f>
        <v>0</v>
      </c>
      <c r="S43" s="66">
        <f>SUMIFS(SO[Value inc. GST], SO[Collection date - output], "&gt;="&amp;CFF!S$7, SO[Collection date - output], "&lt;="&amp;CFF!S$8)</f>
        <v>0</v>
      </c>
      <c r="T43" s="70">
        <f t="shared" si="5"/>
        <v>0</v>
      </c>
    </row>
    <row r="44" spans="3:20" hidden="1" outlineLevel="1" x14ac:dyDescent="0.25">
      <c r="C44" s="68" t="s">
        <v>128</v>
      </c>
      <c r="E44" s="72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70">
        <f t="shared" si="5"/>
        <v>0</v>
      </c>
    </row>
    <row r="45" spans="3:20" hidden="1" outlineLevel="1" x14ac:dyDescent="0.25">
      <c r="C45" s="68" t="s">
        <v>128</v>
      </c>
      <c r="E45" s="72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70">
        <f t="shared" si="5"/>
        <v>0</v>
      </c>
    </row>
    <row r="46" spans="3:20" hidden="1" outlineLevel="1" x14ac:dyDescent="0.25">
      <c r="C46" s="68" t="s">
        <v>128</v>
      </c>
      <c r="E46" s="72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70">
        <f t="shared" si="5"/>
        <v>0</v>
      </c>
    </row>
    <row r="47" spans="3:20" ht="5.0999999999999996" customHeight="1" x14ac:dyDescent="0.25">
      <c r="E47" s="72"/>
    </row>
    <row r="48" spans="3:20" collapsed="1" x14ac:dyDescent="0.25">
      <c r="C48" s="1" t="s">
        <v>8</v>
      </c>
      <c r="E48" s="66">
        <f>SUMIFS('Cash actuals'!$F$16:$BE$16, 'Cash actuals'!$F$7:$BE$7, CFF!$E$7)</f>
        <v>0</v>
      </c>
      <c r="G48" s="69">
        <f>SUM(G49:G51)</f>
        <v>0</v>
      </c>
      <c r="H48" s="69">
        <f t="shared" ref="H48:S48" si="6">SUM(H49:H51)</f>
        <v>0</v>
      </c>
      <c r="I48" s="69">
        <f t="shared" si="6"/>
        <v>0</v>
      </c>
      <c r="J48" s="69">
        <f t="shared" si="6"/>
        <v>0</v>
      </c>
      <c r="K48" s="69">
        <f t="shared" si="6"/>
        <v>0</v>
      </c>
      <c r="L48" s="69">
        <f t="shared" si="6"/>
        <v>0</v>
      </c>
      <c r="M48" s="69">
        <f t="shared" si="6"/>
        <v>0</v>
      </c>
      <c r="N48" s="69">
        <f t="shared" si="6"/>
        <v>0</v>
      </c>
      <c r="O48" s="69">
        <f t="shared" si="6"/>
        <v>0</v>
      </c>
      <c r="P48" s="69">
        <f t="shared" si="6"/>
        <v>0</v>
      </c>
      <c r="Q48" s="69">
        <f t="shared" si="6"/>
        <v>0</v>
      </c>
      <c r="R48" s="69">
        <f t="shared" si="6"/>
        <v>0</v>
      </c>
      <c r="S48" s="69">
        <f t="shared" si="6"/>
        <v>0</v>
      </c>
      <c r="T48" s="71">
        <f>SUM(G48:S48)</f>
        <v>0</v>
      </c>
    </row>
    <row r="49" spans="3:20" hidden="1" outlineLevel="1" x14ac:dyDescent="0.25">
      <c r="C49" s="68" t="s">
        <v>128</v>
      </c>
      <c r="E49" s="72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70">
        <f t="shared" ref="T49:T51" si="7">SUM(G49:S49)</f>
        <v>0</v>
      </c>
    </row>
    <row r="50" spans="3:20" hidden="1" outlineLevel="1" x14ac:dyDescent="0.25">
      <c r="C50" s="68" t="s">
        <v>128</v>
      </c>
      <c r="E50" s="72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70">
        <f t="shared" si="7"/>
        <v>0</v>
      </c>
    </row>
    <row r="51" spans="3:20" hidden="1" outlineLevel="1" x14ac:dyDescent="0.25">
      <c r="C51" s="68" t="s">
        <v>128</v>
      </c>
      <c r="E51" s="72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70">
        <f t="shared" si="7"/>
        <v>0</v>
      </c>
    </row>
    <row r="52" spans="3:20" ht="5.0999999999999996" customHeight="1" x14ac:dyDescent="0.25">
      <c r="E52" s="72"/>
    </row>
    <row r="53" spans="3:20" x14ac:dyDescent="0.25">
      <c r="C53" s="14" t="s">
        <v>132</v>
      </c>
      <c r="E53" s="101">
        <f>E41 + E48</f>
        <v>0</v>
      </c>
      <c r="G53" s="73">
        <f>G41 + G48</f>
        <v>0</v>
      </c>
      <c r="H53" s="73">
        <f t="shared" ref="H53:T53" si="8">H41 + H48</f>
        <v>0</v>
      </c>
      <c r="I53" s="73">
        <f t="shared" si="8"/>
        <v>0</v>
      </c>
      <c r="J53" s="73">
        <f t="shared" si="8"/>
        <v>0</v>
      </c>
      <c r="K53" s="73">
        <f t="shared" si="8"/>
        <v>0</v>
      </c>
      <c r="L53" s="73">
        <f t="shared" si="8"/>
        <v>0</v>
      </c>
      <c r="M53" s="73">
        <f t="shared" si="8"/>
        <v>0</v>
      </c>
      <c r="N53" s="73">
        <f t="shared" si="8"/>
        <v>0</v>
      </c>
      <c r="O53" s="73">
        <f t="shared" si="8"/>
        <v>0</v>
      </c>
      <c r="P53" s="73">
        <f t="shared" si="8"/>
        <v>0</v>
      </c>
      <c r="Q53" s="73">
        <f t="shared" si="8"/>
        <v>0</v>
      </c>
      <c r="R53" s="73">
        <f t="shared" si="8"/>
        <v>0</v>
      </c>
      <c r="S53" s="73">
        <f t="shared" si="8"/>
        <v>0</v>
      </c>
      <c r="T53" s="73">
        <f t="shared" si="8"/>
        <v>0</v>
      </c>
    </row>
    <row r="54" spans="3:20" x14ac:dyDescent="0.25"/>
    <row r="55" spans="3:20" x14ac:dyDescent="0.25">
      <c r="C55" s="12" t="s">
        <v>133</v>
      </c>
      <c r="D55" s="13"/>
      <c r="E55" s="13"/>
      <c r="F55" s="13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3:20" ht="5.0999999999999996" customHeight="1" x14ac:dyDescent="0.25"/>
    <row r="57" spans="3:20" collapsed="1" x14ac:dyDescent="0.25">
      <c r="C57" s="1">
        <f>Assumptions!$D$24</f>
        <v>0</v>
      </c>
      <c r="E57" s="66">
        <f>SUMIFS('Cash actuals'!$F$22:$BE$22, 'Cash actuals'!$F$7:$BE$7, CFF!$E$7)</f>
        <v>0</v>
      </c>
      <c r="G57" s="69">
        <f>IF( SUM(G59:G60) &lt; G58, SUM(G59:G60), IF( SUM(G59:G60) &gt; G58, G58, 0)) + SUM(G61:G63)</f>
        <v>0</v>
      </c>
      <c r="H57" s="69">
        <f t="shared" ref="H57" si="9">IF( SUM(H59:H60) &lt; H58, SUM(H59:H60), IF( SUM(H59:H60) &gt; H58, H58, 0))</f>
        <v>0</v>
      </c>
      <c r="I57" s="69">
        <f t="shared" ref="I57" si="10">IF( SUM(I59:I60) &lt; I58, SUM(I59:I60), IF( SUM(I59:I60) &gt; I58, I58, 0))</f>
        <v>0</v>
      </c>
      <c r="J57" s="69">
        <f t="shared" ref="J57" si="11">IF( SUM(J59:J60) &lt; J58, SUM(J59:J60), IF( SUM(J59:J60) &gt; J58, J58, 0))</f>
        <v>0</v>
      </c>
      <c r="K57" s="69">
        <f t="shared" ref="K57" si="12">IF( SUM(K59:K60) &lt; K58, SUM(K59:K60), IF( SUM(K59:K60) &gt; K58, K58, 0))</f>
        <v>0</v>
      </c>
      <c r="L57" s="69">
        <f t="shared" ref="L57" si="13">IF( SUM(L59:L60) &lt; L58, SUM(L59:L60), IF( SUM(L59:L60) &gt; L58, L58, 0))</f>
        <v>0</v>
      </c>
      <c r="M57" s="69">
        <f t="shared" ref="M57" si="14">IF( SUM(M59:M60) &lt; M58, SUM(M59:M60), IF( SUM(M59:M60) &gt; M58, M58, 0))</f>
        <v>0</v>
      </c>
      <c r="N57" s="69">
        <f t="shared" ref="N57" si="15">IF( SUM(N59:N60) &lt; N58, SUM(N59:N60), IF( SUM(N59:N60) &gt; N58, N58, 0))</f>
        <v>0</v>
      </c>
      <c r="O57" s="69">
        <f t="shared" ref="O57" si="16">IF( SUM(O59:O60) &lt; O58, SUM(O59:O60), IF( SUM(O59:O60) &gt; O58, O58, 0))</f>
        <v>0</v>
      </c>
      <c r="P57" s="69">
        <f t="shared" ref="P57" si="17">IF( SUM(P59:P60) &lt; P58, SUM(P59:P60), IF( SUM(P59:P60) &gt; P58, P58, 0))</f>
        <v>0</v>
      </c>
      <c r="Q57" s="69">
        <f t="shared" ref="Q57" si="18">IF( SUM(Q59:Q60) &lt; Q58, SUM(Q59:Q60), IF( SUM(Q59:Q60) &gt; Q58, Q58, 0))</f>
        <v>0</v>
      </c>
      <c r="R57" s="69">
        <f t="shared" ref="R57" si="19">IF( SUM(R59:R60) &lt; R58, SUM(R59:R60), IF( SUM(R59:R60) &gt; R58, R58, 0))</f>
        <v>0</v>
      </c>
      <c r="S57" s="69">
        <f t="shared" ref="S57" si="20">IF( SUM(S59:S60) &lt; S58, SUM(S59:S60), IF( SUM(S59:S60) &gt; S58, S58, 0))</f>
        <v>0</v>
      </c>
      <c r="T57" s="71">
        <f>SUM(G57:S57)</f>
        <v>0</v>
      </c>
    </row>
    <row r="58" spans="3:20" hidden="1" outlineLevel="1" x14ac:dyDescent="0.25">
      <c r="C58" s="67" t="s">
        <v>125</v>
      </c>
      <c r="E58" s="58"/>
      <c r="G58" s="66">
        <f>-IF(G12 = "Yes", Assumptions!$E24, 0)</f>
        <v>0</v>
      </c>
      <c r="H58" s="66">
        <f>-IF(H12 = "Yes", Assumptions!$E24, 0)</f>
        <v>0</v>
      </c>
      <c r="I58" s="66">
        <f>-IF(I12 = "Yes", Assumptions!$E24, 0)</f>
        <v>0</v>
      </c>
      <c r="J58" s="66">
        <f>-IF(J12 = "Yes", Assumptions!$E24, 0)</f>
        <v>0</v>
      </c>
      <c r="K58" s="66">
        <f>-IF(K12 = "Yes", Assumptions!$E24, 0)</f>
        <v>0</v>
      </c>
      <c r="L58" s="66">
        <f>-IF(L12 = "Yes", Assumptions!$E24, 0)</f>
        <v>0</v>
      </c>
      <c r="M58" s="66">
        <f>-IF(M12 = "Yes", Assumptions!$E24, 0)</f>
        <v>0</v>
      </c>
      <c r="N58" s="66">
        <f>-IF(N12 = "Yes", Assumptions!$E24, 0)</f>
        <v>0</v>
      </c>
      <c r="O58" s="66">
        <f>-IF(O12 = "Yes", Assumptions!$E24, 0)</f>
        <v>0</v>
      </c>
      <c r="P58" s="66">
        <f>-IF(P12 = "Yes", Assumptions!$E24, 0)</f>
        <v>0</v>
      </c>
      <c r="Q58" s="66">
        <f>-IF(Q12 = "Yes", Assumptions!$E24, 0)</f>
        <v>0</v>
      </c>
      <c r="R58" s="66">
        <f>-IF(R12 = "Yes", Assumptions!$E24, 0)</f>
        <v>0</v>
      </c>
      <c r="S58" s="66">
        <f>-IF(S12 = "Yes", Assumptions!$E24, 0)</f>
        <v>0</v>
      </c>
      <c r="T58" s="70">
        <f t="shared" ref="T58:T63" si="21">SUM(G58:S58)</f>
        <v>0</v>
      </c>
    </row>
    <row r="59" spans="3:20" hidden="1" outlineLevel="1" x14ac:dyDescent="0.25">
      <c r="C59" s="67" t="s">
        <v>126</v>
      </c>
      <c r="E59" s="58"/>
      <c r="G59" s="66">
        <f>-SUMIFS(AP[Invoice value inc. GST], AP[Payment date - output], "&gt;="&amp;CFF!G$7, AP[Payment date - output], "&lt;="&amp;CFF!G$8, AP[Spend category L2 - Output], CFF!$C57)</f>
        <v>0</v>
      </c>
      <c r="H59" s="66">
        <f>-SUMIFS(AP[Invoice value inc. GST], AP[Payment date - output], "&gt;="&amp;CFF!H$7, AP[Payment date - output], "&lt;="&amp;CFF!H$8, AP[Spend category L2 - Output], CFF!$C57)</f>
        <v>0</v>
      </c>
      <c r="I59" s="66">
        <f>-SUMIFS(AP[Invoice value inc. GST], AP[Payment date - output], "&gt;="&amp;CFF!I$7, AP[Payment date - output], "&lt;="&amp;CFF!I$8, AP[Spend category L2 - Output], CFF!$C57)</f>
        <v>0</v>
      </c>
      <c r="J59" s="66">
        <f>-SUMIFS(AP[Invoice value inc. GST], AP[Payment date - output], "&gt;="&amp;CFF!J$7, AP[Payment date - output], "&lt;="&amp;CFF!J$8, AP[Spend category L2 - Output], CFF!$C57)</f>
        <v>0</v>
      </c>
      <c r="K59" s="66">
        <f>-SUMIFS(AP[Invoice value inc. GST], AP[Payment date - output], "&gt;="&amp;CFF!K$7, AP[Payment date - output], "&lt;="&amp;CFF!K$8, AP[Spend category L2 - Output], CFF!$C57)</f>
        <v>0</v>
      </c>
      <c r="L59" s="66">
        <f>-SUMIFS(AP[Invoice value inc. GST], AP[Payment date - output], "&gt;="&amp;CFF!L$7, AP[Payment date - output], "&lt;="&amp;CFF!L$8, AP[Spend category L2 - Output], CFF!$C57)</f>
        <v>0</v>
      </c>
      <c r="M59" s="66">
        <f>-SUMIFS(AP[Invoice value inc. GST], AP[Payment date - output], "&gt;="&amp;CFF!M$7, AP[Payment date - output], "&lt;="&amp;CFF!M$8, AP[Spend category L2 - Output], CFF!$C57)</f>
        <v>0</v>
      </c>
      <c r="N59" s="66">
        <f>-SUMIFS(AP[Invoice value inc. GST], AP[Payment date - output], "&gt;="&amp;CFF!N$7, AP[Payment date - output], "&lt;="&amp;CFF!N$8, AP[Spend category L2 - Output], CFF!$C57)</f>
        <v>0</v>
      </c>
      <c r="O59" s="66">
        <f>-SUMIFS(AP[Invoice value inc. GST], AP[Payment date - output], "&gt;="&amp;CFF!O$7, AP[Payment date - output], "&lt;="&amp;CFF!O$8, AP[Spend category L2 - Output], CFF!$C57)</f>
        <v>0</v>
      </c>
      <c r="P59" s="66">
        <f>-SUMIFS(AP[Invoice value inc. GST], AP[Payment date - output], "&gt;="&amp;CFF!P$7, AP[Payment date - output], "&lt;="&amp;CFF!P$8, AP[Spend category L2 - Output], CFF!$C57)</f>
        <v>0</v>
      </c>
      <c r="Q59" s="66">
        <f>-SUMIFS(AP[Invoice value inc. GST], AP[Payment date - output], "&gt;="&amp;CFF!Q$7, AP[Payment date - output], "&lt;="&amp;CFF!Q$8, AP[Spend category L2 - Output], CFF!$C57)</f>
        <v>0</v>
      </c>
      <c r="R59" s="66">
        <f>-SUMIFS(AP[Invoice value inc. GST], AP[Payment date - output], "&gt;="&amp;CFF!R$7, AP[Payment date - output], "&lt;="&amp;CFF!R$8, AP[Spend category L2 - Output], CFF!$C57)</f>
        <v>0</v>
      </c>
      <c r="S59" s="66">
        <f>-SUMIFS(AP[Invoice value inc. GST], AP[Payment date - output], "&gt;="&amp;CFF!S$7, AP[Payment date - output], "&lt;="&amp;CFF!S$8, AP[Spend category L2 - Output], CFF!$C57)</f>
        <v>0</v>
      </c>
      <c r="T59" s="70">
        <f t="shared" si="21"/>
        <v>0</v>
      </c>
    </row>
    <row r="60" spans="3:20" hidden="1" outlineLevel="1" x14ac:dyDescent="0.25">
      <c r="C60" s="67" t="s">
        <v>127</v>
      </c>
      <c r="E60" s="58"/>
      <c r="G60" s="66">
        <f>-SUMIFS(PO[Value inc. GST], PO[Payment date - output], "&gt;="&amp;CFF!G$7, PO[Payment date - output], "&lt;="&amp;CFF!G$8, PO[Spend category L2 - Output], CFF!$C57)</f>
        <v>0</v>
      </c>
      <c r="H60" s="66">
        <f>-SUMIFS(PO[Value inc. GST], PO[Payment date - output], "&gt;="&amp;CFF!H$7, PO[Payment date - output], "&lt;="&amp;CFF!H$8, PO[Spend category L2 - Output], CFF!$C57)</f>
        <v>0</v>
      </c>
      <c r="I60" s="66">
        <f>-SUMIFS(PO[Value inc. GST], PO[Payment date - output], "&gt;="&amp;CFF!I$7, PO[Payment date - output], "&lt;="&amp;CFF!I$8, PO[Spend category L2 - Output], CFF!$C57)</f>
        <v>0</v>
      </c>
      <c r="J60" s="66">
        <f>-SUMIFS(PO[Value inc. GST], PO[Payment date - output], "&gt;="&amp;CFF!J$7, PO[Payment date - output], "&lt;="&amp;CFF!J$8, PO[Spend category L2 - Output], CFF!$C57)</f>
        <v>0</v>
      </c>
      <c r="K60" s="66">
        <f>-SUMIFS(PO[Value inc. GST], PO[Payment date - output], "&gt;="&amp;CFF!K$7, PO[Payment date - output], "&lt;="&amp;CFF!K$8, PO[Spend category L2 - Output], CFF!$C57)</f>
        <v>0</v>
      </c>
      <c r="L60" s="66">
        <f>-SUMIFS(PO[Value inc. GST], PO[Payment date - output], "&gt;="&amp;CFF!L$7, PO[Payment date - output], "&lt;="&amp;CFF!L$8, PO[Spend category L2 - Output], CFF!$C57)</f>
        <v>0</v>
      </c>
      <c r="M60" s="66">
        <f>-SUMIFS(PO[Value inc. GST], PO[Payment date - output], "&gt;="&amp;CFF!M$7, PO[Payment date - output], "&lt;="&amp;CFF!M$8, PO[Spend category L2 - Output], CFF!$C57)</f>
        <v>0</v>
      </c>
      <c r="N60" s="66">
        <f>-SUMIFS(PO[Value inc. GST], PO[Payment date - output], "&gt;="&amp;CFF!N$7, PO[Payment date - output], "&lt;="&amp;CFF!N$8, PO[Spend category L2 - Output], CFF!$C57)</f>
        <v>0</v>
      </c>
      <c r="O60" s="66">
        <f>-SUMIFS(PO[Value inc. GST], PO[Payment date - output], "&gt;="&amp;CFF!O$7, PO[Payment date - output], "&lt;="&amp;CFF!O$8, PO[Spend category L2 - Output], CFF!$C57)</f>
        <v>0</v>
      </c>
      <c r="P60" s="66">
        <f>-SUMIFS(PO[Value inc. GST], PO[Payment date - output], "&gt;="&amp;CFF!P$7, PO[Payment date - output], "&lt;="&amp;CFF!P$8, PO[Spend category L2 - Output], CFF!$C57)</f>
        <v>0</v>
      </c>
      <c r="Q60" s="66">
        <f>-SUMIFS(PO[Value inc. GST], PO[Payment date - output], "&gt;="&amp;CFF!Q$7, PO[Payment date - output], "&lt;="&amp;CFF!Q$8, PO[Spend category L2 - Output], CFF!$C57)</f>
        <v>0</v>
      </c>
      <c r="R60" s="66">
        <f>-SUMIFS(PO[Value inc. GST], PO[Payment date - output], "&gt;="&amp;CFF!R$7, PO[Payment date - output], "&lt;="&amp;CFF!R$8, PO[Spend category L2 - Output], CFF!$C57)</f>
        <v>0</v>
      </c>
      <c r="S60" s="66">
        <f>-SUMIFS(PO[Value inc. GST], PO[Payment date - output], "&gt;="&amp;CFF!S$7, PO[Payment date - output], "&lt;="&amp;CFF!S$8, PO[Spend category L2 - Output], CFF!$C57)</f>
        <v>0</v>
      </c>
      <c r="T60" s="70">
        <f t="shared" si="21"/>
        <v>0</v>
      </c>
    </row>
    <row r="61" spans="3:20" hidden="1" outlineLevel="1" x14ac:dyDescent="0.25">
      <c r="C61" s="68" t="s">
        <v>128</v>
      </c>
      <c r="E61" s="58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70">
        <f t="shared" si="21"/>
        <v>0</v>
      </c>
    </row>
    <row r="62" spans="3:20" hidden="1" outlineLevel="1" x14ac:dyDescent="0.25">
      <c r="C62" s="68" t="s">
        <v>128</v>
      </c>
      <c r="E62" s="58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70">
        <f t="shared" si="21"/>
        <v>0</v>
      </c>
    </row>
    <row r="63" spans="3:20" hidden="1" outlineLevel="1" x14ac:dyDescent="0.25">
      <c r="C63" s="68" t="s">
        <v>128</v>
      </c>
      <c r="E63" s="58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70">
        <f t="shared" si="21"/>
        <v>0</v>
      </c>
    </row>
    <row r="64" spans="3:20" ht="5.0999999999999996" customHeight="1" x14ac:dyDescent="0.25">
      <c r="E64" s="58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</row>
    <row r="65" spans="3:20" collapsed="1" x14ac:dyDescent="0.25">
      <c r="C65" s="1">
        <f>Assumptions!$D$25</f>
        <v>0</v>
      </c>
      <c r="E65" s="66">
        <f>SUMIFS('Cash actuals'!$F$24:$BE$24, 'Cash actuals'!$F$7:$BE$7, CFF!$E$7)</f>
        <v>0</v>
      </c>
      <c r="G65" s="69">
        <f>IF( SUM(G67:G68) &lt; G66, SUM(G67:G68), IF( SUM(G67:G68) &gt; G66, G66, 0)) + SUM(G69:G71)</f>
        <v>0</v>
      </c>
      <c r="H65" s="69">
        <f t="shared" ref="H65" si="22">IF( SUM(H67:H68) &lt; H66, SUM(H67:H68), IF( SUM(H67:H68) &gt; H66, H66, 0))</f>
        <v>0</v>
      </c>
      <c r="I65" s="69">
        <f t="shared" ref="I65" si="23">IF( SUM(I67:I68) &lt; I66, SUM(I67:I68), IF( SUM(I67:I68) &gt; I66, I66, 0))</f>
        <v>0</v>
      </c>
      <c r="J65" s="69">
        <f t="shared" ref="J65" si="24">IF( SUM(J67:J68) &lt; J66, SUM(J67:J68), IF( SUM(J67:J68) &gt; J66, J66, 0))</f>
        <v>0</v>
      </c>
      <c r="K65" s="69">
        <f t="shared" ref="K65" si="25">IF( SUM(K67:K68) &lt; K66, SUM(K67:K68), IF( SUM(K67:K68) &gt; K66, K66, 0))</f>
        <v>0</v>
      </c>
      <c r="L65" s="69">
        <f t="shared" ref="L65" si="26">IF( SUM(L67:L68) &lt; L66, SUM(L67:L68), IF( SUM(L67:L68) &gt; L66, L66, 0))</f>
        <v>0</v>
      </c>
      <c r="M65" s="69">
        <f t="shared" ref="M65" si="27">IF( SUM(M67:M68) &lt; M66, SUM(M67:M68), IF( SUM(M67:M68) &gt; M66, M66, 0))</f>
        <v>0</v>
      </c>
      <c r="N65" s="69">
        <f t="shared" ref="N65" si="28">IF( SUM(N67:N68) &lt; N66, SUM(N67:N68), IF( SUM(N67:N68) &gt; N66, N66, 0))</f>
        <v>0</v>
      </c>
      <c r="O65" s="69">
        <f t="shared" ref="O65" si="29">IF( SUM(O67:O68) &lt; O66, SUM(O67:O68), IF( SUM(O67:O68) &gt; O66, O66, 0))</f>
        <v>0</v>
      </c>
      <c r="P65" s="69">
        <f t="shared" ref="P65" si="30">IF( SUM(P67:P68) &lt; P66, SUM(P67:P68), IF( SUM(P67:P68) &gt; P66, P66, 0))</f>
        <v>0</v>
      </c>
      <c r="Q65" s="69">
        <f t="shared" ref="Q65" si="31">IF( SUM(Q67:Q68) &lt; Q66, SUM(Q67:Q68), IF( SUM(Q67:Q68) &gt; Q66, Q66, 0))</f>
        <v>0</v>
      </c>
      <c r="R65" s="69">
        <f t="shared" ref="R65" si="32">IF( SUM(R67:R68) &lt; R66, SUM(R67:R68), IF( SUM(R67:R68) &gt; R66, R66, 0))</f>
        <v>0</v>
      </c>
      <c r="S65" s="69">
        <f t="shared" ref="S65" si="33">IF( SUM(S67:S68) &lt; S66, SUM(S67:S68), IF( SUM(S67:S68) &gt; S66, S66, 0))</f>
        <v>0</v>
      </c>
      <c r="T65" s="71">
        <f>SUM(G65:S65)</f>
        <v>0</v>
      </c>
    </row>
    <row r="66" spans="3:20" hidden="1" outlineLevel="1" x14ac:dyDescent="0.25">
      <c r="C66" s="67" t="s">
        <v>125</v>
      </c>
      <c r="E66" s="58"/>
      <c r="G66" s="66">
        <f>-IF(G13 = "Yes", Assumptions!$E25, 0)</f>
        <v>0</v>
      </c>
      <c r="H66" s="66">
        <f>-IF(H13 = "Yes", Assumptions!$E25, 0)</f>
        <v>0</v>
      </c>
      <c r="I66" s="66">
        <f>-IF(I13 = "Yes", Assumptions!$E25, 0)</f>
        <v>0</v>
      </c>
      <c r="J66" s="66">
        <f>-IF(J13 = "Yes", Assumptions!$E25, 0)</f>
        <v>0</v>
      </c>
      <c r="K66" s="66">
        <f>-IF(K13 = "Yes", Assumptions!$E25, 0)</f>
        <v>0</v>
      </c>
      <c r="L66" s="66">
        <f>-IF(L13 = "Yes", Assumptions!$E25, 0)</f>
        <v>0</v>
      </c>
      <c r="M66" s="66">
        <f>-IF(M13 = "Yes", Assumptions!$E25, 0)</f>
        <v>0</v>
      </c>
      <c r="N66" s="66">
        <f>-IF(N13 = "Yes", Assumptions!$E25, 0)</f>
        <v>0</v>
      </c>
      <c r="O66" s="66">
        <f>-IF(O13 = "Yes", Assumptions!$E25, 0)</f>
        <v>0</v>
      </c>
      <c r="P66" s="66">
        <f>-IF(P13 = "Yes", Assumptions!$E25, 0)</f>
        <v>0</v>
      </c>
      <c r="Q66" s="66">
        <f>-IF(Q13 = "Yes", Assumptions!$E25, 0)</f>
        <v>0</v>
      </c>
      <c r="R66" s="66">
        <f>-IF(R13 = "Yes", Assumptions!$E25, 0)</f>
        <v>0</v>
      </c>
      <c r="S66" s="66">
        <f>-IF(S13 = "Yes", Assumptions!$E25, 0)</f>
        <v>0</v>
      </c>
      <c r="T66" s="70">
        <f t="shared" ref="T66:T71" si="34">SUM(G66:S66)</f>
        <v>0</v>
      </c>
    </row>
    <row r="67" spans="3:20" hidden="1" outlineLevel="1" x14ac:dyDescent="0.25">
      <c r="C67" s="67" t="s">
        <v>126</v>
      </c>
      <c r="E67" s="58"/>
      <c r="G67" s="66">
        <f>-SUMIFS(AP[Invoice value inc. GST], AP[Payment date - output], "&gt;="&amp;CFF!G$7, AP[Payment date - output], "&lt;="&amp;CFF!G$8, AP[Spend category L2 - Output], CFF!$C65)</f>
        <v>0</v>
      </c>
      <c r="H67" s="66">
        <f>-SUMIFS(AP[Invoice value inc. GST], AP[Payment date - output], "&gt;="&amp;CFF!H$7, AP[Payment date - output], "&lt;="&amp;CFF!H$8, AP[Spend category L2 - Output], CFF!$C65)</f>
        <v>0</v>
      </c>
      <c r="I67" s="66">
        <f>-SUMIFS(AP[Invoice value inc. GST], AP[Payment date - output], "&gt;="&amp;CFF!I$7, AP[Payment date - output], "&lt;="&amp;CFF!I$8, AP[Spend category L2 - Output], CFF!$C65)</f>
        <v>0</v>
      </c>
      <c r="J67" s="66">
        <f>-SUMIFS(AP[Invoice value inc. GST], AP[Payment date - output], "&gt;="&amp;CFF!J$7, AP[Payment date - output], "&lt;="&amp;CFF!J$8, AP[Spend category L2 - Output], CFF!$C65)</f>
        <v>0</v>
      </c>
      <c r="K67" s="66">
        <f>-SUMIFS(AP[Invoice value inc. GST], AP[Payment date - output], "&gt;="&amp;CFF!K$7, AP[Payment date - output], "&lt;="&amp;CFF!K$8, AP[Spend category L2 - Output], CFF!$C65)</f>
        <v>0</v>
      </c>
      <c r="L67" s="66">
        <f>-SUMIFS(AP[Invoice value inc. GST], AP[Payment date - output], "&gt;="&amp;CFF!L$7, AP[Payment date - output], "&lt;="&amp;CFF!L$8, AP[Spend category L2 - Output], CFF!$C65)</f>
        <v>0</v>
      </c>
      <c r="M67" s="66">
        <f>-SUMIFS(AP[Invoice value inc. GST], AP[Payment date - output], "&gt;="&amp;CFF!M$7, AP[Payment date - output], "&lt;="&amp;CFF!M$8, AP[Spend category L2 - Output], CFF!$C65)</f>
        <v>0</v>
      </c>
      <c r="N67" s="66">
        <f>-SUMIFS(AP[Invoice value inc. GST], AP[Payment date - output], "&gt;="&amp;CFF!N$7, AP[Payment date - output], "&lt;="&amp;CFF!N$8, AP[Spend category L2 - Output], CFF!$C65)</f>
        <v>0</v>
      </c>
      <c r="O67" s="66">
        <f>-SUMIFS(AP[Invoice value inc. GST], AP[Payment date - output], "&gt;="&amp;CFF!O$7, AP[Payment date - output], "&lt;="&amp;CFF!O$8, AP[Spend category L2 - Output], CFF!$C65)</f>
        <v>0</v>
      </c>
      <c r="P67" s="66">
        <f>-SUMIFS(AP[Invoice value inc. GST], AP[Payment date - output], "&gt;="&amp;CFF!P$7, AP[Payment date - output], "&lt;="&amp;CFF!P$8, AP[Spend category L2 - Output], CFF!$C65)</f>
        <v>0</v>
      </c>
      <c r="Q67" s="66">
        <f>-SUMIFS(AP[Invoice value inc. GST], AP[Payment date - output], "&gt;="&amp;CFF!Q$7, AP[Payment date - output], "&lt;="&amp;CFF!Q$8, AP[Spend category L2 - Output], CFF!$C65)</f>
        <v>0</v>
      </c>
      <c r="R67" s="66">
        <f>-SUMIFS(AP[Invoice value inc. GST], AP[Payment date - output], "&gt;="&amp;CFF!R$7, AP[Payment date - output], "&lt;="&amp;CFF!R$8, AP[Spend category L2 - Output], CFF!$C65)</f>
        <v>0</v>
      </c>
      <c r="S67" s="66">
        <f>-SUMIFS(AP[Invoice value inc. GST], AP[Payment date - output], "&gt;="&amp;CFF!S$7, AP[Payment date - output], "&lt;="&amp;CFF!S$8, AP[Spend category L2 - Output], CFF!$C65)</f>
        <v>0</v>
      </c>
      <c r="T67" s="70">
        <f t="shared" si="34"/>
        <v>0</v>
      </c>
    </row>
    <row r="68" spans="3:20" hidden="1" outlineLevel="1" x14ac:dyDescent="0.25">
      <c r="C68" s="67" t="s">
        <v>127</v>
      </c>
      <c r="E68" s="58"/>
      <c r="G68" s="66">
        <f>-SUMIFS(PO[Value inc. GST], PO[Payment date - output], "&gt;="&amp;CFF!G$7, PO[Payment date - output], "&lt;="&amp;CFF!G$8, PO[Spend category L2 - Output], CFF!$C65)</f>
        <v>0</v>
      </c>
      <c r="H68" s="66">
        <f>-SUMIFS(PO[Value inc. GST], PO[Payment date - output], "&gt;="&amp;CFF!H$7, PO[Payment date - output], "&lt;="&amp;CFF!H$8, PO[Spend category L2 - Output], CFF!$C65)</f>
        <v>0</v>
      </c>
      <c r="I68" s="66">
        <f>-SUMIFS(PO[Value inc. GST], PO[Payment date - output], "&gt;="&amp;CFF!I$7, PO[Payment date - output], "&lt;="&amp;CFF!I$8, PO[Spend category L2 - Output], CFF!$C65)</f>
        <v>0</v>
      </c>
      <c r="J68" s="66">
        <f>-SUMIFS(PO[Value inc. GST], PO[Payment date - output], "&gt;="&amp;CFF!J$7, PO[Payment date - output], "&lt;="&amp;CFF!J$8, PO[Spend category L2 - Output], CFF!$C65)</f>
        <v>0</v>
      </c>
      <c r="K68" s="66">
        <f>-SUMIFS(PO[Value inc. GST], PO[Payment date - output], "&gt;="&amp;CFF!K$7, PO[Payment date - output], "&lt;="&amp;CFF!K$8, PO[Spend category L2 - Output], CFF!$C65)</f>
        <v>0</v>
      </c>
      <c r="L68" s="66">
        <f>-SUMIFS(PO[Value inc. GST], PO[Payment date - output], "&gt;="&amp;CFF!L$7, PO[Payment date - output], "&lt;="&amp;CFF!L$8, PO[Spend category L2 - Output], CFF!$C65)</f>
        <v>0</v>
      </c>
      <c r="M68" s="66">
        <f>-SUMIFS(PO[Value inc. GST], PO[Payment date - output], "&gt;="&amp;CFF!M$7, PO[Payment date - output], "&lt;="&amp;CFF!M$8, PO[Spend category L2 - Output], CFF!$C65)</f>
        <v>0</v>
      </c>
      <c r="N68" s="66">
        <f>-SUMIFS(PO[Value inc. GST], PO[Payment date - output], "&gt;="&amp;CFF!N$7, PO[Payment date - output], "&lt;="&amp;CFF!N$8, PO[Spend category L2 - Output], CFF!$C65)</f>
        <v>0</v>
      </c>
      <c r="O68" s="66">
        <f>-SUMIFS(PO[Value inc. GST], PO[Payment date - output], "&gt;="&amp;CFF!O$7, PO[Payment date - output], "&lt;="&amp;CFF!O$8, PO[Spend category L2 - Output], CFF!$C65)</f>
        <v>0</v>
      </c>
      <c r="P68" s="66">
        <f>-SUMIFS(PO[Value inc. GST], PO[Payment date - output], "&gt;="&amp;CFF!P$7, PO[Payment date - output], "&lt;="&amp;CFF!P$8, PO[Spend category L2 - Output], CFF!$C65)</f>
        <v>0</v>
      </c>
      <c r="Q68" s="66">
        <f>-SUMIFS(PO[Value inc. GST], PO[Payment date - output], "&gt;="&amp;CFF!Q$7, PO[Payment date - output], "&lt;="&amp;CFF!Q$8, PO[Spend category L2 - Output], CFF!$C65)</f>
        <v>0</v>
      </c>
      <c r="R68" s="66">
        <f>-SUMIFS(PO[Value inc. GST], PO[Payment date - output], "&gt;="&amp;CFF!R$7, PO[Payment date - output], "&lt;="&amp;CFF!R$8, PO[Spend category L2 - Output], CFF!$C65)</f>
        <v>0</v>
      </c>
      <c r="S68" s="66">
        <f>-SUMIFS(PO[Value inc. GST], PO[Payment date - output], "&gt;="&amp;CFF!S$7, PO[Payment date - output], "&lt;="&amp;CFF!S$8, PO[Spend category L2 - Output], CFF!$C65)</f>
        <v>0</v>
      </c>
      <c r="T68" s="70">
        <f t="shared" si="34"/>
        <v>0</v>
      </c>
    </row>
    <row r="69" spans="3:20" hidden="1" outlineLevel="1" x14ac:dyDescent="0.25">
      <c r="C69" s="68" t="s">
        <v>128</v>
      </c>
      <c r="E69" s="58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70">
        <f t="shared" si="34"/>
        <v>0</v>
      </c>
    </row>
    <row r="70" spans="3:20" hidden="1" outlineLevel="1" x14ac:dyDescent="0.25">
      <c r="C70" s="68" t="s">
        <v>128</v>
      </c>
      <c r="E70" s="58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70">
        <f t="shared" si="34"/>
        <v>0</v>
      </c>
    </row>
    <row r="71" spans="3:20" hidden="1" outlineLevel="1" x14ac:dyDescent="0.25">
      <c r="C71" s="68" t="s">
        <v>128</v>
      </c>
      <c r="E71" s="58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70">
        <f t="shared" si="34"/>
        <v>0</v>
      </c>
    </row>
    <row r="72" spans="3:20" ht="5.0999999999999996" customHeight="1" x14ac:dyDescent="0.25">
      <c r="E72" s="58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</row>
    <row r="73" spans="3:20" collapsed="1" x14ac:dyDescent="0.25">
      <c r="C73" s="1">
        <f>Assumptions!$D$26</f>
        <v>0</v>
      </c>
      <c r="E73" s="66">
        <f>SUMIFS('Cash actuals'!$F$26:$BE$26, 'Cash actuals'!$F$7:$BE$7, CFF!$E$7)</f>
        <v>0</v>
      </c>
      <c r="G73" s="69">
        <f>IF( SUM(G75:G76) &lt; G74, SUM(G75:G76), IF( SUM(G75:G76) &gt; G74, G74, 0)) + SUM(G77:G79)</f>
        <v>0</v>
      </c>
      <c r="H73" s="69">
        <f t="shared" ref="H73" si="35">IF( SUM(H75:H76) &lt; H74, SUM(H75:H76), IF( SUM(H75:H76) &gt; H74, H74, 0))</f>
        <v>0</v>
      </c>
      <c r="I73" s="69">
        <f t="shared" ref="I73" si="36">IF( SUM(I75:I76) &lt; I74, SUM(I75:I76), IF( SUM(I75:I76) &gt; I74, I74, 0))</f>
        <v>0</v>
      </c>
      <c r="J73" s="69">
        <f t="shared" ref="J73" si="37">IF( SUM(J75:J76) &lt; J74, SUM(J75:J76), IF( SUM(J75:J76) &gt; J74, J74, 0))</f>
        <v>0</v>
      </c>
      <c r="K73" s="69">
        <f t="shared" ref="K73" si="38">IF( SUM(K75:K76) &lt; K74, SUM(K75:K76), IF( SUM(K75:K76) &gt; K74, K74, 0))</f>
        <v>0</v>
      </c>
      <c r="L73" s="69">
        <f t="shared" ref="L73" si="39">IF( SUM(L75:L76) &lt; L74, SUM(L75:L76), IF( SUM(L75:L76) &gt; L74, L74, 0))</f>
        <v>0</v>
      </c>
      <c r="M73" s="69">
        <f t="shared" ref="M73" si="40">IF( SUM(M75:M76) &lt; M74, SUM(M75:M76), IF( SUM(M75:M76) &gt; M74, M74, 0))</f>
        <v>0</v>
      </c>
      <c r="N73" s="69">
        <f t="shared" ref="N73" si="41">IF( SUM(N75:N76) &lt; N74, SUM(N75:N76), IF( SUM(N75:N76) &gt; N74, N74, 0))</f>
        <v>0</v>
      </c>
      <c r="O73" s="69">
        <f t="shared" ref="O73" si="42">IF( SUM(O75:O76) &lt; O74, SUM(O75:O76), IF( SUM(O75:O76) &gt; O74, O74, 0))</f>
        <v>0</v>
      </c>
      <c r="P73" s="69">
        <f t="shared" ref="P73" si="43">IF( SUM(P75:P76) &lt; P74, SUM(P75:P76), IF( SUM(P75:P76) &gt; P74, P74, 0))</f>
        <v>0</v>
      </c>
      <c r="Q73" s="69">
        <f t="shared" ref="Q73" si="44">IF( SUM(Q75:Q76) &lt; Q74, SUM(Q75:Q76), IF( SUM(Q75:Q76) &gt; Q74, Q74, 0))</f>
        <v>0</v>
      </c>
      <c r="R73" s="69">
        <f t="shared" ref="R73" si="45">IF( SUM(R75:R76) &lt; R74, SUM(R75:R76), IF( SUM(R75:R76) &gt; R74, R74, 0))</f>
        <v>0</v>
      </c>
      <c r="S73" s="69">
        <f t="shared" ref="S73" si="46">IF( SUM(S75:S76) &lt; S74, SUM(S75:S76), IF( SUM(S75:S76) &gt; S74, S74, 0))</f>
        <v>0</v>
      </c>
      <c r="T73" s="71">
        <f>SUM(G73:S73)</f>
        <v>0</v>
      </c>
    </row>
    <row r="74" spans="3:20" hidden="1" outlineLevel="1" x14ac:dyDescent="0.25">
      <c r="C74" s="67" t="s">
        <v>125</v>
      </c>
      <c r="E74" s="58"/>
      <c r="G74" s="66">
        <f>-IF(G14 = "Yes", Assumptions!$E26, 0)</f>
        <v>0</v>
      </c>
      <c r="H74" s="66">
        <f>-IF(H14 = "Yes", Assumptions!$E26, 0)</f>
        <v>0</v>
      </c>
      <c r="I74" s="66">
        <f>-IF(I14 = "Yes", Assumptions!$E26, 0)</f>
        <v>0</v>
      </c>
      <c r="J74" s="66">
        <f>-IF(J14 = "Yes", Assumptions!$E26, 0)</f>
        <v>0</v>
      </c>
      <c r="K74" s="66">
        <f>-IF(K14 = "Yes", Assumptions!$E26, 0)</f>
        <v>0</v>
      </c>
      <c r="L74" s="66">
        <f>-IF(L14 = "Yes", Assumptions!$E26, 0)</f>
        <v>0</v>
      </c>
      <c r="M74" s="66">
        <f>-IF(M14 = "Yes", Assumptions!$E26, 0)</f>
        <v>0</v>
      </c>
      <c r="N74" s="66">
        <f>-IF(N14 = "Yes", Assumptions!$E26, 0)</f>
        <v>0</v>
      </c>
      <c r="O74" s="66">
        <f>-IF(O14 = "Yes", Assumptions!$E26, 0)</f>
        <v>0</v>
      </c>
      <c r="P74" s="66">
        <f>-IF(P14 = "Yes", Assumptions!$E26, 0)</f>
        <v>0</v>
      </c>
      <c r="Q74" s="66">
        <f>-IF(Q14 = "Yes", Assumptions!$E26, 0)</f>
        <v>0</v>
      </c>
      <c r="R74" s="66">
        <f>-IF(R14 = "Yes", Assumptions!$E26, 0)</f>
        <v>0</v>
      </c>
      <c r="S74" s="66">
        <f>-IF(S14 = "Yes", Assumptions!$E26, 0)</f>
        <v>0</v>
      </c>
      <c r="T74" s="70"/>
    </row>
    <row r="75" spans="3:20" hidden="1" outlineLevel="1" x14ac:dyDescent="0.25">
      <c r="C75" s="67" t="s">
        <v>126</v>
      </c>
      <c r="E75" s="58"/>
      <c r="G75" s="66">
        <f>-SUMIFS(AP[Invoice value inc. GST], AP[Payment date - output], "&gt;="&amp;CFF!G$7, AP[Payment date - output], "&lt;="&amp;CFF!G$8, AP[Spend category L2 - Output], CFF!$C73)</f>
        <v>0</v>
      </c>
      <c r="H75" s="66">
        <f>-SUMIFS(AP[Invoice value inc. GST], AP[Payment date - output], "&gt;="&amp;CFF!H$7, AP[Payment date - output], "&lt;="&amp;CFF!H$8, AP[Spend category L2 - Output], CFF!$C73)</f>
        <v>0</v>
      </c>
      <c r="I75" s="66">
        <f>-SUMIFS(AP[Invoice value inc. GST], AP[Payment date - output], "&gt;="&amp;CFF!I$7, AP[Payment date - output], "&lt;="&amp;CFF!I$8, AP[Spend category L2 - Output], CFF!$C73)</f>
        <v>0</v>
      </c>
      <c r="J75" s="66">
        <f>-SUMIFS(AP[Invoice value inc. GST], AP[Payment date - output], "&gt;="&amp;CFF!J$7, AP[Payment date - output], "&lt;="&amp;CFF!J$8, AP[Spend category L2 - Output], CFF!$C73)</f>
        <v>0</v>
      </c>
      <c r="K75" s="66">
        <f>-SUMIFS(AP[Invoice value inc. GST], AP[Payment date - output], "&gt;="&amp;CFF!K$7, AP[Payment date - output], "&lt;="&amp;CFF!K$8, AP[Spend category L2 - Output], CFF!$C73)</f>
        <v>0</v>
      </c>
      <c r="L75" s="66">
        <f>-SUMIFS(AP[Invoice value inc. GST], AP[Payment date - output], "&gt;="&amp;CFF!L$7, AP[Payment date - output], "&lt;="&amp;CFF!L$8, AP[Spend category L2 - Output], CFF!$C73)</f>
        <v>0</v>
      </c>
      <c r="M75" s="66">
        <f>-SUMIFS(AP[Invoice value inc. GST], AP[Payment date - output], "&gt;="&amp;CFF!M$7, AP[Payment date - output], "&lt;="&amp;CFF!M$8, AP[Spend category L2 - Output], CFF!$C73)</f>
        <v>0</v>
      </c>
      <c r="N75" s="66">
        <f>-SUMIFS(AP[Invoice value inc. GST], AP[Payment date - output], "&gt;="&amp;CFF!N$7, AP[Payment date - output], "&lt;="&amp;CFF!N$8, AP[Spend category L2 - Output], CFF!$C73)</f>
        <v>0</v>
      </c>
      <c r="O75" s="66">
        <f>-SUMIFS(AP[Invoice value inc. GST], AP[Payment date - output], "&gt;="&amp;CFF!O$7, AP[Payment date - output], "&lt;="&amp;CFF!O$8, AP[Spend category L2 - Output], CFF!$C73)</f>
        <v>0</v>
      </c>
      <c r="P75" s="66">
        <f>-SUMIFS(AP[Invoice value inc. GST], AP[Payment date - output], "&gt;="&amp;CFF!P$7, AP[Payment date - output], "&lt;="&amp;CFF!P$8, AP[Spend category L2 - Output], CFF!$C73)</f>
        <v>0</v>
      </c>
      <c r="Q75" s="66">
        <f>-SUMIFS(AP[Invoice value inc. GST], AP[Payment date - output], "&gt;="&amp;CFF!Q$7, AP[Payment date - output], "&lt;="&amp;CFF!Q$8, AP[Spend category L2 - Output], CFF!$C73)</f>
        <v>0</v>
      </c>
      <c r="R75" s="66">
        <f>-SUMIFS(AP[Invoice value inc. GST], AP[Payment date - output], "&gt;="&amp;CFF!R$7, AP[Payment date - output], "&lt;="&amp;CFF!R$8, AP[Spend category L2 - Output], CFF!$C73)</f>
        <v>0</v>
      </c>
      <c r="S75" s="66">
        <f>-SUMIFS(AP[Invoice value inc. GST], AP[Payment date - output], "&gt;="&amp;CFF!S$7, AP[Payment date - output], "&lt;="&amp;CFF!S$8, AP[Spend category L2 - Output], CFF!$C73)</f>
        <v>0</v>
      </c>
      <c r="T75" s="70">
        <f t="shared" ref="T75:T79" si="47">SUM(G75:S75)</f>
        <v>0</v>
      </c>
    </row>
    <row r="76" spans="3:20" hidden="1" outlineLevel="1" x14ac:dyDescent="0.25">
      <c r="C76" s="67" t="s">
        <v>127</v>
      </c>
      <c r="E76" s="58"/>
      <c r="G76" s="66">
        <f>-SUMIFS(PO[Value inc. GST], PO[Payment date - output], "&gt;="&amp;CFF!G$7, PO[Payment date - output], "&lt;="&amp;CFF!G$8, PO[Spend category L2 - Output], CFF!$C73)</f>
        <v>0</v>
      </c>
      <c r="H76" s="66">
        <f>-SUMIFS(PO[Value inc. GST], PO[Payment date - output], "&gt;="&amp;CFF!H$7, PO[Payment date - output], "&lt;="&amp;CFF!H$8, PO[Spend category L2 - Output], CFF!$C73)</f>
        <v>0</v>
      </c>
      <c r="I76" s="66">
        <f>-SUMIFS(PO[Value inc. GST], PO[Payment date - output], "&gt;="&amp;CFF!I$7, PO[Payment date - output], "&lt;="&amp;CFF!I$8, PO[Spend category L2 - Output], CFF!$C73)</f>
        <v>0</v>
      </c>
      <c r="J76" s="66">
        <f>-SUMIFS(PO[Value inc. GST], PO[Payment date - output], "&gt;="&amp;CFF!J$7, PO[Payment date - output], "&lt;="&amp;CFF!J$8, PO[Spend category L2 - Output], CFF!$C73)</f>
        <v>0</v>
      </c>
      <c r="K76" s="66">
        <f>-SUMIFS(PO[Value inc. GST], PO[Payment date - output], "&gt;="&amp;CFF!K$7, PO[Payment date - output], "&lt;="&amp;CFF!K$8, PO[Spend category L2 - Output], CFF!$C73)</f>
        <v>0</v>
      </c>
      <c r="L76" s="66">
        <f>-SUMIFS(PO[Value inc. GST], PO[Payment date - output], "&gt;="&amp;CFF!L$7, PO[Payment date - output], "&lt;="&amp;CFF!L$8, PO[Spend category L2 - Output], CFF!$C73)</f>
        <v>0</v>
      </c>
      <c r="M76" s="66">
        <f>-SUMIFS(PO[Value inc. GST], PO[Payment date - output], "&gt;="&amp;CFF!M$7, PO[Payment date - output], "&lt;="&amp;CFF!M$8, PO[Spend category L2 - Output], CFF!$C73)</f>
        <v>0</v>
      </c>
      <c r="N76" s="66">
        <f>-SUMIFS(PO[Value inc. GST], PO[Payment date - output], "&gt;="&amp;CFF!N$7, PO[Payment date - output], "&lt;="&amp;CFF!N$8, PO[Spend category L2 - Output], CFF!$C73)</f>
        <v>0</v>
      </c>
      <c r="O76" s="66">
        <f>-SUMIFS(PO[Value inc. GST], PO[Payment date - output], "&gt;="&amp;CFF!O$7, PO[Payment date - output], "&lt;="&amp;CFF!O$8, PO[Spend category L2 - Output], CFF!$C73)</f>
        <v>0</v>
      </c>
      <c r="P76" s="66">
        <f>-SUMIFS(PO[Value inc. GST], PO[Payment date - output], "&gt;="&amp;CFF!P$7, PO[Payment date - output], "&lt;="&amp;CFF!P$8, PO[Spend category L2 - Output], CFF!$C73)</f>
        <v>0</v>
      </c>
      <c r="Q76" s="66">
        <f>-SUMIFS(PO[Value inc. GST], PO[Payment date - output], "&gt;="&amp;CFF!Q$7, PO[Payment date - output], "&lt;="&amp;CFF!Q$8, PO[Spend category L2 - Output], CFF!$C73)</f>
        <v>0</v>
      </c>
      <c r="R76" s="66">
        <f>-SUMIFS(PO[Value inc. GST], PO[Payment date - output], "&gt;="&amp;CFF!R$7, PO[Payment date - output], "&lt;="&amp;CFF!R$8, PO[Spend category L2 - Output], CFF!$C73)</f>
        <v>0</v>
      </c>
      <c r="S76" s="66">
        <f>-SUMIFS(PO[Value inc. GST], PO[Payment date - output], "&gt;="&amp;CFF!S$7, PO[Payment date - output], "&lt;="&amp;CFF!S$8, PO[Spend category L2 - Output], CFF!$C73)</f>
        <v>0</v>
      </c>
      <c r="T76" s="70">
        <f t="shared" si="47"/>
        <v>0</v>
      </c>
    </row>
    <row r="77" spans="3:20" hidden="1" outlineLevel="1" x14ac:dyDescent="0.25">
      <c r="C77" s="68" t="s">
        <v>128</v>
      </c>
      <c r="E77" s="58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70">
        <f t="shared" si="47"/>
        <v>0</v>
      </c>
    </row>
    <row r="78" spans="3:20" hidden="1" outlineLevel="1" x14ac:dyDescent="0.25">
      <c r="C78" s="68" t="s">
        <v>128</v>
      </c>
      <c r="E78" s="58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70">
        <f t="shared" si="47"/>
        <v>0</v>
      </c>
    </row>
    <row r="79" spans="3:20" hidden="1" outlineLevel="1" x14ac:dyDescent="0.25">
      <c r="C79" s="68" t="s">
        <v>128</v>
      </c>
      <c r="E79" s="58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70">
        <f t="shared" si="47"/>
        <v>0</v>
      </c>
    </row>
    <row r="80" spans="3:20" ht="5.0999999999999996" customHeight="1" x14ac:dyDescent="0.25">
      <c r="E80" s="58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</row>
    <row r="81" spans="3:20" collapsed="1" x14ac:dyDescent="0.25">
      <c r="C81" s="1">
        <f>Assumptions!$D$27</f>
        <v>0</v>
      </c>
      <c r="E81" s="66">
        <f>SUMIFS('Cash actuals'!$F$28:$BE$28, 'Cash actuals'!$F$7:$BE$7, CFF!$E$7)</f>
        <v>0</v>
      </c>
      <c r="G81" s="69">
        <f>IF( SUM(G83:G84) &lt; G82, SUM(G83:G84), IF( SUM(G83:G84) &gt; G82, G82, 0)) + SUM(G85:G87)</f>
        <v>0</v>
      </c>
      <c r="H81" s="69">
        <f t="shared" ref="H81" si="48">IF( SUM(H83:H84) &lt; H82, SUM(H83:H84), IF( SUM(H83:H84) &gt; H82, H82, 0))</f>
        <v>0</v>
      </c>
      <c r="I81" s="69">
        <f t="shared" ref="I81" si="49">IF( SUM(I83:I84) &lt; I82, SUM(I83:I84), IF( SUM(I83:I84) &gt; I82, I82, 0))</f>
        <v>0</v>
      </c>
      <c r="J81" s="69">
        <f t="shared" ref="J81" si="50">IF( SUM(J83:J84) &lt; J82, SUM(J83:J84), IF( SUM(J83:J84) &gt; J82, J82, 0))</f>
        <v>0</v>
      </c>
      <c r="K81" s="69">
        <f t="shared" ref="K81" si="51">IF( SUM(K83:K84) &lt; K82, SUM(K83:K84), IF( SUM(K83:K84) &gt; K82, K82, 0))</f>
        <v>0</v>
      </c>
      <c r="L81" s="69">
        <f t="shared" ref="L81" si="52">IF( SUM(L83:L84) &lt; L82, SUM(L83:L84), IF( SUM(L83:L84) &gt; L82, L82, 0))</f>
        <v>0</v>
      </c>
      <c r="M81" s="69">
        <f t="shared" ref="M81" si="53">IF( SUM(M83:M84) &lt; M82, SUM(M83:M84), IF( SUM(M83:M84) &gt; M82, M82, 0))</f>
        <v>0</v>
      </c>
      <c r="N81" s="69">
        <f t="shared" ref="N81" si="54">IF( SUM(N83:N84) &lt; N82, SUM(N83:N84), IF( SUM(N83:N84) &gt; N82, N82, 0))</f>
        <v>0</v>
      </c>
      <c r="O81" s="69">
        <f t="shared" ref="O81" si="55">IF( SUM(O83:O84) &lt; O82, SUM(O83:O84), IF( SUM(O83:O84) &gt; O82, O82, 0))</f>
        <v>0</v>
      </c>
      <c r="P81" s="69">
        <f t="shared" ref="P81" si="56">IF( SUM(P83:P84) &lt; P82, SUM(P83:P84), IF( SUM(P83:P84) &gt; P82, P82, 0))</f>
        <v>0</v>
      </c>
      <c r="Q81" s="69">
        <f t="shared" ref="Q81" si="57">IF( SUM(Q83:Q84) &lt; Q82, SUM(Q83:Q84), IF( SUM(Q83:Q84) &gt; Q82, Q82, 0))</f>
        <v>0</v>
      </c>
      <c r="R81" s="69">
        <f t="shared" ref="R81" si="58">IF( SUM(R83:R84) &lt; R82, SUM(R83:R84), IF( SUM(R83:R84) &gt; R82, R82, 0))</f>
        <v>0</v>
      </c>
      <c r="S81" s="69">
        <f t="shared" ref="S81" si="59">IF( SUM(S83:S84) &lt; S82, SUM(S83:S84), IF( SUM(S83:S84) &gt; S82, S82, 0))</f>
        <v>0</v>
      </c>
      <c r="T81" s="71">
        <f>SUM(G81:S81)</f>
        <v>0</v>
      </c>
    </row>
    <row r="82" spans="3:20" hidden="1" outlineLevel="1" x14ac:dyDescent="0.25">
      <c r="C82" s="67" t="s">
        <v>125</v>
      </c>
      <c r="E82" s="58"/>
      <c r="G82" s="66">
        <f>-IF(G15 = "Yes", Assumptions!$E27, 0)</f>
        <v>0</v>
      </c>
      <c r="H82" s="66">
        <f>-IF(H15 = "Yes", Assumptions!$E27, 0)</f>
        <v>0</v>
      </c>
      <c r="I82" s="66">
        <f>-IF(I15 = "Yes", Assumptions!$E27, 0)</f>
        <v>0</v>
      </c>
      <c r="J82" s="66">
        <f>-IF(J15 = "Yes", Assumptions!$E27, 0)</f>
        <v>0</v>
      </c>
      <c r="K82" s="66">
        <f>-IF(K15 = "Yes", Assumptions!$E27, 0)</f>
        <v>0</v>
      </c>
      <c r="L82" s="66">
        <f>-IF(L15 = "Yes", Assumptions!$E27, 0)</f>
        <v>0</v>
      </c>
      <c r="M82" s="66">
        <f>-IF(M15 = "Yes", Assumptions!$E27, 0)</f>
        <v>0</v>
      </c>
      <c r="N82" s="66">
        <f>-IF(N15 = "Yes", Assumptions!$E27, 0)</f>
        <v>0</v>
      </c>
      <c r="O82" s="66">
        <f>-IF(O15 = "Yes", Assumptions!$E27, 0)</f>
        <v>0</v>
      </c>
      <c r="P82" s="66">
        <f>-IF(P15 = "Yes", Assumptions!$E27, 0)</f>
        <v>0</v>
      </c>
      <c r="Q82" s="66">
        <f>-IF(Q15 = "Yes", Assumptions!$E27, 0)</f>
        <v>0</v>
      </c>
      <c r="R82" s="66">
        <f>-IF(R15 = "Yes", Assumptions!$E27, 0)</f>
        <v>0</v>
      </c>
      <c r="S82" s="66">
        <f>-IF(S15 = "Yes", Assumptions!$E27, 0)</f>
        <v>0</v>
      </c>
      <c r="T82" s="70">
        <f t="shared" ref="T82:T87" si="60">SUM(G82:S82)</f>
        <v>0</v>
      </c>
    </row>
    <row r="83" spans="3:20" hidden="1" outlineLevel="1" x14ac:dyDescent="0.25">
      <c r="C83" s="67" t="s">
        <v>126</v>
      </c>
      <c r="E83" s="58"/>
      <c r="G83" s="66">
        <f>-SUMIFS(AP[Invoice value inc. GST], AP[Payment date - output], "&gt;="&amp;CFF!G$7, AP[Payment date - output], "&lt;="&amp;CFF!G$8, AP[Spend category L2 - Output], CFF!$C81)</f>
        <v>0</v>
      </c>
      <c r="H83" s="66">
        <f>-SUMIFS(AP[Invoice value inc. GST], AP[Payment date - output], "&gt;="&amp;CFF!H$7, AP[Payment date - output], "&lt;="&amp;CFF!H$8, AP[Spend category L2 - Output], CFF!$C81)</f>
        <v>0</v>
      </c>
      <c r="I83" s="66">
        <f>-SUMIFS(AP[Invoice value inc. GST], AP[Payment date - output], "&gt;="&amp;CFF!I$7, AP[Payment date - output], "&lt;="&amp;CFF!I$8, AP[Spend category L2 - Output], CFF!$C81)</f>
        <v>0</v>
      </c>
      <c r="J83" s="66">
        <f>-SUMIFS(AP[Invoice value inc. GST], AP[Payment date - output], "&gt;="&amp;CFF!J$7, AP[Payment date - output], "&lt;="&amp;CFF!J$8, AP[Spend category L2 - Output], CFF!$C81)</f>
        <v>0</v>
      </c>
      <c r="K83" s="66">
        <f>-SUMIFS(AP[Invoice value inc. GST], AP[Payment date - output], "&gt;="&amp;CFF!K$7, AP[Payment date - output], "&lt;="&amp;CFF!K$8, AP[Spend category L2 - Output], CFF!$C81)</f>
        <v>0</v>
      </c>
      <c r="L83" s="66">
        <f>-SUMIFS(AP[Invoice value inc. GST], AP[Payment date - output], "&gt;="&amp;CFF!L$7, AP[Payment date - output], "&lt;="&amp;CFF!L$8, AP[Spend category L2 - Output], CFF!$C81)</f>
        <v>0</v>
      </c>
      <c r="M83" s="66">
        <f>-SUMIFS(AP[Invoice value inc. GST], AP[Payment date - output], "&gt;="&amp;CFF!M$7, AP[Payment date - output], "&lt;="&amp;CFF!M$8, AP[Spend category L2 - Output], CFF!$C81)</f>
        <v>0</v>
      </c>
      <c r="N83" s="66">
        <f>-SUMIFS(AP[Invoice value inc. GST], AP[Payment date - output], "&gt;="&amp;CFF!N$7, AP[Payment date - output], "&lt;="&amp;CFF!N$8, AP[Spend category L2 - Output], CFF!$C81)</f>
        <v>0</v>
      </c>
      <c r="O83" s="66">
        <f>-SUMIFS(AP[Invoice value inc. GST], AP[Payment date - output], "&gt;="&amp;CFF!O$7, AP[Payment date - output], "&lt;="&amp;CFF!O$8, AP[Spend category L2 - Output], CFF!$C81)</f>
        <v>0</v>
      </c>
      <c r="P83" s="66">
        <f>-SUMIFS(AP[Invoice value inc. GST], AP[Payment date - output], "&gt;="&amp;CFF!P$7, AP[Payment date - output], "&lt;="&amp;CFF!P$8, AP[Spend category L2 - Output], CFF!$C81)</f>
        <v>0</v>
      </c>
      <c r="Q83" s="66">
        <f>-SUMIFS(AP[Invoice value inc. GST], AP[Payment date - output], "&gt;="&amp;CFF!Q$7, AP[Payment date - output], "&lt;="&amp;CFF!Q$8, AP[Spend category L2 - Output], CFF!$C81)</f>
        <v>0</v>
      </c>
      <c r="R83" s="66">
        <f>-SUMIFS(AP[Invoice value inc. GST], AP[Payment date - output], "&gt;="&amp;CFF!R$7, AP[Payment date - output], "&lt;="&amp;CFF!R$8, AP[Spend category L2 - Output], CFF!$C81)</f>
        <v>0</v>
      </c>
      <c r="S83" s="66">
        <f>-SUMIFS(AP[Invoice value inc. GST], AP[Payment date - output], "&gt;="&amp;CFF!S$7, AP[Payment date - output], "&lt;="&amp;CFF!S$8, AP[Spend category L2 - Output], CFF!$C81)</f>
        <v>0</v>
      </c>
      <c r="T83" s="70">
        <f t="shared" si="60"/>
        <v>0</v>
      </c>
    </row>
    <row r="84" spans="3:20" hidden="1" outlineLevel="1" x14ac:dyDescent="0.25">
      <c r="C84" s="67" t="s">
        <v>127</v>
      </c>
      <c r="E84" s="58"/>
      <c r="G84" s="66">
        <f>-SUMIFS(PO[Value inc. GST], PO[Payment date - output], "&gt;="&amp;CFF!G$7, PO[Payment date - output], "&lt;="&amp;CFF!G$8, PO[Spend category L2 - Output], CFF!$C81)</f>
        <v>0</v>
      </c>
      <c r="H84" s="66">
        <f>-SUMIFS(PO[Value inc. GST], PO[Payment date - output], "&gt;="&amp;CFF!H$7, PO[Payment date - output], "&lt;="&amp;CFF!H$8, PO[Spend category L2 - Output], CFF!$C81)</f>
        <v>0</v>
      </c>
      <c r="I84" s="66">
        <f>-SUMIFS(PO[Value inc. GST], PO[Payment date - output], "&gt;="&amp;CFF!I$7, PO[Payment date - output], "&lt;="&amp;CFF!I$8, PO[Spend category L2 - Output], CFF!$C81)</f>
        <v>0</v>
      </c>
      <c r="J84" s="66">
        <f>-SUMIFS(PO[Value inc. GST], PO[Payment date - output], "&gt;="&amp;CFF!J$7, PO[Payment date - output], "&lt;="&amp;CFF!J$8, PO[Spend category L2 - Output], CFF!$C81)</f>
        <v>0</v>
      </c>
      <c r="K84" s="66">
        <f>-SUMIFS(PO[Value inc. GST], PO[Payment date - output], "&gt;="&amp;CFF!K$7, PO[Payment date - output], "&lt;="&amp;CFF!K$8, PO[Spend category L2 - Output], CFF!$C81)</f>
        <v>0</v>
      </c>
      <c r="L84" s="66">
        <f>-SUMIFS(PO[Value inc. GST], PO[Payment date - output], "&gt;="&amp;CFF!L$7, PO[Payment date - output], "&lt;="&amp;CFF!L$8, PO[Spend category L2 - Output], CFF!$C81)</f>
        <v>0</v>
      </c>
      <c r="M84" s="66">
        <f>-SUMIFS(PO[Value inc. GST], PO[Payment date - output], "&gt;="&amp;CFF!M$7, PO[Payment date - output], "&lt;="&amp;CFF!M$8, PO[Spend category L2 - Output], CFF!$C81)</f>
        <v>0</v>
      </c>
      <c r="N84" s="66">
        <f>-SUMIFS(PO[Value inc. GST], PO[Payment date - output], "&gt;="&amp;CFF!N$7, PO[Payment date - output], "&lt;="&amp;CFF!N$8, PO[Spend category L2 - Output], CFF!$C81)</f>
        <v>0</v>
      </c>
      <c r="O84" s="66">
        <f>-SUMIFS(PO[Value inc. GST], PO[Payment date - output], "&gt;="&amp;CFF!O$7, PO[Payment date - output], "&lt;="&amp;CFF!O$8, PO[Spend category L2 - Output], CFF!$C81)</f>
        <v>0</v>
      </c>
      <c r="P84" s="66">
        <f>-SUMIFS(PO[Value inc. GST], PO[Payment date - output], "&gt;="&amp;CFF!P$7, PO[Payment date - output], "&lt;="&amp;CFF!P$8, PO[Spend category L2 - Output], CFF!$C81)</f>
        <v>0</v>
      </c>
      <c r="Q84" s="66">
        <f>-SUMIFS(PO[Value inc. GST], PO[Payment date - output], "&gt;="&amp;CFF!Q$7, PO[Payment date - output], "&lt;="&amp;CFF!Q$8, PO[Spend category L2 - Output], CFF!$C81)</f>
        <v>0</v>
      </c>
      <c r="R84" s="66">
        <f>-SUMIFS(PO[Value inc. GST], PO[Payment date - output], "&gt;="&amp;CFF!R$7, PO[Payment date - output], "&lt;="&amp;CFF!R$8, PO[Spend category L2 - Output], CFF!$C81)</f>
        <v>0</v>
      </c>
      <c r="S84" s="66">
        <f>-SUMIFS(PO[Value inc. GST], PO[Payment date - output], "&gt;="&amp;CFF!S$7, PO[Payment date - output], "&lt;="&amp;CFF!S$8, PO[Spend category L2 - Output], CFF!$C81)</f>
        <v>0</v>
      </c>
      <c r="T84" s="70">
        <f t="shared" si="60"/>
        <v>0</v>
      </c>
    </row>
    <row r="85" spans="3:20" hidden="1" outlineLevel="1" x14ac:dyDescent="0.25">
      <c r="C85" s="68" t="s">
        <v>128</v>
      </c>
      <c r="E85" s="58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70">
        <f t="shared" si="60"/>
        <v>0</v>
      </c>
    </row>
    <row r="86" spans="3:20" hidden="1" outlineLevel="1" x14ac:dyDescent="0.25">
      <c r="C86" s="68" t="s">
        <v>128</v>
      </c>
      <c r="E86" s="58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70">
        <f t="shared" si="60"/>
        <v>0</v>
      </c>
    </row>
    <row r="87" spans="3:20" hidden="1" outlineLevel="1" x14ac:dyDescent="0.25">
      <c r="C87" s="68" t="s">
        <v>128</v>
      </c>
      <c r="E87" s="58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70">
        <f t="shared" si="60"/>
        <v>0</v>
      </c>
    </row>
    <row r="88" spans="3:20" ht="5.0999999999999996" customHeight="1" x14ac:dyDescent="0.25">
      <c r="E88" s="58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</row>
    <row r="89" spans="3:20" collapsed="1" x14ac:dyDescent="0.25">
      <c r="C89" s="1">
        <f>Assumptions!$D$28</f>
        <v>0</v>
      </c>
      <c r="E89" s="66">
        <f>SUMIFS('Cash actuals'!$F$30:$BE$30, 'Cash actuals'!$F$7:$BE$7, CFF!$E$7)</f>
        <v>0</v>
      </c>
      <c r="G89" s="69">
        <f>IF( SUM(G91:G92) &lt; G90, SUM(G91:G92), IF( SUM(G91:G92) &gt; G90, G90, 0)) + SUM(G93:G95)</f>
        <v>0</v>
      </c>
      <c r="H89" s="69">
        <f t="shared" ref="H89" si="61">IF( SUM(H91:H92) &lt; H90, SUM(H91:H92), IF( SUM(H91:H92) &gt; H90, H90, 0))</f>
        <v>0</v>
      </c>
      <c r="I89" s="69">
        <f t="shared" ref="I89" si="62">IF( SUM(I91:I92) &lt; I90, SUM(I91:I92), IF( SUM(I91:I92) &gt; I90, I90, 0))</f>
        <v>0</v>
      </c>
      <c r="J89" s="69">
        <f t="shared" ref="J89" si="63">IF( SUM(J91:J92) &lt; J90, SUM(J91:J92), IF( SUM(J91:J92) &gt; J90, J90, 0))</f>
        <v>0</v>
      </c>
      <c r="K89" s="69">
        <f t="shared" ref="K89" si="64">IF( SUM(K91:K92) &lt; K90, SUM(K91:K92), IF( SUM(K91:K92) &gt; K90, K90, 0))</f>
        <v>0</v>
      </c>
      <c r="L89" s="69">
        <f t="shared" ref="L89" si="65">IF( SUM(L91:L92) &lt; L90, SUM(L91:L92), IF( SUM(L91:L92) &gt; L90, L90, 0))</f>
        <v>0</v>
      </c>
      <c r="M89" s="69">
        <f t="shared" ref="M89" si="66">IF( SUM(M91:M92) &lt; M90, SUM(M91:M92), IF( SUM(M91:M92) &gt; M90, M90, 0))</f>
        <v>0</v>
      </c>
      <c r="N89" s="69">
        <f t="shared" ref="N89" si="67">IF( SUM(N91:N92) &lt; N90, SUM(N91:N92), IF( SUM(N91:N92) &gt; N90, N90, 0))</f>
        <v>0</v>
      </c>
      <c r="O89" s="69">
        <f t="shared" ref="O89" si="68">IF( SUM(O91:O92) &lt; O90, SUM(O91:O92), IF( SUM(O91:O92) &gt; O90, O90, 0))</f>
        <v>0</v>
      </c>
      <c r="P89" s="69">
        <f t="shared" ref="P89" si="69">IF( SUM(P91:P92) &lt; P90, SUM(P91:P92), IF( SUM(P91:P92) &gt; P90, P90, 0))</f>
        <v>0</v>
      </c>
      <c r="Q89" s="69">
        <f t="shared" ref="Q89" si="70">IF( SUM(Q91:Q92) &lt; Q90, SUM(Q91:Q92), IF( SUM(Q91:Q92) &gt; Q90, Q90, 0))</f>
        <v>0</v>
      </c>
      <c r="R89" s="69">
        <f t="shared" ref="R89" si="71">IF( SUM(R91:R92) &lt; R90, SUM(R91:R92), IF( SUM(R91:R92) &gt; R90, R90, 0))</f>
        <v>0</v>
      </c>
      <c r="S89" s="69">
        <f t="shared" ref="S89" si="72">IF( SUM(S91:S92) &lt; S90, SUM(S91:S92), IF( SUM(S91:S92) &gt; S90, S90, 0))</f>
        <v>0</v>
      </c>
      <c r="T89" s="71">
        <f>SUM(G89:S89)</f>
        <v>0</v>
      </c>
    </row>
    <row r="90" spans="3:20" hidden="1" outlineLevel="1" x14ac:dyDescent="0.25">
      <c r="C90" s="67" t="s">
        <v>125</v>
      </c>
      <c r="E90" s="58"/>
      <c r="G90" s="66">
        <f>-IF(G16 = "Yes", Assumptions!$E28, 0)</f>
        <v>0</v>
      </c>
      <c r="H90" s="66">
        <f>-IF(H16 = "Yes", Assumptions!$E28, 0)</f>
        <v>0</v>
      </c>
      <c r="I90" s="66">
        <f>-IF(I16 = "Yes", Assumptions!$E28, 0)</f>
        <v>0</v>
      </c>
      <c r="J90" s="66">
        <f>-IF(J16 = "Yes", Assumptions!$E28, 0)</f>
        <v>0</v>
      </c>
      <c r="K90" s="66">
        <f>-IF(K16 = "Yes", Assumptions!$E28, 0)</f>
        <v>0</v>
      </c>
      <c r="L90" s="66">
        <f>-IF(L16 = "Yes", Assumptions!$E28, 0)</f>
        <v>0</v>
      </c>
      <c r="M90" s="66">
        <f>-IF(M16 = "Yes", Assumptions!$E28, 0)</f>
        <v>0</v>
      </c>
      <c r="N90" s="66">
        <f>-IF(N16 = "Yes", Assumptions!$E28, 0)</f>
        <v>0</v>
      </c>
      <c r="O90" s="66">
        <f>-IF(O16 = "Yes", Assumptions!$E28, 0)</f>
        <v>0</v>
      </c>
      <c r="P90" s="66">
        <f>-IF(P16 = "Yes", Assumptions!$E28, 0)</f>
        <v>0</v>
      </c>
      <c r="Q90" s="66">
        <f>-IF(Q16 = "Yes", Assumptions!$E28, 0)</f>
        <v>0</v>
      </c>
      <c r="R90" s="66">
        <f>-IF(R16 = "Yes", Assumptions!$E28, 0)</f>
        <v>0</v>
      </c>
      <c r="S90" s="66">
        <f>-IF(S16 = "Yes", Assumptions!$E28, 0)</f>
        <v>0</v>
      </c>
      <c r="T90" s="70">
        <f t="shared" ref="T90:T95" si="73">SUM(G90:S90)</f>
        <v>0</v>
      </c>
    </row>
    <row r="91" spans="3:20" hidden="1" outlineLevel="1" x14ac:dyDescent="0.25">
      <c r="C91" s="67" t="s">
        <v>126</v>
      </c>
      <c r="E91" s="58"/>
      <c r="G91" s="66">
        <f>-SUMIFS(AP[Invoice value inc. GST], AP[Payment date - output], "&gt;="&amp;CFF!G$7, AP[Payment date - output], "&lt;="&amp;CFF!G$8, AP[Spend category L2 - Output], CFF!$C89)</f>
        <v>0</v>
      </c>
      <c r="H91" s="66">
        <f>-SUMIFS(AP[Invoice value inc. GST], AP[Payment date - output], "&gt;="&amp;CFF!H$7, AP[Payment date - output], "&lt;="&amp;CFF!H$8, AP[Spend category L2 - Output], CFF!$C89)</f>
        <v>0</v>
      </c>
      <c r="I91" s="66">
        <f>-SUMIFS(AP[Invoice value inc. GST], AP[Payment date - output], "&gt;="&amp;CFF!I$7, AP[Payment date - output], "&lt;="&amp;CFF!I$8, AP[Spend category L2 - Output], CFF!$C89)</f>
        <v>0</v>
      </c>
      <c r="J91" s="66">
        <f>-SUMIFS(AP[Invoice value inc. GST], AP[Payment date - output], "&gt;="&amp;CFF!J$7, AP[Payment date - output], "&lt;="&amp;CFF!J$8, AP[Spend category L2 - Output], CFF!$C89)</f>
        <v>0</v>
      </c>
      <c r="K91" s="66">
        <f>-SUMIFS(AP[Invoice value inc. GST], AP[Payment date - output], "&gt;="&amp;CFF!K$7, AP[Payment date - output], "&lt;="&amp;CFF!K$8, AP[Spend category L2 - Output], CFF!$C89)</f>
        <v>0</v>
      </c>
      <c r="L91" s="66">
        <f>-SUMIFS(AP[Invoice value inc. GST], AP[Payment date - output], "&gt;="&amp;CFF!L$7, AP[Payment date - output], "&lt;="&amp;CFF!L$8, AP[Spend category L2 - Output], CFF!$C89)</f>
        <v>0</v>
      </c>
      <c r="M91" s="66">
        <f>-SUMIFS(AP[Invoice value inc. GST], AP[Payment date - output], "&gt;="&amp;CFF!M$7, AP[Payment date - output], "&lt;="&amp;CFF!M$8, AP[Spend category L2 - Output], CFF!$C89)</f>
        <v>0</v>
      </c>
      <c r="N91" s="66">
        <f>-SUMIFS(AP[Invoice value inc. GST], AP[Payment date - output], "&gt;="&amp;CFF!N$7, AP[Payment date - output], "&lt;="&amp;CFF!N$8, AP[Spend category L2 - Output], CFF!$C89)</f>
        <v>0</v>
      </c>
      <c r="O91" s="66">
        <f>-SUMIFS(AP[Invoice value inc. GST], AP[Payment date - output], "&gt;="&amp;CFF!O$7, AP[Payment date - output], "&lt;="&amp;CFF!O$8, AP[Spend category L2 - Output], CFF!$C89)</f>
        <v>0</v>
      </c>
      <c r="P91" s="66">
        <f>-SUMIFS(AP[Invoice value inc. GST], AP[Payment date - output], "&gt;="&amp;CFF!P$7, AP[Payment date - output], "&lt;="&amp;CFF!P$8, AP[Spend category L2 - Output], CFF!$C89)</f>
        <v>0</v>
      </c>
      <c r="Q91" s="66">
        <f>-SUMIFS(AP[Invoice value inc. GST], AP[Payment date - output], "&gt;="&amp;CFF!Q$7, AP[Payment date - output], "&lt;="&amp;CFF!Q$8, AP[Spend category L2 - Output], CFF!$C89)</f>
        <v>0</v>
      </c>
      <c r="R91" s="66">
        <f>-SUMIFS(AP[Invoice value inc. GST], AP[Payment date - output], "&gt;="&amp;CFF!R$7, AP[Payment date - output], "&lt;="&amp;CFF!R$8, AP[Spend category L2 - Output], CFF!$C89)</f>
        <v>0</v>
      </c>
      <c r="S91" s="66">
        <f>-SUMIFS(AP[Invoice value inc. GST], AP[Payment date - output], "&gt;="&amp;CFF!S$7, AP[Payment date - output], "&lt;="&amp;CFF!S$8, AP[Spend category L2 - Output], CFF!$C89)</f>
        <v>0</v>
      </c>
      <c r="T91" s="70">
        <f t="shared" si="73"/>
        <v>0</v>
      </c>
    </row>
    <row r="92" spans="3:20" hidden="1" outlineLevel="1" x14ac:dyDescent="0.25">
      <c r="C92" s="67" t="s">
        <v>127</v>
      </c>
      <c r="E92" s="58"/>
      <c r="G92" s="66">
        <f>-SUMIFS(PO[Value inc. GST], PO[Payment date - output], "&gt;="&amp;CFF!G$7, PO[Payment date - output], "&lt;="&amp;CFF!G$8, PO[Spend category L2 - Output], CFF!$C89)</f>
        <v>0</v>
      </c>
      <c r="H92" s="66">
        <f>-SUMIFS(PO[Value inc. GST], PO[Payment date - output], "&gt;="&amp;CFF!H$7, PO[Payment date - output], "&lt;="&amp;CFF!H$8, PO[Spend category L2 - Output], CFF!$C89)</f>
        <v>0</v>
      </c>
      <c r="I92" s="66">
        <f>-SUMIFS(PO[Value inc. GST], PO[Payment date - output], "&gt;="&amp;CFF!I$7, PO[Payment date - output], "&lt;="&amp;CFF!I$8, PO[Spend category L2 - Output], CFF!$C89)</f>
        <v>0</v>
      </c>
      <c r="J92" s="66">
        <f>-SUMIFS(PO[Value inc. GST], PO[Payment date - output], "&gt;="&amp;CFF!J$7, PO[Payment date - output], "&lt;="&amp;CFF!J$8, PO[Spend category L2 - Output], CFF!$C89)</f>
        <v>0</v>
      </c>
      <c r="K92" s="66">
        <f>-SUMIFS(PO[Value inc. GST], PO[Payment date - output], "&gt;="&amp;CFF!K$7, PO[Payment date - output], "&lt;="&amp;CFF!K$8, PO[Spend category L2 - Output], CFF!$C89)</f>
        <v>0</v>
      </c>
      <c r="L92" s="66">
        <f>-SUMIFS(PO[Value inc. GST], PO[Payment date - output], "&gt;="&amp;CFF!L$7, PO[Payment date - output], "&lt;="&amp;CFF!L$8, PO[Spend category L2 - Output], CFF!$C89)</f>
        <v>0</v>
      </c>
      <c r="M92" s="66">
        <f>-SUMIFS(PO[Value inc. GST], PO[Payment date - output], "&gt;="&amp;CFF!M$7, PO[Payment date - output], "&lt;="&amp;CFF!M$8, PO[Spend category L2 - Output], CFF!$C89)</f>
        <v>0</v>
      </c>
      <c r="N92" s="66">
        <f>-SUMIFS(PO[Value inc. GST], PO[Payment date - output], "&gt;="&amp;CFF!N$7, PO[Payment date - output], "&lt;="&amp;CFF!N$8, PO[Spend category L2 - Output], CFF!$C89)</f>
        <v>0</v>
      </c>
      <c r="O92" s="66">
        <f>-SUMIFS(PO[Value inc. GST], PO[Payment date - output], "&gt;="&amp;CFF!O$7, PO[Payment date - output], "&lt;="&amp;CFF!O$8, PO[Spend category L2 - Output], CFF!$C89)</f>
        <v>0</v>
      </c>
      <c r="P92" s="66">
        <f>-SUMIFS(PO[Value inc. GST], PO[Payment date - output], "&gt;="&amp;CFF!P$7, PO[Payment date - output], "&lt;="&amp;CFF!P$8, PO[Spend category L2 - Output], CFF!$C89)</f>
        <v>0</v>
      </c>
      <c r="Q92" s="66">
        <f>-SUMIFS(PO[Value inc. GST], PO[Payment date - output], "&gt;="&amp;CFF!Q$7, PO[Payment date - output], "&lt;="&amp;CFF!Q$8, PO[Spend category L2 - Output], CFF!$C89)</f>
        <v>0</v>
      </c>
      <c r="R92" s="66">
        <f>-SUMIFS(PO[Value inc. GST], PO[Payment date - output], "&gt;="&amp;CFF!R$7, PO[Payment date - output], "&lt;="&amp;CFF!R$8, PO[Spend category L2 - Output], CFF!$C89)</f>
        <v>0</v>
      </c>
      <c r="S92" s="66">
        <f>-SUMIFS(PO[Value inc. GST], PO[Payment date - output], "&gt;="&amp;CFF!S$7, PO[Payment date - output], "&lt;="&amp;CFF!S$8, PO[Spend category L2 - Output], CFF!$C89)</f>
        <v>0</v>
      </c>
      <c r="T92" s="70">
        <f t="shared" si="73"/>
        <v>0</v>
      </c>
    </row>
    <row r="93" spans="3:20" hidden="1" outlineLevel="1" x14ac:dyDescent="0.25">
      <c r="C93" s="68" t="s">
        <v>128</v>
      </c>
      <c r="E93" s="58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70">
        <f t="shared" si="73"/>
        <v>0</v>
      </c>
    </row>
    <row r="94" spans="3:20" hidden="1" outlineLevel="1" x14ac:dyDescent="0.25">
      <c r="C94" s="68" t="s">
        <v>128</v>
      </c>
      <c r="E94" s="58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70">
        <f t="shared" si="73"/>
        <v>0</v>
      </c>
    </row>
    <row r="95" spans="3:20" hidden="1" outlineLevel="1" x14ac:dyDescent="0.25">
      <c r="C95" s="68" t="s">
        <v>128</v>
      </c>
      <c r="E95" s="58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70">
        <f t="shared" si="73"/>
        <v>0</v>
      </c>
    </row>
    <row r="96" spans="3:20" ht="5.0999999999999996" customHeight="1" x14ac:dyDescent="0.25">
      <c r="E96" s="58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</row>
    <row r="97" spans="3:20" x14ac:dyDescent="0.25">
      <c r="C97" s="14" t="s">
        <v>134</v>
      </c>
      <c r="E97" s="101">
        <f>E57 + E65 + E73 + E81 + E89</f>
        <v>0</v>
      </c>
      <c r="G97" s="73">
        <f>G57 + G65 + G73 + G81 + G89</f>
        <v>0</v>
      </c>
      <c r="H97" s="73">
        <f t="shared" ref="H97:T97" si="74">H57 + H65 + H73 + H81 + H89</f>
        <v>0</v>
      </c>
      <c r="I97" s="73">
        <f t="shared" si="74"/>
        <v>0</v>
      </c>
      <c r="J97" s="73">
        <f t="shared" si="74"/>
        <v>0</v>
      </c>
      <c r="K97" s="73">
        <f t="shared" si="74"/>
        <v>0</v>
      </c>
      <c r="L97" s="73">
        <f t="shared" si="74"/>
        <v>0</v>
      </c>
      <c r="M97" s="73">
        <f t="shared" si="74"/>
        <v>0</v>
      </c>
      <c r="N97" s="73">
        <f t="shared" si="74"/>
        <v>0</v>
      </c>
      <c r="O97" s="73">
        <f t="shared" si="74"/>
        <v>0</v>
      </c>
      <c r="P97" s="73">
        <f t="shared" si="74"/>
        <v>0</v>
      </c>
      <c r="Q97" s="73">
        <f t="shared" si="74"/>
        <v>0</v>
      </c>
      <c r="R97" s="73">
        <f t="shared" si="74"/>
        <v>0</v>
      </c>
      <c r="S97" s="73">
        <f t="shared" si="74"/>
        <v>0</v>
      </c>
      <c r="T97" s="73">
        <f t="shared" si="74"/>
        <v>0</v>
      </c>
    </row>
    <row r="98" spans="3:20" x14ac:dyDescent="0.25"/>
    <row r="99" spans="3:20" x14ac:dyDescent="0.25">
      <c r="C99" s="12" t="s">
        <v>135</v>
      </c>
      <c r="D99" s="13"/>
      <c r="E99" s="13"/>
      <c r="F99" s="13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3:20" ht="5.0999999999999996" customHeight="1" x14ac:dyDescent="0.25"/>
    <row r="101" spans="3:20" collapsed="1" x14ac:dyDescent="0.25">
      <c r="C101" s="1">
        <f>Assumptions!$D$29</f>
        <v>0</v>
      </c>
      <c r="E101" s="66">
        <f>SUMIFS('Cash actuals'!$F$36:$BE$36, 'Cash actuals'!$F$7:$BE$7, CFF!$E$7)</f>
        <v>0</v>
      </c>
      <c r="G101" s="69">
        <f>IF( SUM(G103:G104) &lt; G102, SUM(G103:G104), IF( SUM(G103:G104) &gt; G102, G102, 0)) + SUM(G105:G107)</f>
        <v>0</v>
      </c>
      <c r="H101" s="69">
        <f t="shared" ref="H101:S101" si="75">IF( SUM(H103:H104) &lt; H102, SUM(H103:H104), IF( SUM(H103:H104) &gt; H102, H102, 0))</f>
        <v>0</v>
      </c>
      <c r="I101" s="69">
        <f t="shared" si="75"/>
        <v>0</v>
      </c>
      <c r="J101" s="69">
        <f t="shared" si="75"/>
        <v>0</v>
      </c>
      <c r="K101" s="69">
        <f t="shared" si="75"/>
        <v>0</v>
      </c>
      <c r="L101" s="69">
        <f t="shared" si="75"/>
        <v>0</v>
      </c>
      <c r="M101" s="69">
        <f t="shared" si="75"/>
        <v>0</v>
      </c>
      <c r="N101" s="69">
        <f t="shared" si="75"/>
        <v>0</v>
      </c>
      <c r="O101" s="69">
        <f t="shared" si="75"/>
        <v>0</v>
      </c>
      <c r="P101" s="69">
        <f t="shared" si="75"/>
        <v>0</v>
      </c>
      <c r="Q101" s="69">
        <f t="shared" si="75"/>
        <v>0</v>
      </c>
      <c r="R101" s="69">
        <f t="shared" si="75"/>
        <v>0</v>
      </c>
      <c r="S101" s="69">
        <f t="shared" si="75"/>
        <v>0</v>
      </c>
      <c r="T101" s="71">
        <f>SUM(G101:S101)</f>
        <v>0</v>
      </c>
    </row>
    <row r="102" spans="3:20" hidden="1" outlineLevel="1" x14ac:dyDescent="0.25">
      <c r="C102" s="67" t="s">
        <v>125</v>
      </c>
      <c r="E102" s="58"/>
      <c r="G102" s="66">
        <f>-IF(G17 = "Yes", Assumptions!$E29, 0)</f>
        <v>0</v>
      </c>
      <c r="H102" s="66">
        <f>-IF(H17 = "Yes", Assumptions!$E29, 0)</f>
        <v>0</v>
      </c>
      <c r="I102" s="66">
        <f>-IF(I17 = "Yes", Assumptions!$E29, 0)</f>
        <v>0</v>
      </c>
      <c r="J102" s="66">
        <f>-IF(J17 = "Yes", Assumptions!$E29, 0)</f>
        <v>0</v>
      </c>
      <c r="K102" s="66">
        <f>-IF(K17 = "Yes", Assumptions!$E29, 0)</f>
        <v>0</v>
      </c>
      <c r="L102" s="66">
        <f>-IF(L17 = "Yes", Assumptions!$E29, 0)</f>
        <v>0</v>
      </c>
      <c r="M102" s="66">
        <f>-IF(M17 = "Yes", Assumptions!$E29, 0)</f>
        <v>0</v>
      </c>
      <c r="N102" s="66">
        <f>-IF(N17 = "Yes", Assumptions!$E29, 0)</f>
        <v>0</v>
      </c>
      <c r="O102" s="66">
        <f>-IF(O17 = "Yes", Assumptions!$E29, 0)</f>
        <v>0</v>
      </c>
      <c r="P102" s="66">
        <f>-IF(P17 = "Yes", Assumptions!$E29, 0)</f>
        <v>0</v>
      </c>
      <c r="Q102" s="66">
        <f>-IF(Q17 = "Yes", Assumptions!$E29, 0)</f>
        <v>0</v>
      </c>
      <c r="R102" s="66">
        <f>-IF(R17 = "Yes", Assumptions!$E29, 0)</f>
        <v>0</v>
      </c>
      <c r="S102" s="66">
        <f>-IF(S17 = "Yes", Assumptions!$E29, 0)</f>
        <v>0</v>
      </c>
      <c r="T102" s="70">
        <f>SUM(G102:S102)</f>
        <v>0</v>
      </c>
    </row>
    <row r="103" spans="3:20" hidden="1" outlineLevel="1" x14ac:dyDescent="0.25">
      <c r="C103" s="67" t="s">
        <v>126</v>
      </c>
      <c r="E103" s="58"/>
      <c r="G103" s="66">
        <f>-SUMIFS(AP[Invoice value inc. GST], AP[Payment date - output], "&gt;="&amp;CFF!G$7, AP[Payment date - output], "&lt;="&amp;CFF!G$8, AP[Spend category L2 - Output], CFF!$C101)</f>
        <v>0</v>
      </c>
      <c r="H103" s="66">
        <f>-SUMIFS(AP[Invoice value inc. GST], AP[Payment date - output], "&gt;="&amp;CFF!H$7, AP[Payment date - output], "&lt;="&amp;CFF!H$8, AP[Spend category L2 - Output], CFF!$C101)</f>
        <v>0</v>
      </c>
      <c r="I103" s="66">
        <f>-SUMIFS(AP[Invoice value inc. GST], AP[Payment date - output], "&gt;="&amp;CFF!I$7, AP[Payment date - output], "&lt;="&amp;CFF!I$8, AP[Spend category L2 - Output], CFF!$C101)</f>
        <v>0</v>
      </c>
      <c r="J103" s="66">
        <f>-SUMIFS(AP[Invoice value inc. GST], AP[Payment date - output], "&gt;="&amp;CFF!J$7, AP[Payment date - output], "&lt;="&amp;CFF!J$8, AP[Spend category L2 - Output], CFF!$C101)</f>
        <v>0</v>
      </c>
      <c r="K103" s="66">
        <f>-SUMIFS(AP[Invoice value inc. GST], AP[Payment date - output], "&gt;="&amp;CFF!K$7, AP[Payment date - output], "&lt;="&amp;CFF!K$8, AP[Spend category L2 - Output], CFF!$C101)</f>
        <v>0</v>
      </c>
      <c r="L103" s="66">
        <f>-SUMIFS(AP[Invoice value inc. GST], AP[Payment date - output], "&gt;="&amp;CFF!L$7, AP[Payment date - output], "&lt;="&amp;CFF!L$8, AP[Spend category L2 - Output], CFF!$C101)</f>
        <v>0</v>
      </c>
      <c r="M103" s="66">
        <f>-SUMIFS(AP[Invoice value inc. GST], AP[Payment date - output], "&gt;="&amp;CFF!M$7, AP[Payment date - output], "&lt;="&amp;CFF!M$8, AP[Spend category L2 - Output], CFF!$C101)</f>
        <v>0</v>
      </c>
      <c r="N103" s="66">
        <f>-SUMIFS(AP[Invoice value inc. GST], AP[Payment date - output], "&gt;="&amp;CFF!N$7, AP[Payment date - output], "&lt;="&amp;CFF!N$8, AP[Spend category L2 - Output], CFF!$C101)</f>
        <v>0</v>
      </c>
      <c r="O103" s="66">
        <f>-SUMIFS(AP[Invoice value inc. GST], AP[Payment date - output], "&gt;="&amp;CFF!O$7, AP[Payment date - output], "&lt;="&amp;CFF!O$8, AP[Spend category L2 - Output], CFF!$C101)</f>
        <v>0</v>
      </c>
      <c r="P103" s="66">
        <f>-SUMIFS(AP[Invoice value inc. GST], AP[Payment date - output], "&gt;="&amp;CFF!P$7, AP[Payment date - output], "&lt;="&amp;CFF!P$8, AP[Spend category L2 - Output], CFF!$C101)</f>
        <v>0</v>
      </c>
      <c r="Q103" s="66">
        <f>-SUMIFS(AP[Invoice value inc. GST], AP[Payment date - output], "&gt;="&amp;CFF!Q$7, AP[Payment date - output], "&lt;="&amp;CFF!Q$8, AP[Spend category L2 - Output], CFF!$C101)</f>
        <v>0</v>
      </c>
      <c r="R103" s="66">
        <f>-SUMIFS(AP[Invoice value inc. GST], AP[Payment date - output], "&gt;="&amp;CFF!R$7, AP[Payment date - output], "&lt;="&amp;CFF!R$8, AP[Spend category L2 - Output], CFF!$C101)</f>
        <v>0</v>
      </c>
      <c r="S103" s="66">
        <f>-SUMIFS(AP[Invoice value inc. GST], AP[Payment date - output], "&gt;="&amp;CFF!S$7, AP[Payment date - output], "&lt;="&amp;CFF!S$8, AP[Spend category L2 - Output], CFF!$C101)</f>
        <v>0</v>
      </c>
      <c r="T103" s="70">
        <f t="shared" ref="T103:T107" si="76">SUM(G103:S103)</f>
        <v>0</v>
      </c>
    </row>
    <row r="104" spans="3:20" hidden="1" outlineLevel="1" x14ac:dyDescent="0.25">
      <c r="C104" s="67" t="s">
        <v>127</v>
      </c>
      <c r="E104" s="58"/>
      <c r="G104" s="66">
        <f>-SUMIFS(PO[Value inc. GST], PO[Payment date - output], "&gt;="&amp;CFF!G$7, PO[Payment date - output], "&lt;="&amp;CFF!G$8, PO[Spend category L2 - Output], CFF!$C101)</f>
        <v>0</v>
      </c>
      <c r="H104" s="66">
        <f>-SUMIFS(PO[Value inc. GST], PO[Payment date - output], "&gt;="&amp;CFF!H$7, PO[Payment date - output], "&lt;="&amp;CFF!H$8, PO[Spend category L2 - Output], CFF!$C101)</f>
        <v>0</v>
      </c>
      <c r="I104" s="66">
        <f>-SUMIFS(PO[Value inc. GST], PO[Payment date - output], "&gt;="&amp;CFF!I$7, PO[Payment date - output], "&lt;="&amp;CFF!I$8, PO[Spend category L2 - Output], CFF!$C101)</f>
        <v>0</v>
      </c>
      <c r="J104" s="66">
        <f>-SUMIFS(PO[Value inc. GST], PO[Payment date - output], "&gt;="&amp;CFF!J$7, PO[Payment date - output], "&lt;="&amp;CFF!J$8, PO[Spend category L2 - Output], CFF!$C101)</f>
        <v>0</v>
      </c>
      <c r="K104" s="66">
        <f>-SUMIFS(PO[Value inc. GST], PO[Payment date - output], "&gt;="&amp;CFF!K$7, PO[Payment date - output], "&lt;="&amp;CFF!K$8, PO[Spend category L2 - Output], CFF!$C101)</f>
        <v>0</v>
      </c>
      <c r="L104" s="66">
        <f>-SUMIFS(PO[Value inc. GST], PO[Payment date - output], "&gt;="&amp;CFF!L$7, PO[Payment date - output], "&lt;="&amp;CFF!L$8, PO[Spend category L2 - Output], CFF!$C101)</f>
        <v>0</v>
      </c>
      <c r="M104" s="66">
        <f>-SUMIFS(PO[Value inc. GST], PO[Payment date - output], "&gt;="&amp;CFF!M$7, PO[Payment date - output], "&lt;="&amp;CFF!M$8, PO[Spend category L2 - Output], CFF!$C101)</f>
        <v>0</v>
      </c>
      <c r="N104" s="66">
        <f>-SUMIFS(PO[Value inc. GST], PO[Payment date - output], "&gt;="&amp;CFF!N$7, PO[Payment date - output], "&lt;="&amp;CFF!N$8, PO[Spend category L2 - Output], CFF!$C101)</f>
        <v>0</v>
      </c>
      <c r="O104" s="66">
        <f>-SUMIFS(PO[Value inc. GST], PO[Payment date - output], "&gt;="&amp;CFF!O$7, PO[Payment date - output], "&lt;="&amp;CFF!O$8, PO[Spend category L2 - Output], CFF!$C101)</f>
        <v>0</v>
      </c>
      <c r="P104" s="66">
        <f>-SUMIFS(PO[Value inc. GST], PO[Payment date - output], "&gt;="&amp;CFF!P$7, PO[Payment date - output], "&lt;="&amp;CFF!P$8, PO[Spend category L2 - Output], CFF!$C101)</f>
        <v>0</v>
      </c>
      <c r="Q104" s="66">
        <f>-SUMIFS(PO[Value inc. GST], PO[Payment date - output], "&gt;="&amp;CFF!Q$7, PO[Payment date - output], "&lt;="&amp;CFF!Q$8, PO[Spend category L2 - Output], CFF!$C101)</f>
        <v>0</v>
      </c>
      <c r="R104" s="66">
        <f>-SUMIFS(PO[Value inc. GST], PO[Payment date - output], "&gt;="&amp;CFF!R$7, PO[Payment date - output], "&lt;="&amp;CFF!R$8, PO[Spend category L2 - Output], CFF!$C101)</f>
        <v>0</v>
      </c>
      <c r="S104" s="66">
        <f>-SUMIFS(PO[Value inc. GST], PO[Payment date - output], "&gt;="&amp;CFF!S$7, PO[Payment date - output], "&lt;="&amp;CFF!S$8, PO[Spend category L2 - Output], CFF!$C101)</f>
        <v>0</v>
      </c>
      <c r="T104" s="70">
        <f t="shared" si="76"/>
        <v>0</v>
      </c>
    </row>
    <row r="105" spans="3:20" hidden="1" outlineLevel="1" x14ac:dyDescent="0.25">
      <c r="C105" s="68" t="s">
        <v>128</v>
      </c>
      <c r="E105" s="58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70">
        <f t="shared" si="76"/>
        <v>0</v>
      </c>
    </row>
    <row r="106" spans="3:20" hidden="1" outlineLevel="1" x14ac:dyDescent="0.25">
      <c r="C106" s="68" t="s">
        <v>128</v>
      </c>
      <c r="E106" s="58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70">
        <f t="shared" si="76"/>
        <v>0</v>
      </c>
    </row>
    <row r="107" spans="3:20" hidden="1" outlineLevel="1" x14ac:dyDescent="0.25">
      <c r="C107" s="68" t="s">
        <v>128</v>
      </c>
      <c r="E107" s="58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70">
        <f t="shared" si="76"/>
        <v>0</v>
      </c>
    </row>
    <row r="108" spans="3:20" ht="5.0999999999999996" customHeight="1" x14ac:dyDescent="0.25">
      <c r="E108" s="58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</row>
    <row r="109" spans="3:20" collapsed="1" x14ac:dyDescent="0.25">
      <c r="C109" s="1">
        <f>Assumptions!$D$30</f>
        <v>0</v>
      </c>
      <c r="E109" s="66">
        <f>SUMIFS('Cash actuals'!$F$38:$BE$38, 'Cash actuals'!$F$7:$BE$7, CFF!$E$7)</f>
        <v>0</v>
      </c>
      <c r="G109" s="69">
        <f>IF( SUM(G111:G112) &lt; G110, SUM(G111:G112), IF( SUM(G111:G112) &gt; G110, G110, 0)) + SUM(G113:G115)</f>
        <v>0</v>
      </c>
      <c r="H109" s="69">
        <f t="shared" ref="H109" si="77">IF( SUM(H111:H112) &lt; H110, SUM(H111:H112), IF( SUM(H111:H112) &gt; H110, H110, 0))</f>
        <v>0</v>
      </c>
      <c r="I109" s="69">
        <f t="shared" ref="I109" si="78">IF( SUM(I111:I112) &lt; I110, SUM(I111:I112), IF( SUM(I111:I112) &gt; I110, I110, 0))</f>
        <v>0</v>
      </c>
      <c r="J109" s="69">
        <f t="shared" ref="J109" si="79">IF( SUM(J111:J112) &lt; J110, SUM(J111:J112), IF( SUM(J111:J112) &gt; J110, J110, 0))</f>
        <v>0</v>
      </c>
      <c r="K109" s="69">
        <f t="shared" ref="K109" si="80">IF( SUM(K111:K112) &lt; K110, SUM(K111:K112), IF( SUM(K111:K112) &gt; K110, K110, 0))</f>
        <v>0</v>
      </c>
      <c r="L109" s="69">
        <f t="shared" ref="L109" si="81">IF( SUM(L111:L112) &lt; L110, SUM(L111:L112), IF( SUM(L111:L112) &gt; L110, L110, 0))</f>
        <v>0</v>
      </c>
      <c r="M109" s="69">
        <f t="shared" ref="M109" si="82">IF( SUM(M111:M112) &lt; M110, SUM(M111:M112), IF( SUM(M111:M112) &gt; M110, M110, 0))</f>
        <v>0</v>
      </c>
      <c r="N109" s="69">
        <f t="shared" ref="N109" si="83">IF( SUM(N111:N112) &lt; N110, SUM(N111:N112), IF( SUM(N111:N112) &gt; N110, N110, 0))</f>
        <v>0</v>
      </c>
      <c r="O109" s="69">
        <f t="shared" ref="O109" si="84">IF( SUM(O111:O112) &lt; O110, SUM(O111:O112), IF( SUM(O111:O112) &gt; O110, O110, 0))</f>
        <v>0</v>
      </c>
      <c r="P109" s="69">
        <f t="shared" ref="P109" si="85">IF( SUM(P111:P112) &lt; P110, SUM(P111:P112), IF( SUM(P111:P112) &gt; P110, P110, 0))</f>
        <v>0</v>
      </c>
      <c r="Q109" s="69">
        <f t="shared" ref="Q109" si="86">IF( SUM(Q111:Q112) &lt; Q110, SUM(Q111:Q112), IF( SUM(Q111:Q112) &gt; Q110, Q110, 0))</f>
        <v>0</v>
      </c>
      <c r="R109" s="69">
        <f t="shared" ref="R109" si="87">IF( SUM(R111:R112) &lt; R110, SUM(R111:R112), IF( SUM(R111:R112) &gt; R110, R110, 0))</f>
        <v>0</v>
      </c>
      <c r="S109" s="69">
        <f t="shared" ref="S109" si="88">IF( SUM(S111:S112) &lt; S110, SUM(S111:S112), IF( SUM(S111:S112) &gt; S110, S110, 0))</f>
        <v>0</v>
      </c>
      <c r="T109" s="71">
        <f>SUM(G109:S109)</f>
        <v>0</v>
      </c>
    </row>
    <row r="110" spans="3:20" hidden="1" outlineLevel="1" x14ac:dyDescent="0.25">
      <c r="C110" s="67" t="s">
        <v>125</v>
      </c>
      <c r="E110" s="58"/>
      <c r="G110" s="66">
        <f>-IF(G18 = "Yes", Assumptions!$E30, 0)</f>
        <v>0</v>
      </c>
      <c r="H110" s="66">
        <f>-IF(H18 = "Yes", Assumptions!$E30, 0)</f>
        <v>0</v>
      </c>
      <c r="I110" s="66">
        <f>-IF(I18 = "Yes", Assumptions!$E30, 0)</f>
        <v>0</v>
      </c>
      <c r="J110" s="66">
        <f>-IF(J18 = "Yes", Assumptions!$E30, 0)</f>
        <v>0</v>
      </c>
      <c r="K110" s="66">
        <f>-IF(K18 = "Yes", Assumptions!$E30, 0)</f>
        <v>0</v>
      </c>
      <c r="L110" s="66">
        <f>-IF(L18 = "Yes", Assumptions!$E30, 0)</f>
        <v>0</v>
      </c>
      <c r="M110" s="66">
        <f>-IF(M18 = "Yes", Assumptions!$E30, 0)</f>
        <v>0</v>
      </c>
      <c r="N110" s="66">
        <f>-IF(N18 = "Yes", Assumptions!$E30, 0)</f>
        <v>0</v>
      </c>
      <c r="O110" s="66">
        <f>-IF(O18 = "Yes", Assumptions!$E30, 0)</f>
        <v>0</v>
      </c>
      <c r="P110" s="66">
        <f>-IF(P18 = "Yes", Assumptions!$E30, 0)</f>
        <v>0</v>
      </c>
      <c r="Q110" s="66">
        <f>-IF(Q18 = "Yes", Assumptions!$E30, 0)</f>
        <v>0</v>
      </c>
      <c r="R110" s="66">
        <f>-IF(R18 = "Yes", Assumptions!$E30, 0)</f>
        <v>0</v>
      </c>
      <c r="S110" s="66">
        <f>-IF(S18 = "Yes", Assumptions!$E30, 0)</f>
        <v>0</v>
      </c>
      <c r="T110" s="70">
        <f t="shared" ref="T110:T115" si="89">SUM(G110:S110)</f>
        <v>0</v>
      </c>
    </row>
    <row r="111" spans="3:20" hidden="1" outlineLevel="1" x14ac:dyDescent="0.25">
      <c r="C111" s="67" t="s">
        <v>126</v>
      </c>
      <c r="E111" s="58"/>
      <c r="G111" s="66">
        <f>-SUMIFS(AP[Invoice value inc. GST], AP[Payment date - output], "&gt;="&amp;CFF!G$7, AP[Payment date - output], "&lt;="&amp;CFF!G$8, AP[Spend category L2 - Output], CFF!$C109)</f>
        <v>0</v>
      </c>
      <c r="H111" s="66">
        <f>-SUMIFS(AP[Invoice value inc. GST], AP[Payment date - output], "&gt;="&amp;CFF!H$7, AP[Payment date - output], "&lt;="&amp;CFF!H$8, AP[Spend category L2 - Output], CFF!$C109)</f>
        <v>0</v>
      </c>
      <c r="I111" s="66">
        <f>-SUMIFS(AP[Invoice value inc. GST], AP[Payment date - output], "&gt;="&amp;CFF!I$7, AP[Payment date - output], "&lt;="&amp;CFF!I$8, AP[Spend category L2 - Output], CFF!$C109)</f>
        <v>0</v>
      </c>
      <c r="J111" s="66">
        <f>-SUMIFS(AP[Invoice value inc. GST], AP[Payment date - output], "&gt;="&amp;CFF!J$7, AP[Payment date - output], "&lt;="&amp;CFF!J$8, AP[Spend category L2 - Output], CFF!$C109)</f>
        <v>0</v>
      </c>
      <c r="K111" s="66">
        <f>-SUMIFS(AP[Invoice value inc. GST], AP[Payment date - output], "&gt;="&amp;CFF!K$7, AP[Payment date - output], "&lt;="&amp;CFF!K$8, AP[Spend category L2 - Output], CFF!$C109)</f>
        <v>0</v>
      </c>
      <c r="L111" s="66">
        <f>-SUMIFS(AP[Invoice value inc. GST], AP[Payment date - output], "&gt;="&amp;CFF!L$7, AP[Payment date - output], "&lt;="&amp;CFF!L$8, AP[Spend category L2 - Output], CFF!$C109)</f>
        <v>0</v>
      </c>
      <c r="M111" s="66">
        <f>-SUMIFS(AP[Invoice value inc. GST], AP[Payment date - output], "&gt;="&amp;CFF!M$7, AP[Payment date - output], "&lt;="&amp;CFF!M$8, AP[Spend category L2 - Output], CFF!$C109)</f>
        <v>0</v>
      </c>
      <c r="N111" s="66">
        <f>-SUMIFS(AP[Invoice value inc. GST], AP[Payment date - output], "&gt;="&amp;CFF!N$7, AP[Payment date - output], "&lt;="&amp;CFF!N$8, AP[Spend category L2 - Output], CFF!$C109)</f>
        <v>0</v>
      </c>
      <c r="O111" s="66">
        <f>-SUMIFS(AP[Invoice value inc. GST], AP[Payment date - output], "&gt;="&amp;CFF!O$7, AP[Payment date - output], "&lt;="&amp;CFF!O$8, AP[Spend category L2 - Output], CFF!$C109)</f>
        <v>0</v>
      </c>
      <c r="P111" s="66">
        <f>-SUMIFS(AP[Invoice value inc. GST], AP[Payment date - output], "&gt;="&amp;CFF!P$7, AP[Payment date - output], "&lt;="&amp;CFF!P$8, AP[Spend category L2 - Output], CFF!$C109)</f>
        <v>0</v>
      </c>
      <c r="Q111" s="66">
        <f>-SUMIFS(AP[Invoice value inc. GST], AP[Payment date - output], "&gt;="&amp;CFF!Q$7, AP[Payment date - output], "&lt;="&amp;CFF!Q$8, AP[Spend category L2 - Output], CFF!$C109)</f>
        <v>0</v>
      </c>
      <c r="R111" s="66">
        <f>-SUMIFS(AP[Invoice value inc. GST], AP[Payment date - output], "&gt;="&amp;CFF!R$7, AP[Payment date - output], "&lt;="&amp;CFF!R$8, AP[Spend category L2 - Output], CFF!$C109)</f>
        <v>0</v>
      </c>
      <c r="S111" s="66">
        <f>-SUMIFS(AP[Invoice value inc. GST], AP[Payment date - output], "&gt;="&amp;CFF!S$7, AP[Payment date - output], "&lt;="&amp;CFF!S$8, AP[Spend category L2 - Output], CFF!$C109)</f>
        <v>0</v>
      </c>
      <c r="T111" s="70">
        <f t="shared" si="89"/>
        <v>0</v>
      </c>
    </row>
    <row r="112" spans="3:20" hidden="1" outlineLevel="1" x14ac:dyDescent="0.25">
      <c r="C112" s="67" t="s">
        <v>127</v>
      </c>
      <c r="E112" s="58"/>
      <c r="G112" s="66">
        <f>-SUMIFS(PO[Value inc. GST], PO[Payment date - output], "&gt;="&amp;CFF!G$7, PO[Payment date - output], "&lt;="&amp;CFF!G$8, PO[Spend category L2 - Output], CFF!$C109)</f>
        <v>0</v>
      </c>
      <c r="H112" s="66">
        <f>-SUMIFS(PO[Value inc. GST], PO[Payment date - output], "&gt;="&amp;CFF!H$7, PO[Payment date - output], "&lt;="&amp;CFF!H$8, PO[Spend category L2 - Output], CFF!$C109)</f>
        <v>0</v>
      </c>
      <c r="I112" s="66">
        <f>-SUMIFS(PO[Value inc. GST], PO[Payment date - output], "&gt;="&amp;CFF!I$7, PO[Payment date - output], "&lt;="&amp;CFF!I$8, PO[Spend category L2 - Output], CFF!$C109)</f>
        <v>0</v>
      </c>
      <c r="J112" s="66">
        <f>-SUMIFS(PO[Value inc. GST], PO[Payment date - output], "&gt;="&amp;CFF!J$7, PO[Payment date - output], "&lt;="&amp;CFF!J$8, PO[Spend category L2 - Output], CFF!$C109)</f>
        <v>0</v>
      </c>
      <c r="K112" s="66">
        <f>-SUMIFS(PO[Value inc. GST], PO[Payment date - output], "&gt;="&amp;CFF!K$7, PO[Payment date - output], "&lt;="&amp;CFF!K$8, PO[Spend category L2 - Output], CFF!$C109)</f>
        <v>0</v>
      </c>
      <c r="L112" s="66">
        <f>-SUMIFS(PO[Value inc. GST], PO[Payment date - output], "&gt;="&amp;CFF!L$7, PO[Payment date - output], "&lt;="&amp;CFF!L$8, PO[Spend category L2 - Output], CFF!$C109)</f>
        <v>0</v>
      </c>
      <c r="M112" s="66">
        <f>-SUMIFS(PO[Value inc. GST], PO[Payment date - output], "&gt;="&amp;CFF!M$7, PO[Payment date - output], "&lt;="&amp;CFF!M$8, PO[Spend category L2 - Output], CFF!$C109)</f>
        <v>0</v>
      </c>
      <c r="N112" s="66">
        <f>-SUMIFS(PO[Value inc. GST], PO[Payment date - output], "&gt;="&amp;CFF!N$7, PO[Payment date - output], "&lt;="&amp;CFF!N$8, PO[Spend category L2 - Output], CFF!$C109)</f>
        <v>0</v>
      </c>
      <c r="O112" s="66">
        <f>-SUMIFS(PO[Value inc. GST], PO[Payment date - output], "&gt;="&amp;CFF!O$7, PO[Payment date - output], "&lt;="&amp;CFF!O$8, PO[Spend category L2 - Output], CFF!$C109)</f>
        <v>0</v>
      </c>
      <c r="P112" s="66">
        <f>-SUMIFS(PO[Value inc. GST], PO[Payment date - output], "&gt;="&amp;CFF!P$7, PO[Payment date - output], "&lt;="&amp;CFF!P$8, PO[Spend category L2 - Output], CFF!$C109)</f>
        <v>0</v>
      </c>
      <c r="Q112" s="66">
        <f>-SUMIFS(PO[Value inc. GST], PO[Payment date - output], "&gt;="&amp;CFF!Q$7, PO[Payment date - output], "&lt;="&amp;CFF!Q$8, PO[Spend category L2 - Output], CFF!$C109)</f>
        <v>0</v>
      </c>
      <c r="R112" s="66">
        <f>-SUMIFS(PO[Value inc. GST], PO[Payment date - output], "&gt;="&amp;CFF!R$7, PO[Payment date - output], "&lt;="&amp;CFF!R$8, PO[Spend category L2 - Output], CFF!$C109)</f>
        <v>0</v>
      </c>
      <c r="S112" s="66">
        <f>-SUMIFS(PO[Value inc. GST], PO[Payment date - output], "&gt;="&amp;CFF!S$7, PO[Payment date - output], "&lt;="&amp;CFF!S$8, PO[Spend category L2 - Output], CFF!$C109)</f>
        <v>0</v>
      </c>
      <c r="T112" s="70">
        <f t="shared" si="89"/>
        <v>0</v>
      </c>
    </row>
    <row r="113" spans="3:20" hidden="1" outlineLevel="1" x14ac:dyDescent="0.25">
      <c r="C113" s="68" t="s">
        <v>128</v>
      </c>
      <c r="E113" s="58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70">
        <f t="shared" si="89"/>
        <v>0</v>
      </c>
    </row>
    <row r="114" spans="3:20" hidden="1" outlineLevel="1" x14ac:dyDescent="0.25">
      <c r="C114" s="68" t="s">
        <v>128</v>
      </c>
      <c r="E114" s="58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70">
        <f t="shared" si="89"/>
        <v>0</v>
      </c>
    </row>
    <row r="115" spans="3:20" hidden="1" outlineLevel="1" x14ac:dyDescent="0.25">
      <c r="C115" s="68" t="s">
        <v>128</v>
      </c>
      <c r="E115" s="58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70">
        <f t="shared" si="89"/>
        <v>0</v>
      </c>
    </row>
    <row r="116" spans="3:20" ht="5.0999999999999996" customHeight="1" x14ac:dyDescent="0.25">
      <c r="E116" s="58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</row>
    <row r="117" spans="3:20" collapsed="1" x14ac:dyDescent="0.25">
      <c r="C117" s="1">
        <f>Assumptions!$D$31</f>
        <v>0</v>
      </c>
      <c r="E117" s="66">
        <f>SUMIFS('Cash actuals'!$F$40:$BE$40, 'Cash actuals'!$F$7:$BE$7, CFF!$E$7)</f>
        <v>0</v>
      </c>
      <c r="G117" s="69">
        <f>IF( SUM(G119:G120) &lt; G118, SUM(G119:G120), IF( SUM(G119:G120) &gt; G118, G118, 0)) + SUM(G121:G123)</f>
        <v>0</v>
      </c>
      <c r="H117" s="69">
        <f t="shared" ref="H117" si="90">IF( SUM(H119:H120) &lt; H118, SUM(H119:H120), IF( SUM(H119:H120) &gt; H118, H118, 0))</f>
        <v>0</v>
      </c>
      <c r="I117" s="69">
        <f t="shared" ref="I117" si="91">IF( SUM(I119:I120) &lt; I118, SUM(I119:I120), IF( SUM(I119:I120) &gt; I118, I118, 0))</f>
        <v>0</v>
      </c>
      <c r="J117" s="69">
        <f t="shared" ref="J117" si="92">IF( SUM(J119:J120) &lt; J118, SUM(J119:J120), IF( SUM(J119:J120) &gt; J118, J118, 0))</f>
        <v>0</v>
      </c>
      <c r="K117" s="69">
        <f t="shared" ref="K117" si="93">IF( SUM(K119:K120) &lt; K118, SUM(K119:K120), IF( SUM(K119:K120) &gt; K118, K118, 0))</f>
        <v>0</v>
      </c>
      <c r="L117" s="69">
        <f t="shared" ref="L117" si="94">IF( SUM(L119:L120) &lt; L118, SUM(L119:L120), IF( SUM(L119:L120) &gt; L118, L118, 0))</f>
        <v>0</v>
      </c>
      <c r="M117" s="69">
        <f t="shared" ref="M117" si="95">IF( SUM(M119:M120) &lt; M118, SUM(M119:M120), IF( SUM(M119:M120) &gt; M118, M118, 0))</f>
        <v>0</v>
      </c>
      <c r="N117" s="69">
        <f t="shared" ref="N117" si="96">IF( SUM(N119:N120) &lt; N118, SUM(N119:N120), IF( SUM(N119:N120) &gt; N118, N118, 0))</f>
        <v>0</v>
      </c>
      <c r="O117" s="69">
        <f t="shared" ref="O117" si="97">IF( SUM(O119:O120) &lt; O118, SUM(O119:O120), IF( SUM(O119:O120) &gt; O118, O118, 0))</f>
        <v>0</v>
      </c>
      <c r="P117" s="69">
        <f t="shared" ref="P117" si="98">IF( SUM(P119:P120) &lt; P118, SUM(P119:P120), IF( SUM(P119:P120) &gt; P118, P118, 0))</f>
        <v>0</v>
      </c>
      <c r="Q117" s="69">
        <f t="shared" ref="Q117" si="99">IF( SUM(Q119:Q120) &lt; Q118, SUM(Q119:Q120), IF( SUM(Q119:Q120) &gt; Q118, Q118, 0))</f>
        <v>0</v>
      </c>
      <c r="R117" s="69">
        <f t="shared" ref="R117" si="100">IF( SUM(R119:R120) &lt; R118, SUM(R119:R120), IF( SUM(R119:R120) &gt; R118, R118, 0))</f>
        <v>0</v>
      </c>
      <c r="S117" s="69">
        <f t="shared" ref="S117" si="101">IF( SUM(S119:S120) &lt; S118, SUM(S119:S120), IF( SUM(S119:S120) &gt; S118, S118, 0))</f>
        <v>0</v>
      </c>
      <c r="T117" s="71">
        <f>SUM(G117:S117)</f>
        <v>0</v>
      </c>
    </row>
    <row r="118" spans="3:20" hidden="1" outlineLevel="1" x14ac:dyDescent="0.25">
      <c r="C118" s="67" t="s">
        <v>125</v>
      </c>
      <c r="E118" s="58"/>
      <c r="G118" s="66">
        <f>-IF(G19 = "Yes", Assumptions!$E31, 0)</f>
        <v>0</v>
      </c>
      <c r="H118" s="66">
        <f>-IF(H19 = "Yes", Assumptions!$E31, 0)</f>
        <v>0</v>
      </c>
      <c r="I118" s="66">
        <f>-IF(I19 = "Yes", Assumptions!$E31, 0)</f>
        <v>0</v>
      </c>
      <c r="J118" s="66">
        <f>-IF(J19 = "Yes", Assumptions!$E31, 0)</f>
        <v>0</v>
      </c>
      <c r="K118" s="66">
        <f>-IF(K19 = "Yes", Assumptions!$E31, 0)</f>
        <v>0</v>
      </c>
      <c r="L118" s="66">
        <f>-IF(L19 = "Yes", Assumptions!$E31, 0)</f>
        <v>0</v>
      </c>
      <c r="M118" s="66">
        <f>-IF(M19 = "Yes", Assumptions!$E31, 0)</f>
        <v>0</v>
      </c>
      <c r="N118" s="66">
        <f>-IF(N19 = "Yes", Assumptions!$E31, 0)</f>
        <v>0</v>
      </c>
      <c r="O118" s="66">
        <f>-IF(O19 = "Yes", Assumptions!$E31, 0)</f>
        <v>0</v>
      </c>
      <c r="P118" s="66">
        <f>-IF(P19 = "Yes", Assumptions!$E31, 0)</f>
        <v>0</v>
      </c>
      <c r="Q118" s="66">
        <f>-IF(Q19 = "Yes", Assumptions!$E31, 0)</f>
        <v>0</v>
      </c>
      <c r="R118" s="66">
        <f>-IF(R19 = "Yes", Assumptions!$E31, 0)</f>
        <v>0</v>
      </c>
      <c r="S118" s="66">
        <f>-IF(S19 = "Yes", Assumptions!$E31, 0)</f>
        <v>0</v>
      </c>
      <c r="T118" s="70">
        <f t="shared" ref="T118:T123" si="102">SUM(G118:S118)</f>
        <v>0</v>
      </c>
    </row>
    <row r="119" spans="3:20" hidden="1" outlineLevel="1" x14ac:dyDescent="0.25">
      <c r="C119" s="67" t="s">
        <v>126</v>
      </c>
      <c r="E119" s="58"/>
      <c r="G119" s="66">
        <f>-SUMIFS(AP[Invoice value inc. GST], AP[Payment date - output], "&gt;="&amp;CFF!G$7, AP[Payment date - output], "&lt;="&amp;CFF!G$8, AP[Spend category L2 - Output], CFF!$C117)</f>
        <v>0</v>
      </c>
      <c r="H119" s="66">
        <f>-SUMIFS(AP[Invoice value inc. GST], AP[Payment date - output], "&gt;="&amp;CFF!H$7, AP[Payment date - output], "&lt;="&amp;CFF!H$8, AP[Spend category L2 - Output], CFF!$C117)</f>
        <v>0</v>
      </c>
      <c r="I119" s="66">
        <f>-SUMIFS(AP[Invoice value inc. GST], AP[Payment date - output], "&gt;="&amp;CFF!I$7, AP[Payment date - output], "&lt;="&amp;CFF!I$8, AP[Spend category L2 - Output], CFF!$C117)</f>
        <v>0</v>
      </c>
      <c r="J119" s="66">
        <f>-SUMIFS(AP[Invoice value inc. GST], AP[Payment date - output], "&gt;="&amp;CFF!J$7, AP[Payment date - output], "&lt;="&amp;CFF!J$8, AP[Spend category L2 - Output], CFF!$C117)</f>
        <v>0</v>
      </c>
      <c r="K119" s="66">
        <f>-SUMIFS(AP[Invoice value inc. GST], AP[Payment date - output], "&gt;="&amp;CFF!K$7, AP[Payment date - output], "&lt;="&amp;CFF!K$8, AP[Spend category L2 - Output], CFF!$C117)</f>
        <v>0</v>
      </c>
      <c r="L119" s="66">
        <f>-SUMIFS(AP[Invoice value inc. GST], AP[Payment date - output], "&gt;="&amp;CFF!L$7, AP[Payment date - output], "&lt;="&amp;CFF!L$8, AP[Spend category L2 - Output], CFF!$C117)</f>
        <v>0</v>
      </c>
      <c r="M119" s="66">
        <f>-SUMIFS(AP[Invoice value inc. GST], AP[Payment date - output], "&gt;="&amp;CFF!M$7, AP[Payment date - output], "&lt;="&amp;CFF!M$8, AP[Spend category L2 - Output], CFF!$C117)</f>
        <v>0</v>
      </c>
      <c r="N119" s="66">
        <f>-SUMIFS(AP[Invoice value inc. GST], AP[Payment date - output], "&gt;="&amp;CFF!N$7, AP[Payment date - output], "&lt;="&amp;CFF!N$8, AP[Spend category L2 - Output], CFF!$C117)</f>
        <v>0</v>
      </c>
      <c r="O119" s="66">
        <f>-SUMIFS(AP[Invoice value inc. GST], AP[Payment date - output], "&gt;="&amp;CFF!O$7, AP[Payment date - output], "&lt;="&amp;CFF!O$8, AP[Spend category L2 - Output], CFF!$C117)</f>
        <v>0</v>
      </c>
      <c r="P119" s="66">
        <f>-SUMIFS(AP[Invoice value inc. GST], AP[Payment date - output], "&gt;="&amp;CFF!P$7, AP[Payment date - output], "&lt;="&amp;CFF!P$8, AP[Spend category L2 - Output], CFF!$C117)</f>
        <v>0</v>
      </c>
      <c r="Q119" s="66">
        <f>-SUMIFS(AP[Invoice value inc. GST], AP[Payment date - output], "&gt;="&amp;CFF!Q$7, AP[Payment date - output], "&lt;="&amp;CFF!Q$8, AP[Spend category L2 - Output], CFF!$C117)</f>
        <v>0</v>
      </c>
      <c r="R119" s="66">
        <f>-SUMIFS(AP[Invoice value inc. GST], AP[Payment date - output], "&gt;="&amp;CFF!R$7, AP[Payment date - output], "&lt;="&amp;CFF!R$8, AP[Spend category L2 - Output], CFF!$C117)</f>
        <v>0</v>
      </c>
      <c r="S119" s="66">
        <f>-SUMIFS(AP[Invoice value inc. GST], AP[Payment date - output], "&gt;="&amp;CFF!S$7, AP[Payment date - output], "&lt;="&amp;CFF!S$8, AP[Spend category L2 - Output], CFF!$C117)</f>
        <v>0</v>
      </c>
      <c r="T119" s="70">
        <f t="shared" si="102"/>
        <v>0</v>
      </c>
    </row>
    <row r="120" spans="3:20" hidden="1" outlineLevel="1" x14ac:dyDescent="0.25">
      <c r="C120" s="67" t="s">
        <v>127</v>
      </c>
      <c r="E120" s="58"/>
      <c r="G120" s="66">
        <f>-SUMIFS(PO[Value inc. GST], PO[Payment date - output], "&gt;="&amp;CFF!G$7, PO[Payment date - output], "&lt;="&amp;CFF!G$8, PO[Spend category L2 - Output], CFF!$C117)</f>
        <v>0</v>
      </c>
      <c r="H120" s="66">
        <f>-SUMIFS(PO[Value inc. GST], PO[Payment date - output], "&gt;="&amp;CFF!H$7, PO[Payment date - output], "&lt;="&amp;CFF!H$8, PO[Spend category L2 - Output], CFF!$C117)</f>
        <v>0</v>
      </c>
      <c r="I120" s="66">
        <f>-SUMIFS(PO[Value inc. GST], PO[Payment date - output], "&gt;="&amp;CFF!I$7, PO[Payment date - output], "&lt;="&amp;CFF!I$8, PO[Spend category L2 - Output], CFF!$C117)</f>
        <v>0</v>
      </c>
      <c r="J120" s="66">
        <f>-SUMIFS(PO[Value inc. GST], PO[Payment date - output], "&gt;="&amp;CFF!J$7, PO[Payment date - output], "&lt;="&amp;CFF!J$8, PO[Spend category L2 - Output], CFF!$C117)</f>
        <v>0</v>
      </c>
      <c r="K120" s="66">
        <f>-SUMIFS(PO[Value inc. GST], PO[Payment date - output], "&gt;="&amp;CFF!K$7, PO[Payment date - output], "&lt;="&amp;CFF!K$8, PO[Spend category L2 - Output], CFF!$C117)</f>
        <v>0</v>
      </c>
      <c r="L120" s="66">
        <f>-SUMIFS(PO[Value inc. GST], PO[Payment date - output], "&gt;="&amp;CFF!L$7, PO[Payment date - output], "&lt;="&amp;CFF!L$8, PO[Spend category L2 - Output], CFF!$C117)</f>
        <v>0</v>
      </c>
      <c r="M120" s="66">
        <f>-SUMIFS(PO[Value inc. GST], PO[Payment date - output], "&gt;="&amp;CFF!M$7, PO[Payment date - output], "&lt;="&amp;CFF!M$8, PO[Spend category L2 - Output], CFF!$C117)</f>
        <v>0</v>
      </c>
      <c r="N120" s="66">
        <f>-SUMIFS(PO[Value inc. GST], PO[Payment date - output], "&gt;="&amp;CFF!N$7, PO[Payment date - output], "&lt;="&amp;CFF!N$8, PO[Spend category L2 - Output], CFF!$C117)</f>
        <v>0</v>
      </c>
      <c r="O120" s="66">
        <f>-SUMIFS(PO[Value inc. GST], PO[Payment date - output], "&gt;="&amp;CFF!O$7, PO[Payment date - output], "&lt;="&amp;CFF!O$8, PO[Spend category L2 - Output], CFF!$C117)</f>
        <v>0</v>
      </c>
      <c r="P120" s="66">
        <f>-SUMIFS(PO[Value inc. GST], PO[Payment date - output], "&gt;="&amp;CFF!P$7, PO[Payment date - output], "&lt;="&amp;CFF!P$8, PO[Spend category L2 - Output], CFF!$C117)</f>
        <v>0</v>
      </c>
      <c r="Q120" s="66">
        <f>-SUMIFS(PO[Value inc. GST], PO[Payment date - output], "&gt;="&amp;CFF!Q$7, PO[Payment date - output], "&lt;="&amp;CFF!Q$8, PO[Spend category L2 - Output], CFF!$C117)</f>
        <v>0</v>
      </c>
      <c r="R120" s="66">
        <f>-SUMIFS(PO[Value inc. GST], PO[Payment date - output], "&gt;="&amp;CFF!R$7, PO[Payment date - output], "&lt;="&amp;CFF!R$8, PO[Spend category L2 - Output], CFF!$C117)</f>
        <v>0</v>
      </c>
      <c r="S120" s="66">
        <f>-SUMIFS(PO[Value inc. GST], PO[Payment date - output], "&gt;="&amp;CFF!S$7, PO[Payment date - output], "&lt;="&amp;CFF!S$8, PO[Spend category L2 - Output], CFF!$C117)</f>
        <v>0</v>
      </c>
      <c r="T120" s="70">
        <f t="shared" si="102"/>
        <v>0</v>
      </c>
    </row>
    <row r="121" spans="3:20" hidden="1" outlineLevel="1" x14ac:dyDescent="0.25">
      <c r="C121" s="68" t="s">
        <v>128</v>
      </c>
      <c r="E121" s="58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70">
        <f t="shared" si="102"/>
        <v>0</v>
      </c>
    </row>
    <row r="122" spans="3:20" hidden="1" outlineLevel="1" x14ac:dyDescent="0.25">
      <c r="C122" s="68" t="s">
        <v>128</v>
      </c>
      <c r="E122" s="58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70">
        <f t="shared" si="102"/>
        <v>0</v>
      </c>
    </row>
    <row r="123" spans="3:20" hidden="1" outlineLevel="1" x14ac:dyDescent="0.25">
      <c r="C123" s="68" t="s">
        <v>128</v>
      </c>
      <c r="E123" s="58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70">
        <f t="shared" si="102"/>
        <v>0</v>
      </c>
    </row>
    <row r="124" spans="3:20" ht="5.0999999999999996" customHeight="1" x14ac:dyDescent="0.25">
      <c r="E124" s="58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</row>
    <row r="125" spans="3:20" x14ac:dyDescent="0.25">
      <c r="C125" s="14" t="s">
        <v>136</v>
      </c>
      <c r="E125" s="101">
        <f>E101 + E109 + E117</f>
        <v>0</v>
      </c>
      <c r="G125" s="73">
        <f>G101 + G109 + G117</f>
        <v>0</v>
      </c>
      <c r="H125" s="73">
        <f t="shared" ref="H125:T125" si="103">H101 + H109 + H117</f>
        <v>0</v>
      </c>
      <c r="I125" s="73">
        <f t="shared" si="103"/>
        <v>0</v>
      </c>
      <c r="J125" s="73">
        <f t="shared" si="103"/>
        <v>0</v>
      </c>
      <c r="K125" s="73">
        <f t="shared" si="103"/>
        <v>0</v>
      </c>
      <c r="L125" s="73">
        <f t="shared" si="103"/>
        <v>0</v>
      </c>
      <c r="M125" s="73">
        <f t="shared" si="103"/>
        <v>0</v>
      </c>
      <c r="N125" s="73">
        <f t="shared" si="103"/>
        <v>0</v>
      </c>
      <c r="O125" s="73">
        <f t="shared" si="103"/>
        <v>0</v>
      </c>
      <c r="P125" s="73">
        <f t="shared" si="103"/>
        <v>0</v>
      </c>
      <c r="Q125" s="73">
        <f t="shared" si="103"/>
        <v>0</v>
      </c>
      <c r="R125" s="73">
        <f t="shared" si="103"/>
        <v>0</v>
      </c>
      <c r="S125" s="73">
        <f t="shared" si="103"/>
        <v>0</v>
      </c>
      <c r="T125" s="73">
        <f t="shared" si="103"/>
        <v>0</v>
      </c>
    </row>
    <row r="126" spans="3:20" x14ac:dyDescent="0.25"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</row>
    <row r="127" spans="3:20" x14ac:dyDescent="0.25">
      <c r="C127" s="12" t="s">
        <v>17</v>
      </c>
      <c r="D127" s="13"/>
      <c r="E127" s="13"/>
      <c r="F127" s="13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3:20" ht="5.0999999999999996" customHeight="1" x14ac:dyDescent="0.25"/>
    <row r="129" spans="3:20" collapsed="1" x14ac:dyDescent="0.25">
      <c r="C129" s="1" t="s">
        <v>232</v>
      </c>
      <c r="E129" s="66">
        <f>SUMIFS('Cash actuals'!$F$46:$BE$46, 'Cash actuals'!$F$7:$BE$7, CFF!$E$7)</f>
        <v>0</v>
      </c>
      <c r="G129" s="69">
        <f>SUM(G130:G136)</f>
        <v>0</v>
      </c>
      <c r="H129" s="69">
        <f t="shared" ref="H129:S129" si="104">SUM(H130:H136)</f>
        <v>0</v>
      </c>
      <c r="I129" s="69">
        <f t="shared" si="104"/>
        <v>0</v>
      </c>
      <c r="J129" s="69">
        <f t="shared" si="104"/>
        <v>0</v>
      </c>
      <c r="K129" s="69">
        <f t="shared" si="104"/>
        <v>0</v>
      </c>
      <c r="L129" s="69">
        <f t="shared" si="104"/>
        <v>0</v>
      </c>
      <c r="M129" s="69">
        <f t="shared" si="104"/>
        <v>0</v>
      </c>
      <c r="N129" s="69">
        <f t="shared" si="104"/>
        <v>0</v>
      </c>
      <c r="O129" s="69">
        <f t="shared" si="104"/>
        <v>0</v>
      </c>
      <c r="P129" s="69">
        <f t="shared" si="104"/>
        <v>0</v>
      </c>
      <c r="Q129" s="69">
        <f t="shared" si="104"/>
        <v>0</v>
      </c>
      <c r="R129" s="69">
        <f t="shared" si="104"/>
        <v>0</v>
      </c>
      <c r="S129" s="69">
        <f t="shared" si="104"/>
        <v>0</v>
      </c>
      <c r="T129" s="71">
        <f>SUM(G129:S129)</f>
        <v>0</v>
      </c>
    </row>
    <row r="130" spans="3:20" hidden="1" outlineLevel="1" x14ac:dyDescent="0.25">
      <c r="C130" s="67" t="s">
        <v>233</v>
      </c>
      <c r="E130" s="58"/>
      <c r="G130" s="66">
        <f>-SUMIFS(AR[GST amount], AR[GST payment date], "&gt;="&amp;CFF!G$7, AR[GST payment date], "&lt;="&amp;CFF!G$8)</f>
        <v>0</v>
      </c>
      <c r="H130" s="66">
        <f>-SUMIFS(AR[GST amount], AR[GST payment date], "&gt;="&amp;CFF!H$7, AR[GST payment date], "&lt;="&amp;CFF!H$8)</f>
        <v>0</v>
      </c>
      <c r="I130" s="66">
        <f>-SUMIFS(AR[GST amount], AR[GST payment date], "&gt;="&amp;CFF!I$7, AR[GST payment date], "&lt;="&amp;CFF!I$8)</f>
        <v>0</v>
      </c>
      <c r="J130" s="66">
        <f>-SUMIFS(AR[GST amount], AR[GST payment date], "&gt;="&amp;CFF!J$7, AR[GST payment date], "&lt;="&amp;CFF!J$8)</f>
        <v>0</v>
      </c>
      <c r="K130" s="66">
        <f>-SUMIFS(AR[GST amount], AR[GST payment date], "&gt;="&amp;CFF!K$7, AR[GST payment date], "&lt;="&amp;CFF!K$8)</f>
        <v>0</v>
      </c>
      <c r="L130" s="66">
        <f>-SUMIFS(AR[GST amount], AR[GST payment date], "&gt;="&amp;CFF!L$7, AR[GST payment date], "&lt;="&amp;CFF!L$8)</f>
        <v>0</v>
      </c>
      <c r="M130" s="66">
        <f>-SUMIFS(AR[GST amount], AR[GST payment date], "&gt;="&amp;CFF!M$7, AR[GST payment date], "&lt;="&amp;CFF!M$8)</f>
        <v>0</v>
      </c>
      <c r="N130" s="66">
        <f>-SUMIFS(AR[GST amount], AR[GST payment date], "&gt;="&amp;CFF!N$7, AR[GST payment date], "&lt;="&amp;CFF!N$8)</f>
        <v>0</v>
      </c>
      <c r="O130" s="66">
        <f>-SUMIFS(AR[GST amount], AR[GST payment date], "&gt;="&amp;CFF!O$7, AR[GST payment date], "&lt;="&amp;CFF!O$8)</f>
        <v>0</v>
      </c>
      <c r="P130" s="66">
        <f>-SUMIFS(AR[GST amount], AR[GST payment date], "&gt;="&amp;CFF!P$7, AR[GST payment date], "&lt;="&amp;CFF!P$8)</f>
        <v>0</v>
      </c>
      <c r="Q130" s="66">
        <f>-SUMIFS(AR[GST amount], AR[GST payment date], "&gt;="&amp;CFF!Q$7, AR[GST payment date], "&lt;="&amp;CFF!Q$8)</f>
        <v>0</v>
      </c>
      <c r="R130" s="66">
        <f>-SUMIFS(AR[GST amount], AR[GST payment date], "&gt;="&amp;CFF!R$7, AR[GST payment date], "&lt;="&amp;CFF!R$8)</f>
        <v>0</v>
      </c>
      <c r="S130" s="66">
        <f>-SUMIFS(AR[GST amount], AR[GST payment date], "&gt;="&amp;CFF!S$7, AR[GST payment date], "&lt;="&amp;CFF!S$8)</f>
        <v>0</v>
      </c>
      <c r="T130" s="70">
        <f t="shared" ref="T130:T136" si="105">SUM(G130:S130)</f>
        <v>0</v>
      </c>
    </row>
    <row r="131" spans="3:20" hidden="1" outlineLevel="1" x14ac:dyDescent="0.25">
      <c r="C131" s="67" t="s">
        <v>234</v>
      </c>
      <c r="E131" s="58"/>
      <c r="G131" s="66">
        <f>-SUMIFS(SO[GST amount], SO[GST payment date], "&gt;="&amp;CFF!G$7, SO[GST payment date], "&lt;="&amp;CFF!G$8)</f>
        <v>0</v>
      </c>
      <c r="H131" s="66">
        <f>-SUMIFS(SO[GST amount], SO[GST payment date], "&gt;="&amp;CFF!H$7, SO[GST payment date], "&lt;="&amp;CFF!H$8)</f>
        <v>0</v>
      </c>
      <c r="I131" s="66">
        <f>-SUMIFS(SO[GST amount], SO[GST payment date], "&gt;="&amp;CFF!I$7, SO[GST payment date], "&lt;="&amp;CFF!I$8)</f>
        <v>0</v>
      </c>
      <c r="J131" s="66">
        <f>-SUMIFS(SO[GST amount], SO[GST payment date], "&gt;="&amp;CFF!J$7, SO[GST payment date], "&lt;="&amp;CFF!J$8)</f>
        <v>0</v>
      </c>
      <c r="K131" s="66">
        <f>-SUMIFS(SO[GST amount], SO[GST payment date], "&gt;="&amp;CFF!K$7, SO[GST payment date], "&lt;="&amp;CFF!K$8)</f>
        <v>0</v>
      </c>
      <c r="L131" s="66">
        <f>-SUMIFS(SO[GST amount], SO[GST payment date], "&gt;="&amp;CFF!L$7, SO[GST payment date], "&lt;="&amp;CFF!L$8)</f>
        <v>0</v>
      </c>
      <c r="M131" s="66">
        <f>-SUMIFS(SO[GST amount], SO[GST payment date], "&gt;="&amp;CFF!M$7, SO[GST payment date], "&lt;="&amp;CFF!M$8)</f>
        <v>0</v>
      </c>
      <c r="N131" s="66">
        <f>-SUMIFS(SO[GST amount], SO[GST payment date], "&gt;="&amp;CFF!N$7, SO[GST payment date], "&lt;="&amp;CFF!N$8)</f>
        <v>0</v>
      </c>
      <c r="O131" s="66">
        <f>-SUMIFS(SO[GST amount], SO[GST payment date], "&gt;="&amp;CFF!O$7, SO[GST payment date], "&lt;="&amp;CFF!O$8)</f>
        <v>0</v>
      </c>
      <c r="P131" s="66">
        <f>-SUMIFS(SO[GST amount], SO[GST payment date], "&gt;="&amp;CFF!P$7, SO[GST payment date], "&lt;="&amp;CFF!P$8)</f>
        <v>0</v>
      </c>
      <c r="Q131" s="66">
        <f>-SUMIFS(SO[GST amount], SO[GST payment date], "&gt;="&amp;CFF!Q$7, SO[GST payment date], "&lt;="&amp;CFF!Q$8)</f>
        <v>0</v>
      </c>
      <c r="R131" s="66">
        <f>-SUMIFS(SO[GST amount], SO[GST payment date], "&gt;="&amp;CFF!R$7, SO[GST payment date], "&lt;="&amp;CFF!R$8)</f>
        <v>0</v>
      </c>
      <c r="S131" s="66">
        <f>-SUMIFS(SO[GST amount], SO[GST payment date], "&gt;="&amp;CFF!S$7, SO[GST payment date], "&lt;="&amp;CFF!S$8)</f>
        <v>0</v>
      </c>
      <c r="T131" s="70">
        <f t="shared" si="105"/>
        <v>0</v>
      </c>
    </row>
    <row r="132" spans="3:20" hidden="1" outlineLevel="1" x14ac:dyDescent="0.25">
      <c r="C132" s="67" t="s">
        <v>235</v>
      </c>
      <c r="E132" s="58"/>
      <c r="G132" s="66">
        <f>SUMIFS(AP[GST amount], AP[GST collection date], "&gt;="&amp;CFF!G$7, AP[GST collection date], "&lt;="&amp;CFF!G$8)</f>
        <v>0</v>
      </c>
      <c r="H132" s="66">
        <f>SUMIFS(AP[GST amount], AP[GST collection date], "&gt;="&amp;CFF!H$7, AP[GST collection date], "&lt;="&amp;CFF!H$8)</f>
        <v>0</v>
      </c>
      <c r="I132" s="66">
        <f>SUMIFS(AP[GST amount], AP[GST collection date], "&gt;="&amp;CFF!I$7, AP[GST collection date], "&lt;="&amp;CFF!I$8)</f>
        <v>0</v>
      </c>
      <c r="J132" s="66">
        <f>SUMIFS(AP[GST amount], AP[GST collection date], "&gt;="&amp;CFF!J$7, AP[GST collection date], "&lt;="&amp;CFF!J$8)</f>
        <v>0</v>
      </c>
      <c r="K132" s="66">
        <f>SUMIFS(AP[GST amount], AP[GST collection date], "&gt;="&amp;CFF!K$7, AP[GST collection date], "&lt;="&amp;CFF!K$8)</f>
        <v>0</v>
      </c>
      <c r="L132" s="66">
        <f>SUMIFS(AP[GST amount], AP[GST collection date], "&gt;="&amp;CFF!L$7, AP[GST collection date], "&lt;="&amp;CFF!L$8)</f>
        <v>0</v>
      </c>
      <c r="M132" s="66">
        <f>SUMIFS(AP[GST amount], AP[GST collection date], "&gt;="&amp;CFF!M$7, AP[GST collection date], "&lt;="&amp;CFF!M$8)</f>
        <v>0</v>
      </c>
      <c r="N132" s="66">
        <f>SUMIFS(AP[GST amount], AP[GST collection date], "&gt;="&amp;CFF!N$7, AP[GST collection date], "&lt;="&amp;CFF!N$8)</f>
        <v>0</v>
      </c>
      <c r="O132" s="66">
        <f>SUMIFS(AP[GST amount], AP[GST collection date], "&gt;="&amp;CFF!O$7, AP[GST collection date], "&lt;="&amp;CFF!O$8)</f>
        <v>0</v>
      </c>
      <c r="P132" s="66">
        <f>SUMIFS(AP[GST amount], AP[GST collection date], "&gt;="&amp;CFF!P$7, AP[GST collection date], "&lt;="&amp;CFF!P$8)</f>
        <v>0</v>
      </c>
      <c r="Q132" s="66">
        <f>SUMIFS(AP[GST amount], AP[GST collection date], "&gt;="&amp;CFF!Q$7, AP[GST collection date], "&lt;="&amp;CFF!Q$8)</f>
        <v>0</v>
      </c>
      <c r="R132" s="66">
        <f>SUMIFS(AP[GST amount], AP[GST collection date], "&gt;="&amp;CFF!R$7, AP[GST collection date], "&lt;="&amp;CFF!R$8)</f>
        <v>0</v>
      </c>
      <c r="S132" s="66">
        <f>SUMIFS(AP[GST amount], AP[GST collection date], "&gt;="&amp;CFF!S$7, AP[GST collection date], "&lt;="&amp;CFF!S$8)</f>
        <v>0</v>
      </c>
      <c r="T132" s="70">
        <f t="shared" si="105"/>
        <v>0</v>
      </c>
    </row>
    <row r="133" spans="3:20" hidden="1" outlineLevel="1" x14ac:dyDescent="0.25">
      <c r="C133" s="67" t="s">
        <v>236</v>
      </c>
      <c r="E133" s="58"/>
      <c r="G133" s="66">
        <f>SUMIFS(PO[GST amount], PO[GST collection date], "&gt;="&amp;CFF!G$7, PO[GST collection date], "&lt;="&amp;CFF!G$8)</f>
        <v>0</v>
      </c>
      <c r="H133" s="66">
        <f>SUMIFS(PO[GST amount], PO[GST collection date], "&gt;="&amp;CFF!H$7, PO[GST collection date], "&lt;="&amp;CFF!H$8)</f>
        <v>0</v>
      </c>
      <c r="I133" s="66">
        <f>SUMIFS(PO[GST amount], PO[GST collection date], "&gt;="&amp;CFF!I$7, PO[GST collection date], "&lt;="&amp;CFF!I$8)</f>
        <v>0</v>
      </c>
      <c r="J133" s="66">
        <f>SUMIFS(PO[GST amount], PO[GST collection date], "&gt;="&amp;CFF!J$7, PO[GST collection date], "&lt;="&amp;CFF!J$8)</f>
        <v>0</v>
      </c>
      <c r="K133" s="66">
        <f>SUMIFS(PO[GST amount], PO[GST collection date], "&gt;="&amp;CFF!K$7, PO[GST collection date], "&lt;="&amp;CFF!K$8)</f>
        <v>0</v>
      </c>
      <c r="L133" s="66">
        <f>SUMIFS(PO[GST amount], PO[GST collection date], "&gt;="&amp;CFF!L$7, PO[GST collection date], "&lt;="&amp;CFF!L$8)</f>
        <v>0</v>
      </c>
      <c r="M133" s="66">
        <f>SUMIFS(PO[GST amount], PO[GST collection date], "&gt;="&amp;CFF!M$7, PO[GST collection date], "&lt;="&amp;CFF!M$8)</f>
        <v>0</v>
      </c>
      <c r="N133" s="66">
        <f>SUMIFS(PO[GST amount], PO[GST collection date], "&gt;="&amp;CFF!N$7, PO[GST collection date], "&lt;="&amp;CFF!N$8)</f>
        <v>0</v>
      </c>
      <c r="O133" s="66">
        <f>SUMIFS(PO[GST amount], PO[GST collection date], "&gt;="&amp;CFF!O$7, PO[GST collection date], "&lt;="&amp;CFF!O$8)</f>
        <v>0</v>
      </c>
      <c r="P133" s="66">
        <f>SUMIFS(PO[GST amount], PO[GST collection date], "&gt;="&amp;CFF!P$7, PO[GST collection date], "&lt;="&amp;CFF!P$8)</f>
        <v>0</v>
      </c>
      <c r="Q133" s="66">
        <f>SUMIFS(PO[GST amount], PO[GST collection date], "&gt;="&amp;CFF!Q$7, PO[GST collection date], "&lt;="&amp;CFF!Q$8)</f>
        <v>0</v>
      </c>
      <c r="R133" s="66">
        <f>SUMIFS(PO[GST amount], PO[GST collection date], "&gt;="&amp;CFF!R$7, PO[GST collection date], "&lt;="&amp;CFF!R$8)</f>
        <v>0</v>
      </c>
      <c r="S133" s="66">
        <f>SUMIFS(PO[GST amount], PO[GST collection date], "&gt;="&amp;CFF!S$7, PO[GST collection date], "&lt;="&amp;CFF!S$8)</f>
        <v>0</v>
      </c>
      <c r="T133" s="70">
        <f t="shared" si="105"/>
        <v>0</v>
      </c>
    </row>
    <row r="134" spans="3:20" hidden="1" outlineLevel="1" x14ac:dyDescent="0.25">
      <c r="C134" s="68" t="s">
        <v>128</v>
      </c>
      <c r="E134" s="58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70">
        <f t="shared" si="105"/>
        <v>0</v>
      </c>
    </row>
    <row r="135" spans="3:20" hidden="1" outlineLevel="1" x14ac:dyDescent="0.25">
      <c r="C135" s="68" t="s">
        <v>128</v>
      </c>
      <c r="E135" s="58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70">
        <f t="shared" si="105"/>
        <v>0</v>
      </c>
    </row>
    <row r="136" spans="3:20" hidden="1" outlineLevel="1" x14ac:dyDescent="0.25">
      <c r="C136" s="68" t="s">
        <v>128</v>
      </c>
      <c r="E136" s="58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70">
        <f t="shared" si="105"/>
        <v>0</v>
      </c>
    </row>
    <row r="137" spans="3:20" ht="5.0999999999999996" customHeight="1" x14ac:dyDescent="0.25">
      <c r="E137" s="58"/>
    </row>
    <row r="138" spans="3:20" collapsed="1" x14ac:dyDescent="0.25">
      <c r="C138" s="1">
        <f>Assumptions!$D$32</f>
        <v>0</v>
      </c>
      <c r="E138" s="66">
        <f>SUMIFS('Cash actuals'!$F$48:$BE$48, 'Cash actuals'!$F$7:$BE$7, CFF!$E$7)</f>
        <v>0</v>
      </c>
      <c r="G138" s="69">
        <f>IF( SUM(G140:G141) &lt; G139, SUM(G140:G141), IF( SUM(G140:G141) &gt; G139, G139, 0)) + SUM(G142:G144)</f>
        <v>0</v>
      </c>
      <c r="H138" s="69">
        <f t="shared" ref="H138" si="106">IF( SUM(H140:H141) &lt; H139, SUM(H140:H141), IF( SUM(H140:H141) &gt; H139, H139, 0))</f>
        <v>0</v>
      </c>
      <c r="I138" s="69">
        <f t="shared" ref="I138" si="107">IF( SUM(I140:I141) &lt; I139, SUM(I140:I141), IF( SUM(I140:I141) &gt; I139, I139, 0))</f>
        <v>0</v>
      </c>
      <c r="J138" s="69">
        <f t="shared" ref="J138" si="108">IF( SUM(J140:J141) &lt; J139, SUM(J140:J141), IF( SUM(J140:J141) &gt; J139, J139, 0))</f>
        <v>0</v>
      </c>
      <c r="K138" s="69">
        <f t="shared" ref="K138" si="109">IF( SUM(K140:K141) &lt; K139, SUM(K140:K141), IF( SUM(K140:K141) &gt; K139, K139, 0))</f>
        <v>0</v>
      </c>
      <c r="L138" s="69">
        <f t="shared" ref="L138" si="110">IF( SUM(L140:L141) &lt; L139, SUM(L140:L141), IF( SUM(L140:L141) &gt; L139, L139, 0))</f>
        <v>0</v>
      </c>
      <c r="M138" s="69">
        <f t="shared" ref="M138" si="111">IF( SUM(M140:M141) &lt; M139, SUM(M140:M141), IF( SUM(M140:M141) &gt; M139, M139, 0))</f>
        <v>0</v>
      </c>
      <c r="N138" s="69">
        <f t="shared" ref="N138" si="112">IF( SUM(N140:N141) &lt; N139, SUM(N140:N141), IF( SUM(N140:N141) &gt; N139, N139, 0))</f>
        <v>0</v>
      </c>
      <c r="O138" s="69">
        <f t="shared" ref="O138" si="113">IF( SUM(O140:O141) &lt; O139, SUM(O140:O141), IF( SUM(O140:O141) &gt; O139, O139, 0))</f>
        <v>0</v>
      </c>
      <c r="P138" s="69">
        <f t="shared" ref="P138" si="114">IF( SUM(P140:P141) &lt; P139, SUM(P140:P141), IF( SUM(P140:P141) &gt; P139, P139, 0))</f>
        <v>0</v>
      </c>
      <c r="Q138" s="69">
        <f t="shared" ref="Q138" si="115">IF( SUM(Q140:Q141) &lt; Q139, SUM(Q140:Q141), IF( SUM(Q140:Q141) &gt; Q139, Q139, 0))</f>
        <v>0</v>
      </c>
      <c r="R138" s="69">
        <f t="shared" ref="R138" si="116">IF( SUM(R140:R141) &lt; R139, SUM(R140:R141), IF( SUM(R140:R141) &gt; R139, R139, 0))</f>
        <v>0</v>
      </c>
      <c r="S138" s="69">
        <f t="shared" ref="S138" si="117">IF( SUM(S140:S141) &lt; S139, SUM(S140:S141), IF( SUM(S140:S141) &gt; S139, S139, 0))</f>
        <v>0</v>
      </c>
      <c r="T138" s="71">
        <f>SUM(G138:S138)</f>
        <v>0</v>
      </c>
    </row>
    <row r="139" spans="3:20" hidden="1" outlineLevel="1" x14ac:dyDescent="0.25">
      <c r="C139" s="67" t="s">
        <v>125</v>
      </c>
      <c r="E139" s="58"/>
      <c r="G139" s="66">
        <f>-IF(G20 = "Yes", Assumptions!$E32, 0)</f>
        <v>0</v>
      </c>
      <c r="H139" s="66">
        <f>-IF(H20 = "Yes", Assumptions!$E32, 0)</f>
        <v>0</v>
      </c>
      <c r="I139" s="66">
        <f>-IF(I20 = "Yes", Assumptions!$E32, 0)</f>
        <v>0</v>
      </c>
      <c r="J139" s="66">
        <f>-IF(J20 = "Yes", Assumptions!$E32, 0)</f>
        <v>0</v>
      </c>
      <c r="K139" s="66">
        <f>-IF(K20 = "Yes", Assumptions!$E32, 0)</f>
        <v>0</v>
      </c>
      <c r="L139" s="66">
        <f>-IF(L20 = "Yes", Assumptions!$E32, 0)</f>
        <v>0</v>
      </c>
      <c r="M139" s="66">
        <f>-IF(M20 = "Yes", Assumptions!$E32, 0)</f>
        <v>0</v>
      </c>
      <c r="N139" s="66">
        <f>-IF(N20 = "Yes", Assumptions!$E32, 0)</f>
        <v>0</v>
      </c>
      <c r="O139" s="66">
        <f>-IF(O20 = "Yes", Assumptions!$E32, 0)</f>
        <v>0</v>
      </c>
      <c r="P139" s="66">
        <f>-IF(P20 = "Yes", Assumptions!$E32, 0)</f>
        <v>0</v>
      </c>
      <c r="Q139" s="66">
        <f>-IF(Q20 = "Yes", Assumptions!$E32, 0)</f>
        <v>0</v>
      </c>
      <c r="R139" s="66">
        <f>-IF(R20 = "Yes", Assumptions!$E32, 0)</f>
        <v>0</v>
      </c>
      <c r="S139" s="66">
        <f>-IF(S20 = "Yes", Assumptions!$E32, 0)</f>
        <v>0</v>
      </c>
      <c r="T139" s="70">
        <f t="shared" ref="T139:T144" si="118">SUM(G139:S139)</f>
        <v>0</v>
      </c>
    </row>
    <row r="140" spans="3:20" hidden="1" outlineLevel="1" x14ac:dyDescent="0.25">
      <c r="C140" s="67" t="s">
        <v>126</v>
      </c>
      <c r="E140" s="58"/>
      <c r="G140" s="66">
        <f>-SUMIFS(AP[Invoice value inc. GST], AP[Payment date - output], "&gt;="&amp;CFF!G$7, AP[Payment date - output], "&lt;="&amp;CFF!G$8, AP[Spend category L2 - Output], CFF!$C138)</f>
        <v>0</v>
      </c>
      <c r="H140" s="66">
        <f>-SUMIFS(AP[Invoice value inc. GST], AP[Payment date - output], "&gt;="&amp;CFF!H$7, AP[Payment date - output], "&lt;="&amp;CFF!H$8, AP[Spend category L2 - Output], CFF!$C138)</f>
        <v>0</v>
      </c>
      <c r="I140" s="66">
        <f>-SUMIFS(AP[Invoice value inc. GST], AP[Payment date - output], "&gt;="&amp;CFF!I$7, AP[Payment date - output], "&lt;="&amp;CFF!I$8, AP[Spend category L2 - Output], CFF!$C138)</f>
        <v>0</v>
      </c>
      <c r="J140" s="66">
        <f>-SUMIFS(AP[Invoice value inc. GST], AP[Payment date - output], "&gt;="&amp;CFF!J$7, AP[Payment date - output], "&lt;="&amp;CFF!J$8, AP[Spend category L2 - Output], CFF!$C138)</f>
        <v>0</v>
      </c>
      <c r="K140" s="66">
        <f>-SUMIFS(AP[Invoice value inc. GST], AP[Payment date - output], "&gt;="&amp;CFF!K$7, AP[Payment date - output], "&lt;="&amp;CFF!K$8, AP[Spend category L2 - Output], CFF!$C138)</f>
        <v>0</v>
      </c>
      <c r="L140" s="66">
        <f>-SUMIFS(AP[Invoice value inc. GST], AP[Payment date - output], "&gt;="&amp;CFF!L$7, AP[Payment date - output], "&lt;="&amp;CFF!L$8, AP[Spend category L2 - Output], CFF!$C138)</f>
        <v>0</v>
      </c>
      <c r="M140" s="66">
        <f>-SUMIFS(AP[Invoice value inc. GST], AP[Payment date - output], "&gt;="&amp;CFF!M$7, AP[Payment date - output], "&lt;="&amp;CFF!M$8, AP[Spend category L2 - Output], CFF!$C138)</f>
        <v>0</v>
      </c>
      <c r="N140" s="66">
        <f>-SUMIFS(AP[Invoice value inc. GST], AP[Payment date - output], "&gt;="&amp;CFF!N$7, AP[Payment date - output], "&lt;="&amp;CFF!N$8, AP[Spend category L2 - Output], CFF!$C138)</f>
        <v>0</v>
      </c>
      <c r="O140" s="66">
        <f>-SUMIFS(AP[Invoice value inc. GST], AP[Payment date - output], "&gt;="&amp;CFF!O$7, AP[Payment date - output], "&lt;="&amp;CFF!O$8, AP[Spend category L2 - Output], CFF!$C138)</f>
        <v>0</v>
      </c>
      <c r="P140" s="66">
        <f>-SUMIFS(AP[Invoice value inc. GST], AP[Payment date - output], "&gt;="&amp;CFF!P$7, AP[Payment date - output], "&lt;="&amp;CFF!P$8, AP[Spend category L2 - Output], CFF!$C138)</f>
        <v>0</v>
      </c>
      <c r="Q140" s="66">
        <f>-SUMIFS(AP[Invoice value inc. GST], AP[Payment date - output], "&gt;="&amp;CFF!Q$7, AP[Payment date - output], "&lt;="&amp;CFF!Q$8, AP[Spend category L2 - Output], CFF!$C138)</f>
        <v>0</v>
      </c>
      <c r="R140" s="66">
        <f>-SUMIFS(AP[Invoice value inc. GST], AP[Payment date - output], "&gt;="&amp;CFF!R$7, AP[Payment date - output], "&lt;="&amp;CFF!R$8, AP[Spend category L2 - Output], CFF!$C138)</f>
        <v>0</v>
      </c>
      <c r="S140" s="66">
        <f>-SUMIFS(AP[Invoice value inc. GST], AP[Payment date - output], "&gt;="&amp;CFF!S$7, AP[Payment date - output], "&lt;="&amp;CFF!S$8, AP[Spend category L2 - Output], CFF!$C138)</f>
        <v>0</v>
      </c>
      <c r="T140" s="70">
        <f t="shared" si="118"/>
        <v>0</v>
      </c>
    </row>
    <row r="141" spans="3:20" hidden="1" outlineLevel="1" x14ac:dyDescent="0.25">
      <c r="C141" s="67" t="s">
        <v>127</v>
      </c>
      <c r="E141" s="58"/>
      <c r="G141" s="66">
        <f>-SUMIFS(PO[Value inc. GST], PO[Payment date - output], "&gt;="&amp;CFF!G$7, PO[Payment date - output], "&lt;="&amp;CFF!G$8, PO[Spend category L2 - Output], CFF!$C138)</f>
        <v>0</v>
      </c>
      <c r="H141" s="66">
        <f>-SUMIFS(PO[Value inc. GST], PO[Payment date - output], "&gt;="&amp;CFF!H$7, PO[Payment date - output], "&lt;="&amp;CFF!H$8, PO[Spend category L2 - Output], CFF!$C138)</f>
        <v>0</v>
      </c>
      <c r="I141" s="66">
        <f>-SUMIFS(PO[Value inc. GST], PO[Payment date - output], "&gt;="&amp;CFF!I$7, PO[Payment date - output], "&lt;="&amp;CFF!I$8, PO[Spend category L2 - Output], CFF!$C138)</f>
        <v>0</v>
      </c>
      <c r="J141" s="66">
        <f>-SUMIFS(PO[Value inc. GST], PO[Payment date - output], "&gt;="&amp;CFF!J$7, PO[Payment date - output], "&lt;="&amp;CFF!J$8, PO[Spend category L2 - Output], CFF!$C138)</f>
        <v>0</v>
      </c>
      <c r="K141" s="66">
        <f>-SUMIFS(PO[Value inc. GST], PO[Payment date - output], "&gt;="&amp;CFF!K$7, PO[Payment date - output], "&lt;="&amp;CFF!K$8, PO[Spend category L2 - Output], CFF!$C138)</f>
        <v>0</v>
      </c>
      <c r="L141" s="66">
        <f>-SUMIFS(PO[Value inc. GST], PO[Payment date - output], "&gt;="&amp;CFF!L$7, PO[Payment date - output], "&lt;="&amp;CFF!L$8, PO[Spend category L2 - Output], CFF!$C138)</f>
        <v>0</v>
      </c>
      <c r="M141" s="66">
        <f>-SUMIFS(PO[Value inc. GST], PO[Payment date - output], "&gt;="&amp;CFF!M$7, PO[Payment date - output], "&lt;="&amp;CFF!M$8, PO[Spend category L2 - Output], CFF!$C138)</f>
        <v>0</v>
      </c>
      <c r="N141" s="66">
        <f>-SUMIFS(PO[Value inc. GST], PO[Payment date - output], "&gt;="&amp;CFF!N$7, PO[Payment date - output], "&lt;="&amp;CFF!N$8, PO[Spend category L2 - Output], CFF!$C138)</f>
        <v>0</v>
      </c>
      <c r="O141" s="66">
        <f>-SUMIFS(PO[Value inc. GST], PO[Payment date - output], "&gt;="&amp;CFF!O$7, PO[Payment date - output], "&lt;="&amp;CFF!O$8, PO[Spend category L2 - Output], CFF!$C138)</f>
        <v>0</v>
      </c>
      <c r="P141" s="66">
        <f>-SUMIFS(PO[Value inc. GST], PO[Payment date - output], "&gt;="&amp;CFF!P$7, PO[Payment date - output], "&lt;="&amp;CFF!P$8, PO[Spend category L2 - Output], CFF!$C138)</f>
        <v>0</v>
      </c>
      <c r="Q141" s="66">
        <f>-SUMIFS(PO[Value inc. GST], PO[Payment date - output], "&gt;="&amp;CFF!Q$7, PO[Payment date - output], "&lt;="&amp;CFF!Q$8, PO[Spend category L2 - Output], CFF!$C138)</f>
        <v>0</v>
      </c>
      <c r="R141" s="66">
        <f>-SUMIFS(PO[Value inc. GST], PO[Payment date - output], "&gt;="&amp;CFF!R$7, PO[Payment date - output], "&lt;="&amp;CFF!R$8, PO[Spend category L2 - Output], CFF!$C138)</f>
        <v>0</v>
      </c>
      <c r="S141" s="66">
        <f>-SUMIFS(PO[Value inc. GST], PO[Payment date - output], "&gt;="&amp;CFF!S$7, PO[Payment date - output], "&lt;="&amp;CFF!S$8, PO[Spend category L2 - Output], CFF!$C138)</f>
        <v>0</v>
      </c>
      <c r="T141" s="70">
        <f t="shared" si="118"/>
        <v>0</v>
      </c>
    </row>
    <row r="142" spans="3:20" hidden="1" outlineLevel="1" x14ac:dyDescent="0.25">
      <c r="C142" s="68" t="s">
        <v>128</v>
      </c>
      <c r="E142" s="58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70">
        <f t="shared" si="118"/>
        <v>0</v>
      </c>
    </row>
    <row r="143" spans="3:20" hidden="1" outlineLevel="1" x14ac:dyDescent="0.25">
      <c r="C143" s="68" t="s">
        <v>128</v>
      </c>
      <c r="E143" s="58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70">
        <f t="shared" si="118"/>
        <v>0</v>
      </c>
    </row>
    <row r="144" spans="3:20" hidden="1" outlineLevel="1" x14ac:dyDescent="0.25">
      <c r="C144" s="68" t="s">
        <v>128</v>
      </c>
      <c r="E144" s="58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70">
        <f t="shared" si="118"/>
        <v>0</v>
      </c>
    </row>
    <row r="145" spans="3:20" ht="5.0999999999999996" customHeight="1" x14ac:dyDescent="0.25">
      <c r="E145" s="58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</row>
    <row r="146" spans="3:20" collapsed="1" x14ac:dyDescent="0.25">
      <c r="C146" s="1">
        <f>Assumptions!$D$33</f>
        <v>0</v>
      </c>
      <c r="E146" s="66">
        <f>SUMIFS('Cash actuals'!$F$50:$BE$50, 'Cash actuals'!$F$7:$BE$7, CFF!$E$7)</f>
        <v>0</v>
      </c>
      <c r="G146" s="69">
        <f>IF( SUM(G148:G149) &lt; G147, SUM(G148:G149), IF( SUM(G148:G149) &gt; G147, G147, 0)) + SUM(G150:G152)</f>
        <v>0</v>
      </c>
      <c r="H146" s="69">
        <f t="shared" ref="H146" si="119">IF( SUM(H148:H149) &lt; H147, SUM(H148:H149), IF( SUM(H148:H149) &gt; H147, H147, 0))</f>
        <v>0</v>
      </c>
      <c r="I146" s="69">
        <f t="shared" ref="I146" si="120">IF( SUM(I148:I149) &lt; I147, SUM(I148:I149), IF( SUM(I148:I149) &gt; I147, I147, 0))</f>
        <v>0</v>
      </c>
      <c r="J146" s="69">
        <f t="shared" ref="J146" si="121">IF( SUM(J148:J149) &lt; J147, SUM(J148:J149), IF( SUM(J148:J149) &gt; J147, J147, 0))</f>
        <v>0</v>
      </c>
      <c r="K146" s="69">
        <f t="shared" ref="K146" si="122">IF( SUM(K148:K149) &lt; K147, SUM(K148:K149), IF( SUM(K148:K149) &gt; K147, K147, 0))</f>
        <v>0</v>
      </c>
      <c r="L146" s="69">
        <f t="shared" ref="L146" si="123">IF( SUM(L148:L149) &lt; L147, SUM(L148:L149), IF( SUM(L148:L149) &gt; L147, L147, 0))</f>
        <v>0</v>
      </c>
      <c r="M146" s="69">
        <f t="shared" ref="M146" si="124">IF( SUM(M148:M149) &lt; M147, SUM(M148:M149), IF( SUM(M148:M149) &gt; M147, M147, 0))</f>
        <v>0</v>
      </c>
      <c r="N146" s="69">
        <f t="shared" ref="N146" si="125">IF( SUM(N148:N149) &lt; N147, SUM(N148:N149), IF( SUM(N148:N149) &gt; N147, N147, 0))</f>
        <v>0</v>
      </c>
      <c r="O146" s="69">
        <f t="shared" ref="O146" si="126">IF( SUM(O148:O149) &lt; O147, SUM(O148:O149), IF( SUM(O148:O149) &gt; O147, O147, 0))</f>
        <v>0</v>
      </c>
      <c r="P146" s="69">
        <f t="shared" ref="P146" si="127">IF( SUM(P148:P149) &lt; P147, SUM(P148:P149), IF( SUM(P148:P149) &gt; P147, P147, 0))</f>
        <v>0</v>
      </c>
      <c r="Q146" s="69">
        <f t="shared" ref="Q146" si="128">IF( SUM(Q148:Q149) &lt; Q147, SUM(Q148:Q149), IF( SUM(Q148:Q149) &gt; Q147, Q147, 0))</f>
        <v>0</v>
      </c>
      <c r="R146" s="69">
        <f t="shared" ref="R146" si="129">IF( SUM(R148:R149) &lt; R147, SUM(R148:R149), IF( SUM(R148:R149) &gt; R147, R147, 0))</f>
        <v>0</v>
      </c>
      <c r="S146" s="69">
        <f t="shared" ref="S146" si="130">IF( SUM(S148:S149) &lt; S147, SUM(S148:S149), IF( SUM(S148:S149) &gt; S147, S147, 0))</f>
        <v>0</v>
      </c>
      <c r="T146" s="71">
        <f>SUM(G146:S146)</f>
        <v>0</v>
      </c>
    </row>
    <row r="147" spans="3:20" hidden="1" outlineLevel="1" x14ac:dyDescent="0.25">
      <c r="C147" s="67" t="s">
        <v>125</v>
      </c>
      <c r="E147" s="58"/>
      <c r="G147" s="66">
        <f>-IF(G21 = "Yes", Assumptions!$E33, 0)</f>
        <v>0</v>
      </c>
      <c r="H147" s="66">
        <f>-IF(H21 = "Yes", Assumptions!$E33, 0)</f>
        <v>0</v>
      </c>
      <c r="I147" s="66">
        <f>-IF(I21 = "Yes", Assumptions!$E33, 0)</f>
        <v>0</v>
      </c>
      <c r="J147" s="66">
        <f>-IF(J21 = "Yes", Assumptions!$E33, 0)</f>
        <v>0</v>
      </c>
      <c r="K147" s="66">
        <f>-IF(K21 = "Yes", Assumptions!$E33, 0)</f>
        <v>0</v>
      </c>
      <c r="L147" s="66">
        <f>-IF(L21 = "Yes", Assumptions!$E33, 0)</f>
        <v>0</v>
      </c>
      <c r="M147" s="66">
        <f>-IF(M21 = "Yes", Assumptions!$E33, 0)</f>
        <v>0</v>
      </c>
      <c r="N147" s="66">
        <f>-IF(N21 = "Yes", Assumptions!$E33, 0)</f>
        <v>0</v>
      </c>
      <c r="O147" s="66">
        <f>-IF(O21 = "Yes", Assumptions!$E33, 0)</f>
        <v>0</v>
      </c>
      <c r="P147" s="66">
        <f>-IF(P21 = "Yes", Assumptions!$E33, 0)</f>
        <v>0</v>
      </c>
      <c r="Q147" s="66">
        <f>-IF(Q21 = "Yes", Assumptions!$E33, 0)</f>
        <v>0</v>
      </c>
      <c r="R147" s="66">
        <f>-IF(R21 = "Yes", Assumptions!$E33, 0)</f>
        <v>0</v>
      </c>
      <c r="S147" s="66">
        <f>-IF(S21 = "Yes", Assumptions!$E33, 0)</f>
        <v>0</v>
      </c>
      <c r="T147" s="70">
        <f t="shared" ref="T147:T152" si="131">SUM(G147:S147)</f>
        <v>0</v>
      </c>
    </row>
    <row r="148" spans="3:20" hidden="1" outlineLevel="1" x14ac:dyDescent="0.25">
      <c r="C148" s="67" t="s">
        <v>126</v>
      </c>
      <c r="E148" s="58"/>
      <c r="G148" s="66">
        <f>-SUMIFS(AP[Invoice value inc. GST], AP[Payment date - output], "&gt;="&amp;CFF!G$7, AP[Payment date - output], "&lt;="&amp;CFF!G$8, AP[Spend category L2 - Output], CFF!$C146)</f>
        <v>0</v>
      </c>
      <c r="H148" s="66">
        <f>-SUMIFS(AP[Invoice value inc. GST], AP[Payment date - output], "&gt;="&amp;CFF!H$7, AP[Payment date - output], "&lt;="&amp;CFF!H$8, AP[Spend category L2 - Output], CFF!$C146)</f>
        <v>0</v>
      </c>
      <c r="I148" s="66">
        <f>-SUMIFS(AP[Invoice value inc. GST], AP[Payment date - output], "&gt;="&amp;CFF!I$7, AP[Payment date - output], "&lt;="&amp;CFF!I$8, AP[Spend category L2 - Output], CFF!$C146)</f>
        <v>0</v>
      </c>
      <c r="J148" s="66">
        <f>-SUMIFS(AP[Invoice value inc. GST], AP[Payment date - output], "&gt;="&amp;CFF!J$7, AP[Payment date - output], "&lt;="&amp;CFF!J$8, AP[Spend category L2 - Output], CFF!$C146)</f>
        <v>0</v>
      </c>
      <c r="K148" s="66">
        <f>-SUMIFS(AP[Invoice value inc. GST], AP[Payment date - output], "&gt;="&amp;CFF!K$7, AP[Payment date - output], "&lt;="&amp;CFF!K$8, AP[Spend category L2 - Output], CFF!$C146)</f>
        <v>0</v>
      </c>
      <c r="L148" s="66">
        <f>-SUMIFS(AP[Invoice value inc. GST], AP[Payment date - output], "&gt;="&amp;CFF!L$7, AP[Payment date - output], "&lt;="&amp;CFF!L$8, AP[Spend category L2 - Output], CFF!$C146)</f>
        <v>0</v>
      </c>
      <c r="M148" s="66">
        <f>-SUMIFS(AP[Invoice value inc. GST], AP[Payment date - output], "&gt;="&amp;CFF!M$7, AP[Payment date - output], "&lt;="&amp;CFF!M$8, AP[Spend category L2 - Output], CFF!$C146)</f>
        <v>0</v>
      </c>
      <c r="N148" s="66">
        <f>-SUMIFS(AP[Invoice value inc. GST], AP[Payment date - output], "&gt;="&amp;CFF!N$7, AP[Payment date - output], "&lt;="&amp;CFF!N$8, AP[Spend category L2 - Output], CFF!$C146)</f>
        <v>0</v>
      </c>
      <c r="O148" s="66">
        <f>-SUMIFS(AP[Invoice value inc. GST], AP[Payment date - output], "&gt;="&amp;CFF!O$7, AP[Payment date - output], "&lt;="&amp;CFF!O$8, AP[Spend category L2 - Output], CFF!$C146)</f>
        <v>0</v>
      </c>
      <c r="P148" s="66">
        <f>-SUMIFS(AP[Invoice value inc. GST], AP[Payment date - output], "&gt;="&amp;CFF!P$7, AP[Payment date - output], "&lt;="&amp;CFF!P$8, AP[Spend category L2 - Output], CFF!$C146)</f>
        <v>0</v>
      </c>
      <c r="Q148" s="66">
        <f>-SUMIFS(AP[Invoice value inc. GST], AP[Payment date - output], "&gt;="&amp;CFF!Q$7, AP[Payment date - output], "&lt;="&amp;CFF!Q$8, AP[Spend category L2 - Output], CFF!$C146)</f>
        <v>0</v>
      </c>
      <c r="R148" s="66">
        <f>-SUMIFS(AP[Invoice value inc. GST], AP[Payment date - output], "&gt;="&amp;CFF!R$7, AP[Payment date - output], "&lt;="&amp;CFF!R$8, AP[Spend category L2 - Output], CFF!$C146)</f>
        <v>0</v>
      </c>
      <c r="S148" s="66">
        <f>-SUMIFS(AP[Invoice value inc. GST], AP[Payment date - output], "&gt;="&amp;CFF!S$7, AP[Payment date - output], "&lt;="&amp;CFF!S$8, AP[Spend category L2 - Output], CFF!$C146)</f>
        <v>0</v>
      </c>
      <c r="T148" s="70">
        <f t="shared" si="131"/>
        <v>0</v>
      </c>
    </row>
    <row r="149" spans="3:20" hidden="1" outlineLevel="1" x14ac:dyDescent="0.25">
      <c r="C149" s="67" t="s">
        <v>127</v>
      </c>
      <c r="E149" s="58"/>
      <c r="G149" s="66">
        <f>-SUMIFS(PO[Value inc. GST], PO[Payment date - output], "&gt;="&amp;CFF!G$7, PO[Payment date - output], "&lt;="&amp;CFF!G$8, PO[Spend category L2 - Output], CFF!$C146)</f>
        <v>0</v>
      </c>
      <c r="H149" s="66">
        <f>-SUMIFS(PO[Value inc. GST], PO[Payment date - output], "&gt;="&amp;CFF!H$7, PO[Payment date - output], "&lt;="&amp;CFF!H$8, PO[Spend category L2 - Output], CFF!$C146)</f>
        <v>0</v>
      </c>
      <c r="I149" s="66">
        <f>-SUMIFS(PO[Value inc. GST], PO[Payment date - output], "&gt;="&amp;CFF!I$7, PO[Payment date - output], "&lt;="&amp;CFF!I$8, PO[Spend category L2 - Output], CFF!$C146)</f>
        <v>0</v>
      </c>
      <c r="J149" s="66">
        <f>-SUMIFS(PO[Value inc. GST], PO[Payment date - output], "&gt;="&amp;CFF!J$7, PO[Payment date - output], "&lt;="&amp;CFF!J$8, PO[Spend category L2 - Output], CFF!$C146)</f>
        <v>0</v>
      </c>
      <c r="K149" s="66">
        <f>-SUMIFS(PO[Value inc. GST], PO[Payment date - output], "&gt;="&amp;CFF!K$7, PO[Payment date - output], "&lt;="&amp;CFF!K$8, PO[Spend category L2 - Output], CFF!$C146)</f>
        <v>0</v>
      </c>
      <c r="L149" s="66">
        <f>-SUMIFS(PO[Value inc. GST], PO[Payment date - output], "&gt;="&amp;CFF!L$7, PO[Payment date - output], "&lt;="&amp;CFF!L$8, PO[Spend category L2 - Output], CFF!$C146)</f>
        <v>0</v>
      </c>
      <c r="M149" s="66">
        <f>-SUMIFS(PO[Value inc. GST], PO[Payment date - output], "&gt;="&amp;CFF!M$7, PO[Payment date - output], "&lt;="&amp;CFF!M$8, PO[Spend category L2 - Output], CFF!$C146)</f>
        <v>0</v>
      </c>
      <c r="N149" s="66">
        <f>-SUMIFS(PO[Value inc. GST], PO[Payment date - output], "&gt;="&amp;CFF!N$7, PO[Payment date - output], "&lt;="&amp;CFF!N$8, PO[Spend category L2 - Output], CFF!$C146)</f>
        <v>0</v>
      </c>
      <c r="O149" s="66">
        <f>-SUMIFS(PO[Value inc. GST], PO[Payment date - output], "&gt;="&amp;CFF!O$7, PO[Payment date - output], "&lt;="&amp;CFF!O$8, PO[Spend category L2 - Output], CFF!$C146)</f>
        <v>0</v>
      </c>
      <c r="P149" s="66">
        <f>-SUMIFS(PO[Value inc. GST], PO[Payment date - output], "&gt;="&amp;CFF!P$7, PO[Payment date - output], "&lt;="&amp;CFF!P$8, PO[Spend category L2 - Output], CFF!$C146)</f>
        <v>0</v>
      </c>
      <c r="Q149" s="66">
        <f>-SUMIFS(PO[Value inc. GST], PO[Payment date - output], "&gt;="&amp;CFF!Q$7, PO[Payment date - output], "&lt;="&amp;CFF!Q$8, PO[Spend category L2 - Output], CFF!$C146)</f>
        <v>0</v>
      </c>
      <c r="R149" s="66">
        <f>-SUMIFS(PO[Value inc. GST], PO[Payment date - output], "&gt;="&amp;CFF!R$7, PO[Payment date - output], "&lt;="&amp;CFF!R$8, PO[Spend category L2 - Output], CFF!$C146)</f>
        <v>0</v>
      </c>
      <c r="S149" s="66">
        <f>-SUMIFS(PO[Value inc. GST], PO[Payment date - output], "&gt;="&amp;CFF!S$7, PO[Payment date - output], "&lt;="&amp;CFF!S$8, PO[Spend category L2 - Output], CFF!$C146)</f>
        <v>0</v>
      </c>
      <c r="T149" s="70">
        <f t="shared" si="131"/>
        <v>0</v>
      </c>
    </row>
    <row r="150" spans="3:20" hidden="1" outlineLevel="1" x14ac:dyDescent="0.25">
      <c r="C150" s="68" t="s">
        <v>128</v>
      </c>
      <c r="E150" s="58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70">
        <f t="shared" si="131"/>
        <v>0</v>
      </c>
    </row>
    <row r="151" spans="3:20" hidden="1" outlineLevel="1" x14ac:dyDescent="0.25">
      <c r="C151" s="68" t="s">
        <v>128</v>
      </c>
      <c r="E151" s="58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70">
        <f t="shared" si="131"/>
        <v>0</v>
      </c>
    </row>
    <row r="152" spans="3:20" hidden="1" outlineLevel="1" x14ac:dyDescent="0.25">
      <c r="C152" s="68" t="s">
        <v>128</v>
      </c>
      <c r="E152" s="58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70">
        <f t="shared" si="131"/>
        <v>0</v>
      </c>
    </row>
    <row r="153" spans="3:20" ht="5.0999999999999996" customHeight="1" x14ac:dyDescent="0.25">
      <c r="E153" s="58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</row>
    <row r="154" spans="3:20" collapsed="1" x14ac:dyDescent="0.25">
      <c r="C154" s="1">
        <f>Assumptions!$D$34</f>
        <v>0</v>
      </c>
      <c r="E154" s="66">
        <f>SUMIFS('Cash actuals'!$F$52:$BE$52, 'Cash actuals'!$F$7:$BE$7, CFF!$E$7)</f>
        <v>0</v>
      </c>
      <c r="G154" s="69">
        <f>IF( SUM(G156:G157) &lt; G155, SUM(G156:G157), IF( SUM(G156:G157) &gt; G155, G155, 0)) + SUM(G158:G160)</f>
        <v>0</v>
      </c>
      <c r="H154" s="69">
        <f t="shared" ref="H154" si="132">IF( SUM(H156:H157) &lt; H155, SUM(H156:H157), IF( SUM(H156:H157) &gt; H155, H155, 0))</f>
        <v>0</v>
      </c>
      <c r="I154" s="69">
        <f t="shared" ref="I154" si="133">IF( SUM(I156:I157) &lt; I155, SUM(I156:I157), IF( SUM(I156:I157) &gt; I155, I155, 0))</f>
        <v>0</v>
      </c>
      <c r="J154" s="69">
        <f t="shared" ref="J154" si="134">IF( SUM(J156:J157) &lt; J155, SUM(J156:J157), IF( SUM(J156:J157) &gt; J155, J155, 0))</f>
        <v>0</v>
      </c>
      <c r="K154" s="69">
        <f t="shared" ref="K154" si="135">IF( SUM(K156:K157) &lt; K155, SUM(K156:K157), IF( SUM(K156:K157) &gt; K155, K155, 0))</f>
        <v>0</v>
      </c>
      <c r="L154" s="69">
        <f t="shared" ref="L154" si="136">IF( SUM(L156:L157) &lt; L155, SUM(L156:L157), IF( SUM(L156:L157) &gt; L155, L155, 0))</f>
        <v>0</v>
      </c>
      <c r="M154" s="69">
        <f t="shared" ref="M154" si="137">IF( SUM(M156:M157) &lt; M155, SUM(M156:M157), IF( SUM(M156:M157) &gt; M155, M155, 0))</f>
        <v>0</v>
      </c>
      <c r="N154" s="69">
        <f t="shared" ref="N154" si="138">IF( SUM(N156:N157) &lt; N155, SUM(N156:N157), IF( SUM(N156:N157) &gt; N155, N155, 0))</f>
        <v>0</v>
      </c>
      <c r="O154" s="69">
        <f t="shared" ref="O154" si="139">IF( SUM(O156:O157) &lt; O155, SUM(O156:O157), IF( SUM(O156:O157) &gt; O155, O155, 0))</f>
        <v>0</v>
      </c>
      <c r="P154" s="69">
        <f t="shared" ref="P154" si="140">IF( SUM(P156:P157) &lt; P155, SUM(P156:P157), IF( SUM(P156:P157) &gt; P155, P155, 0))</f>
        <v>0</v>
      </c>
      <c r="Q154" s="69">
        <f t="shared" ref="Q154" si="141">IF( SUM(Q156:Q157) &lt; Q155, SUM(Q156:Q157), IF( SUM(Q156:Q157) &gt; Q155, Q155, 0))</f>
        <v>0</v>
      </c>
      <c r="R154" s="69">
        <f t="shared" ref="R154" si="142">IF( SUM(R156:R157) &lt; R155, SUM(R156:R157), IF( SUM(R156:R157) &gt; R155, R155, 0))</f>
        <v>0</v>
      </c>
      <c r="S154" s="69">
        <f t="shared" ref="S154" si="143">IF( SUM(S156:S157) &lt; S155, SUM(S156:S157), IF( SUM(S156:S157) &gt; S155, S155, 0))</f>
        <v>0</v>
      </c>
      <c r="T154" s="71">
        <f>SUM(G154:S154)</f>
        <v>0</v>
      </c>
    </row>
    <row r="155" spans="3:20" hidden="1" outlineLevel="1" x14ac:dyDescent="0.25">
      <c r="C155" s="67" t="s">
        <v>125</v>
      </c>
      <c r="E155" s="58"/>
      <c r="G155" s="66">
        <f>-IF(G22 = "Yes", Assumptions!$E34, 0)</f>
        <v>0</v>
      </c>
      <c r="H155" s="66">
        <f>-IF(H22 = "Yes", Assumptions!$E34, 0)</f>
        <v>0</v>
      </c>
      <c r="I155" s="66">
        <f>-IF(I22 = "Yes", Assumptions!$E34, 0)</f>
        <v>0</v>
      </c>
      <c r="J155" s="66">
        <f>-IF(J22 = "Yes", Assumptions!$E34, 0)</f>
        <v>0</v>
      </c>
      <c r="K155" s="66">
        <f>-IF(K22 = "Yes", Assumptions!$E34, 0)</f>
        <v>0</v>
      </c>
      <c r="L155" s="66">
        <f>-IF(L22 = "Yes", Assumptions!$E34, 0)</f>
        <v>0</v>
      </c>
      <c r="M155" s="66">
        <f>-IF(M22 = "Yes", Assumptions!$E34, 0)</f>
        <v>0</v>
      </c>
      <c r="N155" s="66">
        <f>-IF(N22 = "Yes", Assumptions!$E34, 0)</f>
        <v>0</v>
      </c>
      <c r="O155" s="66">
        <f>-IF(O22 = "Yes", Assumptions!$E34, 0)</f>
        <v>0</v>
      </c>
      <c r="P155" s="66">
        <f>-IF(P22 = "Yes", Assumptions!$E34, 0)</f>
        <v>0</v>
      </c>
      <c r="Q155" s="66">
        <f>-IF(Q22 = "Yes", Assumptions!$E34, 0)</f>
        <v>0</v>
      </c>
      <c r="R155" s="66">
        <f>-IF(R22 = "Yes", Assumptions!$E34, 0)</f>
        <v>0</v>
      </c>
      <c r="S155" s="66">
        <f>-IF(S22 = "Yes", Assumptions!$E34, 0)</f>
        <v>0</v>
      </c>
      <c r="T155" s="70">
        <f t="shared" ref="T155:T160" si="144">SUM(G155:S155)</f>
        <v>0</v>
      </c>
    </row>
    <row r="156" spans="3:20" hidden="1" outlineLevel="1" x14ac:dyDescent="0.25">
      <c r="C156" s="67" t="s">
        <v>126</v>
      </c>
      <c r="E156" s="58"/>
      <c r="G156" s="66">
        <f>-SUMIFS(AP[Invoice value inc. GST], AP[Payment date - output], "&gt;="&amp;CFF!G$7, AP[Payment date - output], "&lt;="&amp;CFF!G$8, AP[Spend category L2 - Output], CFF!$C154)</f>
        <v>0</v>
      </c>
      <c r="H156" s="66">
        <f>-SUMIFS(AP[Invoice value inc. GST], AP[Payment date - output], "&gt;="&amp;CFF!H$7, AP[Payment date - output], "&lt;="&amp;CFF!H$8, AP[Spend category L2 - Output], CFF!$C154)</f>
        <v>0</v>
      </c>
      <c r="I156" s="66">
        <f>-SUMIFS(AP[Invoice value inc. GST], AP[Payment date - output], "&gt;="&amp;CFF!I$7, AP[Payment date - output], "&lt;="&amp;CFF!I$8, AP[Spend category L2 - Output], CFF!$C154)</f>
        <v>0</v>
      </c>
      <c r="J156" s="66">
        <f>-SUMIFS(AP[Invoice value inc. GST], AP[Payment date - output], "&gt;="&amp;CFF!J$7, AP[Payment date - output], "&lt;="&amp;CFF!J$8, AP[Spend category L2 - Output], CFF!$C154)</f>
        <v>0</v>
      </c>
      <c r="K156" s="66">
        <f>-SUMIFS(AP[Invoice value inc. GST], AP[Payment date - output], "&gt;="&amp;CFF!K$7, AP[Payment date - output], "&lt;="&amp;CFF!K$8, AP[Spend category L2 - Output], CFF!$C154)</f>
        <v>0</v>
      </c>
      <c r="L156" s="66">
        <f>-SUMIFS(AP[Invoice value inc. GST], AP[Payment date - output], "&gt;="&amp;CFF!L$7, AP[Payment date - output], "&lt;="&amp;CFF!L$8, AP[Spend category L2 - Output], CFF!$C154)</f>
        <v>0</v>
      </c>
      <c r="M156" s="66">
        <f>-SUMIFS(AP[Invoice value inc. GST], AP[Payment date - output], "&gt;="&amp;CFF!M$7, AP[Payment date - output], "&lt;="&amp;CFF!M$8, AP[Spend category L2 - Output], CFF!$C154)</f>
        <v>0</v>
      </c>
      <c r="N156" s="66">
        <f>-SUMIFS(AP[Invoice value inc. GST], AP[Payment date - output], "&gt;="&amp;CFF!N$7, AP[Payment date - output], "&lt;="&amp;CFF!N$8, AP[Spend category L2 - Output], CFF!$C154)</f>
        <v>0</v>
      </c>
      <c r="O156" s="66">
        <f>-SUMIFS(AP[Invoice value inc. GST], AP[Payment date - output], "&gt;="&amp;CFF!O$7, AP[Payment date - output], "&lt;="&amp;CFF!O$8, AP[Spend category L2 - Output], CFF!$C154)</f>
        <v>0</v>
      </c>
      <c r="P156" s="66">
        <f>-SUMIFS(AP[Invoice value inc. GST], AP[Payment date - output], "&gt;="&amp;CFF!P$7, AP[Payment date - output], "&lt;="&amp;CFF!P$8, AP[Spend category L2 - Output], CFF!$C154)</f>
        <v>0</v>
      </c>
      <c r="Q156" s="66">
        <f>-SUMIFS(AP[Invoice value inc. GST], AP[Payment date - output], "&gt;="&amp;CFF!Q$7, AP[Payment date - output], "&lt;="&amp;CFF!Q$8, AP[Spend category L2 - Output], CFF!$C154)</f>
        <v>0</v>
      </c>
      <c r="R156" s="66">
        <f>-SUMIFS(AP[Invoice value inc. GST], AP[Payment date - output], "&gt;="&amp;CFF!R$7, AP[Payment date - output], "&lt;="&amp;CFF!R$8, AP[Spend category L2 - Output], CFF!$C154)</f>
        <v>0</v>
      </c>
      <c r="S156" s="66">
        <f>-SUMIFS(AP[Invoice value inc. GST], AP[Payment date - output], "&gt;="&amp;CFF!S$7, AP[Payment date - output], "&lt;="&amp;CFF!S$8, AP[Spend category L2 - Output], CFF!$C154)</f>
        <v>0</v>
      </c>
      <c r="T156" s="70">
        <f t="shared" si="144"/>
        <v>0</v>
      </c>
    </row>
    <row r="157" spans="3:20" hidden="1" outlineLevel="1" x14ac:dyDescent="0.25">
      <c r="C157" s="67" t="s">
        <v>127</v>
      </c>
      <c r="E157" s="58"/>
      <c r="G157" s="66">
        <f>-SUMIFS(PO[Value inc. GST], PO[Payment date - output], "&gt;="&amp;CFF!G$7, PO[Payment date - output], "&lt;="&amp;CFF!G$8, PO[Spend category L2 - Output], CFF!$C154)</f>
        <v>0</v>
      </c>
      <c r="H157" s="66">
        <f>-SUMIFS(PO[Value inc. GST], PO[Payment date - output], "&gt;="&amp;CFF!H$7, PO[Payment date - output], "&lt;="&amp;CFF!H$8, PO[Spend category L2 - Output], CFF!$C154)</f>
        <v>0</v>
      </c>
      <c r="I157" s="66">
        <f>-SUMIFS(PO[Value inc. GST], PO[Payment date - output], "&gt;="&amp;CFF!I$7, PO[Payment date - output], "&lt;="&amp;CFF!I$8, PO[Spend category L2 - Output], CFF!$C154)</f>
        <v>0</v>
      </c>
      <c r="J157" s="66">
        <f>-SUMIFS(PO[Value inc. GST], PO[Payment date - output], "&gt;="&amp;CFF!J$7, PO[Payment date - output], "&lt;="&amp;CFF!J$8, PO[Spend category L2 - Output], CFF!$C154)</f>
        <v>0</v>
      </c>
      <c r="K157" s="66">
        <f>-SUMIFS(PO[Value inc. GST], PO[Payment date - output], "&gt;="&amp;CFF!K$7, PO[Payment date - output], "&lt;="&amp;CFF!K$8, PO[Spend category L2 - Output], CFF!$C154)</f>
        <v>0</v>
      </c>
      <c r="L157" s="66">
        <f>-SUMIFS(PO[Value inc. GST], PO[Payment date - output], "&gt;="&amp;CFF!L$7, PO[Payment date - output], "&lt;="&amp;CFF!L$8, PO[Spend category L2 - Output], CFF!$C154)</f>
        <v>0</v>
      </c>
      <c r="M157" s="66">
        <f>-SUMIFS(PO[Value inc. GST], PO[Payment date - output], "&gt;="&amp;CFF!M$7, PO[Payment date - output], "&lt;="&amp;CFF!M$8, PO[Spend category L2 - Output], CFF!$C154)</f>
        <v>0</v>
      </c>
      <c r="N157" s="66">
        <f>-SUMIFS(PO[Value inc. GST], PO[Payment date - output], "&gt;="&amp;CFF!N$7, PO[Payment date - output], "&lt;="&amp;CFF!N$8, PO[Spend category L2 - Output], CFF!$C154)</f>
        <v>0</v>
      </c>
      <c r="O157" s="66">
        <f>-SUMIFS(PO[Value inc. GST], PO[Payment date - output], "&gt;="&amp;CFF!O$7, PO[Payment date - output], "&lt;="&amp;CFF!O$8, PO[Spend category L2 - Output], CFF!$C154)</f>
        <v>0</v>
      </c>
      <c r="P157" s="66">
        <f>-SUMIFS(PO[Value inc. GST], PO[Payment date - output], "&gt;="&amp;CFF!P$7, PO[Payment date - output], "&lt;="&amp;CFF!P$8, PO[Spend category L2 - Output], CFF!$C154)</f>
        <v>0</v>
      </c>
      <c r="Q157" s="66">
        <f>-SUMIFS(PO[Value inc. GST], PO[Payment date - output], "&gt;="&amp;CFF!Q$7, PO[Payment date - output], "&lt;="&amp;CFF!Q$8, PO[Spend category L2 - Output], CFF!$C154)</f>
        <v>0</v>
      </c>
      <c r="R157" s="66">
        <f>-SUMIFS(PO[Value inc. GST], PO[Payment date - output], "&gt;="&amp;CFF!R$7, PO[Payment date - output], "&lt;="&amp;CFF!R$8, PO[Spend category L2 - Output], CFF!$C154)</f>
        <v>0</v>
      </c>
      <c r="S157" s="66">
        <f>-SUMIFS(PO[Value inc. GST], PO[Payment date - output], "&gt;="&amp;CFF!S$7, PO[Payment date - output], "&lt;="&amp;CFF!S$8, PO[Spend category L2 - Output], CFF!$C154)</f>
        <v>0</v>
      </c>
      <c r="T157" s="70">
        <f t="shared" si="144"/>
        <v>0</v>
      </c>
    </row>
    <row r="158" spans="3:20" hidden="1" outlineLevel="1" x14ac:dyDescent="0.25">
      <c r="C158" s="68" t="s">
        <v>128</v>
      </c>
      <c r="E158" s="58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70">
        <f t="shared" si="144"/>
        <v>0</v>
      </c>
    </row>
    <row r="159" spans="3:20" hidden="1" outlineLevel="1" x14ac:dyDescent="0.25">
      <c r="C159" s="68" t="s">
        <v>128</v>
      </c>
      <c r="E159" s="58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70">
        <f t="shared" si="144"/>
        <v>0</v>
      </c>
    </row>
    <row r="160" spans="3:20" hidden="1" outlineLevel="1" x14ac:dyDescent="0.25">
      <c r="C160" s="68" t="s">
        <v>128</v>
      </c>
      <c r="E160" s="58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70">
        <f t="shared" si="144"/>
        <v>0</v>
      </c>
    </row>
    <row r="161" spans="3:20" ht="5.0999999999999996" customHeight="1" x14ac:dyDescent="0.25">
      <c r="E161" s="58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</row>
    <row r="162" spans="3:20" collapsed="1" x14ac:dyDescent="0.25">
      <c r="C162" s="1">
        <f>Assumptions!$D$35</f>
        <v>0</v>
      </c>
      <c r="E162" s="66">
        <f>SUMIFS('Cash actuals'!$F$54:$BE$54, 'Cash actuals'!$F$7:$BE$7, CFF!$E$7)</f>
        <v>0</v>
      </c>
      <c r="G162" s="69">
        <f>IF( SUM(G164:G165) &lt; G163, SUM(G164:G165), IF( SUM(G164:G165) &gt; G163, G163, 0)) + SUM(G166:G168)</f>
        <v>0</v>
      </c>
      <c r="H162" s="69">
        <f t="shared" ref="H162" si="145">IF( SUM(H164:H165) &lt; H163, SUM(H164:H165), IF( SUM(H164:H165) &gt; H163, H163, 0))</f>
        <v>0</v>
      </c>
      <c r="I162" s="69">
        <f t="shared" ref="I162" si="146">IF( SUM(I164:I165) &lt; I163, SUM(I164:I165), IF( SUM(I164:I165) &gt; I163, I163, 0))</f>
        <v>0</v>
      </c>
      <c r="J162" s="69">
        <f t="shared" ref="J162" si="147">IF( SUM(J164:J165) &lt; J163, SUM(J164:J165), IF( SUM(J164:J165) &gt; J163, J163, 0))</f>
        <v>0</v>
      </c>
      <c r="K162" s="69">
        <f t="shared" ref="K162" si="148">IF( SUM(K164:K165) &lt; K163, SUM(K164:K165), IF( SUM(K164:K165) &gt; K163, K163, 0))</f>
        <v>0</v>
      </c>
      <c r="L162" s="69">
        <f t="shared" ref="L162" si="149">IF( SUM(L164:L165) &lt; L163, SUM(L164:L165), IF( SUM(L164:L165) &gt; L163, L163, 0))</f>
        <v>0</v>
      </c>
      <c r="M162" s="69">
        <f t="shared" ref="M162" si="150">IF( SUM(M164:M165) &lt; M163, SUM(M164:M165), IF( SUM(M164:M165) &gt; M163, M163, 0))</f>
        <v>0</v>
      </c>
      <c r="N162" s="69">
        <f t="shared" ref="N162" si="151">IF( SUM(N164:N165) &lt; N163, SUM(N164:N165), IF( SUM(N164:N165) &gt; N163, N163, 0))</f>
        <v>0</v>
      </c>
      <c r="O162" s="69">
        <f t="shared" ref="O162" si="152">IF( SUM(O164:O165) &lt; O163, SUM(O164:O165), IF( SUM(O164:O165) &gt; O163, O163, 0))</f>
        <v>0</v>
      </c>
      <c r="P162" s="69">
        <f t="shared" ref="P162" si="153">IF( SUM(P164:P165) &lt; P163, SUM(P164:P165), IF( SUM(P164:P165) &gt; P163, P163, 0))</f>
        <v>0</v>
      </c>
      <c r="Q162" s="69">
        <f t="shared" ref="Q162" si="154">IF( SUM(Q164:Q165) &lt; Q163, SUM(Q164:Q165), IF( SUM(Q164:Q165) &gt; Q163, Q163, 0))</f>
        <v>0</v>
      </c>
      <c r="R162" s="69">
        <f t="shared" ref="R162" si="155">IF( SUM(R164:R165) &lt; R163, SUM(R164:R165), IF( SUM(R164:R165) &gt; R163, R163, 0))</f>
        <v>0</v>
      </c>
      <c r="S162" s="69">
        <f t="shared" ref="S162" si="156">IF( SUM(S164:S165) &lt; S163, SUM(S164:S165), IF( SUM(S164:S165) &gt; S163, S163, 0))</f>
        <v>0</v>
      </c>
      <c r="T162" s="71">
        <f>SUM(G162:S162)</f>
        <v>0</v>
      </c>
    </row>
    <row r="163" spans="3:20" hidden="1" outlineLevel="1" x14ac:dyDescent="0.25">
      <c r="C163" s="67" t="s">
        <v>125</v>
      </c>
      <c r="E163" s="58"/>
      <c r="G163" s="66">
        <f>-IF(G23 = "Yes", Assumptions!$E35, 0)</f>
        <v>0</v>
      </c>
      <c r="H163" s="66">
        <f>-IF(H23 = "Yes", Assumptions!$E35, 0)</f>
        <v>0</v>
      </c>
      <c r="I163" s="66">
        <f>-IF(I23 = "Yes", Assumptions!$E35, 0)</f>
        <v>0</v>
      </c>
      <c r="J163" s="66">
        <f>-IF(J23 = "Yes", Assumptions!$E35, 0)</f>
        <v>0</v>
      </c>
      <c r="K163" s="66">
        <f>-IF(K23 = "Yes", Assumptions!$E35, 0)</f>
        <v>0</v>
      </c>
      <c r="L163" s="66">
        <f>-IF(L23 = "Yes", Assumptions!$E35, 0)</f>
        <v>0</v>
      </c>
      <c r="M163" s="66">
        <f>-IF(M23 = "Yes", Assumptions!$E35, 0)</f>
        <v>0</v>
      </c>
      <c r="N163" s="66">
        <f>-IF(N23 = "Yes", Assumptions!$E35, 0)</f>
        <v>0</v>
      </c>
      <c r="O163" s="66">
        <f>-IF(O23 = "Yes", Assumptions!$E35, 0)</f>
        <v>0</v>
      </c>
      <c r="P163" s="66">
        <f>-IF(P23 = "Yes", Assumptions!$E35, 0)</f>
        <v>0</v>
      </c>
      <c r="Q163" s="66">
        <f>-IF(Q23 = "Yes", Assumptions!$E35, 0)</f>
        <v>0</v>
      </c>
      <c r="R163" s="66">
        <f>-IF(R23 = "Yes", Assumptions!$E35, 0)</f>
        <v>0</v>
      </c>
      <c r="S163" s="66">
        <f>-IF(S23 = "Yes", Assumptions!$E35, 0)</f>
        <v>0</v>
      </c>
      <c r="T163" s="70">
        <f t="shared" ref="T163:T168" si="157">SUM(G163:S163)</f>
        <v>0</v>
      </c>
    </row>
    <row r="164" spans="3:20" hidden="1" outlineLevel="1" x14ac:dyDescent="0.25">
      <c r="C164" s="67" t="s">
        <v>126</v>
      </c>
      <c r="E164" s="58"/>
      <c r="G164" s="66">
        <f>-SUMIFS(AP[Invoice value inc. GST], AP[Payment date - output], "&gt;="&amp;CFF!G$7, AP[Payment date - output], "&lt;="&amp;CFF!G$8, AP[Spend category L2 - Output], CFF!$C162)</f>
        <v>0</v>
      </c>
      <c r="H164" s="66">
        <f>-SUMIFS(AP[Invoice value inc. GST], AP[Payment date - output], "&gt;="&amp;CFF!H$7, AP[Payment date - output], "&lt;="&amp;CFF!H$8, AP[Spend category L2 - Output], CFF!$C162)</f>
        <v>0</v>
      </c>
      <c r="I164" s="66">
        <f>-SUMIFS(AP[Invoice value inc. GST], AP[Payment date - output], "&gt;="&amp;CFF!I$7, AP[Payment date - output], "&lt;="&amp;CFF!I$8, AP[Spend category L2 - Output], CFF!$C162)</f>
        <v>0</v>
      </c>
      <c r="J164" s="66">
        <f>-SUMIFS(AP[Invoice value inc. GST], AP[Payment date - output], "&gt;="&amp;CFF!J$7, AP[Payment date - output], "&lt;="&amp;CFF!J$8, AP[Spend category L2 - Output], CFF!$C162)</f>
        <v>0</v>
      </c>
      <c r="K164" s="66">
        <f>-SUMIFS(AP[Invoice value inc. GST], AP[Payment date - output], "&gt;="&amp;CFF!K$7, AP[Payment date - output], "&lt;="&amp;CFF!K$8, AP[Spend category L2 - Output], CFF!$C162)</f>
        <v>0</v>
      </c>
      <c r="L164" s="66">
        <f>-SUMIFS(AP[Invoice value inc. GST], AP[Payment date - output], "&gt;="&amp;CFF!L$7, AP[Payment date - output], "&lt;="&amp;CFF!L$8, AP[Spend category L2 - Output], CFF!$C162)</f>
        <v>0</v>
      </c>
      <c r="M164" s="66">
        <f>-SUMIFS(AP[Invoice value inc. GST], AP[Payment date - output], "&gt;="&amp;CFF!M$7, AP[Payment date - output], "&lt;="&amp;CFF!M$8, AP[Spend category L2 - Output], CFF!$C162)</f>
        <v>0</v>
      </c>
      <c r="N164" s="66">
        <f>-SUMIFS(AP[Invoice value inc. GST], AP[Payment date - output], "&gt;="&amp;CFF!N$7, AP[Payment date - output], "&lt;="&amp;CFF!N$8, AP[Spend category L2 - Output], CFF!$C162)</f>
        <v>0</v>
      </c>
      <c r="O164" s="66">
        <f>-SUMIFS(AP[Invoice value inc. GST], AP[Payment date - output], "&gt;="&amp;CFF!O$7, AP[Payment date - output], "&lt;="&amp;CFF!O$8, AP[Spend category L2 - Output], CFF!$C162)</f>
        <v>0</v>
      </c>
      <c r="P164" s="66">
        <f>-SUMIFS(AP[Invoice value inc. GST], AP[Payment date - output], "&gt;="&amp;CFF!P$7, AP[Payment date - output], "&lt;="&amp;CFF!P$8, AP[Spend category L2 - Output], CFF!$C162)</f>
        <v>0</v>
      </c>
      <c r="Q164" s="66">
        <f>-SUMIFS(AP[Invoice value inc. GST], AP[Payment date - output], "&gt;="&amp;CFF!Q$7, AP[Payment date - output], "&lt;="&amp;CFF!Q$8, AP[Spend category L2 - Output], CFF!$C162)</f>
        <v>0</v>
      </c>
      <c r="R164" s="66">
        <f>-SUMIFS(AP[Invoice value inc. GST], AP[Payment date - output], "&gt;="&amp;CFF!R$7, AP[Payment date - output], "&lt;="&amp;CFF!R$8, AP[Spend category L2 - Output], CFF!$C162)</f>
        <v>0</v>
      </c>
      <c r="S164" s="66">
        <f>-SUMIFS(AP[Invoice value inc. GST], AP[Payment date - output], "&gt;="&amp;CFF!S$7, AP[Payment date - output], "&lt;="&amp;CFF!S$8, AP[Spend category L2 - Output], CFF!$C162)</f>
        <v>0</v>
      </c>
      <c r="T164" s="70">
        <f t="shared" si="157"/>
        <v>0</v>
      </c>
    </row>
    <row r="165" spans="3:20" hidden="1" outlineLevel="1" x14ac:dyDescent="0.25">
      <c r="C165" s="67" t="s">
        <v>127</v>
      </c>
      <c r="E165" s="58"/>
      <c r="G165" s="66">
        <f>-SUMIFS(PO[Value inc. GST], PO[Payment date - output], "&gt;="&amp;CFF!G$7, PO[Payment date - output], "&lt;="&amp;CFF!G$8, PO[Spend category L2 - Output], CFF!$C162)</f>
        <v>0</v>
      </c>
      <c r="H165" s="66">
        <f>-SUMIFS(PO[Value inc. GST], PO[Payment date - output], "&gt;="&amp;CFF!H$7, PO[Payment date - output], "&lt;="&amp;CFF!H$8, PO[Spend category L2 - Output], CFF!$C162)</f>
        <v>0</v>
      </c>
      <c r="I165" s="66">
        <f>-SUMIFS(PO[Value inc. GST], PO[Payment date - output], "&gt;="&amp;CFF!I$7, PO[Payment date - output], "&lt;="&amp;CFF!I$8, PO[Spend category L2 - Output], CFF!$C162)</f>
        <v>0</v>
      </c>
      <c r="J165" s="66">
        <f>-SUMIFS(PO[Value inc. GST], PO[Payment date - output], "&gt;="&amp;CFF!J$7, PO[Payment date - output], "&lt;="&amp;CFF!J$8, PO[Spend category L2 - Output], CFF!$C162)</f>
        <v>0</v>
      </c>
      <c r="K165" s="66">
        <f>-SUMIFS(PO[Value inc. GST], PO[Payment date - output], "&gt;="&amp;CFF!K$7, PO[Payment date - output], "&lt;="&amp;CFF!K$8, PO[Spend category L2 - Output], CFF!$C162)</f>
        <v>0</v>
      </c>
      <c r="L165" s="66">
        <f>-SUMIFS(PO[Value inc. GST], PO[Payment date - output], "&gt;="&amp;CFF!L$7, PO[Payment date - output], "&lt;="&amp;CFF!L$8, PO[Spend category L2 - Output], CFF!$C162)</f>
        <v>0</v>
      </c>
      <c r="M165" s="66">
        <f>-SUMIFS(PO[Value inc. GST], PO[Payment date - output], "&gt;="&amp;CFF!M$7, PO[Payment date - output], "&lt;="&amp;CFF!M$8, PO[Spend category L2 - Output], CFF!$C162)</f>
        <v>0</v>
      </c>
      <c r="N165" s="66">
        <f>-SUMIFS(PO[Value inc. GST], PO[Payment date - output], "&gt;="&amp;CFF!N$7, PO[Payment date - output], "&lt;="&amp;CFF!N$8, PO[Spend category L2 - Output], CFF!$C162)</f>
        <v>0</v>
      </c>
      <c r="O165" s="66">
        <f>-SUMIFS(PO[Value inc. GST], PO[Payment date - output], "&gt;="&amp;CFF!O$7, PO[Payment date - output], "&lt;="&amp;CFF!O$8, PO[Spend category L2 - Output], CFF!$C162)</f>
        <v>0</v>
      </c>
      <c r="P165" s="66">
        <f>-SUMIFS(PO[Value inc. GST], PO[Payment date - output], "&gt;="&amp;CFF!P$7, PO[Payment date - output], "&lt;="&amp;CFF!P$8, PO[Spend category L2 - Output], CFF!$C162)</f>
        <v>0</v>
      </c>
      <c r="Q165" s="66">
        <f>-SUMIFS(PO[Value inc. GST], PO[Payment date - output], "&gt;="&amp;CFF!Q$7, PO[Payment date - output], "&lt;="&amp;CFF!Q$8, PO[Spend category L2 - Output], CFF!$C162)</f>
        <v>0</v>
      </c>
      <c r="R165" s="66">
        <f>-SUMIFS(PO[Value inc. GST], PO[Payment date - output], "&gt;="&amp;CFF!R$7, PO[Payment date - output], "&lt;="&amp;CFF!R$8, PO[Spend category L2 - Output], CFF!$C162)</f>
        <v>0</v>
      </c>
      <c r="S165" s="66">
        <f>-SUMIFS(PO[Value inc. GST], PO[Payment date - output], "&gt;="&amp;CFF!S$7, PO[Payment date - output], "&lt;="&amp;CFF!S$8, PO[Spend category L2 - Output], CFF!$C162)</f>
        <v>0</v>
      </c>
      <c r="T165" s="70">
        <f t="shared" si="157"/>
        <v>0</v>
      </c>
    </row>
    <row r="166" spans="3:20" hidden="1" outlineLevel="1" x14ac:dyDescent="0.25">
      <c r="C166" s="68" t="s">
        <v>128</v>
      </c>
      <c r="E166" s="58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70">
        <f t="shared" si="157"/>
        <v>0</v>
      </c>
    </row>
    <row r="167" spans="3:20" hidden="1" outlineLevel="1" x14ac:dyDescent="0.25">
      <c r="C167" s="68" t="s">
        <v>128</v>
      </c>
      <c r="E167" s="58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70">
        <f t="shared" si="157"/>
        <v>0</v>
      </c>
    </row>
    <row r="168" spans="3:20" hidden="1" outlineLevel="1" x14ac:dyDescent="0.25">
      <c r="C168" s="68" t="s">
        <v>128</v>
      </c>
      <c r="E168" s="58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70">
        <f t="shared" si="157"/>
        <v>0</v>
      </c>
    </row>
    <row r="169" spans="3:20" ht="5.0999999999999996" customHeight="1" x14ac:dyDescent="0.25">
      <c r="E169" s="58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</row>
    <row r="170" spans="3:20" collapsed="1" x14ac:dyDescent="0.25">
      <c r="C170" s="1">
        <f>Assumptions!$D$36</f>
        <v>0</v>
      </c>
      <c r="E170" s="66">
        <f>SUMIFS('Cash actuals'!$F$56:$BE$56, 'Cash actuals'!$F$7:$BE$7, CFF!$E$7)</f>
        <v>0</v>
      </c>
      <c r="G170" s="69">
        <f>IF( SUM(G172:G173) &lt; G171, SUM(G172:G173), IF( SUM(G172:G173) &gt; G171, G171, 0)) + SUM(G174:G176)</f>
        <v>0</v>
      </c>
      <c r="H170" s="69">
        <f t="shared" ref="H170" si="158">IF( SUM(H172:H173) &lt; H171, SUM(H172:H173), IF( SUM(H172:H173) &gt; H171, H171, 0))</f>
        <v>0</v>
      </c>
      <c r="I170" s="69">
        <f t="shared" ref="I170" si="159">IF( SUM(I172:I173) &lt; I171, SUM(I172:I173), IF( SUM(I172:I173) &gt; I171, I171, 0))</f>
        <v>0</v>
      </c>
      <c r="J170" s="69">
        <f t="shared" ref="J170" si="160">IF( SUM(J172:J173) &lt; J171, SUM(J172:J173), IF( SUM(J172:J173) &gt; J171, J171, 0))</f>
        <v>0</v>
      </c>
      <c r="K170" s="69">
        <f t="shared" ref="K170" si="161">IF( SUM(K172:K173) &lt; K171, SUM(K172:K173), IF( SUM(K172:K173) &gt; K171, K171, 0))</f>
        <v>0</v>
      </c>
      <c r="L170" s="69">
        <f t="shared" ref="L170" si="162">IF( SUM(L172:L173) &lt; L171, SUM(L172:L173), IF( SUM(L172:L173) &gt; L171, L171, 0))</f>
        <v>0</v>
      </c>
      <c r="M170" s="69">
        <f t="shared" ref="M170" si="163">IF( SUM(M172:M173) &lt; M171, SUM(M172:M173), IF( SUM(M172:M173) &gt; M171, M171, 0))</f>
        <v>0</v>
      </c>
      <c r="N170" s="69">
        <f t="shared" ref="N170" si="164">IF( SUM(N172:N173) &lt; N171, SUM(N172:N173), IF( SUM(N172:N173) &gt; N171, N171, 0))</f>
        <v>0</v>
      </c>
      <c r="O170" s="69">
        <f t="shared" ref="O170" si="165">IF( SUM(O172:O173) &lt; O171, SUM(O172:O173), IF( SUM(O172:O173) &gt; O171, O171, 0))</f>
        <v>0</v>
      </c>
      <c r="P170" s="69">
        <f t="shared" ref="P170" si="166">IF( SUM(P172:P173) &lt; P171, SUM(P172:P173), IF( SUM(P172:P173) &gt; P171, P171, 0))</f>
        <v>0</v>
      </c>
      <c r="Q170" s="69">
        <f t="shared" ref="Q170" si="167">IF( SUM(Q172:Q173) &lt; Q171, SUM(Q172:Q173), IF( SUM(Q172:Q173) &gt; Q171, Q171, 0))</f>
        <v>0</v>
      </c>
      <c r="R170" s="69">
        <f t="shared" ref="R170" si="168">IF( SUM(R172:R173) &lt; R171, SUM(R172:R173), IF( SUM(R172:R173) &gt; R171, R171, 0))</f>
        <v>0</v>
      </c>
      <c r="S170" s="69">
        <f t="shared" ref="S170" si="169">IF( SUM(S172:S173) &lt; S171, SUM(S172:S173), IF( SUM(S172:S173) &gt; S171, S171, 0))</f>
        <v>0</v>
      </c>
      <c r="T170" s="71">
        <f>SUM(G170:S170)</f>
        <v>0</v>
      </c>
    </row>
    <row r="171" spans="3:20" hidden="1" outlineLevel="1" x14ac:dyDescent="0.25">
      <c r="C171" s="67" t="s">
        <v>125</v>
      </c>
      <c r="E171" s="58"/>
      <c r="G171" s="66">
        <f>-IF(G24 = "Yes", Assumptions!$E36, 0)</f>
        <v>0</v>
      </c>
      <c r="H171" s="66">
        <f>-IF(H24 = "Yes", Assumptions!$E36, 0)</f>
        <v>0</v>
      </c>
      <c r="I171" s="66">
        <f>-IF(I24 = "Yes", Assumptions!$E36, 0)</f>
        <v>0</v>
      </c>
      <c r="J171" s="66">
        <f>-IF(J24 = "Yes", Assumptions!$E36, 0)</f>
        <v>0</v>
      </c>
      <c r="K171" s="66">
        <f>-IF(K24 = "Yes", Assumptions!$E36, 0)</f>
        <v>0</v>
      </c>
      <c r="L171" s="66">
        <f>-IF(L24 = "Yes", Assumptions!$E36, 0)</f>
        <v>0</v>
      </c>
      <c r="M171" s="66">
        <f>-IF(M24 = "Yes", Assumptions!$E36, 0)</f>
        <v>0</v>
      </c>
      <c r="N171" s="66">
        <f>-IF(N24 = "Yes", Assumptions!$E36, 0)</f>
        <v>0</v>
      </c>
      <c r="O171" s="66">
        <f>-IF(O24 = "Yes", Assumptions!$E36, 0)</f>
        <v>0</v>
      </c>
      <c r="P171" s="66">
        <f>-IF(P24 = "Yes", Assumptions!$E36, 0)</f>
        <v>0</v>
      </c>
      <c r="Q171" s="66">
        <f>-IF(Q24 = "Yes", Assumptions!$E36, 0)</f>
        <v>0</v>
      </c>
      <c r="R171" s="66">
        <f>-IF(R24 = "Yes", Assumptions!$E36, 0)</f>
        <v>0</v>
      </c>
      <c r="S171" s="66">
        <f>-IF(S24 = "Yes", Assumptions!$E36, 0)</f>
        <v>0</v>
      </c>
      <c r="T171" s="70">
        <f t="shared" ref="T171:T176" si="170">SUM(G171:S171)</f>
        <v>0</v>
      </c>
    </row>
    <row r="172" spans="3:20" hidden="1" outlineLevel="1" x14ac:dyDescent="0.25">
      <c r="C172" s="67" t="s">
        <v>126</v>
      </c>
      <c r="E172" s="58"/>
      <c r="G172" s="66">
        <f>-SUMIFS(AP[Invoice value inc. GST], AP[Payment date - output], "&gt;="&amp;CFF!G$7, AP[Payment date - output], "&lt;="&amp;CFF!G$8, AP[Spend category L2 - Output], CFF!$C170)</f>
        <v>0</v>
      </c>
      <c r="H172" s="66">
        <f>-SUMIFS(AP[Invoice value inc. GST], AP[Payment date - output], "&gt;="&amp;CFF!H$7, AP[Payment date - output], "&lt;="&amp;CFF!H$8, AP[Spend category L2 - Output], CFF!$C170)</f>
        <v>0</v>
      </c>
      <c r="I172" s="66">
        <f>-SUMIFS(AP[Invoice value inc. GST], AP[Payment date - output], "&gt;="&amp;CFF!I$7, AP[Payment date - output], "&lt;="&amp;CFF!I$8, AP[Spend category L2 - Output], CFF!$C170)</f>
        <v>0</v>
      </c>
      <c r="J172" s="66">
        <f>-SUMIFS(AP[Invoice value inc. GST], AP[Payment date - output], "&gt;="&amp;CFF!J$7, AP[Payment date - output], "&lt;="&amp;CFF!J$8, AP[Spend category L2 - Output], CFF!$C170)</f>
        <v>0</v>
      </c>
      <c r="K172" s="66">
        <f>-SUMIFS(AP[Invoice value inc. GST], AP[Payment date - output], "&gt;="&amp;CFF!K$7, AP[Payment date - output], "&lt;="&amp;CFF!K$8, AP[Spend category L2 - Output], CFF!$C170)</f>
        <v>0</v>
      </c>
      <c r="L172" s="66">
        <f>-SUMIFS(AP[Invoice value inc. GST], AP[Payment date - output], "&gt;="&amp;CFF!L$7, AP[Payment date - output], "&lt;="&amp;CFF!L$8, AP[Spend category L2 - Output], CFF!$C170)</f>
        <v>0</v>
      </c>
      <c r="M172" s="66">
        <f>-SUMIFS(AP[Invoice value inc. GST], AP[Payment date - output], "&gt;="&amp;CFF!M$7, AP[Payment date - output], "&lt;="&amp;CFF!M$8, AP[Spend category L2 - Output], CFF!$C170)</f>
        <v>0</v>
      </c>
      <c r="N172" s="66">
        <f>-SUMIFS(AP[Invoice value inc. GST], AP[Payment date - output], "&gt;="&amp;CFF!N$7, AP[Payment date - output], "&lt;="&amp;CFF!N$8, AP[Spend category L2 - Output], CFF!$C170)</f>
        <v>0</v>
      </c>
      <c r="O172" s="66">
        <f>-SUMIFS(AP[Invoice value inc. GST], AP[Payment date - output], "&gt;="&amp;CFF!O$7, AP[Payment date - output], "&lt;="&amp;CFF!O$8, AP[Spend category L2 - Output], CFF!$C170)</f>
        <v>0</v>
      </c>
      <c r="P172" s="66">
        <f>-SUMIFS(AP[Invoice value inc. GST], AP[Payment date - output], "&gt;="&amp;CFF!P$7, AP[Payment date - output], "&lt;="&amp;CFF!P$8, AP[Spend category L2 - Output], CFF!$C170)</f>
        <v>0</v>
      </c>
      <c r="Q172" s="66">
        <f>-SUMIFS(AP[Invoice value inc. GST], AP[Payment date - output], "&gt;="&amp;CFF!Q$7, AP[Payment date - output], "&lt;="&amp;CFF!Q$8, AP[Spend category L2 - Output], CFF!$C170)</f>
        <v>0</v>
      </c>
      <c r="R172" s="66">
        <f>-SUMIFS(AP[Invoice value inc. GST], AP[Payment date - output], "&gt;="&amp;CFF!R$7, AP[Payment date - output], "&lt;="&amp;CFF!R$8, AP[Spend category L2 - Output], CFF!$C170)</f>
        <v>0</v>
      </c>
      <c r="S172" s="66">
        <f>-SUMIFS(AP[Invoice value inc. GST], AP[Payment date - output], "&gt;="&amp;CFF!S$7, AP[Payment date - output], "&lt;="&amp;CFF!S$8, AP[Spend category L2 - Output], CFF!$C170)</f>
        <v>0</v>
      </c>
      <c r="T172" s="70">
        <f t="shared" si="170"/>
        <v>0</v>
      </c>
    </row>
    <row r="173" spans="3:20" hidden="1" outlineLevel="1" x14ac:dyDescent="0.25">
      <c r="C173" s="67" t="s">
        <v>127</v>
      </c>
      <c r="E173" s="58"/>
      <c r="G173" s="66">
        <f>-SUMIFS(PO[Value inc. GST], PO[Payment date - output], "&gt;="&amp;CFF!G$7, PO[Payment date - output], "&lt;="&amp;CFF!G$8, PO[Spend category L2 - Output], CFF!$C170)</f>
        <v>0</v>
      </c>
      <c r="H173" s="66">
        <f>-SUMIFS(PO[Value inc. GST], PO[Payment date - output], "&gt;="&amp;CFF!H$7, PO[Payment date - output], "&lt;="&amp;CFF!H$8, PO[Spend category L2 - Output], CFF!$C170)</f>
        <v>0</v>
      </c>
      <c r="I173" s="66">
        <f>-SUMIFS(PO[Value inc. GST], PO[Payment date - output], "&gt;="&amp;CFF!I$7, PO[Payment date - output], "&lt;="&amp;CFF!I$8, PO[Spend category L2 - Output], CFF!$C170)</f>
        <v>0</v>
      </c>
      <c r="J173" s="66">
        <f>-SUMIFS(PO[Value inc. GST], PO[Payment date - output], "&gt;="&amp;CFF!J$7, PO[Payment date - output], "&lt;="&amp;CFF!J$8, PO[Spend category L2 - Output], CFF!$C170)</f>
        <v>0</v>
      </c>
      <c r="K173" s="66">
        <f>-SUMIFS(PO[Value inc. GST], PO[Payment date - output], "&gt;="&amp;CFF!K$7, PO[Payment date - output], "&lt;="&amp;CFF!K$8, PO[Spend category L2 - Output], CFF!$C170)</f>
        <v>0</v>
      </c>
      <c r="L173" s="66">
        <f>-SUMIFS(PO[Value inc. GST], PO[Payment date - output], "&gt;="&amp;CFF!L$7, PO[Payment date - output], "&lt;="&amp;CFF!L$8, PO[Spend category L2 - Output], CFF!$C170)</f>
        <v>0</v>
      </c>
      <c r="M173" s="66">
        <f>-SUMIFS(PO[Value inc. GST], PO[Payment date - output], "&gt;="&amp;CFF!M$7, PO[Payment date - output], "&lt;="&amp;CFF!M$8, PO[Spend category L2 - Output], CFF!$C170)</f>
        <v>0</v>
      </c>
      <c r="N173" s="66">
        <f>-SUMIFS(PO[Value inc. GST], PO[Payment date - output], "&gt;="&amp;CFF!N$7, PO[Payment date - output], "&lt;="&amp;CFF!N$8, PO[Spend category L2 - Output], CFF!$C170)</f>
        <v>0</v>
      </c>
      <c r="O173" s="66">
        <f>-SUMIFS(PO[Value inc. GST], PO[Payment date - output], "&gt;="&amp;CFF!O$7, PO[Payment date - output], "&lt;="&amp;CFF!O$8, PO[Spend category L2 - Output], CFF!$C170)</f>
        <v>0</v>
      </c>
      <c r="P173" s="66">
        <f>-SUMIFS(PO[Value inc. GST], PO[Payment date - output], "&gt;="&amp;CFF!P$7, PO[Payment date - output], "&lt;="&amp;CFF!P$8, PO[Spend category L2 - Output], CFF!$C170)</f>
        <v>0</v>
      </c>
      <c r="Q173" s="66">
        <f>-SUMIFS(PO[Value inc. GST], PO[Payment date - output], "&gt;="&amp;CFF!Q$7, PO[Payment date - output], "&lt;="&amp;CFF!Q$8, PO[Spend category L2 - Output], CFF!$C170)</f>
        <v>0</v>
      </c>
      <c r="R173" s="66">
        <f>-SUMIFS(PO[Value inc. GST], PO[Payment date - output], "&gt;="&amp;CFF!R$7, PO[Payment date - output], "&lt;="&amp;CFF!R$8, PO[Spend category L2 - Output], CFF!$C170)</f>
        <v>0</v>
      </c>
      <c r="S173" s="66">
        <f>-SUMIFS(PO[Value inc. GST], PO[Payment date - output], "&gt;="&amp;CFF!S$7, PO[Payment date - output], "&lt;="&amp;CFF!S$8, PO[Spend category L2 - Output], CFF!$C170)</f>
        <v>0</v>
      </c>
      <c r="T173" s="70">
        <f t="shared" si="170"/>
        <v>0</v>
      </c>
    </row>
    <row r="174" spans="3:20" hidden="1" outlineLevel="1" x14ac:dyDescent="0.25">
      <c r="C174" s="68" t="s">
        <v>128</v>
      </c>
      <c r="E174" s="58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70">
        <f t="shared" si="170"/>
        <v>0</v>
      </c>
    </row>
    <row r="175" spans="3:20" hidden="1" outlineLevel="1" x14ac:dyDescent="0.25">
      <c r="C175" s="68" t="s">
        <v>128</v>
      </c>
      <c r="E175" s="58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70">
        <f t="shared" si="170"/>
        <v>0</v>
      </c>
    </row>
    <row r="176" spans="3:20" hidden="1" outlineLevel="1" x14ac:dyDescent="0.25">
      <c r="C176" s="68" t="s">
        <v>128</v>
      </c>
      <c r="E176" s="58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70">
        <f t="shared" si="170"/>
        <v>0</v>
      </c>
    </row>
    <row r="177" spans="3:20" ht="5.0999999999999996" customHeight="1" x14ac:dyDescent="0.25">
      <c r="E177" s="58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</row>
    <row r="178" spans="3:20" collapsed="1" x14ac:dyDescent="0.25">
      <c r="C178" s="1">
        <f>Assumptions!$D$37</f>
        <v>0</v>
      </c>
      <c r="E178" s="66">
        <f>SUMIFS('Cash actuals'!$F$58:$BE$58, 'Cash actuals'!$F$7:$BE$7, CFF!$E$7)</f>
        <v>0</v>
      </c>
      <c r="G178" s="69">
        <f>IF( SUM(G180:G181) &lt; G179, SUM(G180:G181), IF( SUM(G180:G181) &gt; G179, G179, 0)) + SUM(G182:G184)</f>
        <v>0</v>
      </c>
      <c r="H178" s="69">
        <f t="shared" ref="H178" si="171">IF( SUM(H180:H181) &lt; H179, SUM(H180:H181), IF( SUM(H180:H181) &gt; H179, H179, 0))</f>
        <v>0</v>
      </c>
      <c r="I178" s="69">
        <f t="shared" ref="I178" si="172">IF( SUM(I180:I181) &lt; I179, SUM(I180:I181), IF( SUM(I180:I181) &gt; I179, I179, 0))</f>
        <v>0</v>
      </c>
      <c r="J178" s="69">
        <f t="shared" ref="J178" si="173">IF( SUM(J180:J181) &lt; J179, SUM(J180:J181), IF( SUM(J180:J181) &gt; J179, J179, 0))</f>
        <v>0</v>
      </c>
      <c r="K178" s="69">
        <f t="shared" ref="K178" si="174">IF( SUM(K180:K181) &lt; K179, SUM(K180:K181), IF( SUM(K180:K181) &gt; K179, K179, 0))</f>
        <v>0</v>
      </c>
      <c r="L178" s="69">
        <f t="shared" ref="L178" si="175">IF( SUM(L180:L181) &lt; L179, SUM(L180:L181), IF( SUM(L180:L181) &gt; L179, L179, 0))</f>
        <v>0</v>
      </c>
      <c r="M178" s="69">
        <f t="shared" ref="M178" si="176">IF( SUM(M180:M181) &lt; M179, SUM(M180:M181), IF( SUM(M180:M181) &gt; M179, M179, 0))</f>
        <v>0</v>
      </c>
      <c r="N178" s="69">
        <f t="shared" ref="N178" si="177">IF( SUM(N180:N181) &lt; N179, SUM(N180:N181), IF( SUM(N180:N181) &gt; N179, N179, 0))</f>
        <v>0</v>
      </c>
      <c r="O178" s="69">
        <f t="shared" ref="O178" si="178">IF( SUM(O180:O181) &lt; O179, SUM(O180:O181), IF( SUM(O180:O181) &gt; O179, O179, 0))</f>
        <v>0</v>
      </c>
      <c r="P178" s="69">
        <f t="shared" ref="P178" si="179">IF( SUM(P180:P181) &lt; P179, SUM(P180:P181), IF( SUM(P180:P181) &gt; P179, P179, 0))</f>
        <v>0</v>
      </c>
      <c r="Q178" s="69">
        <f t="shared" ref="Q178" si="180">IF( SUM(Q180:Q181) &lt; Q179, SUM(Q180:Q181), IF( SUM(Q180:Q181) &gt; Q179, Q179, 0))</f>
        <v>0</v>
      </c>
      <c r="R178" s="69">
        <f t="shared" ref="R178" si="181">IF( SUM(R180:R181) &lt; R179, SUM(R180:R181), IF( SUM(R180:R181) &gt; R179, R179, 0))</f>
        <v>0</v>
      </c>
      <c r="S178" s="69">
        <f t="shared" ref="S178" si="182">IF( SUM(S180:S181) &lt; S179, SUM(S180:S181), IF( SUM(S180:S181) &gt; S179, S179, 0))</f>
        <v>0</v>
      </c>
      <c r="T178" s="71">
        <f>SUM(G178:S178)</f>
        <v>0</v>
      </c>
    </row>
    <row r="179" spans="3:20" hidden="1" outlineLevel="1" x14ac:dyDescent="0.25">
      <c r="C179" s="67" t="s">
        <v>125</v>
      </c>
      <c r="E179" s="58"/>
      <c r="G179" s="66">
        <f>-IF(G25 = "Yes", Assumptions!$E37, 0)</f>
        <v>0</v>
      </c>
      <c r="H179" s="66">
        <f>-IF(H25 = "Yes", Assumptions!$E37, 0)</f>
        <v>0</v>
      </c>
      <c r="I179" s="66">
        <f>-IF(I25 = "Yes", Assumptions!$E37, 0)</f>
        <v>0</v>
      </c>
      <c r="J179" s="66">
        <f>-IF(J25 = "Yes", Assumptions!$E37, 0)</f>
        <v>0</v>
      </c>
      <c r="K179" s="66">
        <f>-IF(K25 = "Yes", Assumptions!$E37, 0)</f>
        <v>0</v>
      </c>
      <c r="L179" s="66">
        <f>-IF(L25 = "Yes", Assumptions!$E37, 0)</f>
        <v>0</v>
      </c>
      <c r="M179" s="66">
        <f>-IF(M25 = "Yes", Assumptions!$E37, 0)</f>
        <v>0</v>
      </c>
      <c r="N179" s="66">
        <f>-IF(N25 = "Yes", Assumptions!$E37, 0)</f>
        <v>0</v>
      </c>
      <c r="O179" s="66">
        <f>-IF(O25 = "Yes", Assumptions!$E37, 0)</f>
        <v>0</v>
      </c>
      <c r="P179" s="66">
        <f>-IF(P25 = "Yes", Assumptions!$E37, 0)</f>
        <v>0</v>
      </c>
      <c r="Q179" s="66">
        <f>-IF(Q25 = "Yes", Assumptions!$E37, 0)</f>
        <v>0</v>
      </c>
      <c r="R179" s="66">
        <f>-IF(R25 = "Yes", Assumptions!$E37, 0)</f>
        <v>0</v>
      </c>
      <c r="S179" s="66">
        <f>-IF(S25 = "Yes", Assumptions!$E37, 0)</f>
        <v>0</v>
      </c>
      <c r="T179" s="70">
        <f t="shared" ref="T179:T184" si="183">SUM(G179:S179)</f>
        <v>0</v>
      </c>
    </row>
    <row r="180" spans="3:20" hidden="1" outlineLevel="1" x14ac:dyDescent="0.25">
      <c r="C180" s="67" t="s">
        <v>126</v>
      </c>
      <c r="E180" s="58"/>
      <c r="G180" s="66">
        <f>-SUMIFS(AP[Invoice value inc. GST], AP[Payment date - output], "&gt;="&amp;CFF!G$7, AP[Payment date - output], "&lt;="&amp;CFF!G$8, AP[Spend category L2 - Output], CFF!$C178)</f>
        <v>0</v>
      </c>
      <c r="H180" s="66">
        <f>-SUMIFS(AP[Invoice value inc. GST], AP[Payment date - output], "&gt;="&amp;CFF!H$7, AP[Payment date - output], "&lt;="&amp;CFF!H$8, AP[Spend category L2 - Output], CFF!$C178)</f>
        <v>0</v>
      </c>
      <c r="I180" s="66">
        <f>-SUMIFS(AP[Invoice value inc. GST], AP[Payment date - output], "&gt;="&amp;CFF!I$7, AP[Payment date - output], "&lt;="&amp;CFF!I$8, AP[Spend category L2 - Output], CFF!$C178)</f>
        <v>0</v>
      </c>
      <c r="J180" s="66">
        <f>-SUMIFS(AP[Invoice value inc. GST], AP[Payment date - output], "&gt;="&amp;CFF!J$7, AP[Payment date - output], "&lt;="&amp;CFF!J$8, AP[Spend category L2 - Output], CFF!$C178)</f>
        <v>0</v>
      </c>
      <c r="K180" s="66">
        <f>-SUMIFS(AP[Invoice value inc. GST], AP[Payment date - output], "&gt;="&amp;CFF!K$7, AP[Payment date - output], "&lt;="&amp;CFF!K$8, AP[Spend category L2 - Output], CFF!$C178)</f>
        <v>0</v>
      </c>
      <c r="L180" s="66">
        <f>-SUMIFS(AP[Invoice value inc. GST], AP[Payment date - output], "&gt;="&amp;CFF!L$7, AP[Payment date - output], "&lt;="&amp;CFF!L$8, AP[Spend category L2 - Output], CFF!$C178)</f>
        <v>0</v>
      </c>
      <c r="M180" s="66">
        <f>-SUMIFS(AP[Invoice value inc. GST], AP[Payment date - output], "&gt;="&amp;CFF!M$7, AP[Payment date - output], "&lt;="&amp;CFF!M$8, AP[Spend category L2 - Output], CFF!$C178)</f>
        <v>0</v>
      </c>
      <c r="N180" s="66">
        <f>-SUMIFS(AP[Invoice value inc. GST], AP[Payment date - output], "&gt;="&amp;CFF!N$7, AP[Payment date - output], "&lt;="&amp;CFF!N$8, AP[Spend category L2 - Output], CFF!$C178)</f>
        <v>0</v>
      </c>
      <c r="O180" s="66">
        <f>-SUMIFS(AP[Invoice value inc. GST], AP[Payment date - output], "&gt;="&amp;CFF!O$7, AP[Payment date - output], "&lt;="&amp;CFF!O$8, AP[Spend category L2 - Output], CFF!$C178)</f>
        <v>0</v>
      </c>
      <c r="P180" s="66">
        <f>-SUMIFS(AP[Invoice value inc. GST], AP[Payment date - output], "&gt;="&amp;CFF!P$7, AP[Payment date - output], "&lt;="&amp;CFF!P$8, AP[Spend category L2 - Output], CFF!$C178)</f>
        <v>0</v>
      </c>
      <c r="Q180" s="66">
        <f>-SUMIFS(AP[Invoice value inc. GST], AP[Payment date - output], "&gt;="&amp;CFF!Q$7, AP[Payment date - output], "&lt;="&amp;CFF!Q$8, AP[Spend category L2 - Output], CFF!$C178)</f>
        <v>0</v>
      </c>
      <c r="R180" s="66">
        <f>-SUMIFS(AP[Invoice value inc. GST], AP[Payment date - output], "&gt;="&amp;CFF!R$7, AP[Payment date - output], "&lt;="&amp;CFF!R$8, AP[Spend category L2 - Output], CFF!$C178)</f>
        <v>0</v>
      </c>
      <c r="S180" s="66">
        <f>-SUMIFS(AP[Invoice value inc. GST], AP[Payment date - output], "&gt;="&amp;CFF!S$7, AP[Payment date - output], "&lt;="&amp;CFF!S$8, AP[Spend category L2 - Output], CFF!$C178)</f>
        <v>0</v>
      </c>
      <c r="T180" s="70">
        <f t="shared" si="183"/>
        <v>0</v>
      </c>
    </row>
    <row r="181" spans="3:20" hidden="1" outlineLevel="1" x14ac:dyDescent="0.25">
      <c r="C181" s="67" t="s">
        <v>127</v>
      </c>
      <c r="E181" s="58"/>
      <c r="G181" s="66">
        <f>-SUMIFS(PO[Value inc. GST], PO[Payment date - output], "&gt;="&amp;CFF!G$7, PO[Payment date - output], "&lt;="&amp;CFF!G$8, PO[Spend category L2 - Output], CFF!$C178)</f>
        <v>0</v>
      </c>
      <c r="H181" s="66">
        <f>-SUMIFS(PO[Value inc. GST], PO[Payment date - output], "&gt;="&amp;CFF!H$7, PO[Payment date - output], "&lt;="&amp;CFF!H$8, PO[Spend category L2 - Output], CFF!$C178)</f>
        <v>0</v>
      </c>
      <c r="I181" s="66">
        <f>-SUMIFS(PO[Value inc. GST], PO[Payment date - output], "&gt;="&amp;CFF!I$7, PO[Payment date - output], "&lt;="&amp;CFF!I$8, PO[Spend category L2 - Output], CFF!$C178)</f>
        <v>0</v>
      </c>
      <c r="J181" s="66">
        <f>-SUMIFS(PO[Value inc. GST], PO[Payment date - output], "&gt;="&amp;CFF!J$7, PO[Payment date - output], "&lt;="&amp;CFF!J$8, PO[Spend category L2 - Output], CFF!$C178)</f>
        <v>0</v>
      </c>
      <c r="K181" s="66">
        <f>-SUMIFS(PO[Value inc. GST], PO[Payment date - output], "&gt;="&amp;CFF!K$7, PO[Payment date - output], "&lt;="&amp;CFF!K$8, PO[Spend category L2 - Output], CFF!$C178)</f>
        <v>0</v>
      </c>
      <c r="L181" s="66">
        <f>-SUMIFS(PO[Value inc. GST], PO[Payment date - output], "&gt;="&amp;CFF!L$7, PO[Payment date - output], "&lt;="&amp;CFF!L$8, PO[Spend category L2 - Output], CFF!$C178)</f>
        <v>0</v>
      </c>
      <c r="M181" s="66">
        <f>-SUMIFS(PO[Value inc. GST], PO[Payment date - output], "&gt;="&amp;CFF!M$7, PO[Payment date - output], "&lt;="&amp;CFF!M$8, PO[Spend category L2 - Output], CFF!$C178)</f>
        <v>0</v>
      </c>
      <c r="N181" s="66">
        <f>-SUMIFS(PO[Value inc. GST], PO[Payment date - output], "&gt;="&amp;CFF!N$7, PO[Payment date - output], "&lt;="&amp;CFF!N$8, PO[Spend category L2 - Output], CFF!$C178)</f>
        <v>0</v>
      </c>
      <c r="O181" s="66">
        <f>-SUMIFS(PO[Value inc. GST], PO[Payment date - output], "&gt;="&amp;CFF!O$7, PO[Payment date - output], "&lt;="&amp;CFF!O$8, PO[Spend category L2 - Output], CFF!$C178)</f>
        <v>0</v>
      </c>
      <c r="P181" s="66">
        <f>-SUMIFS(PO[Value inc. GST], PO[Payment date - output], "&gt;="&amp;CFF!P$7, PO[Payment date - output], "&lt;="&amp;CFF!P$8, PO[Spend category L2 - Output], CFF!$C178)</f>
        <v>0</v>
      </c>
      <c r="Q181" s="66">
        <f>-SUMIFS(PO[Value inc. GST], PO[Payment date - output], "&gt;="&amp;CFF!Q$7, PO[Payment date - output], "&lt;="&amp;CFF!Q$8, PO[Spend category L2 - Output], CFF!$C178)</f>
        <v>0</v>
      </c>
      <c r="R181" s="66">
        <f>-SUMIFS(PO[Value inc. GST], PO[Payment date - output], "&gt;="&amp;CFF!R$7, PO[Payment date - output], "&lt;="&amp;CFF!R$8, PO[Spend category L2 - Output], CFF!$C178)</f>
        <v>0</v>
      </c>
      <c r="S181" s="66">
        <f>-SUMIFS(PO[Value inc. GST], PO[Payment date - output], "&gt;="&amp;CFF!S$7, PO[Payment date - output], "&lt;="&amp;CFF!S$8, PO[Spend category L2 - Output], CFF!$C178)</f>
        <v>0</v>
      </c>
      <c r="T181" s="70">
        <f t="shared" si="183"/>
        <v>0</v>
      </c>
    </row>
    <row r="182" spans="3:20" hidden="1" outlineLevel="1" x14ac:dyDescent="0.25">
      <c r="C182" s="68" t="s">
        <v>128</v>
      </c>
      <c r="E182" s="58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70">
        <f t="shared" si="183"/>
        <v>0</v>
      </c>
    </row>
    <row r="183" spans="3:20" hidden="1" outlineLevel="1" x14ac:dyDescent="0.25">
      <c r="C183" s="68" t="s">
        <v>128</v>
      </c>
      <c r="E183" s="58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70">
        <f t="shared" si="183"/>
        <v>0</v>
      </c>
    </row>
    <row r="184" spans="3:20" hidden="1" outlineLevel="1" x14ac:dyDescent="0.25">
      <c r="C184" s="68" t="s">
        <v>128</v>
      </c>
      <c r="E184" s="58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70">
        <f t="shared" si="183"/>
        <v>0</v>
      </c>
    </row>
    <row r="185" spans="3:20" ht="5.0999999999999996" customHeight="1" x14ac:dyDescent="0.25">
      <c r="E185" s="58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</row>
    <row r="186" spans="3:20" collapsed="1" x14ac:dyDescent="0.25">
      <c r="C186" s="1">
        <f>Assumptions!$D$38</f>
        <v>0</v>
      </c>
      <c r="E186" s="66">
        <f>SUMIFS('Cash actuals'!$F$60:$BE$60, 'Cash actuals'!$F$7:$BE$7, CFF!$E$7)</f>
        <v>0</v>
      </c>
      <c r="G186" s="69">
        <f>IF( SUM(G188:G189) &lt; G187, SUM(G188:G189), IF( SUM(G188:G189) &gt; G187, G187, 0)) + SUM(G190:G192)</f>
        <v>0</v>
      </c>
      <c r="H186" s="69">
        <f t="shared" ref="H186" si="184">IF( SUM(H188:H189) &lt; H187, SUM(H188:H189), IF( SUM(H188:H189) &gt; H187, H187, 0))</f>
        <v>0</v>
      </c>
      <c r="I186" s="69">
        <f t="shared" ref="I186" si="185">IF( SUM(I188:I189) &lt; I187, SUM(I188:I189), IF( SUM(I188:I189) &gt; I187, I187, 0))</f>
        <v>0</v>
      </c>
      <c r="J186" s="69">
        <f t="shared" ref="J186" si="186">IF( SUM(J188:J189) &lt; J187, SUM(J188:J189), IF( SUM(J188:J189) &gt; J187, J187, 0))</f>
        <v>0</v>
      </c>
      <c r="K186" s="69">
        <f t="shared" ref="K186" si="187">IF( SUM(K188:K189) &lt; K187, SUM(K188:K189), IF( SUM(K188:K189) &gt; K187, K187, 0))</f>
        <v>0</v>
      </c>
      <c r="L186" s="69">
        <f t="shared" ref="L186" si="188">IF( SUM(L188:L189) &lt; L187, SUM(L188:L189), IF( SUM(L188:L189) &gt; L187, L187, 0))</f>
        <v>0</v>
      </c>
      <c r="M186" s="69">
        <f t="shared" ref="M186" si="189">IF( SUM(M188:M189) &lt; M187, SUM(M188:M189), IF( SUM(M188:M189) &gt; M187, M187, 0))</f>
        <v>0</v>
      </c>
      <c r="N186" s="69">
        <f t="shared" ref="N186" si="190">IF( SUM(N188:N189) &lt; N187, SUM(N188:N189), IF( SUM(N188:N189) &gt; N187, N187, 0))</f>
        <v>0</v>
      </c>
      <c r="O186" s="69">
        <f t="shared" ref="O186" si="191">IF( SUM(O188:O189) &lt; O187, SUM(O188:O189), IF( SUM(O188:O189) &gt; O187, O187, 0))</f>
        <v>0</v>
      </c>
      <c r="P186" s="69">
        <f t="shared" ref="P186" si="192">IF( SUM(P188:P189) &lt; P187, SUM(P188:P189), IF( SUM(P188:P189) &gt; P187, P187, 0))</f>
        <v>0</v>
      </c>
      <c r="Q186" s="69">
        <f t="shared" ref="Q186" si="193">IF( SUM(Q188:Q189) &lt; Q187, SUM(Q188:Q189), IF( SUM(Q188:Q189) &gt; Q187, Q187, 0))</f>
        <v>0</v>
      </c>
      <c r="R186" s="69">
        <f t="shared" ref="R186" si="194">IF( SUM(R188:R189) &lt; R187, SUM(R188:R189), IF( SUM(R188:R189) &gt; R187, R187, 0))</f>
        <v>0</v>
      </c>
      <c r="S186" s="69">
        <f t="shared" ref="S186" si="195">IF( SUM(S188:S189) &lt; S187, SUM(S188:S189), IF( SUM(S188:S189) &gt; S187, S187, 0))</f>
        <v>0</v>
      </c>
      <c r="T186" s="71">
        <f>SUM(G186:S186)</f>
        <v>0</v>
      </c>
    </row>
    <row r="187" spans="3:20" hidden="1" outlineLevel="1" x14ac:dyDescent="0.25">
      <c r="C187" s="67" t="s">
        <v>125</v>
      </c>
      <c r="E187" s="58"/>
      <c r="G187" s="66">
        <f>-IF(G26 = "Yes", Assumptions!$E38, 0)</f>
        <v>0</v>
      </c>
      <c r="H187" s="66">
        <f>-IF(H26 = "Yes", Assumptions!$E38, 0)</f>
        <v>0</v>
      </c>
      <c r="I187" s="66">
        <f>-IF(I26 = "Yes", Assumptions!$E38, 0)</f>
        <v>0</v>
      </c>
      <c r="J187" s="66">
        <f>-IF(J26 = "Yes", Assumptions!$E38, 0)</f>
        <v>0</v>
      </c>
      <c r="K187" s="66">
        <f>-IF(K26 = "Yes", Assumptions!$E38, 0)</f>
        <v>0</v>
      </c>
      <c r="L187" s="66">
        <f>-IF(L26 = "Yes", Assumptions!$E38, 0)</f>
        <v>0</v>
      </c>
      <c r="M187" s="66">
        <f>-IF(M26 = "Yes", Assumptions!$E38, 0)</f>
        <v>0</v>
      </c>
      <c r="N187" s="66">
        <f>-IF(N26 = "Yes", Assumptions!$E38, 0)</f>
        <v>0</v>
      </c>
      <c r="O187" s="66">
        <f>-IF(O26 = "Yes", Assumptions!$E38, 0)</f>
        <v>0</v>
      </c>
      <c r="P187" s="66">
        <f>-IF(P26 = "Yes", Assumptions!$E38, 0)</f>
        <v>0</v>
      </c>
      <c r="Q187" s="66">
        <f>-IF(Q26 = "Yes", Assumptions!$E38, 0)</f>
        <v>0</v>
      </c>
      <c r="R187" s="66">
        <f>-IF(R26 = "Yes", Assumptions!$E38, 0)</f>
        <v>0</v>
      </c>
      <c r="S187" s="66">
        <f>-IF(S26 = "Yes", Assumptions!$E38, 0)</f>
        <v>0</v>
      </c>
      <c r="T187" s="70">
        <f t="shared" ref="T187:T192" si="196">SUM(G187:S187)</f>
        <v>0</v>
      </c>
    </row>
    <row r="188" spans="3:20" hidden="1" outlineLevel="1" x14ac:dyDescent="0.25">
      <c r="C188" s="67" t="s">
        <v>126</v>
      </c>
      <c r="E188" s="58"/>
      <c r="G188" s="66">
        <f>-SUMIFS(AP[Invoice value inc. GST], AP[Payment date - output], "&gt;="&amp;CFF!G$7, AP[Payment date - output], "&lt;="&amp;CFF!G$8, AP[Spend category L2 - Output], CFF!$C186)</f>
        <v>0</v>
      </c>
      <c r="H188" s="66">
        <f>-SUMIFS(AP[Invoice value inc. GST], AP[Payment date - output], "&gt;="&amp;CFF!H$7, AP[Payment date - output], "&lt;="&amp;CFF!H$8, AP[Spend category L2 - Output], CFF!$C186)</f>
        <v>0</v>
      </c>
      <c r="I188" s="66">
        <f>-SUMIFS(AP[Invoice value inc. GST], AP[Payment date - output], "&gt;="&amp;CFF!I$7, AP[Payment date - output], "&lt;="&amp;CFF!I$8, AP[Spend category L2 - Output], CFF!$C186)</f>
        <v>0</v>
      </c>
      <c r="J188" s="66">
        <f>-SUMIFS(AP[Invoice value inc. GST], AP[Payment date - output], "&gt;="&amp;CFF!J$7, AP[Payment date - output], "&lt;="&amp;CFF!J$8, AP[Spend category L2 - Output], CFF!$C186)</f>
        <v>0</v>
      </c>
      <c r="K188" s="66">
        <f>-SUMIFS(AP[Invoice value inc. GST], AP[Payment date - output], "&gt;="&amp;CFF!K$7, AP[Payment date - output], "&lt;="&amp;CFF!K$8, AP[Spend category L2 - Output], CFF!$C186)</f>
        <v>0</v>
      </c>
      <c r="L188" s="66">
        <f>-SUMIFS(AP[Invoice value inc. GST], AP[Payment date - output], "&gt;="&amp;CFF!L$7, AP[Payment date - output], "&lt;="&amp;CFF!L$8, AP[Spend category L2 - Output], CFF!$C186)</f>
        <v>0</v>
      </c>
      <c r="M188" s="66">
        <f>-SUMIFS(AP[Invoice value inc. GST], AP[Payment date - output], "&gt;="&amp;CFF!M$7, AP[Payment date - output], "&lt;="&amp;CFF!M$8, AP[Spend category L2 - Output], CFF!$C186)</f>
        <v>0</v>
      </c>
      <c r="N188" s="66">
        <f>-SUMIFS(AP[Invoice value inc. GST], AP[Payment date - output], "&gt;="&amp;CFF!N$7, AP[Payment date - output], "&lt;="&amp;CFF!N$8, AP[Spend category L2 - Output], CFF!$C186)</f>
        <v>0</v>
      </c>
      <c r="O188" s="66">
        <f>-SUMIFS(AP[Invoice value inc. GST], AP[Payment date - output], "&gt;="&amp;CFF!O$7, AP[Payment date - output], "&lt;="&amp;CFF!O$8, AP[Spend category L2 - Output], CFF!$C186)</f>
        <v>0</v>
      </c>
      <c r="P188" s="66">
        <f>-SUMIFS(AP[Invoice value inc. GST], AP[Payment date - output], "&gt;="&amp;CFF!P$7, AP[Payment date - output], "&lt;="&amp;CFF!P$8, AP[Spend category L2 - Output], CFF!$C186)</f>
        <v>0</v>
      </c>
      <c r="Q188" s="66">
        <f>-SUMIFS(AP[Invoice value inc. GST], AP[Payment date - output], "&gt;="&amp;CFF!Q$7, AP[Payment date - output], "&lt;="&amp;CFF!Q$8, AP[Spend category L2 - Output], CFF!$C186)</f>
        <v>0</v>
      </c>
      <c r="R188" s="66">
        <f>-SUMIFS(AP[Invoice value inc. GST], AP[Payment date - output], "&gt;="&amp;CFF!R$7, AP[Payment date - output], "&lt;="&amp;CFF!R$8, AP[Spend category L2 - Output], CFF!$C186)</f>
        <v>0</v>
      </c>
      <c r="S188" s="66">
        <f>-SUMIFS(AP[Invoice value inc. GST], AP[Payment date - output], "&gt;="&amp;CFF!S$7, AP[Payment date - output], "&lt;="&amp;CFF!S$8, AP[Spend category L2 - Output], CFF!$C186)</f>
        <v>0</v>
      </c>
      <c r="T188" s="70">
        <f t="shared" si="196"/>
        <v>0</v>
      </c>
    </row>
    <row r="189" spans="3:20" hidden="1" outlineLevel="1" x14ac:dyDescent="0.25">
      <c r="C189" s="67" t="s">
        <v>127</v>
      </c>
      <c r="E189" s="58"/>
      <c r="G189" s="66">
        <f>-SUMIFS(PO[Value inc. GST], PO[Payment date - output], "&gt;="&amp;CFF!G$7, PO[Payment date - output], "&lt;="&amp;CFF!G$8, PO[Spend category L2 - Output], CFF!$C186)</f>
        <v>0</v>
      </c>
      <c r="H189" s="66">
        <f>-SUMIFS(PO[Value inc. GST], PO[Payment date - output], "&gt;="&amp;CFF!H$7, PO[Payment date - output], "&lt;="&amp;CFF!H$8, PO[Spend category L2 - Output], CFF!$C186)</f>
        <v>0</v>
      </c>
      <c r="I189" s="66">
        <f>-SUMIFS(PO[Value inc. GST], PO[Payment date - output], "&gt;="&amp;CFF!I$7, PO[Payment date - output], "&lt;="&amp;CFF!I$8, PO[Spend category L2 - Output], CFF!$C186)</f>
        <v>0</v>
      </c>
      <c r="J189" s="66">
        <f>-SUMIFS(PO[Value inc. GST], PO[Payment date - output], "&gt;="&amp;CFF!J$7, PO[Payment date - output], "&lt;="&amp;CFF!J$8, PO[Spend category L2 - Output], CFF!$C186)</f>
        <v>0</v>
      </c>
      <c r="K189" s="66">
        <f>-SUMIFS(PO[Value inc. GST], PO[Payment date - output], "&gt;="&amp;CFF!K$7, PO[Payment date - output], "&lt;="&amp;CFF!K$8, PO[Spend category L2 - Output], CFF!$C186)</f>
        <v>0</v>
      </c>
      <c r="L189" s="66">
        <f>-SUMIFS(PO[Value inc. GST], PO[Payment date - output], "&gt;="&amp;CFF!L$7, PO[Payment date - output], "&lt;="&amp;CFF!L$8, PO[Spend category L2 - Output], CFF!$C186)</f>
        <v>0</v>
      </c>
      <c r="M189" s="66">
        <f>-SUMIFS(PO[Value inc. GST], PO[Payment date - output], "&gt;="&amp;CFF!M$7, PO[Payment date - output], "&lt;="&amp;CFF!M$8, PO[Spend category L2 - Output], CFF!$C186)</f>
        <v>0</v>
      </c>
      <c r="N189" s="66">
        <f>-SUMIFS(PO[Value inc. GST], PO[Payment date - output], "&gt;="&amp;CFF!N$7, PO[Payment date - output], "&lt;="&amp;CFF!N$8, PO[Spend category L2 - Output], CFF!$C186)</f>
        <v>0</v>
      </c>
      <c r="O189" s="66">
        <f>-SUMIFS(PO[Value inc. GST], PO[Payment date - output], "&gt;="&amp;CFF!O$7, PO[Payment date - output], "&lt;="&amp;CFF!O$8, PO[Spend category L2 - Output], CFF!$C186)</f>
        <v>0</v>
      </c>
      <c r="P189" s="66">
        <f>-SUMIFS(PO[Value inc. GST], PO[Payment date - output], "&gt;="&amp;CFF!P$7, PO[Payment date - output], "&lt;="&amp;CFF!P$8, PO[Spend category L2 - Output], CFF!$C186)</f>
        <v>0</v>
      </c>
      <c r="Q189" s="66">
        <f>-SUMIFS(PO[Value inc. GST], PO[Payment date - output], "&gt;="&amp;CFF!Q$7, PO[Payment date - output], "&lt;="&amp;CFF!Q$8, PO[Spend category L2 - Output], CFF!$C186)</f>
        <v>0</v>
      </c>
      <c r="R189" s="66">
        <f>-SUMIFS(PO[Value inc. GST], PO[Payment date - output], "&gt;="&amp;CFF!R$7, PO[Payment date - output], "&lt;="&amp;CFF!R$8, PO[Spend category L2 - Output], CFF!$C186)</f>
        <v>0</v>
      </c>
      <c r="S189" s="66">
        <f>-SUMIFS(PO[Value inc. GST], PO[Payment date - output], "&gt;="&amp;CFF!S$7, PO[Payment date - output], "&lt;="&amp;CFF!S$8, PO[Spend category L2 - Output], CFF!$C186)</f>
        <v>0</v>
      </c>
      <c r="T189" s="70">
        <f t="shared" si="196"/>
        <v>0</v>
      </c>
    </row>
    <row r="190" spans="3:20" hidden="1" outlineLevel="1" x14ac:dyDescent="0.25">
      <c r="C190" s="68" t="s">
        <v>128</v>
      </c>
      <c r="E190" s="58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70">
        <f t="shared" si="196"/>
        <v>0</v>
      </c>
    </row>
    <row r="191" spans="3:20" hidden="1" outlineLevel="1" x14ac:dyDescent="0.25">
      <c r="C191" s="68" t="s">
        <v>128</v>
      </c>
      <c r="E191" s="58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70">
        <f t="shared" si="196"/>
        <v>0</v>
      </c>
    </row>
    <row r="192" spans="3:20" hidden="1" outlineLevel="1" x14ac:dyDescent="0.25">
      <c r="C192" s="68" t="s">
        <v>128</v>
      </c>
      <c r="E192" s="58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70">
        <f t="shared" si="196"/>
        <v>0</v>
      </c>
    </row>
    <row r="193" spans="3:20" ht="5.0999999999999996" customHeight="1" x14ac:dyDescent="0.25">
      <c r="E193" s="58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</row>
    <row r="194" spans="3:20" collapsed="1" x14ac:dyDescent="0.25">
      <c r="C194" s="1">
        <f>Assumptions!$D$39</f>
        <v>0</v>
      </c>
      <c r="E194" s="66">
        <f>SUMIFS('Cash actuals'!$F$62:$BE$62, 'Cash actuals'!$F$7:$BE$7, CFF!$E$7)</f>
        <v>0</v>
      </c>
      <c r="G194" s="69">
        <f>IF( SUM(G196:G197) &lt; G195, SUM(G196:G197), IF( SUM(G196:G197) &gt; G195, G195, 0)) + SUM(G198:G200)</f>
        <v>0</v>
      </c>
      <c r="H194" s="69">
        <f t="shared" ref="H194" si="197">IF( SUM(H196:H197) &lt; H195, SUM(H196:H197), IF( SUM(H196:H197) &gt; H195, H195, 0))</f>
        <v>0</v>
      </c>
      <c r="I194" s="69">
        <f t="shared" ref="I194" si="198">IF( SUM(I196:I197) &lt; I195, SUM(I196:I197), IF( SUM(I196:I197) &gt; I195, I195, 0))</f>
        <v>0</v>
      </c>
      <c r="J194" s="69">
        <f t="shared" ref="J194" si="199">IF( SUM(J196:J197) &lt; J195, SUM(J196:J197), IF( SUM(J196:J197) &gt; J195, J195, 0))</f>
        <v>0</v>
      </c>
      <c r="K194" s="69">
        <f t="shared" ref="K194" si="200">IF( SUM(K196:K197) &lt; K195, SUM(K196:K197), IF( SUM(K196:K197) &gt; K195, K195, 0))</f>
        <v>0</v>
      </c>
      <c r="L194" s="69">
        <f t="shared" ref="L194" si="201">IF( SUM(L196:L197) &lt; L195, SUM(L196:L197), IF( SUM(L196:L197) &gt; L195, L195, 0))</f>
        <v>0</v>
      </c>
      <c r="M194" s="69">
        <f t="shared" ref="M194" si="202">IF( SUM(M196:M197) &lt; M195, SUM(M196:M197), IF( SUM(M196:M197) &gt; M195, M195, 0))</f>
        <v>0</v>
      </c>
      <c r="N194" s="69">
        <f t="shared" ref="N194" si="203">IF( SUM(N196:N197) &lt; N195, SUM(N196:N197), IF( SUM(N196:N197) &gt; N195, N195, 0))</f>
        <v>0</v>
      </c>
      <c r="O194" s="69">
        <f t="shared" ref="O194" si="204">IF( SUM(O196:O197) &lt; O195, SUM(O196:O197), IF( SUM(O196:O197) &gt; O195, O195, 0))</f>
        <v>0</v>
      </c>
      <c r="P194" s="69">
        <f t="shared" ref="P194" si="205">IF( SUM(P196:P197) &lt; P195, SUM(P196:P197), IF( SUM(P196:P197) &gt; P195, P195, 0))</f>
        <v>0</v>
      </c>
      <c r="Q194" s="69">
        <f t="shared" ref="Q194" si="206">IF( SUM(Q196:Q197) &lt; Q195, SUM(Q196:Q197), IF( SUM(Q196:Q197) &gt; Q195, Q195, 0))</f>
        <v>0</v>
      </c>
      <c r="R194" s="69">
        <f t="shared" ref="R194" si="207">IF( SUM(R196:R197) &lt; R195, SUM(R196:R197), IF( SUM(R196:R197) &gt; R195, R195, 0))</f>
        <v>0</v>
      </c>
      <c r="S194" s="69">
        <f t="shared" ref="S194" si="208">IF( SUM(S196:S197) &lt; S195, SUM(S196:S197), IF( SUM(S196:S197) &gt; S195, S195, 0))</f>
        <v>0</v>
      </c>
      <c r="T194" s="71">
        <f>SUM(G194:S194)</f>
        <v>0</v>
      </c>
    </row>
    <row r="195" spans="3:20" hidden="1" outlineLevel="1" x14ac:dyDescent="0.25">
      <c r="C195" s="67" t="s">
        <v>125</v>
      </c>
      <c r="E195" s="58"/>
      <c r="G195" s="66">
        <f>-IF(G27 = "Yes", Assumptions!$E39, 0)</f>
        <v>0</v>
      </c>
      <c r="H195" s="66">
        <f>-IF(H27 = "Yes", Assumptions!$E39, 0)</f>
        <v>0</v>
      </c>
      <c r="I195" s="66">
        <f>-IF(I27 = "Yes", Assumptions!$E39, 0)</f>
        <v>0</v>
      </c>
      <c r="J195" s="66">
        <f>-IF(J27 = "Yes", Assumptions!$E39, 0)</f>
        <v>0</v>
      </c>
      <c r="K195" s="66">
        <f>-IF(K27 = "Yes", Assumptions!$E39, 0)</f>
        <v>0</v>
      </c>
      <c r="L195" s="66">
        <f>-IF(L27 = "Yes", Assumptions!$E39, 0)</f>
        <v>0</v>
      </c>
      <c r="M195" s="66">
        <f>-IF(M27 = "Yes", Assumptions!$E39, 0)</f>
        <v>0</v>
      </c>
      <c r="N195" s="66">
        <f>-IF(N27 = "Yes", Assumptions!$E39, 0)</f>
        <v>0</v>
      </c>
      <c r="O195" s="66">
        <f>-IF(O27 = "Yes", Assumptions!$E39, 0)</f>
        <v>0</v>
      </c>
      <c r="P195" s="66">
        <f>-IF(P27 = "Yes", Assumptions!$E39, 0)</f>
        <v>0</v>
      </c>
      <c r="Q195" s="66">
        <f>-IF(Q27 = "Yes", Assumptions!$E39, 0)</f>
        <v>0</v>
      </c>
      <c r="R195" s="66">
        <f>-IF(R27 = "Yes", Assumptions!$E39, 0)</f>
        <v>0</v>
      </c>
      <c r="S195" s="66">
        <f>-IF(S27 = "Yes", Assumptions!$E39, 0)</f>
        <v>0</v>
      </c>
      <c r="T195" s="70">
        <f t="shared" ref="T195:T200" si="209">SUM(G195:S195)</f>
        <v>0</v>
      </c>
    </row>
    <row r="196" spans="3:20" hidden="1" outlineLevel="1" x14ac:dyDescent="0.25">
      <c r="C196" s="67" t="s">
        <v>126</v>
      </c>
      <c r="E196" s="58"/>
      <c r="G196" s="66">
        <f>-SUMIFS(AP[Invoice value inc. GST], AP[Payment date - output], "&gt;="&amp;CFF!G$7, AP[Payment date - output], "&lt;="&amp;CFF!G$8, AP[Spend category L2 - Output], CFF!$C194)</f>
        <v>0</v>
      </c>
      <c r="H196" s="66">
        <f>-SUMIFS(AP[Invoice value inc. GST], AP[Payment date - output], "&gt;="&amp;CFF!H$7, AP[Payment date - output], "&lt;="&amp;CFF!H$8, AP[Spend category L2 - Output], CFF!$C194)</f>
        <v>0</v>
      </c>
      <c r="I196" s="66">
        <f>-SUMIFS(AP[Invoice value inc. GST], AP[Payment date - output], "&gt;="&amp;CFF!I$7, AP[Payment date - output], "&lt;="&amp;CFF!I$8, AP[Spend category L2 - Output], CFF!$C194)</f>
        <v>0</v>
      </c>
      <c r="J196" s="66">
        <f>-SUMIFS(AP[Invoice value inc. GST], AP[Payment date - output], "&gt;="&amp;CFF!J$7, AP[Payment date - output], "&lt;="&amp;CFF!J$8, AP[Spend category L2 - Output], CFF!$C194)</f>
        <v>0</v>
      </c>
      <c r="K196" s="66">
        <f>-SUMIFS(AP[Invoice value inc. GST], AP[Payment date - output], "&gt;="&amp;CFF!K$7, AP[Payment date - output], "&lt;="&amp;CFF!K$8, AP[Spend category L2 - Output], CFF!$C194)</f>
        <v>0</v>
      </c>
      <c r="L196" s="66">
        <f>-SUMIFS(AP[Invoice value inc. GST], AP[Payment date - output], "&gt;="&amp;CFF!L$7, AP[Payment date - output], "&lt;="&amp;CFF!L$8, AP[Spend category L2 - Output], CFF!$C194)</f>
        <v>0</v>
      </c>
      <c r="M196" s="66">
        <f>-SUMIFS(AP[Invoice value inc. GST], AP[Payment date - output], "&gt;="&amp;CFF!M$7, AP[Payment date - output], "&lt;="&amp;CFF!M$8, AP[Spend category L2 - Output], CFF!$C194)</f>
        <v>0</v>
      </c>
      <c r="N196" s="66">
        <f>-SUMIFS(AP[Invoice value inc. GST], AP[Payment date - output], "&gt;="&amp;CFF!N$7, AP[Payment date - output], "&lt;="&amp;CFF!N$8, AP[Spend category L2 - Output], CFF!$C194)</f>
        <v>0</v>
      </c>
      <c r="O196" s="66">
        <f>-SUMIFS(AP[Invoice value inc. GST], AP[Payment date - output], "&gt;="&amp;CFF!O$7, AP[Payment date - output], "&lt;="&amp;CFF!O$8, AP[Spend category L2 - Output], CFF!$C194)</f>
        <v>0</v>
      </c>
      <c r="P196" s="66">
        <f>-SUMIFS(AP[Invoice value inc. GST], AP[Payment date - output], "&gt;="&amp;CFF!P$7, AP[Payment date - output], "&lt;="&amp;CFF!P$8, AP[Spend category L2 - Output], CFF!$C194)</f>
        <v>0</v>
      </c>
      <c r="Q196" s="66">
        <f>-SUMIFS(AP[Invoice value inc. GST], AP[Payment date - output], "&gt;="&amp;CFF!Q$7, AP[Payment date - output], "&lt;="&amp;CFF!Q$8, AP[Spend category L2 - Output], CFF!$C194)</f>
        <v>0</v>
      </c>
      <c r="R196" s="66">
        <f>-SUMIFS(AP[Invoice value inc. GST], AP[Payment date - output], "&gt;="&amp;CFF!R$7, AP[Payment date - output], "&lt;="&amp;CFF!R$8, AP[Spend category L2 - Output], CFF!$C194)</f>
        <v>0</v>
      </c>
      <c r="S196" s="66">
        <f>-SUMIFS(AP[Invoice value inc. GST], AP[Payment date - output], "&gt;="&amp;CFF!S$7, AP[Payment date - output], "&lt;="&amp;CFF!S$8, AP[Spend category L2 - Output], CFF!$C194)</f>
        <v>0</v>
      </c>
      <c r="T196" s="70">
        <f t="shared" si="209"/>
        <v>0</v>
      </c>
    </row>
    <row r="197" spans="3:20" hidden="1" outlineLevel="1" x14ac:dyDescent="0.25">
      <c r="C197" s="67" t="s">
        <v>127</v>
      </c>
      <c r="E197" s="58"/>
      <c r="G197" s="66">
        <f>-SUMIFS(PO[Value inc. GST], PO[Payment date - output], "&gt;="&amp;CFF!G$7, PO[Payment date - output], "&lt;="&amp;CFF!G$8, PO[Spend category L2 - Output], CFF!$C194)</f>
        <v>0</v>
      </c>
      <c r="H197" s="66">
        <f>-SUMIFS(PO[Value inc. GST], PO[Payment date - output], "&gt;="&amp;CFF!H$7, PO[Payment date - output], "&lt;="&amp;CFF!H$8, PO[Spend category L2 - Output], CFF!$C194)</f>
        <v>0</v>
      </c>
      <c r="I197" s="66">
        <f>-SUMIFS(PO[Value inc. GST], PO[Payment date - output], "&gt;="&amp;CFF!I$7, PO[Payment date - output], "&lt;="&amp;CFF!I$8, PO[Spend category L2 - Output], CFF!$C194)</f>
        <v>0</v>
      </c>
      <c r="J197" s="66">
        <f>-SUMIFS(PO[Value inc. GST], PO[Payment date - output], "&gt;="&amp;CFF!J$7, PO[Payment date - output], "&lt;="&amp;CFF!J$8, PO[Spend category L2 - Output], CFF!$C194)</f>
        <v>0</v>
      </c>
      <c r="K197" s="66">
        <f>-SUMIFS(PO[Value inc. GST], PO[Payment date - output], "&gt;="&amp;CFF!K$7, PO[Payment date - output], "&lt;="&amp;CFF!K$8, PO[Spend category L2 - Output], CFF!$C194)</f>
        <v>0</v>
      </c>
      <c r="L197" s="66">
        <f>-SUMIFS(PO[Value inc. GST], PO[Payment date - output], "&gt;="&amp;CFF!L$7, PO[Payment date - output], "&lt;="&amp;CFF!L$8, PO[Spend category L2 - Output], CFF!$C194)</f>
        <v>0</v>
      </c>
      <c r="M197" s="66">
        <f>-SUMIFS(PO[Value inc. GST], PO[Payment date - output], "&gt;="&amp;CFF!M$7, PO[Payment date - output], "&lt;="&amp;CFF!M$8, PO[Spend category L2 - Output], CFF!$C194)</f>
        <v>0</v>
      </c>
      <c r="N197" s="66">
        <f>-SUMIFS(PO[Value inc. GST], PO[Payment date - output], "&gt;="&amp;CFF!N$7, PO[Payment date - output], "&lt;="&amp;CFF!N$8, PO[Spend category L2 - Output], CFF!$C194)</f>
        <v>0</v>
      </c>
      <c r="O197" s="66">
        <f>-SUMIFS(PO[Value inc. GST], PO[Payment date - output], "&gt;="&amp;CFF!O$7, PO[Payment date - output], "&lt;="&amp;CFF!O$8, PO[Spend category L2 - Output], CFF!$C194)</f>
        <v>0</v>
      </c>
      <c r="P197" s="66">
        <f>-SUMIFS(PO[Value inc. GST], PO[Payment date - output], "&gt;="&amp;CFF!P$7, PO[Payment date - output], "&lt;="&amp;CFF!P$8, PO[Spend category L2 - Output], CFF!$C194)</f>
        <v>0</v>
      </c>
      <c r="Q197" s="66">
        <f>-SUMIFS(PO[Value inc. GST], PO[Payment date - output], "&gt;="&amp;CFF!Q$7, PO[Payment date - output], "&lt;="&amp;CFF!Q$8, PO[Spend category L2 - Output], CFF!$C194)</f>
        <v>0</v>
      </c>
      <c r="R197" s="66">
        <f>-SUMIFS(PO[Value inc. GST], PO[Payment date - output], "&gt;="&amp;CFF!R$7, PO[Payment date - output], "&lt;="&amp;CFF!R$8, PO[Spend category L2 - Output], CFF!$C194)</f>
        <v>0</v>
      </c>
      <c r="S197" s="66">
        <f>-SUMIFS(PO[Value inc. GST], PO[Payment date - output], "&gt;="&amp;CFF!S$7, PO[Payment date - output], "&lt;="&amp;CFF!S$8, PO[Spend category L2 - Output], CFF!$C194)</f>
        <v>0</v>
      </c>
      <c r="T197" s="70">
        <f t="shared" si="209"/>
        <v>0</v>
      </c>
    </row>
    <row r="198" spans="3:20" hidden="1" outlineLevel="1" x14ac:dyDescent="0.25">
      <c r="C198" s="68" t="s">
        <v>128</v>
      </c>
      <c r="E198" s="58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70">
        <f t="shared" si="209"/>
        <v>0</v>
      </c>
    </row>
    <row r="199" spans="3:20" hidden="1" outlineLevel="1" x14ac:dyDescent="0.25">
      <c r="C199" s="68" t="s">
        <v>128</v>
      </c>
      <c r="E199" s="58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70">
        <f t="shared" si="209"/>
        <v>0</v>
      </c>
    </row>
    <row r="200" spans="3:20" hidden="1" outlineLevel="1" x14ac:dyDescent="0.25">
      <c r="C200" s="68" t="s">
        <v>128</v>
      </c>
      <c r="E200" s="58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70">
        <f t="shared" si="209"/>
        <v>0</v>
      </c>
    </row>
    <row r="201" spans="3:20" ht="5.0999999999999996" customHeight="1" x14ac:dyDescent="0.25">
      <c r="E201" s="58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</row>
    <row r="202" spans="3:20" collapsed="1" x14ac:dyDescent="0.25">
      <c r="C202" s="1">
        <f>Assumptions!$D$40</f>
        <v>0</v>
      </c>
      <c r="E202" s="66">
        <f>SUMIFS('Cash actuals'!$F$64:$BE$64, 'Cash actuals'!$F$7:$BE$7, CFF!$E$7)</f>
        <v>0</v>
      </c>
      <c r="G202" s="69">
        <f>IF( SUM(G204:G205) &lt; G203, SUM(G204:G205), IF( SUM(G204:G205) &gt; G203, G203, 0)) + SUM(G206:G208)</f>
        <v>0</v>
      </c>
      <c r="H202" s="69">
        <f t="shared" ref="H202" si="210">IF( SUM(H204:H205) &lt; H203, SUM(H204:H205), IF( SUM(H204:H205) &gt; H203, H203, 0))</f>
        <v>0</v>
      </c>
      <c r="I202" s="69">
        <f t="shared" ref="I202" si="211">IF( SUM(I204:I205) &lt; I203, SUM(I204:I205), IF( SUM(I204:I205) &gt; I203, I203, 0))</f>
        <v>0</v>
      </c>
      <c r="J202" s="69">
        <f t="shared" ref="J202" si="212">IF( SUM(J204:J205) &lt; J203, SUM(J204:J205), IF( SUM(J204:J205) &gt; J203, J203, 0))</f>
        <v>0</v>
      </c>
      <c r="K202" s="69">
        <f t="shared" ref="K202" si="213">IF( SUM(K204:K205) &lt; K203, SUM(K204:K205), IF( SUM(K204:K205) &gt; K203, K203, 0))</f>
        <v>0</v>
      </c>
      <c r="L202" s="69">
        <f t="shared" ref="L202" si="214">IF( SUM(L204:L205) &lt; L203, SUM(L204:L205), IF( SUM(L204:L205) &gt; L203, L203, 0))</f>
        <v>0</v>
      </c>
      <c r="M202" s="69">
        <f t="shared" ref="M202" si="215">IF( SUM(M204:M205) &lt; M203, SUM(M204:M205), IF( SUM(M204:M205) &gt; M203, M203, 0))</f>
        <v>0</v>
      </c>
      <c r="N202" s="69">
        <f t="shared" ref="N202" si="216">IF( SUM(N204:N205) &lt; N203, SUM(N204:N205), IF( SUM(N204:N205) &gt; N203, N203, 0))</f>
        <v>0</v>
      </c>
      <c r="O202" s="69">
        <f t="shared" ref="O202" si="217">IF( SUM(O204:O205) &lt; O203, SUM(O204:O205), IF( SUM(O204:O205) &gt; O203, O203, 0))</f>
        <v>0</v>
      </c>
      <c r="P202" s="69">
        <f t="shared" ref="P202" si="218">IF( SUM(P204:P205) &lt; P203, SUM(P204:P205), IF( SUM(P204:P205) &gt; P203, P203, 0))</f>
        <v>0</v>
      </c>
      <c r="Q202" s="69">
        <f t="shared" ref="Q202" si="219">IF( SUM(Q204:Q205) &lt; Q203, SUM(Q204:Q205), IF( SUM(Q204:Q205) &gt; Q203, Q203, 0))</f>
        <v>0</v>
      </c>
      <c r="R202" s="69">
        <f t="shared" ref="R202" si="220">IF( SUM(R204:R205) &lt; R203, SUM(R204:R205), IF( SUM(R204:R205) &gt; R203, R203, 0))</f>
        <v>0</v>
      </c>
      <c r="S202" s="69">
        <f t="shared" ref="S202" si="221">IF( SUM(S204:S205) &lt; S203, SUM(S204:S205), IF( SUM(S204:S205) &gt; S203, S203, 0))</f>
        <v>0</v>
      </c>
      <c r="T202" s="71">
        <f>SUM(G202:S202)</f>
        <v>0</v>
      </c>
    </row>
    <row r="203" spans="3:20" hidden="1" outlineLevel="1" x14ac:dyDescent="0.25">
      <c r="C203" s="67" t="s">
        <v>125</v>
      </c>
      <c r="E203" s="58"/>
      <c r="G203" s="66">
        <f>-IF(G28 = "Yes", Assumptions!$E40, 0)</f>
        <v>0</v>
      </c>
      <c r="H203" s="66">
        <f>-IF(H28 = "Yes", Assumptions!$E40, 0)</f>
        <v>0</v>
      </c>
      <c r="I203" s="66">
        <f>-IF(I28 = "Yes", Assumptions!$E40, 0)</f>
        <v>0</v>
      </c>
      <c r="J203" s="66">
        <f>-IF(J28 = "Yes", Assumptions!$E40, 0)</f>
        <v>0</v>
      </c>
      <c r="K203" s="66">
        <f>-IF(K28 = "Yes", Assumptions!$E40, 0)</f>
        <v>0</v>
      </c>
      <c r="L203" s="66">
        <f>-IF(L28 = "Yes", Assumptions!$E40, 0)</f>
        <v>0</v>
      </c>
      <c r="M203" s="66">
        <f>-IF(M28 = "Yes", Assumptions!$E40, 0)</f>
        <v>0</v>
      </c>
      <c r="N203" s="66">
        <f>-IF(N28 = "Yes", Assumptions!$E40, 0)</f>
        <v>0</v>
      </c>
      <c r="O203" s="66">
        <f>-IF(O28 = "Yes", Assumptions!$E40, 0)</f>
        <v>0</v>
      </c>
      <c r="P203" s="66">
        <f>-IF(P28 = "Yes", Assumptions!$E40, 0)</f>
        <v>0</v>
      </c>
      <c r="Q203" s="66">
        <f>-IF(Q28 = "Yes", Assumptions!$E40, 0)</f>
        <v>0</v>
      </c>
      <c r="R203" s="66">
        <f>-IF(R28 = "Yes", Assumptions!$E40, 0)</f>
        <v>0</v>
      </c>
      <c r="S203" s="66">
        <f>-IF(S28 = "Yes", Assumptions!$E40, 0)</f>
        <v>0</v>
      </c>
      <c r="T203" s="70">
        <f t="shared" ref="T203:T208" si="222">SUM(G203:S203)</f>
        <v>0</v>
      </c>
    </row>
    <row r="204" spans="3:20" hidden="1" outlineLevel="1" x14ac:dyDescent="0.25">
      <c r="C204" s="67" t="s">
        <v>126</v>
      </c>
      <c r="E204" s="58"/>
      <c r="G204" s="66">
        <f>-SUMIFS(AP[Invoice value inc. GST], AP[Payment date - output], "&gt;="&amp;CFF!G$7, AP[Payment date - output], "&lt;="&amp;CFF!G$8, AP[Spend category L2 - Output], CFF!$C202)</f>
        <v>0</v>
      </c>
      <c r="H204" s="66">
        <f>-SUMIFS(AP[Invoice value inc. GST], AP[Payment date - output], "&gt;="&amp;CFF!H$7, AP[Payment date - output], "&lt;="&amp;CFF!H$8, AP[Spend category L2 - Output], CFF!$C202)</f>
        <v>0</v>
      </c>
      <c r="I204" s="66">
        <f>-SUMIFS(AP[Invoice value inc. GST], AP[Payment date - output], "&gt;="&amp;CFF!I$7, AP[Payment date - output], "&lt;="&amp;CFF!I$8, AP[Spend category L2 - Output], CFF!$C202)</f>
        <v>0</v>
      </c>
      <c r="J204" s="66">
        <f>-SUMIFS(AP[Invoice value inc. GST], AP[Payment date - output], "&gt;="&amp;CFF!J$7, AP[Payment date - output], "&lt;="&amp;CFF!J$8, AP[Spend category L2 - Output], CFF!$C202)</f>
        <v>0</v>
      </c>
      <c r="K204" s="66">
        <f>-SUMIFS(AP[Invoice value inc. GST], AP[Payment date - output], "&gt;="&amp;CFF!K$7, AP[Payment date - output], "&lt;="&amp;CFF!K$8, AP[Spend category L2 - Output], CFF!$C202)</f>
        <v>0</v>
      </c>
      <c r="L204" s="66">
        <f>-SUMIFS(AP[Invoice value inc. GST], AP[Payment date - output], "&gt;="&amp;CFF!L$7, AP[Payment date - output], "&lt;="&amp;CFF!L$8, AP[Spend category L2 - Output], CFF!$C202)</f>
        <v>0</v>
      </c>
      <c r="M204" s="66">
        <f>-SUMIFS(AP[Invoice value inc. GST], AP[Payment date - output], "&gt;="&amp;CFF!M$7, AP[Payment date - output], "&lt;="&amp;CFF!M$8, AP[Spend category L2 - Output], CFF!$C202)</f>
        <v>0</v>
      </c>
      <c r="N204" s="66">
        <f>-SUMIFS(AP[Invoice value inc. GST], AP[Payment date - output], "&gt;="&amp;CFF!N$7, AP[Payment date - output], "&lt;="&amp;CFF!N$8, AP[Spend category L2 - Output], CFF!$C202)</f>
        <v>0</v>
      </c>
      <c r="O204" s="66">
        <f>-SUMIFS(AP[Invoice value inc. GST], AP[Payment date - output], "&gt;="&amp;CFF!O$7, AP[Payment date - output], "&lt;="&amp;CFF!O$8, AP[Spend category L2 - Output], CFF!$C202)</f>
        <v>0</v>
      </c>
      <c r="P204" s="66">
        <f>-SUMIFS(AP[Invoice value inc. GST], AP[Payment date - output], "&gt;="&amp;CFF!P$7, AP[Payment date - output], "&lt;="&amp;CFF!P$8, AP[Spend category L2 - Output], CFF!$C202)</f>
        <v>0</v>
      </c>
      <c r="Q204" s="66">
        <f>-SUMIFS(AP[Invoice value inc. GST], AP[Payment date - output], "&gt;="&amp;CFF!Q$7, AP[Payment date - output], "&lt;="&amp;CFF!Q$8, AP[Spend category L2 - Output], CFF!$C202)</f>
        <v>0</v>
      </c>
      <c r="R204" s="66">
        <f>-SUMIFS(AP[Invoice value inc. GST], AP[Payment date - output], "&gt;="&amp;CFF!R$7, AP[Payment date - output], "&lt;="&amp;CFF!R$8, AP[Spend category L2 - Output], CFF!$C202)</f>
        <v>0</v>
      </c>
      <c r="S204" s="66">
        <f>-SUMIFS(AP[Invoice value inc. GST], AP[Payment date - output], "&gt;="&amp;CFF!S$7, AP[Payment date - output], "&lt;="&amp;CFF!S$8, AP[Spend category L2 - Output], CFF!$C202)</f>
        <v>0</v>
      </c>
      <c r="T204" s="70">
        <f t="shared" si="222"/>
        <v>0</v>
      </c>
    </row>
    <row r="205" spans="3:20" hidden="1" outlineLevel="1" x14ac:dyDescent="0.25">
      <c r="C205" s="67" t="s">
        <v>127</v>
      </c>
      <c r="E205" s="58"/>
      <c r="G205" s="66">
        <f>-SUMIFS(PO[Value inc. GST], PO[Payment date - output], "&gt;="&amp;CFF!G$7, PO[Payment date - output], "&lt;="&amp;CFF!G$8, PO[Spend category L2 - Output], CFF!$C202)</f>
        <v>0</v>
      </c>
      <c r="H205" s="66">
        <f>-SUMIFS(PO[Value inc. GST], PO[Payment date - output], "&gt;="&amp;CFF!H$7, PO[Payment date - output], "&lt;="&amp;CFF!H$8, PO[Spend category L2 - Output], CFF!$C202)</f>
        <v>0</v>
      </c>
      <c r="I205" s="66">
        <f>-SUMIFS(PO[Value inc. GST], PO[Payment date - output], "&gt;="&amp;CFF!I$7, PO[Payment date - output], "&lt;="&amp;CFF!I$8, PO[Spend category L2 - Output], CFF!$C202)</f>
        <v>0</v>
      </c>
      <c r="J205" s="66">
        <f>-SUMIFS(PO[Value inc. GST], PO[Payment date - output], "&gt;="&amp;CFF!J$7, PO[Payment date - output], "&lt;="&amp;CFF!J$8, PO[Spend category L2 - Output], CFF!$C202)</f>
        <v>0</v>
      </c>
      <c r="K205" s="66">
        <f>-SUMIFS(PO[Value inc. GST], PO[Payment date - output], "&gt;="&amp;CFF!K$7, PO[Payment date - output], "&lt;="&amp;CFF!K$8, PO[Spend category L2 - Output], CFF!$C202)</f>
        <v>0</v>
      </c>
      <c r="L205" s="66">
        <f>-SUMIFS(PO[Value inc. GST], PO[Payment date - output], "&gt;="&amp;CFF!L$7, PO[Payment date - output], "&lt;="&amp;CFF!L$8, PO[Spend category L2 - Output], CFF!$C202)</f>
        <v>0</v>
      </c>
      <c r="M205" s="66">
        <f>-SUMIFS(PO[Value inc. GST], PO[Payment date - output], "&gt;="&amp;CFF!M$7, PO[Payment date - output], "&lt;="&amp;CFF!M$8, PO[Spend category L2 - Output], CFF!$C202)</f>
        <v>0</v>
      </c>
      <c r="N205" s="66">
        <f>-SUMIFS(PO[Value inc. GST], PO[Payment date - output], "&gt;="&amp;CFF!N$7, PO[Payment date - output], "&lt;="&amp;CFF!N$8, PO[Spend category L2 - Output], CFF!$C202)</f>
        <v>0</v>
      </c>
      <c r="O205" s="66">
        <f>-SUMIFS(PO[Value inc. GST], PO[Payment date - output], "&gt;="&amp;CFF!O$7, PO[Payment date - output], "&lt;="&amp;CFF!O$8, PO[Spend category L2 - Output], CFF!$C202)</f>
        <v>0</v>
      </c>
      <c r="P205" s="66">
        <f>-SUMIFS(PO[Value inc. GST], PO[Payment date - output], "&gt;="&amp;CFF!P$7, PO[Payment date - output], "&lt;="&amp;CFF!P$8, PO[Spend category L2 - Output], CFF!$C202)</f>
        <v>0</v>
      </c>
      <c r="Q205" s="66">
        <f>-SUMIFS(PO[Value inc. GST], PO[Payment date - output], "&gt;="&amp;CFF!Q$7, PO[Payment date - output], "&lt;="&amp;CFF!Q$8, PO[Spend category L2 - Output], CFF!$C202)</f>
        <v>0</v>
      </c>
      <c r="R205" s="66">
        <f>-SUMIFS(PO[Value inc. GST], PO[Payment date - output], "&gt;="&amp;CFF!R$7, PO[Payment date - output], "&lt;="&amp;CFF!R$8, PO[Spend category L2 - Output], CFF!$C202)</f>
        <v>0</v>
      </c>
      <c r="S205" s="66">
        <f>-SUMIFS(PO[Value inc. GST], PO[Payment date - output], "&gt;="&amp;CFF!S$7, PO[Payment date - output], "&lt;="&amp;CFF!S$8, PO[Spend category L2 - Output], CFF!$C202)</f>
        <v>0</v>
      </c>
      <c r="T205" s="70">
        <f t="shared" si="222"/>
        <v>0</v>
      </c>
    </row>
    <row r="206" spans="3:20" hidden="1" outlineLevel="1" x14ac:dyDescent="0.25">
      <c r="C206" s="68" t="s">
        <v>128</v>
      </c>
      <c r="E206" s="58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70">
        <f t="shared" si="222"/>
        <v>0</v>
      </c>
    </row>
    <row r="207" spans="3:20" hidden="1" outlineLevel="1" x14ac:dyDescent="0.25">
      <c r="C207" s="68" t="s">
        <v>128</v>
      </c>
      <c r="E207" s="58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70">
        <f t="shared" si="222"/>
        <v>0</v>
      </c>
    </row>
    <row r="208" spans="3:20" hidden="1" outlineLevel="1" x14ac:dyDescent="0.25">
      <c r="C208" s="68" t="s">
        <v>128</v>
      </c>
      <c r="E208" s="58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70">
        <f t="shared" si="222"/>
        <v>0</v>
      </c>
    </row>
    <row r="209" spans="3:20" ht="5.0999999999999996" customHeight="1" x14ac:dyDescent="0.25">
      <c r="E209" s="58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</row>
    <row r="210" spans="3:20" collapsed="1" x14ac:dyDescent="0.25">
      <c r="C210" s="1">
        <f>Assumptions!$D$41</f>
        <v>0</v>
      </c>
      <c r="E210" s="66">
        <f>SUMIFS('Cash actuals'!$F$66:$BE$66, 'Cash actuals'!$F$7:$BE$7, CFF!$E$7)</f>
        <v>0</v>
      </c>
      <c r="G210" s="69">
        <f>IF( SUM(G212:G213) &lt; G211, SUM(G212:G213), IF( SUM(G212:G213) &gt; G211, G211, 0)) + SUM(G214:G216)</f>
        <v>0</v>
      </c>
      <c r="H210" s="69">
        <f t="shared" ref="H210" si="223">IF( SUM(H212:H213) &lt; H211, SUM(H212:H213), IF( SUM(H212:H213) &gt; H211, H211, 0))</f>
        <v>0</v>
      </c>
      <c r="I210" s="69">
        <f t="shared" ref="I210" si="224">IF( SUM(I212:I213) &lt; I211, SUM(I212:I213), IF( SUM(I212:I213) &gt; I211, I211, 0))</f>
        <v>0</v>
      </c>
      <c r="J210" s="69">
        <f t="shared" ref="J210" si="225">IF( SUM(J212:J213) &lt; J211, SUM(J212:J213), IF( SUM(J212:J213) &gt; J211, J211, 0))</f>
        <v>0</v>
      </c>
      <c r="K210" s="69">
        <f t="shared" ref="K210" si="226">IF( SUM(K212:K213) &lt; K211, SUM(K212:K213), IF( SUM(K212:K213) &gt; K211, K211, 0))</f>
        <v>0</v>
      </c>
      <c r="L210" s="69">
        <f t="shared" ref="L210" si="227">IF( SUM(L212:L213) &lt; L211, SUM(L212:L213), IF( SUM(L212:L213) &gt; L211, L211, 0))</f>
        <v>0</v>
      </c>
      <c r="M210" s="69">
        <f t="shared" ref="M210" si="228">IF( SUM(M212:M213) &lt; M211, SUM(M212:M213), IF( SUM(M212:M213) &gt; M211, M211, 0))</f>
        <v>0</v>
      </c>
      <c r="N210" s="69">
        <f t="shared" ref="N210" si="229">IF( SUM(N212:N213) &lt; N211, SUM(N212:N213), IF( SUM(N212:N213) &gt; N211, N211, 0))</f>
        <v>0</v>
      </c>
      <c r="O210" s="69">
        <f t="shared" ref="O210" si="230">IF( SUM(O212:O213) &lt; O211, SUM(O212:O213), IF( SUM(O212:O213) &gt; O211, O211, 0))</f>
        <v>0</v>
      </c>
      <c r="P210" s="69">
        <f t="shared" ref="P210" si="231">IF( SUM(P212:P213) &lt; P211, SUM(P212:P213), IF( SUM(P212:P213) &gt; P211, P211, 0))</f>
        <v>0</v>
      </c>
      <c r="Q210" s="69">
        <f t="shared" ref="Q210" si="232">IF( SUM(Q212:Q213) &lt; Q211, SUM(Q212:Q213), IF( SUM(Q212:Q213) &gt; Q211, Q211, 0))</f>
        <v>0</v>
      </c>
      <c r="R210" s="69">
        <f t="shared" ref="R210" si="233">IF( SUM(R212:R213) &lt; R211, SUM(R212:R213), IF( SUM(R212:R213) &gt; R211, R211, 0))</f>
        <v>0</v>
      </c>
      <c r="S210" s="69">
        <f t="shared" ref="S210" si="234">IF( SUM(S212:S213) &lt; S211, SUM(S212:S213), IF( SUM(S212:S213) &gt; S211, S211, 0))</f>
        <v>0</v>
      </c>
      <c r="T210" s="71">
        <f>SUM(G210:S210)</f>
        <v>0</v>
      </c>
    </row>
    <row r="211" spans="3:20" hidden="1" outlineLevel="1" x14ac:dyDescent="0.25">
      <c r="C211" s="67" t="s">
        <v>125</v>
      </c>
      <c r="E211" s="58"/>
      <c r="G211" s="66">
        <f>-IF(G29 = "Yes", Assumptions!$E41, 0)</f>
        <v>0</v>
      </c>
      <c r="H211" s="66">
        <f>-IF(H29 = "Yes", Assumptions!$E41, 0)</f>
        <v>0</v>
      </c>
      <c r="I211" s="66">
        <f>-IF(I29 = "Yes", Assumptions!$E41, 0)</f>
        <v>0</v>
      </c>
      <c r="J211" s="66">
        <f>-IF(J29 = "Yes", Assumptions!$E41, 0)</f>
        <v>0</v>
      </c>
      <c r="K211" s="66">
        <f>-IF(K29 = "Yes", Assumptions!$E41, 0)</f>
        <v>0</v>
      </c>
      <c r="L211" s="66">
        <f>-IF(L29 = "Yes", Assumptions!$E41, 0)</f>
        <v>0</v>
      </c>
      <c r="M211" s="66">
        <f>-IF(M29 = "Yes", Assumptions!$E41, 0)</f>
        <v>0</v>
      </c>
      <c r="N211" s="66">
        <f>-IF(N29 = "Yes", Assumptions!$E41, 0)</f>
        <v>0</v>
      </c>
      <c r="O211" s="66">
        <f>-IF(O29 = "Yes", Assumptions!$E41, 0)</f>
        <v>0</v>
      </c>
      <c r="P211" s="66">
        <f>-IF(P29 = "Yes", Assumptions!$E41, 0)</f>
        <v>0</v>
      </c>
      <c r="Q211" s="66">
        <f>-IF(Q29 = "Yes", Assumptions!$E41, 0)</f>
        <v>0</v>
      </c>
      <c r="R211" s="66">
        <f>-IF(R29 = "Yes", Assumptions!$E41, 0)</f>
        <v>0</v>
      </c>
      <c r="S211" s="66">
        <f>-IF(S29 = "Yes", Assumptions!$E41, 0)</f>
        <v>0</v>
      </c>
      <c r="T211" s="70">
        <f t="shared" ref="T211:T216" si="235">SUM(G211:S211)</f>
        <v>0</v>
      </c>
    </row>
    <row r="212" spans="3:20" hidden="1" outlineLevel="1" x14ac:dyDescent="0.25">
      <c r="C212" s="67" t="s">
        <v>126</v>
      </c>
      <c r="E212" s="58"/>
      <c r="G212" s="66">
        <f>-SUMIFS(AP[Invoice value inc. GST], AP[Payment date - output], "&gt;="&amp;CFF!G$7, AP[Payment date - output], "&lt;="&amp;CFF!G$8, AP[Spend category L2 - Output], CFF!$C210)</f>
        <v>0</v>
      </c>
      <c r="H212" s="66">
        <f>-SUMIFS(AP[Invoice value inc. GST], AP[Payment date - output], "&gt;="&amp;CFF!H$7, AP[Payment date - output], "&lt;="&amp;CFF!H$8, AP[Spend category L2 - Output], CFF!$C210)</f>
        <v>0</v>
      </c>
      <c r="I212" s="66">
        <f>-SUMIFS(AP[Invoice value inc. GST], AP[Payment date - output], "&gt;="&amp;CFF!I$7, AP[Payment date - output], "&lt;="&amp;CFF!I$8, AP[Spend category L2 - Output], CFF!$C210)</f>
        <v>0</v>
      </c>
      <c r="J212" s="66">
        <f>-SUMIFS(AP[Invoice value inc. GST], AP[Payment date - output], "&gt;="&amp;CFF!J$7, AP[Payment date - output], "&lt;="&amp;CFF!J$8, AP[Spend category L2 - Output], CFF!$C210)</f>
        <v>0</v>
      </c>
      <c r="K212" s="66">
        <f>-SUMIFS(AP[Invoice value inc. GST], AP[Payment date - output], "&gt;="&amp;CFF!K$7, AP[Payment date - output], "&lt;="&amp;CFF!K$8, AP[Spend category L2 - Output], CFF!$C210)</f>
        <v>0</v>
      </c>
      <c r="L212" s="66">
        <f>-SUMIFS(AP[Invoice value inc. GST], AP[Payment date - output], "&gt;="&amp;CFF!L$7, AP[Payment date - output], "&lt;="&amp;CFF!L$8, AP[Spend category L2 - Output], CFF!$C210)</f>
        <v>0</v>
      </c>
      <c r="M212" s="66">
        <f>-SUMIFS(AP[Invoice value inc. GST], AP[Payment date - output], "&gt;="&amp;CFF!M$7, AP[Payment date - output], "&lt;="&amp;CFF!M$8, AP[Spend category L2 - Output], CFF!$C210)</f>
        <v>0</v>
      </c>
      <c r="N212" s="66">
        <f>-SUMIFS(AP[Invoice value inc. GST], AP[Payment date - output], "&gt;="&amp;CFF!N$7, AP[Payment date - output], "&lt;="&amp;CFF!N$8, AP[Spend category L2 - Output], CFF!$C210)</f>
        <v>0</v>
      </c>
      <c r="O212" s="66">
        <f>-SUMIFS(AP[Invoice value inc. GST], AP[Payment date - output], "&gt;="&amp;CFF!O$7, AP[Payment date - output], "&lt;="&amp;CFF!O$8, AP[Spend category L2 - Output], CFF!$C210)</f>
        <v>0</v>
      </c>
      <c r="P212" s="66">
        <f>-SUMIFS(AP[Invoice value inc. GST], AP[Payment date - output], "&gt;="&amp;CFF!P$7, AP[Payment date - output], "&lt;="&amp;CFF!P$8, AP[Spend category L2 - Output], CFF!$C210)</f>
        <v>0</v>
      </c>
      <c r="Q212" s="66">
        <f>-SUMIFS(AP[Invoice value inc. GST], AP[Payment date - output], "&gt;="&amp;CFF!Q$7, AP[Payment date - output], "&lt;="&amp;CFF!Q$8, AP[Spend category L2 - Output], CFF!$C210)</f>
        <v>0</v>
      </c>
      <c r="R212" s="66">
        <f>-SUMIFS(AP[Invoice value inc. GST], AP[Payment date - output], "&gt;="&amp;CFF!R$7, AP[Payment date - output], "&lt;="&amp;CFF!R$8, AP[Spend category L2 - Output], CFF!$C210)</f>
        <v>0</v>
      </c>
      <c r="S212" s="66">
        <f>-SUMIFS(AP[Invoice value inc. GST], AP[Payment date - output], "&gt;="&amp;CFF!S$7, AP[Payment date - output], "&lt;="&amp;CFF!S$8, AP[Spend category L2 - Output], CFF!$C210)</f>
        <v>0</v>
      </c>
      <c r="T212" s="70">
        <f t="shared" si="235"/>
        <v>0</v>
      </c>
    </row>
    <row r="213" spans="3:20" hidden="1" outlineLevel="1" x14ac:dyDescent="0.25">
      <c r="C213" s="67" t="s">
        <v>127</v>
      </c>
      <c r="E213" s="58"/>
      <c r="G213" s="66">
        <f>-SUMIFS(PO[Value inc. GST], PO[Payment date - output], "&gt;="&amp;CFF!G$7, PO[Payment date - output], "&lt;="&amp;CFF!G$8, PO[Spend category L2 - Output], CFF!$C210)</f>
        <v>0</v>
      </c>
      <c r="H213" s="66">
        <f>-SUMIFS(PO[Value inc. GST], PO[Payment date - output], "&gt;="&amp;CFF!H$7, PO[Payment date - output], "&lt;="&amp;CFF!H$8, PO[Spend category L2 - Output], CFF!$C210)</f>
        <v>0</v>
      </c>
      <c r="I213" s="66">
        <f>-SUMIFS(PO[Value inc. GST], PO[Payment date - output], "&gt;="&amp;CFF!I$7, PO[Payment date - output], "&lt;="&amp;CFF!I$8, PO[Spend category L2 - Output], CFF!$C210)</f>
        <v>0</v>
      </c>
      <c r="J213" s="66">
        <f>-SUMIFS(PO[Value inc. GST], PO[Payment date - output], "&gt;="&amp;CFF!J$7, PO[Payment date - output], "&lt;="&amp;CFF!J$8, PO[Spend category L2 - Output], CFF!$C210)</f>
        <v>0</v>
      </c>
      <c r="K213" s="66">
        <f>-SUMIFS(PO[Value inc. GST], PO[Payment date - output], "&gt;="&amp;CFF!K$7, PO[Payment date - output], "&lt;="&amp;CFF!K$8, PO[Spend category L2 - Output], CFF!$C210)</f>
        <v>0</v>
      </c>
      <c r="L213" s="66">
        <f>-SUMIFS(PO[Value inc. GST], PO[Payment date - output], "&gt;="&amp;CFF!L$7, PO[Payment date - output], "&lt;="&amp;CFF!L$8, PO[Spend category L2 - Output], CFF!$C210)</f>
        <v>0</v>
      </c>
      <c r="M213" s="66">
        <f>-SUMIFS(PO[Value inc. GST], PO[Payment date - output], "&gt;="&amp;CFF!M$7, PO[Payment date - output], "&lt;="&amp;CFF!M$8, PO[Spend category L2 - Output], CFF!$C210)</f>
        <v>0</v>
      </c>
      <c r="N213" s="66">
        <f>-SUMIFS(PO[Value inc. GST], PO[Payment date - output], "&gt;="&amp;CFF!N$7, PO[Payment date - output], "&lt;="&amp;CFF!N$8, PO[Spend category L2 - Output], CFF!$C210)</f>
        <v>0</v>
      </c>
      <c r="O213" s="66">
        <f>-SUMIFS(PO[Value inc. GST], PO[Payment date - output], "&gt;="&amp;CFF!O$7, PO[Payment date - output], "&lt;="&amp;CFF!O$8, PO[Spend category L2 - Output], CFF!$C210)</f>
        <v>0</v>
      </c>
      <c r="P213" s="66">
        <f>-SUMIFS(PO[Value inc. GST], PO[Payment date - output], "&gt;="&amp;CFF!P$7, PO[Payment date - output], "&lt;="&amp;CFF!P$8, PO[Spend category L2 - Output], CFF!$C210)</f>
        <v>0</v>
      </c>
      <c r="Q213" s="66">
        <f>-SUMIFS(PO[Value inc. GST], PO[Payment date - output], "&gt;="&amp;CFF!Q$7, PO[Payment date - output], "&lt;="&amp;CFF!Q$8, PO[Spend category L2 - Output], CFF!$C210)</f>
        <v>0</v>
      </c>
      <c r="R213" s="66">
        <f>-SUMIFS(PO[Value inc. GST], PO[Payment date - output], "&gt;="&amp;CFF!R$7, PO[Payment date - output], "&lt;="&amp;CFF!R$8, PO[Spend category L2 - Output], CFF!$C210)</f>
        <v>0</v>
      </c>
      <c r="S213" s="66">
        <f>-SUMIFS(PO[Value inc. GST], PO[Payment date - output], "&gt;="&amp;CFF!S$7, PO[Payment date - output], "&lt;="&amp;CFF!S$8, PO[Spend category L2 - Output], CFF!$C210)</f>
        <v>0</v>
      </c>
      <c r="T213" s="70">
        <f t="shared" si="235"/>
        <v>0</v>
      </c>
    </row>
    <row r="214" spans="3:20" hidden="1" outlineLevel="1" x14ac:dyDescent="0.25">
      <c r="C214" s="68" t="s">
        <v>128</v>
      </c>
      <c r="E214" s="58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70">
        <f t="shared" si="235"/>
        <v>0</v>
      </c>
    </row>
    <row r="215" spans="3:20" hidden="1" outlineLevel="1" x14ac:dyDescent="0.25">
      <c r="C215" s="68" t="s">
        <v>128</v>
      </c>
      <c r="E215" s="58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70">
        <f t="shared" si="235"/>
        <v>0</v>
      </c>
    </row>
    <row r="216" spans="3:20" hidden="1" outlineLevel="1" x14ac:dyDescent="0.25">
      <c r="C216" s="68" t="s">
        <v>128</v>
      </c>
      <c r="E216" s="58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70">
        <f t="shared" si="235"/>
        <v>0</v>
      </c>
    </row>
    <row r="217" spans="3:20" ht="5.0999999999999996" customHeight="1" x14ac:dyDescent="0.25">
      <c r="E217" s="58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</row>
    <row r="218" spans="3:20" collapsed="1" x14ac:dyDescent="0.25">
      <c r="C218" s="1">
        <f>Assumptions!$D$42</f>
        <v>0</v>
      </c>
      <c r="E218" s="66">
        <f>SUMIFS('Cash actuals'!$F$68:$BE$68, 'Cash actuals'!$F$7:$BE$7, CFF!$E$7)</f>
        <v>0</v>
      </c>
      <c r="G218" s="69">
        <f>IF( SUM(G220:G221) &lt; G219, SUM(G220:G221), IF( SUM(G220:G221) &gt; G219, G219, 0)) + SUM(G222:G224)</f>
        <v>0</v>
      </c>
      <c r="H218" s="69">
        <f t="shared" ref="H218" si="236">IF( SUM(H220:H221) &lt; H219, SUM(H220:H221), IF( SUM(H220:H221) &gt; H219, H219, 0))</f>
        <v>0</v>
      </c>
      <c r="I218" s="69">
        <f t="shared" ref="I218" si="237">IF( SUM(I220:I221) &lt; I219, SUM(I220:I221), IF( SUM(I220:I221) &gt; I219, I219, 0))</f>
        <v>0</v>
      </c>
      <c r="J218" s="69">
        <f t="shared" ref="J218" si="238">IF( SUM(J220:J221) &lt; J219, SUM(J220:J221), IF( SUM(J220:J221) &gt; J219, J219, 0))</f>
        <v>0</v>
      </c>
      <c r="K218" s="69">
        <f t="shared" ref="K218" si="239">IF( SUM(K220:K221) &lt; K219, SUM(K220:K221), IF( SUM(K220:K221) &gt; K219, K219, 0))</f>
        <v>0</v>
      </c>
      <c r="L218" s="69">
        <f t="shared" ref="L218" si="240">IF( SUM(L220:L221) &lt; L219, SUM(L220:L221), IF( SUM(L220:L221) &gt; L219, L219, 0))</f>
        <v>0</v>
      </c>
      <c r="M218" s="69">
        <f t="shared" ref="M218" si="241">IF( SUM(M220:M221) &lt; M219, SUM(M220:M221), IF( SUM(M220:M221) &gt; M219, M219, 0))</f>
        <v>0</v>
      </c>
      <c r="N218" s="69">
        <f t="shared" ref="N218" si="242">IF( SUM(N220:N221) &lt; N219, SUM(N220:N221), IF( SUM(N220:N221) &gt; N219, N219, 0))</f>
        <v>0</v>
      </c>
      <c r="O218" s="69">
        <f t="shared" ref="O218" si="243">IF( SUM(O220:O221) &lt; O219, SUM(O220:O221), IF( SUM(O220:O221) &gt; O219, O219, 0))</f>
        <v>0</v>
      </c>
      <c r="P218" s="69">
        <f t="shared" ref="P218" si="244">IF( SUM(P220:P221) &lt; P219, SUM(P220:P221), IF( SUM(P220:P221) &gt; P219, P219, 0))</f>
        <v>0</v>
      </c>
      <c r="Q218" s="69">
        <f t="shared" ref="Q218" si="245">IF( SUM(Q220:Q221) &lt; Q219, SUM(Q220:Q221), IF( SUM(Q220:Q221) &gt; Q219, Q219, 0))</f>
        <v>0</v>
      </c>
      <c r="R218" s="69">
        <f t="shared" ref="R218" si="246">IF( SUM(R220:R221) &lt; R219, SUM(R220:R221), IF( SUM(R220:R221) &gt; R219, R219, 0))</f>
        <v>0</v>
      </c>
      <c r="S218" s="69">
        <f t="shared" ref="S218" si="247">IF( SUM(S220:S221) &lt; S219, SUM(S220:S221), IF( SUM(S220:S221) &gt; S219, S219, 0))</f>
        <v>0</v>
      </c>
      <c r="T218" s="71">
        <f>SUM(G218:S218)</f>
        <v>0</v>
      </c>
    </row>
    <row r="219" spans="3:20" hidden="1" outlineLevel="1" x14ac:dyDescent="0.25">
      <c r="C219" s="67" t="s">
        <v>125</v>
      </c>
      <c r="E219" s="58"/>
      <c r="G219" s="66">
        <f>-IF(G30 = "Yes", Assumptions!$E42, 0)</f>
        <v>0</v>
      </c>
      <c r="H219" s="66">
        <f>-IF(H30 = "Yes", Assumptions!$E42, 0)</f>
        <v>0</v>
      </c>
      <c r="I219" s="66">
        <f>-IF(I30 = "Yes", Assumptions!$E42, 0)</f>
        <v>0</v>
      </c>
      <c r="J219" s="66">
        <f>-IF(J30 = "Yes", Assumptions!$E42, 0)</f>
        <v>0</v>
      </c>
      <c r="K219" s="66">
        <f>-IF(K30 = "Yes", Assumptions!$E42, 0)</f>
        <v>0</v>
      </c>
      <c r="L219" s="66">
        <f>-IF(L30 = "Yes", Assumptions!$E42, 0)</f>
        <v>0</v>
      </c>
      <c r="M219" s="66">
        <f>-IF(M30 = "Yes", Assumptions!$E42, 0)</f>
        <v>0</v>
      </c>
      <c r="N219" s="66">
        <f>-IF(N30 = "Yes", Assumptions!$E42, 0)</f>
        <v>0</v>
      </c>
      <c r="O219" s="66">
        <f>-IF(O30 = "Yes", Assumptions!$E42, 0)</f>
        <v>0</v>
      </c>
      <c r="P219" s="66">
        <f>-IF(P30 = "Yes", Assumptions!$E42, 0)</f>
        <v>0</v>
      </c>
      <c r="Q219" s="66">
        <f>-IF(Q30 = "Yes", Assumptions!$E42, 0)</f>
        <v>0</v>
      </c>
      <c r="R219" s="66">
        <f>-IF(R30 = "Yes", Assumptions!$E42, 0)</f>
        <v>0</v>
      </c>
      <c r="S219" s="66">
        <f>-IF(S30 = "Yes", Assumptions!$E42, 0)</f>
        <v>0</v>
      </c>
      <c r="T219" s="70">
        <f t="shared" ref="T219:T224" si="248">SUM(G219:S219)</f>
        <v>0</v>
      </c>
    </row>
    <row r="220" spans="3:20" hidden="1" outlineLevel="1" x14ac:dyDescent="0.25">
      <c r="C220" s="67" t="s">
        <v>126</v>
      </c>
      <c r="E220" s="58"/>
      <c r="G220" s="66">
        <f>-SUMIFS(AP[Invoice value inc. GST], AP[Payment date - output], "&gt;="&amp;CFF!G$7, AP[Payment date - output], "&lt;="&amp;CFF!G$8, AP[Spend category L2 - Output], CFF!$C218)</f>
        <v>0</v>
      </c>
      <c r="H220" s="66">
        <f>-SUMIFS(AP[Invoice value inc. GST], AP[Payment date - output], "&gt;="&amp;CFF!H$7, AP[Payment date - output], "&lt;="&amp;CFF!H$8, AP[Spend category L2 - Output], CFF!$C218)</f>
        <v>0</v>
      </c>
      <c r="I220" s="66">
        <f>-SUMIFS(AP[Invoice value inc. GST], AP[Payment date - output], "&gt;="&amp;CFF!I$7, AP[Payment date - output], "&lt;="&amp;CFF!I$8, AP[Spend category L2 - Output], CFF!$C218)</f>
        <v>0</v>
      </c>
      <c r="J220" s="66">
        <f>-SUMIFS(AP[Invoice value inc. GST], AP[Payment date - output], "&gt;="&amp;CFF!J$7, AP[Payment date - output], "&lt;="&amp;CFF!J$8, AP[Spend category L2 - Output], CFF!$C218)</f>
        <v>0</v>
      </c>
      <c r="K220" s="66">
        <f>-SUMIFS(AP[Invoice value inc. GST], AP[Payment date - output], "&gt;="&amp;CFF!K$7, AP[Payment date - output], "&lt;="&amp;CFF!K$8, AP[Spend category L2 - Output], CFF!$C218)</f>
        <v>0</v>
      </c>
      <c r="L220" s="66">
        <f>-SUMIFS(AP[Invoice value inc. GST], AP[Payment date - output], "&gt;="&amp;CFF!L$7, AP[Payment date - output], "&lt;="&amp;CFF!L$8, AP[Spend category L2 - Output], CFF!$C218)</f>
        <v>0</v>
      </c>
      <c r="M220" s="66">
        <f>-SUMIFS(AP[Invoice value inc. GST], AP[Payment date - output], "&gt;="&amp;CFF!M$7, AP[Payment date - output], "&lt;="&amp;CFF!M$8, AP[Spend category L2 - Output], CFF!$C218)</f>
        <v>0</v>
      </c>
      <c r="N220" s="66">
        <f>-SUMIFS(AP[Invoice value inc. GST], AP[Payment date - output], "&gt;="&amp;CFF!N$7, AP[Payment date - output], "&lt;="&amp;CFF!N$8, AP[Spend category L2 - Output], CFF!$C218)</f>
        <v>0</v>
      </c>
      <c r="O220" s="66">
        <f>-SUMIFS(AP[Invoice value inc. GST], AP[Payment date - output], "&gt;="&amp;CFF!O$7, AP[Payment date - output], "&lt;="&amp;CFF!O$8, AP[Spend category L2 - Output], CFF!$C218)</f>
        <v>0</v>
      </c>
      <c r="P220" s="66">
        <f>-SUMIFS(AP[Invoice value inc. GST], AP[Payment date - output], "&gt;="&amp;CFF!P$7, AP[Payment date - output], "&lt;="&amp;CFF!P$8, AP[Spend category L2 - Output], CFF!$C218)</f>
        <v>0</v>
      </c>
      <c r="Q220" s="66">
        <f>-SUMIFS(AP[Invoice value inc. GST], AP[Payment date - output], "&gt;="&amp;CFF!Q$7, AP[Payment date - output], "&lt;="&amp;CFF!Q$8, AP[Spend category L2 - Output], CFF!$C218)</f>
        <v>0</v>
      </c>
      <c r="R220" s="66">
        <f>-SUMIFS(AP[Invoice value inc. GST], AP[Payment date - output], "&gt;="&amp;CFF!R$7, AP[Payment date - output], "&lt;="&amp;CFF!R$8, AP[Spend category L2 - Output], CFF!$C218)</f>
        <v>0</v>
      </c>
      <c r="S220" s="66">
        <f>-SUMIFS(AP[Invoice value inc. GST], AP[Payment date - output], "&gt;="&amp;CFF!S$7, AP[Payment date - output], "&lt;="&amp;CFF!S$8, AP[Spend category L2 - Output], CFF!$C218)</f>
        <v>0</v>
      </c>
      <c r="T220" s="70">
        <f t="shared" si="248"/>
        <v>0</v>
      </c>
    </row>
    <row r="221" spans="3:20" hidden="1" outlineLevel="1" x14ac:dyDescent="0.25">
      <c r="C221" s="67" t="s">
        <v>127</v>
      </c>
      <c r="E221" s="58"/>
      <c r="G221" s="66">
        <f>-SUMIFS(PO[Value inc. GST], PO[Payment date - output], "&gt;="&amp;CFF!G$7, PO[Payment date - output], "&lt;="&amp;CFF!G$8, PO[Spend category L2 - Output], CFF!$C218)</f>
        <v>0</v>
      </c>
      <c r="H221" s="66">
        <f>-SUMIFS(PO[Value inc. GST], PO[Payment date - output], "&gt;="&amp;CFF!H$7, PO[Payment date - output], "&lt;="&amp;CFF!H$8, PO[Spend category L2 - Output], CFF!$C218)</f>
        <v>0</v>
      </c>
      <c r="I221" s="66">
        <f>-SUMIFS(PO[Value inc. GST], PO[Payment date - output], "&gt;="&amp;CFF!I$7, PO[Payment date - output], "&lt;="&amp;CFF!I$8, PO[Spend category L2 - Output], CFF!$C218)</f>
        <v>0</v>
      </c>
      <c r="J221" s="66">
        <f>-SUMIFS(PO[Value inc. GST], PO[Payment date - output], "&gt;="&amp;CFF!J$7, PO[Payment date - output], "&lt;="&amp;CFF!J$8, PO[Spend category L2 - Output], CFF!$C218)</f>
        <v>0</v>
      </c>
      <c r="K221" s="66">
        <f>-SUMIFS(PO[Value inc. GST], PO[Payment date - output], "&gt;="&amp;CFF!K$7, PO[Payment date - output], "&lt;="&amp;CFF!K$8, PO[Spend category L2 - Output], CFF!$C218)</f>
        <v>0</v>
      </c>
      <c r="L221" s="66">
        <f>-SUMIFS(PO[Value inc. GST], PO[Payment date - output], "&gt;="&amp;CFF!L$7, PO[Payment date - output], "&lt;="&amp;CFF!L$8, PO[Spend category L2 - Output], CFF!$C218)</f>
        <v>0</v>
      </c>
      <c r="M221" s="66">
        <f>-SUMIFS(PO[Value inc. GST], PO[Payment date - output], "&gt;="&amp;CFF!M$7, PO[Payment date - output], "&lt;="&amp;CFF!M$8, PO[Spend category L2 - Output], CFF!$C218)</f>
        <v>0</v>
      </c>
      <c r="N221" s="66">
        <f>-SUMIFS(PO[Value inc. GST], PO[Payment date - output], "&gt;="&amp;CFF!N$7, PO[Payment date - output], "&lt;="&amp;CFF!N$8, PO[Spend category L2 - Output], CFF!$C218)</f>
        <v>0</v>
      </c>
      <c r="O221" s="66">
        <f>-SUMIFS(PO[Value inc. GST], PO[Payment date - output], "&gt;="&amp;CFF!O$7, PO[Payment date - output], "&lt;="&amp;CFF!O$8, PO[Spend category L2 - Output], CFF!$C218)</f>
        <v>0</v>
      </c>
      <c r="P221" s="66">
        <f>-SUMIFS(PO[Value inc. GST], PO[Payment date - output], "&gt;="&amp;CFF!P$7, PO[Payment date - output], "&lt;="&amp;CFF!P$8, PO[Spend category L2 - Output], CFF!$C218)</f>
        <v>0</v>
      </c>
      <c r="Q221" s="66">
        <f>-SUMIFS(PO[Value inc. GST], PO[Payment date - output], "&gt;="&amp;CFF!Q$7, PO[Payment date - output], "&lt;="&amp;CFF!Q$8, PO[Spend category L2 - Output], CFF!$C218)</f>
        <v>0</v>
      </c>
      <c r="R221" s="66">
        <f>-SUMIFS(PO[Value inc. GST], PO[Payment date - output], "&gt;="&amp;CFF!R$7, PO[Payment date - output], "&lt;="&amp;CFF!R$8, PO[Spend category L2 - Output], CFF!$C218)</f>
        <v>0</v>
      </c>
      <c r="S221" s="66">
        <f>-SUMIFS(PO[Value inc. GST], PO[Payment date - output], "&gt;="&amp;CFF!S$7, PO[Payment date - output], "&lt;="&amp;CFF!S$8, PO[Spend category L2 - Output], CFF!$C218)</f>
        <v>0</v>
      </c>
      <c r="T221" s="70">
        <f t="shared" si="248"/>
        <v>0</v>
      </c>
    </row>
    <row r="222" spans="3:20" hidden="1" outlineLevel="1" x14ac:dyDescent="0.25">
      <c r="C222" s="68" t="s">
        <v>128</v>
      </c>
      <c r="E222" s="58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70">
        <f t="shared" si="248"/>
        <v>0</v>
      </c>
    </row>
    <row r="223" spans="3:20" hidden="1" outlineLevel="1" x14ac:dyDescent="0.25">
      <c r="C223" s="68" t="s">
        <v>128</v>
      </c>
      <c r="E223" s="58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70">
        <f t="shared" si="248"/>
        <v>0</v>
      </c>
    </row>
    <row r="224" spans="3:20" hidden="1" outlineLevel="1" x14ac:dyDescent="0.25">
      <c r="C224" s="68" t="s">
        <v>128</v>
      </c>
      <c r="E224" s="58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70">
        <f t="shared" si="248"/>
        <v>0</v>
      </c>
    </row>
    <row r="225" spans="3:20" ht="5.0999999999999996" customHeight="1" x14ac:dyDescent="0.25">
      <c r="E225" s="58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</row>
    <row r="226" spans="3:20" collapsed="1" x14ac:dyDescent="0.25">
      <c r="C226" s="1">
        <f>Assumptions!$D$43</f>
        <v>0</v>
      </c>
      <c r="E226" s="66">
        <f>SUMIFS('Cash actuals'!$F$70:$BE$70, 'Cash actuals'!$F$7:$BE$7, CFF!$E$7)</f>
        <v>0</v>
      </c>
      <c r="G226" s="69">
        <f>IF( SUM(G228:G229) &lt; G227, SUM(G228:G229), IF( SUM(G228:G229) &gt; G227, G227, 0)) + SUM(G230:G232)</f>
        <v>0</v>
      </c>
      <c r="H226" s="69">
        <f t="shared" ref="H226" si="249">IF( SUM(H228:H229) &lt; H227, SUM(H228:H229), IF( SUM(H228:H229) &gt; H227, H227, 0))</f>
        <v>0</v>
      </c>
      <c r="I226" s="69">
        <f t="shared" ref="I226" si="250">IF( SUM(I228:I229) &lt; I227, SUM(I228:I229), IF( SUM(I228:I229) &gt; I227, I227, 0))</f>
        <v>0</v>
      </c>
      <c r="J226" s="69">
        <f t="shared" ref="J226" si="251">IF( SUM(J228:J229) &lt; J227, SUM(J228:J229), IF( SUM(J228:J229) &gt; J227, J227, 0))</f>
        <v>0</v>
      </c>
      <c r="K226" s="69">
        <f t="shared" ref="K226" si="252">IF( SUM(K228:K229) &lt; K227, SUM(K228:K229), IF( SUM(K228:K229) &gt; K227, K227, 0))</f>
        <v>0</v>
      </c>
      <c r="L226" s="69">
        <f t="shared" ref="L226" si="253">IF( SUM(L228:L229) &lt; L227, SUM(L228:L229), IF( SUM(L228:L229) &gt; L227, L227, 0))</f>
        <v>0</v>
      </c>
      <c r="M226" s="69">
        <f t="shared" ref="M226" si="254">IF( SUM(M228:M229) &lt; M227, SUM(M228:M229), IF( SUM(M228:M229) &gt; M227, M227, 0))</f>
        <v>0</v>
      </c>
      <c r="N226" s="69">
        <f t="shared" ref="N226" si="255">IF( SUM(N228:N229) &lt; N227, SUM(N228:N229), IF( SUM(N228:N229) &gt; N227, N227, 0))</f>
        <v>0</v>
      </c>
      <c r="O226" s="69">
        <f t="shared" ref="O226" si="256">IF( SUM(O228:O229) &lt; O227, SUM(O228:O229), IF( SUM(O228:O229) &gt; O227, O227, 0))</f>
        <v>0</v>
      </c>
      <c r="P226" s="69">
        <f t="shared" ref="P226" si="257">IF( SUM(P228:P229) &lt; P227, SUM(P228:P229), IF( SUM(P228:P229) &gt; P227, P227, 0))</f>
        <v>0</v>
      </c>
      <c r="Q226" s="69">
        <f t="shared" ref="Q226" si="258">IF( SUM(Q228:Q229) &lt; Q227, SUM(Q228:Q229), IF( SUM(Q228:Q229) &gt; Q227, Q227, 0))</f>
        <v>0</v>
      </c>
      <c r="R226" s="69">
        <f t="shared" ref="R226" si="259">IF( SUM(R228:R229) &lt; R227, SUM(R228:R229), IF( SUM(R228:R229) &gt; R227, R227, 0))</f>
        <v>0</v>
      </c>
      <c r="S226" s="69">
        <f t="shared" ref="S226" si="260">IF( SUM(S228:S229) &lt; S227, SUM(S228:S229), IF( SUM(S228:S229) &gt; S227, S227, 0))</f>
        <v>0</v>
      </c>
      <c r="T226" s="71">
        <f>SUM(G226:S226)</f>
        <v>0</v>
      </c>
    </row>
    <row r="227" spans="3:20" hidden="1" outlineLevel="1" x14ac:dyDescent="0.25">
      <c r="C227" s="67" t="s">
        <v>125</v>
      </c>
      <c r="E227" s="58"/>
      <c r="G227" s="66">
        <f>-IF(G31 = "Yes", Assumptions!$E43, 0)</f>
        <v>0</v>
      </c>
      <c r="H227" s="66">
        <f>-IF(H31 = "Yes", Assumptions!$E43, 0)</f>
        <v>0</v>
      </c>
      <c r="I227" s="66">
        <f>-IF(I31 = "Yes", Assumptions!$E43, 0)</f>
        <v>0</v>
      </c>
      <c r="J227" s="66">
        <f>-IF(J31 = "Yes", Assumptions!$E43, 0)</f>
        <v>0</v>
      </c>
      <c r="K227" s="66">
        <f>-IF(K31 = "Yes", Assumptions!$E43, 0)</f>
        <v>0</v>
      </c>
      <c r="L227" s="66">
        <f>-IF(L31 = "Yes", Assumptions!$E43, 0)</f>
        <v>0</v>
      </c>
      <c r="M227" s="66">
        <f>-IF(M31 = "Yes", Assumptions!$E43, 0)</f>
        <v>0</v>
      </c>
      <c r="N227" s="66">
        <f>-IF(N31 = "Yes", Assumptions!$E43, 0)</f>
        <v>0</v>
      </c>
      <c r="O227" s="66">
        <f>-IF(O31 = "Yes", Assumptions!$E43, 0)</f>
        <v>0</v>
      </c>
      <c r="P227" s="66">
        <f>-IF(P31 = "Yes", Assumptions!$E43, 0)</f>
        <v>0</v>
      </c>
      <c r="Q227" s="66">
        <f>-IF(Q31 = "Yes", Assumptions!$E43, 0)</f>
        <v>0</v>
      </c>
      <c r="R227" s="66">
        <f>-IF(R31 = "Yes", Assumptions!$E43, 0)</f>
        <v>0</v>
      </c>
      <c r="S227" s="66">
        <f>-IF(S31 = "Yes", Assumptions!$E43, 0)</f>
        <v>0</v>
      </c>
      <c r="T227" s="70">
        <f t="shared" ref="T227:T232" si="261">SUM(G227:S227)</f>
        <v>0</v>
      </c>
    </row>
    <row r="228" spans="3:20" hidden="1" outlineLevel="1" x14ac:dyDescent="0.25">
      <c r="C228" s="67" t="s">
        <v>126</v>
      </c>
      <c r="E228" s="58"/>
      <c r="G228" s="66">
        <f>-SUMIFS(AP[Invoice value inc. GST], AP[Payment date - output], "&gt;="&amp;CFF!G$7, AP[Payment date - output], "&lt;="&amp;CFF!G$8, AP[Spend category L2 - Output], CFF!$C226)</f>
        <v>0</v>
      </c>
      <c r="H228" s="66">
        <f>-SUMIFS(AP[Invoice value inc. GST], AP[Payment date - output], "&gt;="&amp;CFF!H$7, AP[Payment date - output], "&lt;="&amp;CFF!H$8, AP[Spend category L2 - Output], CFF!$C226)</f>
        <v>0</v>
      </c>
      <c r="I228" s="66">
        <f>-SUMIFS(AP[Invoice value inc. GST], AP[Payment date - output], "&gt;="&amp;CFF!I$7, AP[Payment date - output], "&lt;="&amp;CFF!I$8, AP[Spend category L2 - Output], CFF!$C226)</f>
        <v>0</v>
      </c>
      <c r="J228" s="66">
        <f>-SUMIFS(AP[Invoice value inc. GST], AP[Payment date - output], "&gt;="&amp;CFF!J$7, AP[Payment date - output], "&lt;="&amp;CFF!J$8, AP[Spend category L2 - Output], CFF!$C226)</f>
        <v>0</v>
      </c>
      <c r="K228" s="66">
        <f>-SUMIFS(AP[Invoice value inc. GST], AP[Payment date - output], "&gt;="&amp;CFF!K$7, AP[Payment date - output], "&lt;="&amp;CFF!K$8, AP[Spend category L2 - Output], CFF!$C226)</f>
        <v>0</v>
      </c>
      <c r="L228" s="66">
        <f>-SUMIFS(AP[Invoice value inc. GST], AP[Payment date - output], "&gt;="&amp;CFF!L$7, AP[Payment date - output], "&lt;="&amp;CFF!L$8, AP[Spend category L2 - Output], CFF!$C226)</f>
        <v>0</v>
      </c>
      <c r="M228" s="66">
        <f>-SUMIFS(AP[Invoice value inc. GST], AP[Payment date - output], "&gt;="&amp;CFF!M$7, AP[Payment date - output], "&lt;="&amp;CFF!M$8, AP[Spend category L2 - Output], CFF!$C226)</f>
        <v>0</v>
      </c>
      <c r="N228" s="66">
        <f>-SUMIFS(AP[Invoice value inc. GST], AP[Payment date - output], "&gt;="&amp;CFF!N$7, AP[Payment date - output], "&lt;="&amp;CFF!N$8, AP[Spend category L2 - Output], CFF!$C226)</f>
        <v>0</v>
      </c>
      <c r="O228" s="66">
        <f>-SUMIFS(AP[Invoice value inc. GST], AP[Payment date - output], "&gt;="&amp;CFF!O$7, AP[Payment date - output], "&lt;="&amp;CFF!O$8, AP[Spend category L2 - Output], CFF!$C226)</f>
        <v>0</v>
      </c>
      <c r="P228" s="66">
        <f>-SUMIFS(AP[Invoice value inc. GST], AP[Payment date - output], "&gt;="&amp;CFF!P$7, AP[Payment date - output], "&lt;="&amp;CFF!P$8, AP[Spend category L2 - Output], CFF!$C226)</f>
        <v>0</v>
      </c>
      <c r="Q228" s="66">
        <f>-SUMIFS(AP[Invoice value inc. GST], AP[Payment date - output], "&gt;="&amp;CFF!Q$7, AP[Payment date - output], "&lt;="&amp;CFF!Q$8, AP[Spend category L2 - Output], CFF!$C226)</f>
        <v>0</v>
      </c>
      <c r="R228" s="66">
        <f>-SUMIFS(AP[Invoice value inc. GST], AP[Payment date - output], "&gt;="&amp;CFF!R$7, AP[Payment date - output], "&lt;="&amp;CFF!R$8, AP[Spend category L2 - Output], CFF!$C226)</f>
        <v>0</v>
      </c>
      <c r="S228" s="66">
        <f>-SUMIFS(AP[Invoice value inc. GST], AP[Payment date - output], "&gt;="&amp;CFF!S$7, AP[Payment date - output], "&lt;="&amp;CFF!S$8, AP[Spend category L2 - Output], CFF!$C226)</f>
        <v>0</v>
      </c>
      <c r="T228" s="70">
        <f t="shared" si="261"/>
        <v>0</v>
      </c>
    </row>
    <row r="229" spans="3:20" hidden="1" outlineLevel="1" x14ac:dyDescent="0.25">
      <c r="C229" s="67" t="s">
        <v>127</v>
      </c>
      <c r="E229" s="58"/>
      <c r="G229" s="66">
        <f>-SUMIFS(PO[Value inc. GST], PO[Payment date - output], "&gt;="&amp;CFF!G$7, PO[Payment date - output], "&lt;="&amp;CFF!G$8, PO[Spend category L2 - Output], CFF!$C226)</f>
        <v>0</v>
      </c>
      <c r="H229" s="66">
        <f>-SUMIFS(PO[Value inc. GST], PO[Payment date - output], "&gt;="&amp;CFF!H$7, PO[Payment date - output], "&lt;="&amp;CFF!H$8, PO[Spend category L2 - Output], CFF!$C226)</f>
        <v>0</v>
      </c>
      <c r="I229" s="66">
        <f>-SUMIFS(PO[Value inc. GST], PO[Payment date - output], "&gt;="&amp;CFF!I$7, PO[Payment date - output], "&lt;="&amp;CFF!I$8, PO[Spend category L2 - Output], CFF!$C226)</f>
        <v>0</v>
      </c>
      <c r="J229" s="66">
        <f>-SUMIFS(PO[Value inc. GST], PO[Payment date - output], "&gt;="&amp;CFF!J$7, PO[Payment date - output], "&lt;="&amp;CFF!J$8, PO[Spend category L2 - Output], CFF!$C226)</f>
        <v>0</v>
      </c>
      <c r="K229" s="66">
        <f>-SUMIFS(PO[Value inc. GST], PO[Payment date - output], "&gt;="&amp;CFF!K$7, PO[Payment date - output], "&lt;="&amp;CFF!K$8, PO[Spend category L2 - Output], CFF!$C226)</f>
        <v>0</v>
      </c>
      <c r="L229" s="66">
        <f>-SUMIFS(PO[Value inc. GST], PO[Payment date - output], "&gt;="&amp;CFF!L$7, PO[Payment date - output], "&lt;="&amp;CFF!L$8, PO[Spend category L2 - Output], CFF!$C226)</f>
        <v>0</v>
      </c>
      <c r="M229" s="66">
        <f>-SUMIFS(PO[Value inc. GST], PO[Payment date - output], "&gt;="&amp;CFF!M$7, PO[Payment date - output], "&lt;="&amp;CFF!M$8, PO[Spend category L2 - Output], CFF!$C226)</f>
        <v>0</v>
      </c>
      <c r="N229" s="66">
        <f>-SUMIFS(PO[Value inc. GST], PO[Payment date - output], "&gt;="&amp;CFF!N$7, PO[Payment date - output], "&lt;="&amp;CFF!N$8, PO[Spend category L2 - Output], CFF!$C226)</f>
        <v>0</v>
      </c>
      <c r="O229" s="66">
        <f>-SUMIFS(PO[Value inc. GST], PO[Payment date - output], "&gt;="&amp;CFF!O$7, PO[Payment date - output], "&lt;="&amp;CFF!O$8, PO[Spend category L2 - Output], CFF!$C226)</f>
        <v>0</v>
      </c>
      <c r="P229" s="66">
        <f>-SUMIFS(PO[Value inc. GST], PO[Payment date - output], "&gt;="&amp;CFF!P$7, PO[Payment date - output], "&lt;="&amp;CFF!P$8, PO[Spend category L2 - Output], CFF!$C226)</f>
        <v>0</v>
      </c>
      <c r="Q229" s="66">
        <f>-SUMIFS(PO[Value inc. GST], PO[Payment date - output], "&gt;="&amp;CFF!Q$7, PO[Payment date - output], "&lt;="&amp;CFF!Q$8, PO[Spend category L2 - Output], CFF!$C226)</f>
        <v>0</v>
      </c>
      <c r="R229" s="66">
        <f>-SUMIFS(PO[Value inc. GST], PO[Payment date - output], "&gt;="&amp;CFF!R$7, PO[Payment date - output], "&lt;="&amp;CFF!R$8, PO[Spend category L2 - Output], CFF!$C226)</f>
        <v>0</v>
      </c>
      <c r="S229" s="66">
        <f>-SUMIFS(PO[Value inc. GST], PO[Payment date - output], "&gt;="&amp;CFF!S$7, PO[Payment date - output], "&lt;="&amp;CFF!S$8, PO[Spend category L2 - Output], CFF!$C226)</f>
        <v>0</v>
      </c>
      <c r="T229" s="70">
        <f t="shared" si="261"/>
        <v>0</v>
      </c>
    </row>
    <row r="230" spans="3:20" hidden="1" outlineLevel="1" x14ac:dyDescent="0.25">
      <c r="C230" s="68" t="s">
        <v>128</v>
      </c>
      <c r="E230" s="58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70">
        <f t="shared" si="261"/>
        <v>0</v>
      </c>
    </row>
    <row r="231" spans="3:20" hidden="1" outlineLevel="1" x14ac:dyDescent="0.25">
      <c r="C231" s="68" t="s">
        <v>128</v>
      </c>
      <c r="E231" s="58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70">
        <f t="shared" si="261"/>
        <v>0</v>
      </c>
    </row>
    <row r="232" spans="3:20" hidden="1" outlineLevel="1" x14ac:dyDescent="0.25">
      <c r="C232" s="68" t="s">
        <v>128</v>
      </c>
      <c r="E232" s="58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70">
        <f t="shared" si="261"/>
        <v>0</v>
      </c>
    </row>
    <row r="233" spans="3:20" ht="5.0999999999999996" customHeight="1" x14ac:dyDescent="0.25">
      <c r="E233" s="58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</row>
    <row r="234" spans="3:20" collapsed="1" x14ac:dyDescent="0.25">
      <c r="C234" s="1" t="s">
        <v>238</v>
      </c>
      <c r="E234" s="66">
        <f>SUMIFS('Cash actuals'!$F$72:$BE$72, 'Cash actuals'!$F$7:$BE$7, CFF!$E$7)</f>
        <v>0</v>
      </c>
      <c r="G234" s="69">
        <f>SUM(G235:G237)</f>
        <v>0</v>
      </c>
      <c r="H234" s="69">
        <f t="shared" ref="H234:S234" si="262">SUM(H235:H237)</f>
        <v>0</v>
      </c>
      <c r="I234" s="69">
        <f t="shared" si="262"/>
        <v>0</v>
      </c>
      <c r="J234" s="69">
        <f t="shared" si="262"/>
        <v>0</v>
      </c>
      <c r="K234" s="69">
        <f t="shared" si="262"/>
        <v>0</v>
      </c>
      <c r="L234" s="69">
        <f t="shared" si="262"/>
        <v>0</v>
      </c>
      <c r="M234" s="69">
        <f t="shared" si="262"/>
        <v>0</v>
      </c>
      <c r="N234" s="69">
        <f t="shared" si="262"/>
        <v>0</v>
      </c>
      <c r="O234" s="69">
        <f t="shared" si="262"/>
        <v>0</v>
      </c>
      <c r="P234" s="69">
        <f t="shared" si="262"/>
        <v>0</v>
      </c>
      <c r="Q234" s="69">
        <f t="shared" si="262"/>
        <v>0</v>
      </c>
      <c r="R234" s="69">
        <f t="shared" si="262"/>
        <v>0</v>
      </c>
      <c r="S234" s="69">
        <f t="shared" si="262"/>
        <v>0</v>
      </c>
      <c r="T234" s="71">
        <f>SUM(G234:S234)</f>
        <v>0</v>
      </c>
    </row>
    <row r="235" spans="3:20" hidden="1" outlineLevel="1" x14ac:dyDescent="0.25">
      <c r="C235" s="68" t="s">
        <v>128</v>
      </c>
      <c r="E235" s="58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70">
        <f t="shared" ref="T235:T237" si="263">SUM(G235:S235)</f>
        <v>0</v>
      </c>
    </row>
    <row r="236" spans="3:20" hidden="1" outlineLevel="1" x14ac:dyDescent="0.25">
      <c r="C236" s="68" t="s">
        <v>128</v>
      </c>
      <c r="E236" s="58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70">
        <f t="shared" si="263"/>
        <v>0</v>
      </c>
    </row>
    <row r="237" spans="3:20" hidden="1" outlineLevel="1" x14ac:dyDescent="0.25">
      <c r="C237" s="68" t="s">
        <v>128</v>
      </c>
      <c r="E237" s="58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70">
        <f t="shared" si="263"/>
        <v>0</v>
      </c>
    </row>
    <row r="238" spans="3:20" ht="5.0999999999999996" customHeight="1" x14ac:dyDescent="0.25">
      <c r="E238" s="58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</row>
    <row r="239" spans="3:20" x14ac:dyDescent="0.25">
      <c r="C239" s="14" t="s">
        <v>129</v>
      </c>
      <c r="E239" s="101">
        <f>E129 + E138 + E146 + E154 + E162 + E170 + E178 + E186 + E194 + E202 + E210 + E218 + E226 + E234</f>
        <v>0</v>
      </c>
      <c r="G239" s="73">
        <f>G129 + G138 + G146 + G154 + G162 + G170 + G178 + G186 + G194 + G202 + G210 + G218 + G226 + G234</f>
        <v>0</v>
      </c>
      <c r="H239" s="73">
        <f t="shared" ref="H239:T239" si="264">H129 + H138 + H146 + H154 + H162 + H170 + H178 + H186 + H194 + H202 + H210 + H218 + H226 + H234</f>
        <v>0</v>
      </c>
      <c r="I239" s="73">
        <f t="shared" si="264"/>
        <v>0</v>
      </c>
      <c r="J239" s="73">
        <f t="shared" si="264"/>
        <v>0</v>
      </c>
      <c r="K239" s="73">
        <f t="shared" si="264"/>
        <v>0</v>
      </c>
      <c r="L239" s="73">
        <f t="shared" si="264"/>
        <v>0</v>
      </c>
      <c r="M239" s="73">
        <f t="shared" si="264"/>
        <v>0</v>
      </c>
      <c r="N239" s="73">
        <f t="shared" si="264"/>
        <v>0</v>
      </c>
      <c r="O239" s="73">
        <f t="shared" si="264"/>
        <v>0</v>
      </c>
      <c r="P239" s="73">
        <f t="shared" si="264"/>
        <v>0</v>
      </c>
      <c r="Q239" s="73">
        <f t="shared" si="264"/>
        <v>0</v>
      </c>
      <c r="R239" s="73">
        <f t="shared" si="264"/>
        <v>0</v>
      </c>
      <c r="S239" s="73">
        <f t="shared" si="264"/>
        <v>0</v>
      </c>
      <c r="T239" s="73">
        <f t="shared" si="264"/>
        <v>0</v>
      </c>
    </row>
    <row r="240" spans="3:20" x14ac:dyDescent="0.25"/>
    <row r="241" spans="3:20" x14ac:dyDescent="0.25">
      <c r="C241" s="12" t="s">
        <v>21</v>
      </c>
      <c r="D241" s="13"/>
      <c r="E241" s="13"/>
      <c r="F241" s="13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3:20" ht="5.0999999999999996" customHeight="1" x14ac:dyDescent="0.25"/>
    <row r="243" spans="3:20" collapsed="1" x14ac:dyDescent="0.25">
      <c r="C243" s="1">
        <f>Assumptions!$D$44</f>
        <v>0</v>
      </c>
      <c r="E243" s="66">
        <f>SUMIFS('Cash actuals'!$F$78:$BE$78, 'Cash actuals'!$F$7:$BE$7, CFF!$E$7)</f>
        <v>0</v>
      </c>
      <c r="G243" s="69">
        <f>IF( SUM(G245:G246) &lt; G244, SUM(G245:G246), IF( SUM(G245:G246) &gt; G244, G244, 0)) + SUM(G247:G249)</f>
        <v>0</v>
      </c>
      <c r="H243" s="69">
        <f t="shared" ref="H243" si="265">IF( SUM(H245:H246) &lt; H244, SUM(H245:H246), IF( SUM(H245:H246) &gt; H244, H244, 0))</f>
        <v>0</v>
      </c>
      <c r="I243" s="69">
        <f t="shared" ref="I243" si="266">IF( SUM(I245:I246) &lt; I244, SUM(I245:I246), IF( SUM(I245:I246) &gt; I244, I244, 0))</f>
        <v>0</v>
      </c>
      <c r="J243" s="69">
        <f t="shared" ref="J243" si="267">IF( SUM(J245:J246) &lt; J244, SUM(J245:J246), IF( SUM(J245:J246) &gt; J244, J244, 0))</f>
        <v>0</v>
      </c>
      <c r="K243" s="69">
        <f t="shared" ref="K243" si="268">IF( SUM(K245:K246) &lt; K244, SUM(K245:K246), IF( SUM(K245:K246) &gt; K244, K244, 0))</f>
        <v>0</v>
      </c>
      <c r="L243" s="69">
        <f t="shared" ref="L243" si="269">IF( SUM(L245:L246) &lt; L244, SUM(L245:L246), IF( SUM(L245:L246) &gt; L244, L244, 0))</f>
        <v>0</v>
      </c>
      <c r="M243" s="69">
        <f t="shared" ref="M243" si="270">IF( SUM(M245:M246) &lt; M244, SUM(M245:M246), IF( SUM(M245:M246) &gt; M244, M244, 0))</f>
        <v>0</v>
      </c>
      <c r="N243" s="69">
        <f t="shared" ref="N243" si="271">IF( SUM(N245:N246) &lt; N244, SUM(N245:N246), IF( SUM(N245:N246) &gt; N244, N244, 0))</f>
        <v>0</v>
      </c>
      <c r="O243" s="69">
        <f t="shared" ref="O243" si="272">IF( SUM(O245:O246) &lt; O244, SUM(O245:O246), IF( SUM(O245:O246) &gt; O244, O244, 0))</f>
        <v>0</v>
      </c>
      <c r="P243" s="69">
        <f t="shared" ref="P243" si="273">IF( SUM(P245:P246) &lt; P244, SUM(P245:P246), IF( SUM(P245:P246) &gt; P244, P244, 0))</f>
        <v>0</v>
      </c>
      <c r="Q243" s="69">
        <f t="shared" ref="Q243" si="274">IF( SUM(Q245:Q246) &lt; Q244, SUM(Q245:Q246), IF( SUM(Q245:Q246) &gt; Q244, Q244, 0))</f>
        <v>0</v>
      </c>
      <c r="R243" s="69">
        <f t="shared" ref="R243" si="275">IF( SUM(R245:R246) &lt; R244, SUM(R245:R246), IF( SUM(R245:R246) &gt; R244, R244, 0))</f>
        <v>0</v>
      </c>
      <c r="S243" s="69">
        <f t="shared" ref="S243" si="276">IF( SUM(S245:S246) &lt; S244, SUM(S245:S246), IF( SUM(S245:S246) &gt; S244, S244, 0))</f>
        <v>0</v>
      </c>
      <c r="T243" s="71">
        <f>SUM(G243:S243)</f>
        <v>0</v>
      </c>
    </row>
    <row r="244" spans="3:20" hidden="1" outlineLevel="1" x14ac:dyDescent="0.25">
      <c r="C244" s="67" t="s">
        <v>125</v>
      </c>
      <c r="E244" s="58"/>
      <c r="G244" s="66">
        <f>-IF(G32 = "Yes", Assumptions!$E44, 0)</f>
        <v>0</v>
      </c>
      <c r="H244" s="66">
        <f>-IF(H32 = "Yes", Assumptions!$E44, 0)</f>
        <v>0</v>
      </c>
      <c r="I244" s="66">
        <f>-IF(I32 = "Yes", Assumptions!$E44, 0)</f>
        <v>0</v>
      </c>
      <c r="J244" s="66">
        <f>-IF(J32 = "Yes", Assumptions!$E44, 0)</f>
        <v>0</v>
      </c>
      <c r="K244" s="66">
        <f>-IF(K32 = "Yes", Assumptions!$E44, 0)</f>
        <v>0</v>
      </c>
      <c r="L244" s="66">
        <f>-IF(L32 = "Yes", Assumptions!$E44, 0)</f>
        <v>0</v>
      </c>
      <c r="M244" s="66">
        <f>-IF(M32 = "Yes", Assumptions!$E44, 0)</f>
        <v>0</v>
      </c>
      <c r="N244" s="66">
        <f>-IF(N32 = "Yes", Assumptions!$E44, 0)</f>
        <v>0</v>
      </c>
      <c r="O244" s="66">
        <f>-IF(O32 = "Yes", Assumptions!$E44, 0)</f>
        <v>0</v>
      </c>
      <c r="P244" s="66">
        <f>-IF(P32 = "Yes", Assumptions!$E44, 0)</f>
        <v>0</v>
      </c>
      <c r="Q244" s="66">
        <f>-IF(Q32 = "Yes", Assumptions!$E44, 0)</f>
        <v>0</v>
      </c>
      <c r="R244" s="66">
        <f>-IF(R32 = "Yes", Assumptions!$E44, 0)</f>
        <v>0</v>
      </c>
      <c r="S244" s="66">
        <f>-IF(S32 = "Yes", Assumptions!$E44, 0)</f>
        <v>0</v>
      </c>
      <c r="T244" s="70">
        <f t="shared" ref="T244:T249" si="277">SUM(G244:S244)</f>
        <v>0</v>
      </c>
    </row>
    <row r="245" spans="3:20" hidden="1" outlineLevel="1" x14ac:dyDescent="0.25">
      <c r="C245" s="67" t="s">
        <v>126</v>
      </c>
      <c r="E245" s="58"/>
      <c r="G245" s="66">
        <f>-SUMIFS(AP[Invoice value inc. GST], AP[Payment date - output], "&gt;="&amp;CFF!G$7, AP[Payment date - output], "&lt;="&amp;CFF!G$8, AP[Spend category L2 - Output], CFF!$C243)</f>
        <v>0</v>
      </c>
      <c r="H245" s="66">
        <f>-SUMIFS(AP[Invoice value inc. GST], AP[Payment date - output], "&gt;="&amp;CFF!H$7, AP[Payment date - output], "&lt;="&amp;CFF!H$8, AP[Spend category L2 - Output], CFF!$C243)</f>
        <v>0</v>
      </c>
      <c r="I245" s="66">
        <f>-SUMIFS(AP[Invoice value inc. GST], AP[Payment date - output], "&gt;="&amp;CFF!I$7, AP[Payment date - output], "&lt;="&amp;CFF!I$8, AP[Spend category L2 - Output], CFF!$C243)</f>
        <v>0</v>
      </c>
      <c r="J245" s="66">
        <f>-SUMIFS(AP[Invoice value inc. GST], AP[Payment date - output], "&gt;="&amp;CFF!J$7, AP[Payment date - output], "&lt;="&amp;CFF!J$8, AP[Spend category L2 - Output], CFF!$C243)</f>
        <v>0</v>
      </c>
      <c r="K245" s="66">
        <f>-SUMIFS(AP[Invoice value inc. GST], AP[Payment date - output], "&gt;="&amp;CFF!K$7, AP[Payment date - output], "&lt;="&amp;CFF!K$8, AP[Spend category L2 - Output], CFF!$C243)</f>
        <v>0</v>
      </c>
      <c r="L245" s="66">
        <f>-SUMIFS(AP[Invoice value inc. GST], AP[Payment date - output], "&gt;="&amp;CFF!L$7, AP[Payment date - output], "&lt;="&amp;CFF!L$8, AP[Spend category L2 - Output], CFF!$C243)</f>
        <v>0</v>
      </c>
      <c r="M245" s="66">
        <f>-SUMIFS(AP[Invoice value inc. GST], AP[Payment date - output], "&gt;="&amp;CFF!M$7, AP[Payment date - output], "&lt;="&amp;CFF!M$8, AP[Spend category L2 - Output], CFF!$C243)</f>
        <v>0</v>
      </c>
      <c r="N245" s="66">
        <f>-SUMIFS(AP[Invoice value inc. GST], AP[Payment date - output], "&gt;="&amp;CFF!N$7, AP[Payment date - output], "&lt;="&amp;CFF!N$8, AP[Spend category L2 - Output], CFF!$C243)</f>
        <v>0</v>
      </c>
      <c r="O245" s="66">
        <f>-SUMIFS(AP[Invoice value inc. GST], AP[Payment date - output], "&gt;="&amp;CFF!O$7, AP[Payment date - output], "&lt;="&amp;CFF!O$8, AP[Spend category L2 - Output], CFF!$C243)</f>
        <v>0</v>
      </c>
      <c r="P245" s="66">
        <f>-SUMIFS(AP[Invoice value inc. GST], AP[Payment date - output], "&gt;="&amp;CFF!P$7, AP[Payment date - output], "&lt;="&amp;CFF!P$8, AP[Spend category L2 - Output], CFF!$C243)</f>
        <v>0</v>
      </c>
      <c r="Q245" s="66">
        <f>-SUMIFS(AP[Invoice value inc. GST], AP[Payment date - output], "&gt;="&amp;CFF!Q$7, AP[Payment date - output], "&lt;="&amp;CFF!Q$8, AP[Spend category L2 - Output], CFF!$C243)</f>
        <v>0</v>
      </c>
      <c r="R245" s="66">
        <f>-SUMIFS(AP[Invoice value inc. GST], AP[Payment date - output], "&gt;="&amp;CFF!R$7, AP[Payment date - output], "&lt;="&amp;CFF!R$8, AP[Spend category L2 - Output], CFF!$C243)</f>
        <v>0</v>
      </c>
      <c r="S245" s="66">
        <f>-SUMIFS(AP[Invoice value inc. GST], AP[Payment date - output], "&gt;="&amp;CFF!S$7, AP[Payment date - output], "&lt;="&amp;CFF!S$8, AP[Spend category L2 - Output], CFF!$C243)</f>
        <v>0</v>
      </c>
      <c r="T245" s="70">
        <f t="shared" si="277"/>
        <v>0</v>
      </c>
    </row>
    <row r="246" spans="3:20" hidden="1" outlineLevel="1" x14ac:dyDescent="0.25">
      <c r="C246" s="67" t="s">
        <v>127</v>
      </c>
      <c r="E246" s="58"/>
      <c r="G246" s="66">
        <f>-SUMIFS(PO[Value inc. GST], PO[Payment date - output], "&gt;="&amp;CFF!G$7, PO[Payment date - output], "&lt;="&amp;CFF!G$8, PO[Spend category L2 - Output], CFF!$C243)</f>
        <v>0</v>
      </c>
      <c r="H246" s="66">
        <f>-SUMIFS(PO[Value inc. GST], PO[Payment date - output], "&gt;="&amp;CFF!H$7, PO[Payment date - output], "&lt;="&amp;CFF!H$8, PO[Spend category L2 - Output], CFF!$C243)</f>
        <v>0</v>
      </c>
      <c r="I246" s="66">
        <f>-SUMIFS(PO[Value inc. GST], PO[Payment date - output], "&gt;="&amp;CFF!I$7, PO[Payment date - output], "&lt;="&amp;CFF!I$8, PO[Spend category L2 - Output], CFF!$C243)</f>
        <v>0</v>
      </c>
      <c r="J246" s="66">
        <f>-SUMIFS(PO[Value inc. GST], PO[Payment date - output], "&gt;="&amp;CFF!J$7, PO[Payment date - output], "&lt;="&amp;CFF!J$8, PO[Spend category L2 - Output], CFF!$C243)</f>
        <v>0</v>
      </c>
      <c r="K246" s="66">
        <f>-SUMIFS(PO[Value inc. GST], PO[Payment date - output], "&gt;="&amp;CFF!K$7, PO[Payment date - output], "&lt;="&amp;CFF!K$8, PO[Spend category L2 - Output], CFF!$C243)</f>
        <v>0</v>
      </c>
      <c r="L246" s="66">
        <f>-SUMIFS(PO[Value inc. GST], PO[Payment date - output], "&gt;="&amp;CFF!L$7, PO[Payment date - output], "&lt;="&amp;CFF!L$8, PO[Spend category L2 - Output], CFF!$C243)</f>
        <v>0</v>
      </c>
      <c r="M246" s="66">
        <f>-SUMIFS(PO[Value inc. GST], PO[Payment date - output], "&gt;="&amp;CFF!M$7, PO[Payment date - output], "&lt;="&amp;CFF!M$8, PO[Spend category L2 - Output], CFF!$C243)</f>
        <v>0</v>
      </c>
      <c r="N246" s="66">
        <f>-SUMIFS(PO[Value inc. GST], PO[Payment date - output], "&gt;="&amp;CFF!N$7, PO[Payment date - output], "&lt;="&amp;CFF!N$8, PO[Spend category L2 - Output], CFF!$C243)</f>
        <v>0</v>
      </c>
      <c r="O246" s="66">
        <f>-SUMIFS(PO[Value inc. GST], PO[Payment date - output], "&gt;="&amp;CFF!O$7, PO[Payment date - output], "&lt;="&amp;CFF!O$8, PO[Spend category L2 - Output], CFF!$C243)</f>
        <v>0</v>
      </c>
      <c r="P246" s="66">
        <f>-SUMIFS(PO[Value inc. GST], PO[Payment date - output], "&gt;="&amp;CFF!P$7, PO[Payment date - output], "&lt;="&amp;CFF!P$8, PO[Spend category L2 - Output], CFF!$C243)</f>
        <v>0</v>
      </c>
      <c r="Q246" s="66">
        <f>-SUMIFS(PO[Value inc. GST], PO[Payment date - output], "&gt;="&amp;CFF!Q$7, PO[Payment date - output], "&lt;="&amp;CFF!Q$8, PO[Spend category L2 - Output], CFF!$C243)</f>
        <v>0</v>
      </c>
      <c r="R246" s="66">
        <f>-SUMIFS(PO[Value inc. GST], PO[Payment date - output], "&gt;="&amp;CFF!R$7, PO[Payment date - output], "&lt;="&amp;CFF!R$8, PO[Spend category L2 - Output], CFF!$C243)</f>
        <v>0</v>
      </c>
      <c r="S246" s="66">
        <f>-SUMIFS(PO[Value inc. GST], PO[Payment date - output], "&gt;="&amp;CFF!S$7, PO[Payment date - output], "&lt;="&amp;CFF!S$8, PO[Spend category L2 - Output], CFF!$C243)</f>
        <v>0</v>
      </c>
      <c r="T246" s="70">
        <f t="shared" si="277"/>
        <v>0</v>
      </c>
    </row>
    <row r="247" spans="3:20" hidden="1" outlineLevel="1" x14ac:dyDescent="0.25">
      <c r="C247" s="68" t="s">
        <v>128</v>
      </c>
      <c r="E247" s="58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70">
        <f t="shared" si="277"/>
        <v>0</v>
      </c>
    </row>
    <row r="248" spans="3:20" hidden="1" outlineLevel="1" x14ac:dyDescent="0.25">
      <c r="C248" s="68" t="s">
        <v>128</v>
      </c>
      <c r="E248" s="58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70">
        <f t="shared" si="277"/>
        <v>0</v>
      </c>
    </row>
    <row r="249" spans="3:20" hidden="1" outlineLevel="1" x14ac:dyDescent="0.25">
      <c r="C249" s="68" t="s">
        <v>128</v>
      </c>
      <c r="E249" s="58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70">
        <f t="shared" si="277"/>
        <v>0</v>
      </c>
    </row>
    <row r="250" spans="3:20" ht="5.0999999999999996" customHeight="1" x14ac:dyDescent="0.25">
      <c r="E250" s="58"/>
    </row>
    <row r="251" spans="3:20" collapsed="1" x14ac:dyDescent="0.25">
      <c r="C251" s="1">
        <f>Assumptions!$D$45</f>
        <v>0</v>
      </c>
      <c r="E251" s="66">
        <f>SUMIFS('Cash actuals'!$F$80:$BE$80, 'Cash actuals'!$F$7:$BE$7, CFF!$E$7)</f>
        <v>0</v>
      </c>
      <c r="G251" s="69">
        <f>IF( SUM(G253:G254) &lt; G252, SUM(G253:G254), IF( SUM(G253:G254) &gt; G252, G252, 0)) + SUM(G255:G257)</f>
        <v>0</v>
      </c>
      <c r="H251" s="69">
        <f t="shared" ref="H251" si="278">IF( SUM(H253:H254) &lt; H252, SUM(H253:H254), IF( SUM(H253:H254) &gt; H252, H252, 0))</f>
        <v>0</v>
      </c>
      <c r="I251" s="69">
        <f t="shared" ref="I251" si="279">IF( SUM(I253:I254) &lt; I252, SUM(I253:I254), IF( SUM(I253:I254) &gt; I252, I252, 0))</f>
        <v>0</v>
      </c>
      <c r="J251" s="69">
        <f t="shared" ref="J251" si="280">IF( SUM(J253:J254) &lt; J252, SUM(J253:J254), IF( SUM(J253:J254) &gt; J252, J252, 0))</f>
        <v>0</v>
      </c>
      <c r="K251" s="69">
        <f t="shared" ref="K251" si="281">IF( SUM(K253:K254) &lt; K252, SUM(K253:K254), IF( SUM(K253:K254) &gt; K252, K252, 0))</f>
        <v>0</v>
      </c>
      <c r="L251" s="69">
        <f t="shared" ref="L251" si="282">IF( SUM(L253:L254) &lt; L252, SUM(L253:L254), IF( SUM(L253:L254) &gt; L252, L252, 0))</f>
        <v>0</v>
      </c>
      <c r="M251" s="69">
        <f t="shared" ref="M251" si="283">IF( SUM(M253:M254) &lt; M252, SUM(M253:M254), IF( SUM(M253:M254) &gt; M252, M252, 0))</f>
        <v>0</v>
      </c>
      <c r="N251" s="69">
        <f t="shared" ref="N251" si="284">IF( SUM(N253:N254) &lt; N252, SUM(N253:N254), IF( SUM(N253:N254) &gt; N252, N252, 0))</f>
        <v>0</v>
      </c>
      <c r="O251" s="69">
        <f t="shared" ref="O251" si="285">IF( SUM(O253:O254) &lt; O252, SUM(O253:O254), IF( SUM(O253:O254) &gt; O252, O252, 0))</f>
        <v>0</v>
      </c>
      <c r="P251" s="69">
        <f t="shared" ref="P251" si="286">IF( SUM(P253:P254) &lt; P252, SUM(P253:P254), IF( SUM(P253:P254) &gt; P252, P252, 0))</f>
        <v>0</v>
      </c>
      <c r="Q251" s="69">
        <f t="shared" ref="Q251" si="287">IF( SUM(Q253:Q254) &lt; Q252, SUM(Q253:Q254), IF( SUM(Q253:Q254) &gt; Q252, Q252, 0))</f>
        <v>0</v>
      </c>
      <c r="R251" s="69">
        <f t="shared" ref="R251" si="288">IF( SUM(R253:R254) &lt; R252, SUM(R253:R254), IF( SUM(R253:R254) &gt; R252, R252, 0))</f>
        <v>0</v>
      </c>
      <c r="S251" s="69">
        <f t="shared" ref="S251" si="289">IF( SUM(S253:S254) &lt; S252, SUM(S253:S254), IF( SUM(S253:S254) &gt; S252, S252, 0))</f>
        <v>0</v>
      </c>
      <c r="T251" s="71">
        <f>SUM(G251:S251)</f>
        <v>0</v>
      </c>
    </row>
    <row r="252" spans="3:20" hidden="1" outlineLevel="1" x14ac:dyDescent="0.25">
      <c r="C252" s="67" t="s">
        <v>125</v>
      </c>
      <c r="E252" s="58"/>
      <c r="G252" s="66">
        <f>-IF(G33 = "Yes", Assumptions!$E45, 0)</f>
        <v>0</v>
      </c>
      <c r="H252" s="66">
        <f>-IF(H33 = "Yes", Assumptions!$E45, 0)</f>
        <v>0</v>
      </c>
      <c r="I252" s="66">
        <f>-IF(I33 = "Yes", Assumptions!$E45, 0)</f>
        <v>0</v>
      </c>
      <c r="J252" s="66">
        <f>-IF(J33 = "Yes", Assumptions!$E45, 0)</f>
        <v>0</v>
      </c>
      <c r="K252" s="66">
        <f>-IF(K33 = "Yes", Assumptions!$E45, 0)</f>
        <v>0</v>
      </c>
      <c r="L252" s="66">
        <f>-IF(L33 = "Yes", Assumptions!$E45, 0)</f>
        <v>0</v>
      </c>
      <c r="M252" s="66">
        <f>-IF(M33 = "Yes", Assumptions!$E45, 0)</f>
        <v>0</v>
      </c>
      <c r="N252" s="66">
        <f>-IF(N33 = "Yes", Assumptions!$E45, 0)</f>
        <v>0</v>
      </c>
      <c r="O252" s="66">
        <f>-IF(O33 = "Yes", Assumptions!$E45, 0)</f>
        <v>0</v>
      </c>
      <c r="P252" s="66">
        <f>-IF(P33 = "Yes", Assumptions!$E45, 0)</f>
        <v>0</v>
      </c>
      <c r="Q252" s="66">
        <f>-IF(Q33 = "Yes", Assumptions!$E45, 0)</f>
        <v>0</v>
      </c>
      <c r="R252" s="66">
        <f>-IF(R33 = "Yes", Assumptions!$E45, 0)</f>
        <v>0</v>
      </c>
      <c r="S252" s="66">
        <f>-IF(S33 = "Yes", Assumptions!$E45, 0)</f>
        <v>0</v>
      </c>
      <c r="T252" s="70">
        <f t="shared" ref="T252:T257" si="290">SUM(G252:S252)</f>
        <v>0</v>
      </c>
    </row>
    <row r="253" spans="3:20" hidden="1" outlineLevel="1" x14ac:dyDescent="0.25">
      <c r="C253" s="67" t="s">
        <v>126</v>
      </c>
      <c r="E253" s="58"/>
      <c r="G253" s="66">
        <f>-SUMIFS(AP[Invoice value inc. GST], AP[Payment date - output], "&gt;="&amp;CFF!G$7, AP[Payment date - output], "&lt;="&amp;CFF!G$8, AP[Spend category L2 - Output], CFF!$C251)</f>
        <v>0</v>
      </c>
      <c r="H253" s="66">
        <f>-SUMIFS(AP[Invoice value inc. GST], AP[Payment date - output], "&gt;="&amp;CFF!H$7, AP[Payment date - output], "&lt;="&amp;CFF!H$8, AP[Spend category L2 - Output], CFF!$C251)</f>
        <v>0</v>
      </c>
      <c r="I253" s="66">
        <f>-SUMIFS(AP[Invoice value inc. GST], AP[Payment date - output], "&gt;="&amp;CFF!I$7, AP[Payment date - output], "&lt;="&amp;CFF!I$8, AP[Spend category L2 - Output], CFF!$C251)</f>
        <v>0</v>
      </c>
      <c r="J253" s="66">
        <f>-SUMIFS(AP[Invoice value inc. GST], AP[Payment date - output], "&gt;="&amp;CFF!J$7, AP[Payment date - output], "&lt;="&amp;CFF!J$8, AP[Spend category L2 - Output], CFF!$C251)</f>
        <v>0</v>
      </c>
      <c r="K253" s="66">
        <f>-SUMIFS(AP[Invoice value inc. GST], AP[Payment date - output], "&gt;="&amp;CFF!K$7, AP[Payment date - output], "&lt;="&amp;CFF!K$8, AP[Spend category L2 - Output], CFF!$C251)</f>
        <v>0</v>
      </c>
      <c r="L253" s="66">
        <f>-SUMIFS(AP[Invoice value inc. GST], AP[Payment date - output], "&gt;="&amp;CFF!L$7, AP[Payment date - output], "&lt;="&amp;CFF!L$8, AP[Spend category L2 - Output], CFF!$C251)</f>
        <v>0</v>
      </c>
      <c r="M253" s="66">
        <f>-SUMIFS(AP[Invoice value inc. GST], AP[Payment date - output], "&gt;="&amp;CFF!M$7, AP[Payment date - output], "&lt;="&amp;CFF!M$8, AP[Spend category L2 - Output], CFF!$C251)</f>
        <v>0</v>
      </c>
      <c r="N253" s="66">
        <f>-SUMIFS(AP[Invoice value inc. GST], AP[Payment date - output], "&gt;="&amp;CFF!N$7, AP[Payment date - output], "&lt;="&amp;CFF!N$8, AP[Spend category L2 - Output], CFF!$C251)</f>
        <v>0</v>
      </c>
      <c r="O253" s="66">
        <f>-SUMIFS(AP[Invoice value inc. GST], AP[Payment date - output], "&gt;="&amp;CFF!O$7, AP[Payment date - output], "&lt;="&amp;CFF!O$8, AP[Spend category L2 - Output], CFF!$C251)</f>
        <v>0</v>
      </c>
      <c r="P253" s="66">
        <f>-SUMIFS(AP[Invoice value inc. GST], AP[Payment date - output], "&gt;="&amp;CFF!P$7, AP[Payment date - output], "&lt;="&amp;CFF!P$8, AP[Spend category L2 - Output], CFF!$C251)</f>
        <v>0</v>
      </c>
      <c r="Q253" s="66">
        <f>-SUMIFS(AP[Invoice value inc. GST], AP[Payment date - output], "&gt;="&amp;CFF!Q$7, AP[Payment date - output], "&lt;="&amp;CFF!Q$8, AP[Spend category L2 - Output], CFF!$C251)</f>
        <v>0</v>
      </c>
      <c r="R253" s="66">
        <f>-SUMIFS(AP[Invoice value inc. GST], AP[Payment date - output], "&gt;="&amp;CFF!R$7, AP[Payment date - output], "&lt;="&amp;CFF!R$8, AP[Spend category L2 - Output], CFF!$C251)</f>
        <v>0</v>
      </c>
      <c r="S253" s="66">
        <f>-SUMIFS(AP[Invoice value inc. GST], AP[Payment date - output], "&gt;="&amp;CFF!S$7, AP[Payment date - output], "&lt;="&amp;CFF!S$8, AP[Spend category L2 - Output], CFF!$C251)</f>
        <v>0</v>
      </c>
      <c r="T253" s="70">
        <f t="shared" si="290"/>
        <v>0</v>
      </c>
    </row>
    <row r="254" spans="3:20" hidden="1" outlineLevel="1" x14ac:dyDescent="0.25">
      <c r="C254" s="67" t="s">
        <v>127</v>
      </c>
      <c r="E254" s="58"/>
      <c r="G254" s="66">
        <f>-SUMIFS(PO[Value inc. GST], PO[Payment date - output], "&gt;="&amp;CFF!G$7, PO[Payment date - output], "&lt;="&amp;CFF!G$8, PO[Spend category L2 - Output], CFF!$C251)</f>
        <v>0</v>
      </c>
      <c r="H254" s="66">
        <f>-SUMIFS(PO[Value inc. GST], PO[Payment date - output], "&gt;="&amp;CFF!H$7, PO[Payment date - output], "&lt;="&amp;CFF!H$8, PO[Spend category L2 - Output], CFF!$C251)</f>
        <v>0</v>
      </c>
      <c r="I254" s="66">
        <f>-SUMIFS(PO[Value inc. GST], PO[Payment date - output], "&gt;="&amp;CFF!I$7, PO[Payment date - output], "&lt;="&amp;CFF!I$8, PO[Spend category L2 - Output], CFF!$C251)</f>
        <v>0</v>
      </c>
      <c r="J254" s="66">
        <f>-SUMIFS(PO[Value inc. GST], PO[Payment date - output], "&gt;="&amp;CFF!J$7, PO[Payment date - output], "&lt;="&amp;CFF!J$8, PO[Spend category L2 - Output], CFF!$C251)</f>
        <v>0</v>
      </c>
      <c r="K254" s="66">
        <f>-SUMIFS(PO[Value inc. GST], PO[Payment date - output], "&gt;="&amp;CFF!K$7, PO[Payment date - output], "&lt;="&amp;CFF!K$8, PO[Spend category L2 - Output], CFF!$C251)</f>
        <v>0</v>
      </c>
      <c r="L254" s="66">
        <f>-SUMIFS(PO[Value inc. GST], PO[Payment date - output], "&gt;="&amp;CFF!L$7, PO[Payment date - output], "&lt;="&amp;CFF!L$8, PO[Spend category L2 - Output], CFF!$C251)</f>
        <v>0</v>
      </c>
      <c r="M254" s="66">
        <f>-SUMIFS(PO[Value inc. GST], PO[Payment date - output], "&gt;="&amp;CFF!M$7, PO[Payment date - output], "&lt;="&amp;CFF!M$8, PO[Spend category L2 - Output], CFF!$C251)</f>
        <v>0</v>
      </c>
      <c r="N254" s="66">
        <f>-SUMIFS(PO[Value inc. GST], PO[Payment date - output], "&gt;="&amp;CFF!N$7, PO[Payment date - output], "&lt;="&amp;CFF!N$8, PO[Spend category L2 - Output], CFF!$C251)</f>
        <v>0</v>
      </c>
      <c r="O254" s="66">
        <f>-SUMIFS(PO[Value inc. GST], PO[Payment date - output], "&gt;="&amp;CFF!O$7, PO[Payment date - output], "&lt;="&amp;CFF!O$8, PO[Spend category L2 - Output], CFF!$C251)</f>
        <v>0</v>
      </c>
      <c r="P254" s="66">
        <f>-SUMIFS(PO[Value inc. GST], PO[Payment date - output], "&gt;="&amp;CFF!P$7, PO[Payment date - output], "&lt;="&amp;CFF!P$8, PO[Spend category L2 - Output], CFF!$C251)</f>
        <v>0</v>
      </c>
      <c r="Q254" s="66">
        <f>-SUMIFS(PO[Value inc. GST], PO[Payment date - output], "&gt;="&amp;CFF!Q$7, PO[Payment date - output], "&lt;="&amp;CFF!Q$8, PO[Spend category L2 - Output], CFF!$C251)</f>
        <v>0</v>
      </c>
      <c r="R254" s="66">
        <f>-SUMIFS(PO[Value inc. GST], PO[Payment date - output], "&gt;="&amp;CFF!R$7, PO[Payment date - output], "&lt;="&amp;CFF!R$8, PO[Spend category L2 - Output], CFF!$C251)</f>
        <v>0</v>
      </c>
      <c r="S254" s="66">
        <f>-SUMIFS(PO[Value inc. GST], PO[Payment date - output], "&gt;="&amp;CFF!S$7, PO[Payment date - output], "&lt;="&amp;CFF!S$8, PO[Spend category L2 - Output], CFF!$C251)</f>
        <v>0</v>
      </c>
      <c r="T254" s="70">
        <f t="shared" si="290"/>
        <v>0</v>
      </c>
    </row>
    <row r="255" spans="3:20" hidden="1" outlineLevel="1" x14ac:dyDescent="0.25">
      <c r="C255" s="68" t="s">
        <v>128</v>
      </c>
      <c r="E255" s="58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70">
        <f t="shared" si="290"/>
        <v>0</v>
      </c>
    </row>
    <row r="256" spans="3:20" hidden="1" outlineLevel="1" x14ac:dyDescent="0.25">
      <c r="C256" s="68" t="s">
        <v>128</v>
      </c>
      <c r="E256" s="58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70">
        <f t="shared" si="290"/>
        <v>0</v>
      </c>
    </row>
    <row r="257" spans="3:20" hidden="1" outlineLevel="1" x14ac:dyDescent="0.25">
      <c r="C257" s="68" t="s">
        <v>128</v>
      </c>
      <c r="E257" s="58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70">
        <f t="shared" si="290"/>
        <v>0</v>
      </c>
    </row>
    <row r="258" spans="3:20" ht="5.0999999999999996" customHeight="1" x14ac:dyDescent="0.25">
      <c r="E258" s="58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</row>
    <row r="259" spans="3:20" collapsed="1" x14ac:dyDescent="0.25">
      <c r="C259" s="1">
        <f>Assumptions!$D$46</f>
        <v>0</v>
      </c>
      <c r="E259" s="66">
        <f>SUMIFS('Cash actuals'!$F$82:$BE$82, 'Cash actuals'!$F$7:$BE$7, CFF!$E$7)</f>
        <v>0</v>
      </c>
      <c r="G259" s="69">
        <f>IF( SUM(G261:G262) &lt; G260, SUM(G261:G262), IF( SUM(G261:G262) &gt; G260, G260, 0)) + SUM(G263:G265)</f>
        <v>0</v>
      </c>
      <c r="H259" s="69">
        <f t="shared" ref="H259" si="291">IF( SUM(H261:H262) &lt; H260, SUM(H261:H262), IF( SUM(H261:H262) &gt; H260, H260, 0))</f>
        <v>0</v>
      </c>
      <c r="I259" s="69">
        <f t="shared" ref="I259" si="292">IF( SUM(I261:I262) &lt; I260, SUM(I261:I262), IF( SUM(I261:I262) &gt; I260, I260, 0))</f>
        <v>0</v>
      </c>
      <c r="J259" s="69">
        <f t="shared" ref="J259" si="293">IF( SUM(J261:J262) &lt; J260, SUM(J261:J262), IF( SUM(J261:J262) &gt; J260, J260, 0))</f>
        <v>0</v>
      </c>
      <c r="K259" s="69">
        <f t="shared" ref="K259" si="294">IF( SUM(K261:K262) &lt; K260, SUM(K261:K262), IF( SUM(K261:K262) &gt; K260, K260, 0))</f>
        <v>0</v>
      </c>
      <c r="L259" s="69">
        <f t="shared" ref="L259" si="295">IF( SUM(L261:L262) &lt; L260, SUM(L261:L262), IF( SUM(L261:L262) &gt; L260, L260, 0))</f>
        <v>0</v>
      </c>
      <c r="M259" s="69">
        <f t="shared" ref="M259" si="296">IF( SUM(M261:M262) &lt; M260, SUM(M261:M262), IF( SUM(M261:M262) &gt; M260, M260, 0))</f>
        <v>0</v>
      </c>
      <c r="N259" s="69">
        <f t="shared" ref="N259" si="297">IF( SUM(N261:N262) &lt; N260, SUM(N261:N262), IF( SUM(N261:N262) &gt; N260, N260, 0))</f>
        <v>0</v>
      </c>
      <c r="O259" s="69">
        <f t="shared" ref="O259" si="298">IF( SUM(O261:O262) &lt; O260, SUM(O261:O262), IF( SUM(O261:O262) &gt; O260, O260, 0))</f>
        <v>0</v>
      </c>
      <c r="P259" s="69">
        <f t="shared" ref="P259" si="299">IF( SUM(P261:P262) &lt; P260, SUM(P261:P262), IF( SUM(P261:P262) &gt; P260, P260, 0))</f>
        <v>0</v>
      </c>
      <c r="Q259" s="69">
        <f t="shared" ref="Q259" si="300">IF( SUM(Q261:Q262) &lt; Q260, SUM(Q261:Q262), IF( SUM(Q261:Q262) &gt; Q260, Q260, 0))</f>
        <v>0</v>
      </c>
      <c r="R259" s="69">
        <f t="shared" ref="R259" si="301">IF( SUM(R261:R262) &lt; R260, SUM(R261:R262), IF( SUM(R261:R262) &gt; R260, R260, 0))</f>
        <v>0</v>
      </c>
      <c r="S259" s="69">
        <f t="shared" ref="S259" si="302">IF( SUM(S261:S262) &lt; S260, SUM(S261:S262), IF( SUM(S261:S262) &gt; S260, S260, 0))</f>
        <v>0</v>
      </c>
      <c r="T259" s="71">
        <f>SUM(G259:S259)</f>
        <v>0</v>
      </c>
    </row>
    <row r="260" spans="3:20" hidden="1" outlineLevel="1" x14ac:dyDescent="0.25">
      <c r="C260" s="67" t="s">
        <v>125</v>
      </c>
      <c r="E260" s="58"/>
      <c r="G260" s="66">
        <f>-IF(G34 = "Yes", Assumptions!$E46, 0)</f>
        <v>0</v>
      </c>
      <c r="H260" s="66">
        <f>-IF(H34 = "Yes", Assumptions!$E46, 0)</f>
        <v>0</v>
      </c>
      <c r="I260" s="66">
        <f>-IF(I34 = "Yes", Assumptions!$E46, 0)</f>
        <v>0</v>
      </c>
      <c r="J260" s="66">
        <f>-IF(J34 = "Yes", Assumptions!$E46, 0)</f>
        <v>0</v>
      </c>
      <c r="K260" s="66">
        <f>-IF(K34 = "Yes", Assumptions!$E46, 0)</f>
        <v>0</v>
      </c>
      <c r="L260" s="66">
        <f>-IF(L34 = "Yes", Assumptions!$E46, 0)</f>
        <v>0</v>
      </c>
      <c r="M260" s="66">
        <f>-IF(M34 = "Yes", Assumptions!$E46, 0)</f>
        <v>0</v>
      </c>
      <c r="N260" s="66">
        <f>-IF(N34 = "Yes", Assumptions!$E46, 0)</f>
        <v>0</v>
      </c>
      <c r="O260" s="66">
        <f>-IF(O34 = "Yes", Assumptions!$E46, 0)</f>
        <v>0</v>
      </c>
      <c r="P260" s="66">
        <f>-IF(P34 = "Yes", Assumptions!$E46, 0)</f>
        <v>0</v>
      </c>
      <c r="Q260" s="66">
        <f>-IF(Q34 = "Yes", Assumptions!$E46, 0)</f>
        <v>0</v>
      </c>
      <c r="R260" s="66">
        <f>-IF(R34 = "Yes", Assumptions!$E46, 0)</f>
        <v>0</v>
      </c>
      <c r="S260" s="66">
        <f>-IF(S34 = "Yes", Assumptions!$E46, 0)</f>
        <v>0</v>
      </c>
      <c r="T260" s="70">
        <f t="shared" ref="T260:T265" si="303">SUM(G260:S260)</f>
        <v>0</v>
      </c>
    </row>
    <row r="261" spans="3:20" hidden="1" outlineLevel="1" x14ac:dyDescent="0.25">
      <c r="C261" s="67" t="s">
        <v>126</v>
      </c>
      <c r="E261" s="58"/>
      <c r="G261" s="66">
        <f>-SUMIFS(AP[Invoice value inc. GST], AP[Payment date - output], "&gt;="&amp;CFF!G$7, AP[Payment date - output], "&lt;="&amp;CFF!G$8, AP[Spend category L2 - Output], CFF!$C259)</f>
        <v>0</v>
      </c>
      <c r="H261" s="66">
        <f>-SUMIFS(AP[Invoice value inc. GST], AP[Payment date - output], "&gt;="&amp;CFF!H$7, AP[Payment date - output], "&lt;="&amp;CFF!H$8, AP[Spend category L2 - Output], CFF!$C259)</f>
        <v>0</v>
      </c>
      <c r="I261" s="66">
        <f>-SUMIFS(AP[Invoice value inc. GST], AP[Payment date - output], "&gt;="&amp;CFF!I$7, AP[Payment date - output], "&lt;="&amp;CFF!I$8, AP[Spend category L2 - Output], CFF!$C259)</f>
        <v>0</v>
      </c>
      <c r="J261" s="66">
        <f>-SUMIFS(AP[Invoice value inc. GST], AP[Payment date - output], "&gt;="&amp;CFF!J$7, AP[Payment date - output], "&lt;="&amp;CFF!J$8, AP[Spend category L2 - Output], CFF!$C259)</f>
        <v>0</v>
      </c>
      <c r="K261" s="66">
        <f>-SUMIFS(AP[Invoice value inc. GST], AP[Payment date - output], "&gt;="&amp;CFF!K$7, AP[Payment date - output], "&lt;="&amp;CFF!K$8, AP[Spend category L2 - Output], CFF!$C259)</f>
        <v>0</v>
      </c>
      <c r="L261" s="66">
        <f>-SUMIFS(AP[Invoice value inc. GST], AP[Payment date - output], "&gt;="&amp;CFF!L$7, AP[Payment date - output], "&lt;="&amp;CFF!L$8, AP[Spend category L2 - Output], CFF!$C259)</f>
        <v>0</v>
      </c>
      <c r="M261" s="66">
        <f>-SUMIFS(AP[Invoice value inc. GST], AP[Payment date - output], "&gt;="&amp;CFF!M$7, AP[Payment date - output], "&lt;="&amp;CFF!M$8, AP[Spend category L2 - Output], CFF!$C259)</f>
        <v>0</v>
      </c>
      <c r="N261" s="66">
        <f>-SUMIFS(AP[Invoice value inc. GST], AP[Payment date - output], "&gt;="&amp;CFF!N$7, AP[Payment date - output], "&lt;="&amp;CFF!N$8, AP[Spend category L2 - Output], CFF!$C259)</f>
        <v>0</v>
      </c>
      <c r="O261" s="66">
        <f>-SUMIFS(AP[Invoice value inc. GST], AP[Payment date - output], "&gt;="&amp;CFF!O$7, AP[Payment date - output], "&lt;="&amp;CFF!O$8, AP[Spend category L2 - Output], CFF!$C259)</f>
        <v>0</v>
      </c>
      <c r="P261" s="66">
        <f>-SUMIFS(AP[Invoice value inc. GST], AP[Payment date - output], "&gt;="&amp;CFF!P$7, AP[Payment date - output], "&lt;="&amp;CFF!P$8, AP[Spend category L2 - Output], CFF!$C259)</f>
        <v>0</v>
      </c>
      <c r="Q261" s="66">
        <f>-SUMIFS(AP[Invoice value inc. GST], AP[Payment date - output], "&gt;="&amp;CFF!Q$7, AP[Payment date - output], "&lt;="&amp;CFF!Q$8, AP[Spend category L2 - Output], CFF!$C259)</f>
        <v>0</v>
      </c>
      <c r="R261" s="66">
        <f>-SUMIFS(AP[Invoice value inc. GST], AP[Payment date - output], "&gt;="&amp;CFF!R$7, AP[Payment date - output], "&lt;="&amp;CFF!R$8, AP[Spend category L2 - Output], CFF!$C259)</f>
        <v>0</v>
      </c>
      <c r="S261" s="66">
        <f>-SUMIFS(AP[Invoice value inc. GST], AP[Payment date - output], "&gt;="&amp;CFF!S$7, AP[Payment date - output], "&lt;="&amp;CFF!S$8, AP[Spend category L2 - Output], CFF!$C259)</f>
        <v>0</v>
      </c>
      <c r="T261" s="70">
        <f t="shared" si="303"/>
        <v>0</v>
      </c>
    </row>
    <row r="262" spans="3:20" hidden="1" outlineLevel="1" x14ac:dyDescent="0.25">
      <c r="C262" s="67" t="s">
        <v>127</v>
      </c>
      <c r="E262" s="58"/>
      <c r="G262" s="66">
        <f>-SUMIFS(PO[Value inc. GST], PO[Payment date - output], "&gt;="&amp;CFF!G$7, PO[Payment date - output], "&lt;="&amp;CFF!G$8, PO[Spend category L2 - Output], CFF!$C259)</f>
        <v>0</v>
      </c>
      <c r="H262" s="66">
        <f>-SUMIFS(PO[Value inc. GST], PO[Payment date - output], "&gt;="&amp;CFF!H$7, PO[Payment date - output], "&lt;="&amp;CFF!H$8, PO[Spend category L2 - Output], CFF!$C259)</f>
        <v>0</v>
      </c>
      <c r="I262" s="66">
        <f>-SUMIFS(PO[Value inc. GST], PO[Payment date - output], "&gt;="&amp;CFF!I$7, PO[Payment date - output], "&lt;="&amp;CFF!I$8, PO[Spend category L2 - Output], CFF!$C259)</f>
        <v>0</v>
      </c>
      <c r="J262" s="66">
        <f>-SUMIFS(PO[Value inc. GST], PO[Payment date - output], "&gt;="&amp;CFF!J$7, PO[Payment date - output], "&lt;="&amp;CFF!J$8, PO[Spend category L2 - Output], CFF!$C259)</f>
        <v>0</v>
      </c>
      <c r="K262" s="66">
        <f>-SUMIFS(PO[Value inc. GST], PO[Payment date - output], "&gt;="&amp;CFF!K$7, PO[Payment date - output], "&lt;="&amp;CFF!K$8, PO[Spend category L2 - Output], CFF!$C259)</f>
        <v>0</v>
      </c>
      <c r="L262" s="66">
        <f>-SUMIFS(PO[Value inc. GST], PO[Payment date - output], "&gt;="&amp;CFF!L$7, PO[Payment date - output], "&lt;="&amp;CFF!L$8, PO[Spend category L2 - Output], CFF!$C259)</f>
        <v>0</v>
      </c>
      <c r="M262" s="66">
        <f>-SUMIFS(PO[Value inc. GST], PO[Payment date - output], "&gt;="&amp;CFF!M$7, PO[Payment date - output], "&lt;="&amp;CFF!M$8, PO[Spend category L2 - Output], CFF!$C259)</f>
        <v>0</v>
      </c>
      <c r="N262" s="66">
        <f>-SUMIFS(PO[Value inc. GST], PO[Payment date - output], "&gt;="&amp;CFF!N$7, PO[Payment date - output], "&lt;="&amp;CFF!N$8, PO[Spend category L2 - Output], CFF!$C259)</f>
        <v>0</v>
      </c>
      <c r="O262" s="66">
        <f>-SUMIFS(PO[Value inc. GST], PO[Payment date - output], "&gt;="&amp;CFF!O$7, PO[Payment date - output], "&lt;="&amp;CFF!O$8, PO[Spend category L2 - Output], CFF!$C259)</f>
        <v>0</v>
      </c>
      <c r="P262" s="66">
        <f>-SUMIFS(PO[Value inc. GST], PO[Payment date - output], "&gt;="&amp;CFF!P$7, PO[Payment date - output], "&lt;="&amp;CFF!P$8, PO[Spend category L2 - Output], CFF!$C259)</f>
        <v>0</v>
      </c>
      <c r="Q262" s="66">
        <f>-SUMIFS(PO[Value inc. GST], PO[Payment date - output], "&gt;="&amp;CFF!Q$7, PO[Payment date - output], "&lt;="&amp;CFF!Q$8, PO[Spend category L2 - Output], CFF!$C259)</f>
        <v>0</v>
      </c>
      <c r="R262" s="66">
        <f>-SUMIFS(PO[Value inc. GST], PO[Payment date - output], "&gt;="&amp;CFF!R$7, PO[Payment date - output], "&lt;="&amp;CFF!R$8, PO[Spend category L2 - Output], CFF!$C259)</f>
        <v>0</v>
      </c>
      <c r="S262" s="66">
        <f>-SUMIFS(PO[Value inc. GST], PO[Payment date - output], "&gt;="&amp;CFF!S$7, PO[Payment date - output], "&lt;="&amp;CFF!S$8, PO[Spend category L2 - Output], CFF!$C259)</f>
        <v>0</v>
      </c>
      <c r="T262" s="70">
        <f t="shared" si="303"/>
        <v>0</v>
      </c>
    </row>
    <row r="263" spans="3:20" hidden="1" outlineLevel="1" x14ac:dyDescent="0.25">
      <c r="C263" s="68" t="s">
        <v>128</v>
      </c>
      <c r="E263" s="58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70">
        <f t="shared" si="303"/>
        <v>0</v>
      </c>
    </row>
    <row r="264" spans="3:20" hidden="1" outlineLevel="1" x14ac:dyDescent="0.25">
      <c r="C264" s="68" t="s">
        <v>128</v>
      </c>
      <c r="E264" s="58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70">
        <f t="shared" si="303"/>
        <v>0</v>
      </c>
    </row>
    <row r="265" spans="3:20" hidden="1" outlineLevel="1" x14ac:dyDescent="0.25">
      <c r="C265" s="68" t="s">
        <v>128</v>
      </c>
      <c r="E265" s="58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70">
        <f t="shared" si="303"/>
        <v>0</v>
      </c>
    </row>
    <row r="266" spans="3:20" ht="5.0999999999999996" customHeight="1" x14ac:dyDescent="0.25">
      <c r="E266" s="58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</row>
    <row r="267" spans="3:20" x14ac:dyDescent="0.25">
      <c r="C267" s="14" t="s">
        <v>130</v>
      </c>
      <c r="E267" s="101">
        <f>E243 + E251 + E259</f>
        <v>0</v>
      </c>
      <c r="G267" s="73">
        <f>G243 + G251 + G259</f>
        <v>0</v>
      </c>
      <c r="H267" s="73">
        <f t="shared" ref="H267:T267" si="304">H243 + H251 + H259</f>
        <v>0</v>
      </c>
      <c r="I267" s="73">
        <f t="shared" si="304"/>
        <v>0</v>
      </c>
      <c r="J267" s="73">
        <f t="shared" si="304"/>
        <v>0</v>
      </c>
      <c r="K267" s="73">
        <f t="shared" si="304"/>
        <v>0</v>
      </c>
      <c r="L267" s="73">
        <f t="shared" si="304"/>
        <v>0</v>
      </c>
      <c r="M267" s="73">
        <f t="shared" si="304"/>
        <v>0</v>
      </c>
      <c r="N267" s="73">
        <f t="shared" si="304"/>
        <v>0</v>
      </c>
      <c r="O267" s="73">
        <f t="shared" si="304"/>
        <v>0</v>
      </c>
      <c r="P267" s="73">
        <f t="shared" si="304"/>
        <v>0</v>
      </c>
      <c r="Q267" s="73">
        <f t="shared" si="304"/>
        <v>0</v>
      </c>
      <c r="R267" s="73">
        <f t="shared" si="304"/>
        <v>0</v>
      </c>
      <c r="S267" s="73">
        <f t="shared" si="304"/>
        <v>0</v>
      </c>
      <c r="T267" s="73">
        <f t="shared" si="304"/>
        <v>0</v>
      </c>
    </row>
    <row r="268" spans="3:20" x14ac:dyDescent="0.25"/>
    <row r="269" spans="3:20" x14ac:dyDescent="0.25">
      <c r="C269" s="12" t="s">
        <v>140</v>
      </c>
      <c r="D269" s="13"/>
      <c r="E269" s="13"/>
      <c r="F269" s="13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3:20" ht="5.0999999999999996" customHeight="1" x14ac:dyDescent="0.25"/>
    <row r="271" spans="3:20" collapsed="1" x14ac:dyDescent="0.25">
      <c r="C271" s="1">
        <f>Assumptions!$D$47</f>
        <v>0</v>
      </c>
      <c r="E271" s="66">
        <f>SUMIFS('Cash actuals'!$F$88:$BE$88, 'Cash actuals'!$F$7:$BE$7, CFF!$E$7)</f>
        <v>0</v>
      </c>
      <c r="G271" s="69">
        <f>IF( SUM(G273:G274) &lt; G272, SUM(G273:G274), IF( SUM(G273:G274) &gt; G272, G272, 0)) + SUM(G275:G277)</f>
        <v>0</v>
      </c>
      <c r="H271" s="69">
        <f t="shared" ref="H271" si="305">IF( SUM(H273:H274) &lt; H272, SUM(H273:H274), IF( SUM(H273:H274) &gt; H272, H272, 0))</f>
        <v>0</v>
      </c>
      <c r="I271" s="69">
        <f t="shared" ref="I271" si="306">IF( SUM(I273:I274) &lt; I272, SUM(I273:I274), IF( SUM(I273:I274) &gt; I272, I272, 0))</f>
        <v>0</v>
      </c>
      <c r="J271" s="69">
        <f t="shared" ref="J271" si="307">IF( SUM(J273:J274) &lt; J272, SUM(J273:J274), IF( SUM(J273:J274) &gt; J272, J272, 0))</f>
        <v>0</v>
      </c>
      <c r="K271" s="69">
        <f t="shared" ref="K271" si="308">IF( SUM(K273:K274) &lt; K272, SUM(K273:K274), IF( SUM(K273:K274) &gt; K272, K272, 0))</f>
        <v>0</v>
      </c>
      <c r="L271" s="69">
        <f t="shared" ref="L271" si="309">IF( SUM(L273:L274) &lt; L272, SUM(L273:L274), IF( SUM(L273:L274) &gt; L272, L272, 0))</f>
        <v>0</v>
      </c>
      <c r="M271" s="69">
        <f t="shared" ref="M271" si="310">IF( SUM(M273:M274) &lt; M272, SUM(M273:M274), IF( SUM(M273:M274) &gt; M272, M272, 0))</f>
        <v>0</v>
      </c>
      <c r="N271" s="69">
        <f t="shared" ref="N271" si="311">IF( SUM(N273:N274) &lt; N272, SUM(N273:N274), IF( SUM(N273:N274) &gt; N272, N272, 0))</f>
        <v>0</v>
      </c>
      <c r="O271" s="69">
        <f t="shared" ref="O271" si="312">IF( SUM(O273:O274) &lt; O272, SUM(O273:O274), IF( SUM(O273:O274) &gt; O272, O272, 0))</f>
        <v>0</v>
      </c>
      <c r="P271" s="69">
        <f t="shared" ref="P271" si="313">IF( SUM(P273:P274) &lt; P272, SUM(P273:P274), IF( SUM(P273:P274) &gt; P272, P272, 0))</f>
        <v>0</v>
      </c>
      <c r="Q271" s="69">
        <f t="shared" ref="Q271" si="314">IF( SUM(Q273:Q274) &lt; Q272, SUM(Q273:Q274), IF( SUM(Q273:Q274) &gt; Q272, Q272, 0))</f>
        <v>0</v>
      </c>
      <c r="R271" s="69">
        <f t="shared" ref="R271" si="315">IF( SUM(R273:R274) &lt; R272, SUM(R273:R274), IF( SUM(R273:R274) &gt; R272, R272, 0))</f>
        <v>0</v>
      </c>
      <c r="S271" s="69">
        <f t="shared" ref="S271" si="316">IF( SUM(S273:S274) &lt; S272, SUM(S273:S274), IF( SUM(S273:S274) &gt; S272, S272, 0))</f>
        <v>0</v>
      </c>
      <c r="T271" s="71">
        <f>SUM(G271:S271)</f>
        <v>0</v>
      </c>
    </row>
    <row r="272" spans="3:20" hidden="1" outlineLevel="1" x14ac:dyDescent="0.25">
      <c r="C272" s="67" t="s">
        <v>125</v>
      </c>
      <c r="E272" s="58"/>
      <c r="G272" s="66">
        <f>-IF(G35 = "Yes", Assumptions!$E47, 0)</f>
        <v>0</v>
      </c>
      <c r="H272" s="66">
        <f>-IF(H35 = "Yes", Assumptions!$E47, 0)</f>
        <v>0</v>
      </c>
      <c r="I272" s="66">
        <f>-IF(I35 = "Yes", Assumptions!$E47, 0)</f>
        <v>0</v>
      </c>
      <c r="J272" s="66">
        <f>-IF(J35 = "Yes", Assumptions!$E47, 0)</f>
        <v>0</v>
      </c>
      <c r="K272" s="66">
        <f>-IF(K35 = "Yes", Assumptions!$E47, 0)</f>
        <v>0</v>
      </c>
      <c r="L272" s="66">
        <f>-IF(L35 = "Yes", Assumptions!$E47, 0)</f>
        <v>0</v>
      </c>
      <c r="M272" s="66">
        <f>-IF(M35 = "Yes", Assumptions!$E47, 0)</f>
        <v>0</v>
      </c>
      <c r="N272" s="66">
        <f>-IF(N35 = "Yes", Assumptions!$E47, 0)</f>
        <v>0</v>
      </c>
      <c r="O272" s="66">
        <f>-IF(O35 = "Yes", Assumptions!$E47, 0)</f>
        <v>0</v>
      </c>
      <c r="P272" s="66">
        <f>-IF(P35 = "Yes", Assumptions!$E47, 0)</f>
        <v>0</v>
      </c>
      <c r="Q272" s="66">
        <f>-IF(Q35 = "Yes", Assumptions!$E47, 0)</f>
        <v>0</v>
      </c>
      <c r="R272" s="66">
        <f>-IF(R35 = "Yes", Assumptions!$E47, 0)</f>
        <v>0</v>
      </c>
      <c r="S272" s="66">
        <f>-IF(S35 = "Yes", Assumptions!$E47, 0)</f>
        <v>0</v>
      </c>
      <c r="T272" s="70">
        <f t="shared" ref="T272:T277" si="317">SUM(G272:S272)</f>
        <v>0</v>
      </c>
    </row>
    <row r="273" spans="3:20" hidden="1" outlineLevel="1" x14ac:dyDescent="0.25">
      <c r="C273" s="67" t="s">
        <v>126</v>
      </c>
      <c r="E273" s="58"/>
      <c r="G273" s="66">
        <f>-SUMIFS(AP[Invoice value inc. GST], AP[Payment date - output], "&gt;="&amp;CFF!G$7, AP[Payment date - output], "&lt;="&amp;CFF!G$8, AP[Spend category L2 - Output], CFF!$C271)</f>
        <v>0</v>
      </c>
      <c r="H273" s="66">
        <f>-SUMIFS(AP[Invoice value inc. GST], AP[Payment date - output], "&gt;="&amp;CFF!H$7, AP[Payment date - output], "&lt;="&amp;CFF!H$8, AP[Spend category L2 - Output], CFF!$C271)</f>
        <v>0</v>
      </c>
      <c r="I273" s="66">
        <f>-SUMIFS(AP[Invoice value inc. GST], AP[Payment date - output], "&gt;="&amp;CFF!I$7, AP[Payment date - output], "&lt;="&amp;CFF!I$8, AP[Spend category L2 - Output], CFF!$C271)</f>
        <v>0</v>
      </c>
      <c r="J273" s="66">
        <f>-SUMIFS(AP[Invoice value inc. GST], AP[Payment date - output], "&gt;="&amp;CFF!J$7, AP[Payment date - output], "&lt;="&amp;CFF!J$8, AP[Spend category L2 - Output], CFF!$C271)</f>
        <v>0</v>
      </c>
      <c r="K273" s="66">
        <f>-SUMIFS(AP[Invoice value inc. GST], AP[Payment date - output], "&gt;="&amp;CFF!K$7, AP[Payment date - output], "&lt;="&amp;CFF!K$8, AP[Spend category L2 - Output], CFF!$C271)</f>
        <v>0</v>
      </c>
      <c r="L273" s="66">
        <f>-SUMIFS(AP[Invoice value inc. GST], AP[Payment date - output], "&gt;="&amp;CFF!L$7, AP[Payment date - output], "&lt;="&amp;CFF!L$8, AP[Spend category L2 - Output], CFF!$C271)</f>
        <v>0</v>
      </c>
      <c r="M273" s="66">
        <f>-SUMIFS(AP[Invoice value inc. GST], AP[Payment date - output], "&gt;="&amp;CFF!M$7, AP[Payment date - output], "&lt;="&amp;CFF!M$8, AP[Spend category L2 - Output], CFF!$C271)</f>
        <v>0</v>
      </c>
      <c r="N273" s="66">
        <f>-SUMIFS(AP[Invoice value inc. GST], AP[Payment date - output], "&gt;="&amp;CFF!N$7, AP[Payment date - output], "&lt;="&amp;CFF!N$8, AP[Spend category L2 - Output], CFF!$C271)</f>
        <v>0</v>
      </c>
      <c r="O273" s="66">
        <f>-SUMIFS(AP[Invoice value inc. GST], AP[Payment date - output], "&gt;="&amp;CFF!O$7, AP[Payment date - output], "&lt;="&amp;CFF!O$8, AP[Spend category L2 - Output], CFF!$C271)</f>
        <v>0</v>
      </c>
      <c r="P273" s="66">
        <f>-SUMIFS(AP[Invoice value inc. GST], AP[Payment date - output], "&gt;="&amp;CFF!P$7, AP[Payment date - output], "&lt;="&amp;CFF!P$8, AP[Spend category L2 - Output], CFF!$C271)</f>
        <v>0</v>
      </c>
      <c r="Q273" s="66">
        <f>-SUMIFS(AP[Invoice value inc. GST], AP[Payment date - output], "&gt;="&amp;CFF!Q$7, AP[Payment date - output], "&lt;="&amp;CFF!Q$8, AP[Spend category L2 - Output], CFF!$C271)</f>
        <v>0</v>
      </c>
      <c r="R273" s="66">
        <f>-SUMIFS(AP[Invoice value inc. GST], AP[Payment date - output], "&gt;="&amp;CFF!R$7, AP[Payment date - output], "&lt;="&amp;CFF!R$8, AP[Spend category L2 - Output], CFF!$C271)</f>
        <v>0</v>
      </c>
      <c r="S273" s="66">
        <f>-SUMIFS(AP[Invoice value inc. GST], AP[Payment date - output], "&gt;="&amp;CFF!S$7, AP[Payment date - output], "&lt;="&amp;CFF!S$8, AP[Spend category L2 - Output], CFF!$C271)</f>
        <v>0</v>
      </c>
      <c r="T273" s="70">
        <f t="shared" si="317"/>
        <v>0</v>
      </c>
    </row>
    <row r="274" spans="3:20" hidden="1" outlineLevel="1" x14ac:dyDescent="0.25">
      <c r="C274" s="67" t="s">
        <v>127</v>
      </c>
      <c r="E274" s="58"/>
      <c r="G274" s="66">
        <f>-SUMIFS(PO[Value inc. GST], PO[Payment date - output], "&gt;="&amp;CFF!G$7, PO[Payment date - output], "&lt;="&amp;CFF!G$8, PO[Spend category L2 - Output], CFF!$C271)</f>
        <v>0</v>
      </c>
      <c r="H274" s="66">
        <f>-SUMIFS(PO[Value inc. GST], PO[Payment date - output], "&gt;="&amp;CFF!H$7, PO[Payment date - output], "&lt;="&amp;CFF!H$8, PO[Spend category L2 - Output], CFF!$C271)</f>
        <v>0</v>
      </c>
      <c r="I274" s="66">
        <f>-SUMIFS(PO[Value inc. GST], PO[Payment date - output], "&gt;="&amp;CFF!I$7, PO[Payment date - output], "&lt;="&amp;CFF!I$8, PO[Spend category L2 - Output], CFF!$C271)</f>
        <v>0</v>
      </c>
      <c r="J274" s="66">
        <f>-SUMIFS(PO[Value inc. GST], PO[Payment date - output], "&gt;="&amp;CFF!J$7, PO[Payment date - output], "&lt;="&amp;CFF!J$8, PO[Spend category L2 - Output], CFF!$C271)</f>
        <v>0</v>
      </c>
      <c r="K274" s="66">
        <f>-SUMIFS(PO[Value inc. GST], PO[Payment date - output], "&gt;="&amp;CFF!K$7, PO[Payment date - output], "&lt;="&amp;CFF!K$8, PO[Spend category L2 - Output], CFF!$C271)</f>
        <v>0</v>
      </c>
      <c r="L274" s="66">
        <f>-SUMIFS(PO[Value inc. GST], PO[Payment date - output], "&gt;="&amp;CFF!L$7, PO[Payment date - output], "&lt;="&amp;CFF!L$8, PO[Spend category L2 - Output], CFF!$C271)</f>
        <v>0</v>
      </c>
      <c r="M274" s="66">
        <f>-SUMIFS(PO[Value inc. GST], PO[Payment date - output], "&gt;="&amp;CFF!M$7, PO[Payment date - output], "&lt;="&amp;CFF!M$8, PO[Spend category L2 - Output], CFF!$C271)</f>
        <v>0</v>
      </c>
      <c r="N274" s="66">
        <f>-SUMIFS(PO[Value inc. GST], PO[Payment date - output], "&gt;="&amp;CFF!N$7, PO[Payment date - output], "&lt;="&amp;CFF!N$8, PO[Spend category L2 - Output], CFF!$C271)</f>
        <v>0</v>
      </c>
      <c r="O274" s="66">
        <f>-SUMIFS(PO[Value inc. GST], PO[Payment date - output], "&gt;="&amp;CFF!O$7, PO[Payment date - output], "&lt;="&amp;CFF!O$8, PO[Spend category L2 - Output], CFF!$C271)</f>
        <v>0</v>
      </c>
      <c r="P274" s="66">
        <f>-SUMIFS(PO[Value inc. GST], PO[Payment date - output], "&gt;="&amp;CFF!P$7, PO[Payment date - output], "&lt;="&amp;CFF!P$8, PO[Spend category L2 - Output], CFF!$C271)</f>
        <v>0</v>
      </c>
      <c r="Q274" s="66">
        <f>-SUMIFS(PO[Value inc. GST], PO[Payment date - output], "&gt;="&amp;CFF!Q$7, PO[Payment date - output], "&lt;="&amp;CFF!Q$8, PO[Spend category L2 - Output], CFF!$C271)</f>
        <v>0</v>
      </c>
      <c r="R274" s="66">
        <f>-SUMIFS(PO[Value inc. GST], PO[Payment date - output], "&gt;="&amp;CFF!R$7, PO[Payment date - output], "&lt;="&amp;CFF!R$8, PO[Spend category L2 - Output], CFF!$C271)</f>
        <v>0</v>
      </c>
      <c r="S274" s="66">
        <f>-SUMIFS(PO[Value inc. GST], PO[Payment date - output], "&gt;="&amp;CFF!S$7, PO[Payment date - output], "&lt;="&amp;CFF!S$8, PO[Spend category L2 - Output], CFF!$C271)</f>
        <v>0</v>
      </c>
      <c r="T274" s="70">
        <f t="shared" si="317"/>
        <v>0</v>
      </c>
    </row>
    <row r="275" spans="3:20" hidden="1" outlineLevel="1" x14ac:dyDescent="0.25">
      <c r="C275" s="68" t="s">
        <v>128</v>
      </c>
      <c r="E275" s="58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70">
        <f t="shared" si="317"/>
        <v>0</v>
      </c>
    </row>
    <row r="276" spans="3:20" hidden="1" outlineLevel="1" x14ac:dyDescent="0.25">
      <c r="C276" s="68" t="s">
        <v>128</v>
      </c>
      <c r="E276" s="58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70">
        <f t="shared" si="317"/>
        <v>0</v>
      </c>
    </row>
    <row r="277" spans="3:20" hidden="1" outlineLevel="1" x14ac:dyDescent="0.25">
      <c r="C277" s="68" t="s">
        <v>128</v>
      </c>
      <c r="E277" s="58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70">
        <f t="shared" si="317"/>
        <v>0</v>
      </c>
    </row>
    <row r="278" spans="3:20" ht="5.0999999999999996" customHeight="1" x14ac:dyDescent="0.25">
      <c r="E278" s="58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</row>
    <row r="279" spans="3:20" collapsed="1" x14ac:dyDescent="0.25">
      <c r="C279" s="1">
        <f>Assumptions!$D$48</f>
        <v>0</v>
      </c>
      <c r="E279" s="66">
        <f>SUMIFS('Cash actuals'!$F$90:$BE$90, 'Cash actuals'!$F$7:$BE$7, CFF!$E$7)</f>
        <v>0</v>
      </c>
      <c r="G279" s="69">
        <f>IF( SUM(G281:G282) &lt; G280, SUM(G281:G282), IF( SUM(G281:G282) &gt; G280, G280, 0)) + SUM(G283:G285)</f>
        <v>0</v>
      </c>
      <c r="H279" s="69">
        <f t="shared" ref="H279" si="318">IF( SUM(H281:H282) &lt; H280, SUM(H281:H282), IF( SUM(H281:H282) &gt; H280, H280, 0))</f>
        <v>0</v>
      </c>
      <c r="I279" s="69">
        <f t="shared" ref="I279" si="319">IF( SUM(I281:I282) &lt; I280, SUM(I281:I282), IF( SUM(I281:I282) &gt; I280, I280, 0))</f>
        <v>0</v>
      </c>
      <c r="J279" s="69">
        <f t="shared" ref="J279" si="320">IF( SUM(J281:J282) &lt; J280, SUM(J281:J282), IF( SUM(J281:J282) &gt; J280, J280, 0))</f>
        <v>0</v>
      </c>
      <c r="K279" s="69">
        <f t="shared" ref="K279" si="321">IF( SUM(K281:K282) &lt; K280, SUM(K281:K282), IF( SUM(K281:K282) &gt; K280, K280, 0))</f>
        <v>0</v>
      </c>
      <c r="L279" s="69">
        <f t="shared" ref="L279" si="322">IF( SUM(L281:L282) &lt; L280, SUM(L281:L282), IF( SUM(L281:L282) &gt; L280, L280, 0))</f>
        <v>0</v>
      </c>
      <c r="M279" s="69">
        <f t="shared" ref="M279" si="323">IF( SUM(M281:M282) &lt; M280, SUM(M281:M282), IF( SUM(M281:M282) &gt; M280, M280, 0))</f>
        <v>0</v>
      </c>
      <c r="N279" s="69">
        <f t="shared" ref="N279" si="324">IF( SUM(N281:N282) &lt; N280, SUM(N281:N282), IF( SUM(N281:N282) &gt; N280, N280, 0))</f>
        <v>0</v>
      </c>
      <c r="O279" s="69">
        <f t="shared" ref="O279" si="325">IF( SUM(O281:O282) &lt; O280, SUM(O281:O282), IF( SUM(O281:O282) &gt; O280, O280, 0))</f>
        <v>0</v>
      </c>
      <c r="P279" s="69">
        <f t="shared" ref="P279" si="326">IF( SUM(P281:P282) &lt; P280, SUM(P281:P282), IF( SUM(P281:P282) &gt; P280, P280, 0))</f>
        <v>0</v>
      </c>
      <c r="Q279" s="69">
        <f t="shared" ref="Q279" si="327">IF( SUM(Q281:Q282) &lt; Q280, SUM(Q281:Q282), IF( SUM(Q281:Q282) &gt; Q280, Q280, 0))</f>
        <v>0</v>
      </c>
      <c r="R279" s="69">
        <f t="shared" ref="R279" si="328">IF( SUM(R281:R282) &lt; R280, SUM(R281:R282), IF( SUM(R281:R282) &gt; R280, R280, 0))</f>
        <v>0</v>
      </c>
      <c r="S279" s="69">
        <f t="shared" ref="S279" si="329">IF( SUM(S281:S282) &lt; S280, SUM(S281:S282), IF( SUM(S281:S282) &gt; S280, S280, 0))</f>
        <v>0</v>
      </c>
      <c r="T279" s="71">
        <f>SUM(G279:S279)</f>
        <v>0</v>
      </c>
    </row>
    <row r="280" spans="3:20" hidden="1" outlineLevel="1" x14ac:dyDescent="0.25">
      <c r="C280" s="67" t="s">
        <v>125</v>
      </c>
      <c r="E280" s="58"/>
      <c r="G280" s="66">
        <f>-IF(G36 = "Yes", Assumptions!$E48, 0)</f>
        <v>0</v>
      </c>
      <c r="H280" s="66">
        <f>-IF(H36 = "Yes", Assumptions!$E48, 0)</f>
        <v>0</v>
      </c>
      <c r="I280" s="66">
        <f>-IF(I36 = "Yes", Assumptions!$E48, 0)</f>
        <v>0</v>
      </c>
      <c r="J280" s="66">
        <f>-IF(J36 = "Yes", Assumptions!$E48, 0)</f>
        <v>0</v>
      </c>
      <c r="K280" s="66">
        <f>-IF(K36 = "Yes", Assumptions!$E48, 0)</f>
        <v>0</v>
      </c>
      <c r="L280" s="66">
        <f>-IF(L36 = "Yes", Assumptions!$E48, 0)</f>
        <v>0</v>
      </c>
      <c r="M280" s="66">
        <f>-IF(M36 = "Yes", Assumptions!$E48, 0)</f>
        <v>0</v>
      </c>
      <c r="N280" s="66">
        <f>-IF(N36 = "Yes", Assumptions!$E48, 0)</f>
        <v>0</v>
      </c>
      <c r="O280" s="66">
        <f>-IF(O36 = "Yes", Assumptions!$E48, 0)</f>
        <v>0</v>
      </c>
      <c r="P280" s="66">
        <f>-IF(P36 = "Yes", Assumptions!$E48, 0)</f>
        <v>0</v>
      </c>
      <c r="Q280" s="66">
        <f>-IF(Q36 = "Yes", Assumptions!$E48, 0)</f>
        <v>0</v>
      </c>
      <c r="R280" s="66">
        <f>-IF(R36 = "Yes", Assumptions!$E48, 0)</f>
        <v>0</v>
      </c>
      <c r="S280" s="66">
        <f>-IF(S36 = "Yes", Assumptions!$E48, 0)</f>
        <v>0</v>
      </c>
      <c r="T280" s="70">
        <f t="shared" ref="T280:T285" si="330">SUM(G280:S280)</f>
        <v>0</v>
      </c>
    </row>
    <row r="281" spans="3:20" hidden="1" outlineLevel="1" x14ac:dyDescent="0.25">
      <c r="C281" s="67" t="s">
        <v>126</v>
      </c>
      <c r="E281" s="58"/>
      <c r="G281" s="66">
        <f>-SUMIFS(AP[Invoice value inc. GST], AP[Payment date - output], "&gt;="&amp;CFF!G$7, AP[Payment date - output], "&lt;="&amp;CFF!G$8, AP[Spend category L2 - Output], CFF!$C279)</f>
        <v>0</v>
      </c>
      <c r="H281" s="66">
        <f>-SUMIFS(AP[Invoice value inc. GST], AP[Payment date - output], "&gt;="&amp;CFF!H$7, AP[Payment date - output], "&lt;="&amp;CFF!H$8, AP[Spend category L2 - Output], CFF!$C279)</f>
        <v>0</v>
      </c>
      <c r="I281" s="66">
        <f>-SUMIFS(AP[Invoice value inc. GST], AP[Payment date - output], "&gt;="&amp;CFF!I$7, AP[Payment date - output], "&lt;="&amp;CFF!I$8, AP[Spend category L2 - Output], CFF!$C279)</f>
        <v>0</v>
      </c>
      <c r="J281" s="66">
        <f>-SUMIFS(AP[Invoice value inc. GST], AP[Payment date - output], "&gt;="&amp;CFF!J$7, AP[Payment date - output], "&lt;="&amp;CFF!J$8, AP[Spend category L2 - Output], CFF!$C279)</f>
        <v>0</v>
      </c>
      <c r="K281" s="66">
        <f>-SUMIFS(AP[Invoice value inc. GST], AP[Payment date - output], "&gt;="&amp;CFF!K$7, AP[Payment date - output], "&lt;="&amp;CFF!K$8, AP[Spend category L2 - Output], CFF!$C279)</f>
        <v>0</v>
      </c>
      <c r="L281" s="66">
        <f>-SUMIFS(AP[Invoice value inc. GST], AP[Payment date - output], "&gt;="&amp;CFF!L$7, AP[Payment date - output], "&lt;="&amp;CFF!L$8, AP[Spend category L2 - Output], CFF!$C279)</f>
        <v>0</v>
      </c>
      <c r="M281" s="66">
        <f>-SUMIFS(AP[Invoice value inc. GST], AP[Payment date - output], "&gt;="&amp;CFF!M$7, AP[Payment date - output], "&lt;="&amp;CFF!M$8, AP[Spend category L2 - Output], CFF!$C279)</f>
        <v>0</v>
      </c>
      <c r="N281" s="66">
        <f>-SUMIFS(AP[Invoice value inc. GST], AP[Payment date - output], "&gt;="&amp;CFF!N$7, AP[Payment date - output], "&lt;="&amp;CFF!N$8, AP[Spend category L2 - Output], CFF!$C279)</f>
        <v>0</v>
      </c>
      <c r="O281" s="66">
        <f>-SUMIFS(AP[Invoice value inc. GST], AP[Payment date - output], "&gt;="&amp;CFF!O$7, AP[Payment date - output], "&lt;="&amp;CFF!O$8, AP[Spend category L2 - Output], CFF!$C279)</f>
        <v>0</v>
      </c>
      <c r="P281" s="66">
        <f>-SUMIFS(AP[Invoice value inc. GST], AP[Payment date - output], "&gt;="&amp;CFF!P$7, AP[Payment date - output], "&lt;="&amp;CFF!P$8, AP[Spend category L2 - Output], CFF!$C279)</f>
        <v>0</v>
      </c>
      <c r="Q281" s="66">
        <f>-SUMIFS(AP[Invoice value inc. GST], AP[Payment date - output], "&gt;="&amp;CFF!Q$7, AP[Payment date - output], "&lt;="&amp;CFF!Q$8, AP[Spend category L2 - Output], CFF!$C279)</f>
        <v>0</v>
      </c>
      <c r="R281" s="66">
        <f>-SUMIFS(AP[Invoice value inc. GST], AP[Payment date - output], "&gt;="&amp;CFF!R$7, AP[Payment date - output], "&lt;="&amp;CFF!R$8, AP[Spend category L2 - Output], CFF!$C279)</f>
        <v>0</v>
      </c>
      <c r="S281" s="66">
        <f>-SUMIFS(AP[Invoice value inc. GST], AP[Payment date - output], "&gt;="&amp;CFF!S$7, AP[Payment date - output], "&lt;="&amp;CFF!S$8, AP[Spend category L2 - Output], CFF!$C279)</f>
        <v>0</v>
      </c>
      <c r="T281" s="70">
        <f t="shared" si="330"/>
        <v>0</v>
      </c>
    </row>
    <row r="282" spans="3:20" hidden="1" outlineLevel="1" x14ac:dyDescent="0.25">
      <c r="C282" s="67" t="s">
        <v>127</v>
      </c>
      <c r="E282" s="58"/>
      <c r="G282" s="66">
        <f>-SUMIFS(PO[Value inc. GST], PO[Payment date - output], "&gt;="&amp;CFF!G$7, PO[Payment date - output], "&lt;="&amp;CFF!G$8, PO[Spend category L2 - Output], CFF!$C279)</f>
        <v>0</v>
      </c>
      <c r="H282" s="66">
        <f>-SUMIFS(PO[Value inc. GST], PO[Payment date - output], "&gt;="&amp;CFF!H$7, PO[Payment date - output], "&lt;="&amp;CFF!H$8, PO[Spend category L2 - Output], CFF!$C279)</f>
        <v>0</v>
      </c>
      <c r="I282" s="66">
        <f>-SUMIFS(PO[Value inc. GST], PO[Payment date - output], "&gt;="&amp;CFF!I$7, PO[Payment date - output], "&lt;="&amp;CFF!I$8, PO[Spend category L2 - Output], CFF!$C279)</f>
        <v>0</v>
      </c>
      <c r="J282" s="66">
        <f>-SUMIFS(PO[Value inc. GST], PO[Payment date - output], "&gt;="&amp;CFF!J$7, PO[Payment date - output], "&lt;="&amp;CFF!J$8, PO[Spend category L2 - Output], CFF!$C279)</f>
        <v>0</v>
      </c>
      <c r="K282" s="66">
        <f>-SUMIFS(PO[Value inc. GST], PO[Payment date - output], "&gt;="&amp;CFF!K$7, PO[Payment date - output], "&lt;="&amp;CFF!K$8, PO[Spend category L2 - Output], CFF!$C279)</f>
        <v>0</v>
      </c>
      <c r="L282" s="66">
        <f>-SUMIFS(PO[Value inc. GST], PO[Payment date - output], "&gt;="&amp;CFF!L$7, PO[Payment date - output], "&lt;="&amp;CFF!L$8, PO[Spend category L2 - Output], CFF!$C279)</f>
        <v>0</v>
      </c>
      <c r="M282" s="66">
        <f>-SUMIFS(PO[Value inc. GST], PO[Payment date - output], "&gt;="&amp;CFF!M$7, PO[Payment date - output], "&lt;="&amp;CFF!M$8, PO[Spend category L2 - Output], CFF!$C279)</f>
        <v>0</v>
      </c>
      <c r="N282" s="66">
        <f>-SUMIFS(PO[Value inc. GST], PO[Payment date - output], "&gt;="&amp;CFF!N$7, PO[Payment date - output], "&lt;="&amp;CFF!N$8, PO[Spend category L2 - Output], CFF!$C279)</f>
        <v>0</v>
      </c>
      <c r="O282" s="66">
        <f>-SUMIFS(PO[Value inc. GST], PO[Payment date - output], "&gt;="&amp;CFF!O$7, PO[Payment date - output], "&lt;="&amp;CFF!O$8, PO[Spend category L2 - Output], CFF!$C279)</f>
        <v>0</v>
      </c>
      <c r="P282" s="66">
        <f>-SUMIFS(PO[Value inc. GST], PO[Payment date - output], "&gt;="&amp;CFF!P$7, PO[Payment date - output], "&lt;="&amp;CFF!P$8, PO[Spend category L2 - Output], CFF!$C279)</f>
        <v>0</v>
      </c>
      <c r="Q282" s="66">
        <f>-SUMIFS(PO[Value inc. GST], PO[Payment date - output], "&gt;="&amp;CFF!Q$7, PO[Payment date - output], "&lt;="&amp;CFF!Q$8, PO[Spend category L2 - Output], CFF!$C279)</f>
        <v>0</v>
      </c>
      <c r="R282" s="66">
        <f>-SUMIFS(PO[Value inc. GST], PO[Payment date - output], "&gt;="&amp;CFF!R$7, PO[Payment date - output], "&lt;="&amp;CFF!R$8, PO[Spend category L2 - Output], CFF!$C279)</f>
        <v>0</v>
      </c>
      <c r="S282" s="66">
        <f>-SUMIFS(PO[Value inc. GST], PO[Payment date - output], "&gt;="&amp;CFF!S$7, PO[Payment date - output], "&lt;="&amp;CFF!S$8, PO[Spend category L2 - Output], CFF!$C279)</f>
        <v>0</v>
      </c>
      <c r="T282" s="70">
        <f t="shared" si="330"/>
        <v>0</v>
      </c>
    </row>
    <row r="283" spans="3:20" hidden="1" outlineLevel="1" x14ac:dyDescent="0.25">
      <c r="C283" s="68" t="s">
        <v>128</v>
      </c>
      <c r="E283" s="58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70">
        <f t="shared" si="330"/>
        <v>0</v>
      </c>
    </row>
    <row r="284" spans="3:20" hidden="1" outlineLevel="1" x14ac:dyDescent="0.25">
      <c r="C284" s="68" t="s">
        <v>128</v>
      </c>
      <c r="E284" s="58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70">
        <f t="shared" si="330"/>
        <v>0</v>
      </c>
    </row>
    <row r="285" spans="3:20" hidden="1" outlineLevel="1" x14ac:dyDescent="0.25">
      <c r="C285" s="68" t="s">
        <v>128</v>
      </c>
      <c r="E285" s="58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70">
        <f t="shared" si="330"/>
        <v>0</v>
      </c>
    </row>
    <row r="286" spans="3:20" ht="5.0999999999999996" customHeight="1" x14ac:dyDescent="0.25">
      <c r="E286" s="58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</row>
    <row r="287" spans="3:20" collapsed="1" x14ac:dyDescent="0.25">
      <c r="C287" s="1">
        <f>Assumptions!$D$49</f>
        <v>0</v>
      </c>
      <c r="E287" s="66">
        <f>SUMIFS('Cash actuals'!$F$92:$BE$92, 'Cash actuals'!$F$7:$BE$7, CFF!$E$7)</f>
        <v>0</v>
      </c>
      <c r="G287" s="69">
        <f>IF( SUM(G289:G290) &lt; G288, SUM(G289:G290), IF( SUM(G289:G290) &gt; G288, G288, 0)) + SUM(G291:G293)</f>
        <v>0</v>
      </c>
      <c r="H287" s="69">
        <f t="shared" ref="H287" si="331">IF( SUM(H289:H290) &lt; H288, SUM(H289:H290), IF( SUM(H289:H290) &gt; H288, H288, 0))</f>
        <v>0</v>
      </c>
      <c r="I287" s="69">
        <f t="shared" ref="I287" si="332">IF( SUM(I289:I290) &lt; I288, SUM(I289:I290), IF( SUM(I289:I290) &gt; I288, I288, 0))</f>
        <v>0</v>
      </c>
      <c r="J287" s="69">
        <f t="shared" ref="J287" si="333">IF( SUM(J289:J290) &lt; J288, SUM(J289:J290), IF( SUM(J289:J290) &gt; J288, J288, 0))</f>
        <v>0</v>
      </c>
      <c r="K287" s="69">
        <f t="shared" ref="K287" si="334">IF( SUM(K289:K290) &lt; K288, SUM(K289:K290), IF( SUM(K289:K290) &gt; K288, K288, 0))</f>
        <v>0</v>
      </c>
      <c r="L287" s="69">
        <f t="shared" ref="L287" si="335">IF( SUM(L289:L290) &lt; L288, SUM(L289:L290), IF( SUM(L289:L290) &gt; L288, L288, 0))</f>
        <v>0</v>
      </c>
      <c r="M287" s="69">
        <f t="shared" ref="M287" si="336">IF( SUM(M289:M290) &lt; M288, SUM(M289:M290), IF( SUM(M289:M290) &gt; M288, M288, 0))</f>
        <v>0</v>
      </c>
      <c r="N287" s="69">
        <f t="shared" ref="N287" si="337">IF( SUM(N289:N290) &lt; N288, SUM(N289:N290), IF( SUM(N289:N290) &gt; N288, N288, 0))</f>
        <v>0</v>
      </c>
      <c r="O287" s="69">
        <f t="shared" ref="O287" si="338">IF( SUM(O289:O290) &lt; O288, SUM(O289:O290), IF( SUM(O289:O290) &gt; O288, O288, 0))</f>
        <v>0</v>
      </c>
      <c r="P287" s="69">
        <f t="shared" ref="P287" si="339">IF( SUM(P289:P290) &lt; P288, SUM(P289:P290), IF( SUM(P289:P290) &gt; P288, P288, 0))</f>
        <v>0</v>
      </c>
      <c r="Q287" s="69">
        <f t="shared" ref="Q287" si="340">IF( SUM(Q289:Q290) &lt; Q288, SUM(Q289:Q290), IF( SUM(Q289:Q290) &gt; Q288, Q288, 0))</f>
        <v>0</v>
      </c>
      <c r="R287" s="69">
        <f t="shared" ref="R287" si="341">IF( SUM(R289:R290) &lt; R288, SUM(R289:R290), IF( SUM(R289:R290) &gt; R288, R288, 0))</f>
        <v>0</v>
      </c>
      <c r="S287" s="69">
        <f t="shared" ref="S287" si="342">IF( SUM(S289:S290) &lt; S288, SUM(S289:S290), IF( SUM(S289:S290) &gt; S288, S288, 0))</f>
        <v>0</v>
      </c>
      <c r="T287" s="71">
        <f>SUM(G287:S287)</f>
        <v>0</v>
      </c>
    </row>
    <row r="288" spans="3:20" hidden="1" outlineLevel="1" x14ac:dyDescent="0.25">
      <c r="C288" s="67" t="s">
        <v>125</v>
      </c>
      <c r="E288" s="58"/>
      <c r="G288" s="66">
        <f>-IF(G37 = "Yes", Assumptions!$E49, 0)</f>
        <v>0</v>
      </c>
      <c r="H288" s="66">
        <f>-IF(H37 = "Yes", Assumptions!$E49, 0)</f>
        <v>0</v>
      </c>
      <c r="I288" s="66">
        <f>-IF(I37 = "Yes", Assumptions!$E49, 0)</f>
        <v>0</v>
      </c>
      <c r="J288" s="66">
        <f>-IF(J37 = "Yes", Assumptions!$E49, 0)</f>
        <v>0</v>
      </c>
      <c r="K288" s="66">
        <f>-IF(K37 = "Yes", Assumptions!$E49, 0)</f>
        <v>0</v>
      </c>
      <c r="L288" s="66">
        <f>-IF(L37 = "Yes", Assumptions!$E49, 0)</f>
        <v>0</v>
      </c>
      <c r="M288" s="66">
        <f>-IF(M37 = "Yes", Assumptions!$E49, 0)</f>
        <v>0</v>
      </c>
      <c r="N288" s="66">
        <f>-IF(N37 = "Yes", Assumptions!$E49, 0)</f>
        <v>0</v>
      </c>
      <c r="O288" s="66">
        <f>-IF(O37 = "Yes", Assumptions!$E49, 0)</f>
        <v>0</v>
      </c>
      <c r="P288" s="66">
        <f>-IF(P37 = "Yes", Assumptions!$E49, 0)</f>
        <v>0</v>
      </c>
      <c r="Q288" s="66">
        <f>-IF(Q37 = "Yes", Assumptions!$E49, 0)</f>
        <v>0</v>
      </c>
      <c r="R288" s="66">
        <f>-IF(R37 = "Yes", Assumptions!$E49, 0)</f>
        <v>0</v>
      </c>
      <c r="S288" s="66">
        <f>-IF(S37 = "Yes", Assumptions!$E49, 0)</f>
        <v>0</v>
      </c>
      <c r="T288" s="70">
        <f t="shared" ref="T288:T293" si="343">SUM(G288:S288)</f>
        <v>0</v>
      </c>
    </row>
    <row r="289" spans="3:20" hidden="1" outlineLevel="1" x14ac:dyDescent="0.25">
      <c r="C289" s="67" t="s">
        <v>126</v>
      </c>
      <c r="E289" s="58"/>
      <c r="G289" s="66">
        <f>-SUMIFS(AP[Invoice value inc. GST], AP[Payment date - output], "&gt;="&amp;CFF!G$7, AP[Payment date - output], "&lt;="&amp;CFF!G$8, AP[Spend category L2 - Output], CFF!$C287)</f>
        <v>0</v>
      </c>
      <c r="H289" s="66">
        <f>-SUMIFS(AP[Invoice value inc. GST], AP[Payment date - output], "&gt;="&amp;CFF!H$7, AP[Payment date - output], "&lt;="&amp;CFF!H$8, AP[Spend category L2 - Output], CFF!$C287)</f>
        <v>0</v>
      </c>
      <c r="I289" s="66">
        <f>-SUMIFS(AP[Invoice value inc. GST], AP[Payment date - output], "&gt;="&amp;CFF!I$7, AP[Payment date - output], "&lt;="&amp;CFF!I$8, AP[Spend category L2 - Output], CFF!$C287)</f>
        <v>0</v>
      </c>
      <c r="J289" s="66">
        <f>-SUMIFS(AP[Invoice value inc. GST], AP[Payment date - output], "&gt;="&amp;CFF!J$7, AP[Payment date - output], "&lt;="&amp;CFF!J$8, AP[Spend category L2 - Output], CFF!$C287)</f>
        <v>0</v>
      </c>
      <c r="K289" s="66">
        <f>-SUMIFS(AP[Invoice value inc. GST], AP[Payment date - output], "&gt;="&amp;CFF!K$7, AP[Payment date - output], "&lt;="&amp;CFF!K$8, AP[Spend category L2 - Output], CFF!$C287)</f>
        <v>0</v>
      </c>
      <c r="L289" s="66">
        <f>-SUMIFS(AP[Invoice value inc. GST], AP[Payment date - output], "&gt;="&amp;CFF!L$7, AP[Payment date - output], "&lt;="&amp;CFF!L$8, AP[Spend category L2 - Output], CFF!$C287)</f>
        <v>0</v>
      </c>
      <c r="M289" s="66">
        <f>-SUMIFS(AP[Invoice value inc. GST], AP[Payment date - output], "&gt;="&amp;CFF!M$7, AP[Payment date - output], "&lt;="&amp;CFF!M$8, AP[Spend category L2 - Output], CFF!$C287)</f>
        <v>0</v>
      </c>
      <c r="N289" s="66">
        <f>-SUMIFS(AP[Invoice value inc. GST], AP[Payment date - output], "&gt;="&amp;CFF!N$7, AP[Payment date - output], "&lt;="&amp;CFF!N$8, AP[Spend category L2 - Output], CFF!$C287)</f>
        <v>0</v>
      </c>
      <c r="O289" s="66">
        <f>-SUMIFS(AP[Invoice value inc. GST], AP[Payment date - output], "&gt;="&amp;CFF!O$7, AP[Payment date - output], "&lt;="&amp;CFF!O$8, AP[Spend category L2 - Output], CFF!$C287)</f>
        <v>0</v>
      </c>
      <c r="P289" s="66">
        <f>-SUMIFS(AP[Invoice value inc. GST], AP[Payment date - output], "&gt;="&amp;CFF!P$7, AP[Payment date - output], "&lt;="&amp;CFF!P$8, AP[Spend category L2 - Output], CFF!$C287)</f>
        <v>0</v>
      </c>
      <c r="Q289" s="66">
        <f>-SUMIFS(AP[Invoice value inc. GST], AP[Payment date - output], "&gt;="&amp;CFF!Q$7, AP[Payment date - output], "&lt;="&amp;CFF!Q$8, AP[Spend category L2 - Output], CFF!$C287)</f>
        <v>0</v>
      </c>
      <c r="R289" s="66">
        <f>-SUMIFS(AP[Invoice value inc. GST], AP[Payment date - output], "&gt;="&amp;CFF!R$7, AP[Payment date - output], "&lt;="&amp;CFF!R$8, AP[Spend category L2 - Output], CFF!$C287)</f>
        <v>0</v>
      </c>
      <c r="S289" s="66">
        <f>-SUMIFS(AP[Invoice value inc. GST], AP[Payment date - output], "&gt;="&amp;CFF!S$7, AP[Payment date - output], "&lt;="&amp;CFF!S$8, AP[Spend category L2 - Output], CFF!$C287)</f>
        <v>0</v>
      </c>
      <c r="T289" s="70">
        <f t="shared" si="343"/>
        <v>0</v>
      </c>
    </row>
    <row r="290" spans="3:20" hidden="1" outlineLevel="1" x14ac:dyDescent="0.25">
      <c r="C290" s="67" t="s">
        <v>127</v>
      </c>
      <c r="E290" s="58"/>
      <c r="G290" s="66">
        <f>-SUMIFS(PO[Value inc. GST], PO[Payment date - output], "&gt;="&amp;CFF!G$7, PO[Payment date - output], "&lt;="&amp;CFF!G$8, PO[Spend category L2 - Output], CFF!$C287)</f>
        <v>0</v>
      </c>
      <c r="H290" s="66">
        <f>-SUMIFS(PO[Value inc. GST], PO[Payment date - output], "&gt;="&amp;CFF!H$7, PO[Payment date - output], "&lt;="&amp;CFF!H$8, PO[Spend category L2 - Output], CFF!$C287)</f>
        <v>0</v>
      </c>
      <c r="I290" s="66">
        <f>-SUMIFS(PO[Value inc. GST], PO[Payment date - output], "&gt;="&amp;CFF!I$7, PO[Payment date - output], "&lt;="&amp;CFF!I$8, PO[Spend category L2 - Output], CFF!$C287)</f>
        <v>0</v>
      </c>
      <c r="J290" s="66">
        <f>-SUMIFS(PO[Value inc. GST], PO[Payment date - output], "&gt;="&amp;CFF!J$7, PO[Payment date - output], "&lt;="&amp;CFF!J$8, PO[Spend category L2 - Output], CFF!$C287)</f>
        <v>0</v>
      </c>
      <c r="K290" s="66">
        <f>-SUMIFS(PO[Value inc. GST], PO[Payment date - output], "&gt;="&amp;CFF!K$7, PO[Payment date - output], "&lt;="&amp;CFF!K$8, PO[Spend category L2 - Output], CFF!$C287)</f>
        <v>0</v>
      </c>
      <c r="L290" s="66">
        <f>-SUMIFS(PO[Value inc. GST], PO[Payment date - output], "&gt;="&amp;CFF!L$7, PO[Payment date - output], "&lt;="&amp;CFF!L$8, PO[Spend category L2 - Output], CFF!$C287)</f>
        <v>0</v>
      </c>
      <c r="M290" s="66">
        <f>-SUMIFS(PO[Value inc. GST], PO[Payment date - output], "&gt;="&amp;CFF!M$7, PO[Payment date - output], "&lt;="&amp;CFF!M$8, PO[Spend category L2 - Output], CFF!$C287)</f>
        <v>0</v>
      </c>
      <c r="N290" s="66">
        <f>-SUMIFS(PO[Value inc. GST], PO[Payment date - output], "&gt;="&amp;CFF!N$7, PO[Payment date - output], "&lt;="&amp;CFF!N$8, PO[Spend category L2 - Output], CFF!$C287)</f>
        <v>0</v>
      </c>
      <c r="O290" s="66">
        <f>-SUMIFS(PO[Value inc. GST], PO[Payment date - output], "&gt;="&amp;CFF!O$7, PO[Payment date - output], "&lt;="&amp;CFF!O$8, PO[Spend category L2 - Output], CFF!$C287)</f>
        <v>0</v>
      </c>
      <c r="P290" s="66">
        <f>-SUMIFS(PO[Value inc. GST], PO[Payment date - output], "&gt;="&amp;CFF!P$7, PO[Payment date - output], "&lt;="&amp;CFF!P$8, PO[Spend category L2 - Output], CFF!$C287)</f>
        <v>0</v>
      </c>
      <c r="Q290" s="66">
        <f>-SUMIFS(PO[Value inc. GST], PO[Payment date - output], "&gt;="&amp;CFF!Q$7, PO[Payment date - output], "&lt;="&amp;CFF!Q$8, PO[Spend category L2 - Output], CFF!$C287)</f>
        <v>0</v>
      </c>
      <c r="R290" s="66">
        <f>-SUMIFS(PO[Value inc. GST], PO[Payment date - output], "&gt;="&amp;CFF!R$7, PO[Payment date - output], "&lt;="&amp;CFF!R$8, PO[Spend category L2 - Output], CFF!$C287)</f>
        <v>0</v>
      </c>
      <c r="S290" s="66">
        <f>-SUMIFS(PO[Value inc. GST], PO[Payment date - output], "&gt;="&amp;CFF!S$7, PO[Payment date - output], "&lt;="&amp;CFF!S$8, PO[Spend category L2 - Output], CFF!$C287)</f>
        <v>0</v>
      </c>
      <c r="T290" s="70">
        <f t="shared" si="343"/>
        <v>0</v>
      </c>
    </row>
    <row r="291" spans="3:20" hidden="1" outlineLevel="1" x14ac:dyDescent="0.25">
      <c r="C291" s="68" t="s">
        <v>128</v>
      </c>
      <c r="E291" s="58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70">
        <f t="shared" si="343"/>
        <v>0</v>
      </c>
    </row>
    <row r="292" spans="3:20" hidden="1" outlineLevel="1" x14ac:dyDescent="0.25">
      <c r="C292" s="68" t="s">
        <v>128</v>
      </c>
      <c r="E292" s="58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70">
        <f t="shared" si="343"/>
        <v>0</v>
      </c>
    </row>
    <row r="293" spans="3:20" hidden="1" outlineLevel="1" x14ac:dyDescent="0.25">
      <c r="C293" s="68" t="s">
        <v>128</v>
      </c>
      <c r="E293" s="58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70">
        <f t="shared" si="343"/>
        <v>0</v>
      </c>
    </row>
    <row r="294" spans="3:20" ht="5.0999999999999996" customHeight="1" x14ac:dyDescent="0.25">
      <c r="E294" s="58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</row>
    <row r="295" spans="3:20" x14ac:dyDescent="0.25">
      <c r="C295" s="14" t="s">
        <v>139</v>
      </c>
      <c r="E295" s="101">
        <f>E271 + E279 + E287</f>
        <v>0</v>
      </c>
      <c r="G295" s="73">
        <f>G271 + G279 + G287</f>
        <v>0</v>
      </c>
      <c r="H295" s="73">
        <f t="shared" ref="H295:T295" si="344">H271 + H279 + H287</f>
        <v>0</v>
      </c>
      <c r="I295" s="73">
        <f t="shared" si="344"/>
        <v>0</v>
      </c>
      <c r="J295" s="73">
        <f t="shared" si="344"/>
        <v>0</v>
      </c>
      <c r="K295" s="73">
        <f t="shared" si="344"/>
        <v>0</v>
      </c>
      <c r="L295" s="73">
        <f t="shared" si="344"/>
        <v>0</v>
      </c>
      <c r="M295" s="73">
        <f t="shared" si="344"/>
        <v>0</v>
      </c>
      <c r="N295" s="73">
        <f t="shared" si="344"/>
        <v>0</v>
      </c>
      <c r="O295" s="73">
        <f t="shared" si="344"/>
        <v>0</v>
      </c>
      <c r="P295" s="73">
        <f t="shared" si="344"/>
        <v>0</v>
      </c>
      <c r="Q295" s="73">
        <f t="shared" si="344"/>
        <v>0</v>
      </c>
      <c r="R295" s="73">
        <f t="shared" si="344"/>
        <v>0</v>
      </c>
      <c r="S295" s="73">
        <f t="shared" si="344"/>
        <v>0</v>
      </c>
      <c r="T295" s="73">
        <f t="shared" si="344"/>
        <v>0</v>
      </c>
    </row>
    <row r="296" spans="3:20" x14ac:dyDescent="0.25"/>
    <row r="297" spans="3:20" x14ac:dyDescent="0.25">
      <c r="C297" s="12" t="s">
        <v>138</v>
      </c>
      <c r="D297" s="13"/>
      <c r="E297" s="13"/>
      <c r="F297" s="13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3:20" ht="5.0999999999999996" customHeight="1" x14ac:dyDescent="0.25"/>
    <row r="299" spans="3:20" collapsed="1" x14ac:dyDescent="0.25">
      <c r="C299" s="1" t="s">
        <v>72</v>
      </c>
      <c r="E299" s="66">
        <f>SUMIFS('Cash actuals'!$F$98:$BE$98, 'Cash actuals'!$F$7:$BE$7, CFF!$E$7)</f>
        <v>0</v>
      </c>
      <c r="G299" s="69">
        <f>SUM(G300:G302)</f>
        <v>0</v>
      </c>
      <c r="H299" s="69">
        <f t="shared" ref="H299:S299" si="345">SUM(H300:H302)</f>
        <v>0</v>
      </c>
      <c r="I299" s="69">
        <f t="shared" si="345"/>
        <v>0</v>
      </c>
      <c r="J299" s="69">
        <f t="shared" si="345"/>
        <v>0</v>
      </c>
      <c r="K299" s="69">
        <f t="shared" si="345"/>
        <v>0</v>
      </c>
      <c r="L299" s="69">
        <f t="shared" si="345"/>
        <v>0</v>
      </c>
      <c r="M299" s="69">
        <f t="shared" si="345"/>
        <v>0</v>
      </c>
      <c r="N299" s="69">
        <f t="shared" si="345"/>
        <v>0</v>
      </c>
      <c r="O299" s="69">
        <f t="shared" si="345"/>
        <v>0</v>
      </c>
      <c r="P299" s="69">
        <f t="shared" si="345"/>
        <v>0</v>
      </c>
      <c r="Q299" s="69">
        <f t="shared" si="345"/>
        <v>0</v>
      </c>
      <c r="R299" s="69">
        <f t="shared" si="345"/>
        <v>0</v>
      </c>
      <c r="S299" s="69">
        <f t="shared" si="345"/>
        <v>0</v>
      </c>
      <c r="T299" s="71">
        <f>SUM(G299:S299)</f>
        <v>0</v>
      </c>
    </row>
    <row r="300" spans="3:20" hidden="1" outlineLevel="1" x14ac:dyDescent="0.25">
      <c r="C300" s="68" t="s">
        <v>128</v>
      </c>
      <c r="E300" s="58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70">
        <f t="shared" ref="T300:T302" si="346">SUM(G300:S300)</f>
        <v>0</v>
      </c>
    </row>
    <row r="301" spans="3:20" hidden="1" outlineLevel="1" x14ac:dyDescent="0.25">
      <c r="C301" s="68" t="s">
        <v>128</v>
      </c>
      <c r="E301" s="58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70">
        <f t="shared" si="346"/>
        <v>0</v>
      </c>
    </row>
    <row r="302" spans="3:20" hidden="1" outlineLevel="1" x14ac:dyDescent="0.25">
      <c r="C302" s="68" t="s">
        <v>128</v>
      </c>
      <c r="E302" s="58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70">
        <f t="shared" si="346"/>
        <v>0</v>
      </c>
    </row>
    <row r="303" spans="3:20" ht="5.0999999999999996" customHeight="1" x14ac:dyDescent="0.25">
      <c r="E303" s="58"/>
    </row>
    <row r="304" spans="3:20" collapsed="1" x14ac:dyDescent="0.25">
      <c r="C304" s="1" t="s">
        <v>73</v>
      </c>
      <c r="E304" s="66">
        <f>SUMIFS('Cash actuals'!$F$100:$BE$100, 'Cash actuals'!$F$7:$BE$7, CFF!$E$7)</f>
        <v>0</v>
      </c>
      <c r="G304" s="69">
        <f>SUM(G305:G307)</f>
        <v>0</v>
      </c>
      <c r="H304" s="69">
        <f t="shared" ref="H304" si="347">SUM(H305:H307)</f>
        <v>0</v>
      </c>
      <c r="I304" s="69">
        <f t="shared" ref="I304" si="348">SUM(I305:I307)</f>
        <v>0</v>
      </c>
      <c r="J304" s="69">
        <f t="shared" ref="J304" si="349">SUM(J305:J307)</f>
        <v>0</v>
      </c>
      <c r="K304" s="69">
        <f t="shared" ref="K304" si="350">SUM(K305:K307)</f>
        <v>0</v>
      </c>
      <c r="L304" s="69">
        <f t="shared" ref="L304" si="351">SUM(L305:L307)</f>
        <v>0</v>
      </c>
      <c r="M304" s="69">
        <f t="shared" ref="M304" si="352">SUM(M305:M307)</f>
        <v>0</v>
      </c>
      <c r="N304" s="69">
        <f t="shared" ref="N304" si="353">SUM(N305:N307)</f>
        <v>0</v>
      </c>
      <c r="O304" s="69">
        <f t="shared" ref="O304" si="354">SUM(O305:O307)</f>
        <v>0</v>
      </c>
      <c r="P304" s="69">
        <f t="shared" ref="P304" si="355">SUM(P305:P307)</f>
        <v>0</v>
      </c>
      <c r="Q304" s="69">
        <f t="shared" ref="Q304" si="356">SUM(Q305:Q307)</f>
        <v>0</v>
      </c>
      <c r="R304" s="69">
        <f t="shared" ref="R304" si="357">SUM(R305:R307)</f>
        <v>0</v>
      </c>
      <c r="S304" s="69">
        <f t="shared" ref="S304" si="358">SUM(S305:S307)</f>
        <v>0</v>
      </c>
      <c r="T304" s="71">
        <f>SUM(G304:S304)</f>
        <v>0</v>
      </c>
    </row>
    <row r="305" spans="3:20" hidden="1" outlineLevel="1" x14ac:dyDescent="0.25">
      <c r="C305" s="68" t="s">
        <v>128</v>
      </c>
      <c r="E305" s="58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70">
        <f t="shared" ref="T305:T307" si="359">SUM(G305:S305)</f>
        <v>0</v>
      </c>
    </row>
    <row r="306" spans="3:20" hidden="1" outlineLevel="1" x14ac:dyDescent="0.25">
      <c r="C306" s="68" t="s">
        <v>128</v>
      </c>
      <c r="E306" s="58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70">
        <f t="shared" si="359"/>
        <v>0</v>
      </c>
    </row>
    <row r="307" spans="3:20" hidden="1" outlineLevel="1" x14ac:dyDescent="0.25">
      <c r="C307" s="68" t="s">
        <v>128</v>
      </c>
      <c r="E307" s="58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70">
        <f t="shared" si="359"/>
        <v>0</v>
      </c>
    </row>
    <row r="308" spans="3:20" ht="5.0999999999999996" customHeight="1" x14ac:dyDescent="0.25">
      <c r="E308" s="58"/>
    </row>
    <row r="309" spans="3:20" collapsed="1" x14ac:dyDescent="0.25">
      <c r="C309" s="1" t="s">
        <v>74</v>
      </c>
      <c r="E309" s="66">
        <f>SUMIFS('Cash actuals'!$F$102:$BE$102, 'Cash actuals'!$F$7:$BE$7, CFF!$E$7)</f>
        <v>0</v>
      </c>
      <c r="G309" s="69">
        <f>SUM(G310:G312)</f>
        <v>0</v>
      </c>
      <c r="H309" s="69">
        <f t="shared" ref="H309" si="360">SUM(H310:H312)</f>
        <v>0</v>
      </c>
      <c r="I309" s="69">
        <f t="shared" ref="I309" si="361">SUM(I310:I312)</f>
        <v>0</v>
      </c>
      <c r="J309" s="69">
        <f t="shared" ref="J309" si="362">SUM(J310:J312)</f>
        <v>0</v>
      </c>
      <c r="K309" s="69">
        <f t="shared" ref="K309" si="363">SUM(K310:K312)</f>
        <v>0</v>
      </c>
      <c r="L309" s="69">
        <f t="shared" ref="L309" si="364">SUM(L310:L312)</f>
        <v>0</v>
      </c>
      <c r="M309" s="69">
        <f t="shared" ref="M309" si="365">SUM(M310:M312)</f>
        <v>0</v>
      </c>
      <c r="N309" s="69">
        <f t="shared" ref="N309" si="366">SUM(N310:N312)</f>
        <v>0</v>
      </c>
      <c r="O309" s="69">
        <f t="shared" ref="O309" si="367">SUM(O310:O312)</f>
        <v>0</v>
      </c>
      <c r="P309" s="69">
        <f t="shared" ref="P309" si="368">SUM(P310:P312)</f>
        <v>0</v>
      </c>
      <c r="Q309" s="69">
        <f t="shared" ref="Q309" si="369">SUM(Q310:Q312)</f>
        <v>0</v>
      </c>
      <c r="R309" s="69">
        <f t="shared" ref="R309" si="370">SUM(R310:R312)</f>
        <v>0</v>
      </c>
      <c r="S309" s="69">
        <f t="shared" ref="S309" si="371">SUM(S310:S312)</f>
        <v>0</v>
      </c>
      <c r="T309" s="71">
        <f>SUM(G309:S309)</f>
        <v>0</v>
      </c>
    </row>
    <row r="310" spans="3:20" hidden="1" outlineLevel="1" x14ac:dyDescent="0.25">
      <c r="C310" s="68" t="s">
        <v>128</v>
      </c>
      <c r="E310" s="58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70">
        <f t="shared" ref="T310:T312" si="372">SUM(G310:S310)</f>
        <v>0</v>
      </c>
    </row>
    <row r="311" spans="3:20" hidden="1" outlineLevel="1" x14ac:dyDescent="0.25">
      <c r="C311" s="68" t="s">
        <v>128</v>
      </c>
      <c r="E311" s="58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70">
        <f t="shared" si="372"/>
        <v>0</v>
      </c>
    </row>
    <row r="312" spans="3:20" hidden="1" outlineLevel="1" x14ac:dyDescent="0.25">
      <c r="C312" s="68" t="s">
        <v>128</v>
      </c>
      <c r="E312" s="58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70">
        <f t="shared" si="372"/>
        <v>0</v>
      </c>
    </row>
    <row r="313" spans="3:20" ht="5.0999999999999996" customHeight="1" x14ac:dyDescent="0.25">
      <c r="E313" s="58"/>
    </row>
    <row r="314" spans="3:20" x14ac:dyDescent="0.25">
      <c r="C314" s="14" t="s">
        <v>137</v>
      </c>
      <c r="E314" s="101">
        <f>E299 + E304 + E309</f>
        <v>0</v>
      </c>
      <c r="G314" s="73">
        <f>G299 + G304 + G309</f>
        <v>0</v>
      </c>
      <c r="H314" s="73">
        <f t="shared" ref="H314:T314" si="373">H299 + H304 + H309</f>
        <v>0</v>
      </c>
      <c r="I314" s="73">
        <f t="shared" si="373"/>
        <v>0</v>
      </c>
      <c r="J314" s="73">
        <f t="shared" si="373"/>
        <v>0</v>
      </c>
      <c r="K314" s="73">
        <f t="shared" si="373"/>
        <v>0</v>
      </c>
      <c r="L314" s="73">
        <f t="shared" si="373"/>
        <v>0</v>
      </c>
      <c r="M314" s="73">
        <f t="shared" si="373"/>
        <v>0</v>
      </c>
      <c r="N314" s="73">
        <f t="shared" si="373"/>
        <v>0</v>
      </c>
      <c r="O314" s="73">
        <f t="shared" si="373"/>
        <v>0</v>
      </c>
      <c r="P314" s="73">
        <f t="shared" si="373"/>
        <v>0</v>
      </c>
      <c r="Q314" s="73">
        <f t="shared" si="373"/>
        <v>0</v>
      </c>
      <c r="R314" s="73">
        <f t="shared" si="373"/>
        <v>0</v>
      </c>
      <c r="S314" s="73">
        <f t="shared" si="373"/>
        <v>0</v>
      </c>
      <c r="T314" s="73">
        <f t="shared" si="373"/>
        <v>0</v>
      </c>
    </row>
    <row r="315" spans="3:20" x14ac:dyDescent="0.25">
      <c r="E315" s="58"/>
    </row>
    <row r="316" spans="3:20" x14ac:dyDescent="0.25">
      <c r="C316" s="14" t="s">
        <v>141</v>
      </c>
      <c r="E316" s="101">
        <f>E53 + E97 + E125 + E239 + E267 + E295 + E314</f>
        <v>0</v>
      </c>
      <c r="G316" s="73">
        <f>G53 + G97 + G125 + G239 + G267 + G295 + G314</f>
        <v>0</v>
      </c>
      <c r="H316" s="73">
        <f t="shared" ref="H316:T316" si="374">H53 + H97 + H125 + H239 + H267 + H295 + H314</f>
        <v>0</v>
      </c>
      <c r="I316" s="73">
        <f t="shared" si="374"/>
        <v>0</v>
      </c>
      <c r="J316" s="73">
        <f t="shared" si="374"/>
        <v>0</v>
      </c>
      <c r="K316" s="73">
        <f t="shared" si="374"/>
        <v>0</v>
      </c>
      <c r="L316" s="73">
        <f t="shared" si="374"/>
        <v>0</v>
      </c>
      <c r="M316" s="73">
        <f t="shared" si="374"/>
        <v>0</v>
      </c>
      <c r="N316" s="73">
        <f t="shared" si="374"/>
        <v>0</v>
      </c>
      <c r="O316" s="73">
        <f t="shared" si="374"/>
        <v>0</v>
      </c>
      <c r="P316" s="73">
        <f t="shared" si="374"/>
        <v>0</v>
      </c>
      <c r="Q316" s="73">
        <f t="shared" si="374"/>
        <v>0</v>
      </c>
      <c r="R316" s="73">
        <f t="shared" si="374"/>
        <v>0</v>
      </c>
      <c r="S316" s="73">
        <f t="shared" si="374"/>
        <v>0</v>
      </c>
      <c r="T316" s="73">
        <f t="shared" si="374"/>
        <v>0</v>
      </c>
    </row>
    <row r="317" spans="3:20" x14ac:dyDescent="0.25"/>
    <row r="318" spans="3:20" x14ac:dyDescent="0.25">
      <c r="C318" s="12" t="s">
        <v>145</v>
      </c>
      <c r="D318" s="13"/>
      <c r="E318" s="13"/>
      <c r="F318" s="13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3:20" ht="5.0999999999999996" customHeight="1" x14ac:dyDescent="0.25"/>
    <row r="320" spans="3:20" x14ac:dyDescent="0.25">
      <c r="C320" s="1" t="s">
        <v>146</v>
      </c>
      <c r="E320" s="66">
        <f>SUMIFS('Cash actuals'!$F$110:$BE$110, 'Cash actuals'!$F$7:$BE$7, CFF!$E$7)</f>
        <v>0</v>
      </c>
      <c r="G320" s="65"/>
      <c r="H320" s="69">
        <f>G324</f>
        <v>0</v>
      </c>
      <c r="I320" s="69">
        <f t="shared" ref="I320:S320" si="375">H324</f>
        <v>0</v>
      </c>
      <c r="J320" s="69">
        <f t="shared" si="375"/>
        <v>0</v>
      </c>
      <c r="K320" s="69">
        <f t="shared" si="375"/>
        <v>0</v>
      </c>
      <c r="L320" s="69">
        <f t="shared" si="375"/>
        <v>0</v>
      </c>
      <c r="M320" s="69">
        <f t="shared" si="375"/>
        <v>0</v>
      </c>
      <c r="N320" s="69">
        <f t="shared" si="375"/>
        <v>0</v>
      </c>
      <c r="O320" s="69">
        <f t="shared" si="375"/>
        <v>0</v>
      </c>
      <c r="P320" s="69">
        <f t="shared" si="375"/>
        <v>0</v>
      </c>
      <c r="Q320" s="69">
        <f t="shared" si="375"/>
        <v>0</v>
      </c>
      <c r="R320" s="69">
        <f t="shared" si="375"/>
        <v>0</v>
      </c>
      <c r="S320" s="69">
        <f t="shared" si="375"/>
        <v>0</v>
      </c>
    </row>
    <row r="321" spans="3:19" ht="5.0999999999999996" customHeight="1" x14ac:dyDescent="0.25">
      <c r="E321" s="58"/>
    </row>
    <row r="322" spans="3:19" x14ac:dyDescent="0.25">
      <c r="C322" s="1" t="s">
        <v>147</v>
      </c>
      <c r="E322" s="66">
        <f>E316</f>
        <v>0</v>
      </c>
      <c r="G322" s="69">
        <f>G316</f>
        <v>0</v>
      </c>
      <c r="H322" s="69">
        <f>H316</f>
        <v>0</v>
      </c>
      <c r="I322" s="69">
        <f t="shared" ref="I322:S322" si="376">I316</f>
        <v>0</v>
      </c>
      <c r="J322" s="69">
        <f t="shared" si="376"/>
        <v>0</v>
      </c>
      <c r="K322" s="69">
        <f t="shared" si="376"/>
        <v>0</v>
      </c>
      <c r="L322" s="69">
        <f t="shared" si="376"/>
        <v>0</v>
      </c>
      <c r="M322" s="69">
        <f t="shared" si="376"/>
        <v>0</v>
      </c>
      <c r="N322" s="69">
        <f t="shared" si="376"/>
        <v>0</v>
      </c>
      <c r="O322" s="69">
        <f t="shared" si="376"/>
        <v>0</v>
      </c>
      <c r="P322" s="69">
        <f t="shared" si="376"/>
        <v>0</v>
      </c>
      <c r="Q322" s="69">
        <f t="shared" si="376"/>
        <v>0</v>
      </c>
      <c r="R322" s="69">
        <f t="shared" si="376"/>
        <v>0</v>
      </c>
      <c r="S322" s="69">
        <f t="shared" si="376"/>
        <v>0</v>
      </c>
    </row>
    <row r="323" spans="3:19" ht="5.0999999999999996" customHeight="1" x14ac:dyDescent="0.25">
      <c r="E323" s="58"/>
    </row>
    <row r="324" spans="3:19" x14ac:dyDescent="0.25">
      <c r="C324" s="14" t="s">
        <v>145</v>
      </c>
      <c r="E324" s="101">
        <f>E320 + E322</f>
        <v>0</v>
      </c>
      <c r="G324" s="73">
        <f>G320 + G322</f>
        <v>0</v>
      </c>
      <c r="H324" s="73">
        <f>H320 + H322</f>
        <v>0</v>
      </c>
      <c r="I324" s="73">
        <f t="shared" ref="I324:S324" si="377">I320 + I322</f>
        <v>0</v>
      </c>
      <c r="J324" s="73">
        <f t="shared" si="377"/>
        <v>0</v>
      </c>
      <c r="K324" s="73">
        <f t="shared" si="377"/>
        <v>0</v>
      </c>
      <c r="L324" s="73">
        <f t="shared" si="377"/>
        <v>0</v>
      </c>
      <c r="M324" s="73">
        <f t="shared" si="377"/>
        <v>0</v>
      </c>
      <c r="N324" s="73">
        <f t="shared" si="377"/>
        <v>0</v>
      </c>
      <c r="O324" s="73">
        <f t="shared" si="377"/>
        <v>0</v>
      </c>
      <c r="P324" s="73">
        <f t="shared" si="377"/>
        <v>0</v>
      </c>
      <c r="Q324" s="73">
        <f t="shared" si="377"/>
        <v>0</v>
      </c>
      <c r="R324" s="73">
        <f t="shared" si="377"/>
        <v>0</v>
      </c>
      <c r="S324" s="73">
        <f t="shared" si="377"/>
        <v>0</v>
      </c>
    </row>
    <row r="325" spans="3:19" ht="5.0999999999999996" customHeight="1" x14ac:dyDescent="0.25"/>
    <row r="326" spans="3:19" collapsed="1" x14ac:dyDescent="0.25">
      <c r="C326" s="1" t="s">
        <v>148</v>
      </c>
      <c r="G326" s="69">
        <f>SUM(G327:G329)</f>
        <v>0</v>
      </c>
      <c r="H326" s="69">
        <f t="shared" ref="H326:S326" si="378">SUM(H327:H329)</f>
        <v>0</v>
      </c>
      <c r="I326" s="69">
        <f t="shared" si="378"/>
        <v>0</v>
      </c>
      <c r="J326" s="69">
        <f t="shared" si="378"/>
        <v>0</v>
      </c>
      <c r="K326" s="69">
        <f t="shared" si="378"/>
        <v>0</v>
      </c>
      <c r="L326" s="69">
        <f t="shared" si="378"/>
        <v>0</v>
      </c>
      <c r="M326" s="69">
        <f t="shared" si="378"/>
        <v>0</v>
      </c>
      <c r="N326" s="69">
        <f t="shared" si="378"/>
        <v>0</v>
      </c>
      <c r="O326" s="69">
        <f t="shared" si="378"/>
        <v>0</v>
      </c>
      <c r="P326" s="69">
        <f t="shared" si="378"/>
        <v>0</v>
      </c>
      <c r="Q326" s="69">
        <f t="shared" si="378"/>
        <v>0</v>
      </c>
      <c r="R326" s="69">
        <f t="shared" si="378"/>
        <v>0</v>
      </c>
      <c r="S326" s="69">
        <f t="shared" si="378"/>
        <v>0</v>
      </c>
    </row>
    <row r="327" spans="3:19" hidden="1" outlineLevel="1" x14ac:dyDescent="0.25">
      <c r="C327" s="68" t="s">
        <v>128</v>
      </c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</row>
    <row r="328" spans="3:19" hidden="1" outlineLevel="1" x14ac:dyDescent="0.25">
      <c r="C328" s="68" t="s">
        <v>128</v>
      </c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</row>
    <row r="329" spans="3:19" hidden="1" outlineLevel="1" x14ac:dyDescent="0.25">
      <c r="C329" s="68" t="s">
        <v>128</v>
      </c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</row>
    <row r="330" spans="3:19" ht="5.0999999999999996" customHeight="1" x14ac:dyDescent="0.25"/>
    <row r="331" spans="3:19" x14ac:dyDescent="0.25">
      <c r="C331" s="14" t="s">
        <v>149</v>
      </c>
      <c r="G331" s="73">
        <f>G324 + G326</f>
        <v>0</v>
      </c>
      <c r="H331" s="73">
        <f t="shared" ref="H331:S331" si="379">H324 + H326</f>
        <v>0</v>
      </c>
      <c r="I331" s="73">
        <f t="shared" si="379"/>
        <v>0</v>
      </c>
      <c r="J331" s="73">
        <f t="shared" si="379"/>
        <v>0</v>
      </c>
      <c r="K331" s="73">
        <f t="shared" si="379"/>
        <v>0</v>
      </c>
      <c r="L331" s="73">
        <f t="shared" si="379"/>
        <v>0</v>
      </c>
      <c r="M331" s="73">
        <f t="shared" si="379"/>
        <v>0</v>
      </c>
      <c r="N331" s="73">
        <f t="shared" si="379"/>
        <v>0</v>
      </c>
      <c r="O331" s="73">
        <f t="shared" si="379"/>
        <v>0</v>
      </c>
      <c r="P331" s="73">
        <f t="shared" si="379"/>
        <v>0</v>
      </c>
      <c r="Q331" s="73">
        <f t="shared" si="379"/>
        <v>0</v>
      </c>
      <c r="R331" s="73">
        <f t="shared" si="379"/>
        <v>0</v>
      </c>
      <c r="S331" s="73">
        <f t="shared" si="379"/>
        <v>0</v>
      </c>
    </row>
    <row r="332" spans="3:19" x14ac:dyDescent="0.25"/>
    <row r="337" x14ac:dyDescent="0.25"/>
    <row r="338" x14ac:dyDescent="0.25"/>
    <row r="339" x14ac:dyDescent="0.25"/>
    <row r="340" x14ac:dyDescent="0.25"/>
    <row r="34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C051-9E6A-44C6-BA8E-2EB20CEE9681}">
  <sheetPr>
    <tabColor theme="9" tint="0.79998168889431442"/>
    <outlinePr summaryBelow="0" summaryRight="0"/>
  </sheetPr>
  <dimension ref="A1:BJ115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7" style="1" bestFit="1" customWidth="1"/>
    <col min="4" max="5" width="1.7109375" style="1" customWidth="1"/>
    <col min="6" max="57" width="12.7109375" style="1" customWidth="1"/>
    <col min="58" max="58" width="1.7109375" style="1" customWidth="1"/>
    <col min="59" max="62" width="0" style="1" hidden="1" customWidth="1"/>
    <col min="63" max="16384" width="9.140625" style="1" hidden="1"/>
  </cols>
  <sheetData>
    <row r="1" spans="1:5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 ht="15.75" x14ac:dyDescent="0.25">
      <c r="A3" s="2"/>
      <c r="B3" s="16" t="s">
        <v>192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x14ac:dyDescent="0.25"/>
    <row r="6" spans="1:58" x14ac:dyDescent="0.25"/>
    <row r="7" spans="1:58" x14ac:dyDescent="0.25">
      <c r="C7" s="3" t="s">
        <v>0</v>
      </c>
      <c r="F7" s="4">
        <v>46174</v>
      </c>
      <c r="G7" s="5">
        <f t="shared" ref="G7:R7" si="0">F8+1</f>
        <v>46181</v>
      </c>
      <c r="H7" s="5">
        <f t="shared" si="0"/>
        <v>46188</v>
      </c>
      <c r="I7" s="5">
        <f t="shared" si="0"/>
        <v>46195</v>
      </c>
      <c r="J7" s="5">
        <f t="shared" si="0"/>
        <v>46202</v>
      </c>
      <c r="K7" s="5">
        <f t="shared" si="0"/>
        <v>46209</v>
      </c>
      <c r="L7" s="5">
        <f t="shared" si="0"/>
        <v>46216</v>
      </c>
      <c r="M7" s="5">
        <f t="shared" si="0"/>
        <v>46223</v>
      </c>
      <c r="N7" s="5">
        <f t="shared" si="0"/>
        <v>46230</v>
      </c>
      <c r="O7" s="5">
        <f t="shared" si="0"/>
        <v>46237</v>
      </c>
      <c r="P7" s="5">
        <f t="shared" si="0"/>
        <v>46244</v>
      </c>
      <c r="Q7" s="5">
        <f t="shared" si="0"/>
        <v>46251</v>
      </c>
      <c r="R7" s="5">
        <f t="shared" si="0"/>
        <v>46258</v>
      </c>
      <c r="S7" s="5">
        <f t="shared" ref="S7" si="1">R8+1</f>
        <v>46265</v>
      </c>
      <c r="T7" s="5">
        <f t="shared" ref="T7" si="2">S8+1</f>
        <v>46272</v>
      </c>
      <c r="U7" s="5">
        <f t="shared" ref="U7" si="3">T8+1</f>
        <v>46279</v>
      </c>
      <c r="V7" s="5">
        <f t="shared" ref="V7" si="4">U8+1</f>
        <v>46286</v>
      </c>
      <c r="W7" s="5">
        <f t="shared" ref="W7" si="5">V8+1</f>
        <v>46293</v>
      </c>
      <c r="X7" s="5">
        <f t="shared" ref="X7" si="6">W8+1</f>
        <v>46300</v>
      </c>
      <c r="Y7" s="5">
        <f t="shared" ref="Y7" si="7">X8+1</f>
        <v>46307</v>
      </c>
      <c r="Z7" s="5">
        <f t="shared" ref="Z7" si="8">Y8+1</f>
        <v>46314</v>
      </c>
      <c r="AA7" s="5">
        <f t="shared" ref="AA7" si="9">Z8+1</f>
        <v>46321</v>
      </c>
      <c r="AB7" s="5">
        <f t="shared" ref="AB7" si="10">AA8+1</f>
        <v>46328</v>
      </c>
      <c r="AC7" s="5">
        <f t="shared" ref="AC7" si="11">AB8+1</f>
        <v>46335</v>
      </c>
      <c r="AD7" s="5">
        <f t="shared" ref="AD7" si="12">AC8+1</f>
        <v>46342</v>
      </c>
      <c r="AE7" s="5">
        <f t="shared" ref="AE7" si="13">AD8+1</f>
        <v>46349</v>
      </c>
      <c r="AF7" s="5">
        <f t="shared" ref="AF7" si="14">AE8+1</f>
        <v>46356</v>
      </c>
      <c r="AG7" s="5">
        <f t="shared" ref="AG7" si="15">AF8+1</f>
        <v>46363</v>
      </c>
      <c r="AH7" s="5">
        <f t="shared" ref="AH7" si="16">AG8+1</f>
        <v>46370</v>
      </c>
      <c r="AI7" s="5">
        <f t="shared" ref="AI7" si="17">AH8+1</f>
        <v>46377</v>
      </c>
      <c r="AJ7" s="5">
        <f t="shared" ref="AJ7" si="18">AI8+1</f>
        <v>46384</v>
      </c>
      <c r="AK7" s="5">
        <f t="shared" ref="AK7" si="19">AJ8+1</f>
        <v>46391</v>
      </c>
      <c r="AL7" s="5">
        <f t="shared" ref="AL7" si="20">AK8+1</f>
        <v>46398</v>
      </c>
      <c r="AM7" s="5">
        <f t="shared" ref="AM7" si="21">AL8+1</f>
        <v>46405</v>
      </c>
      <c r="AN7" s="5">
        <f t="shared" ref="AN7" si="22">AM8+1</f>
        <v>46412</v>
      </c>
      <c r="AO7" s="5">
        <f t="shared" ref="AO7" si="23">AN8+1</f>
        <v>46419</v>
      </c>
      <c r="AP7" s="5">
        <f t="shared" ref="AP7" si="24">AO8+1</f>
        <v>46426</v>
      </c>
      <c r="AQ7" s="5">
        <f t="shared" ref="AQ7" si="25">AP8+1</f>
        <v>46433</v>
      </c>
      <c r="AR7" s="5">
        <f t="shared" ref="AR7" si="26">AQ8+1</f>
        <v>46440</v>
      </c>
      <c r="AS7" s="5">
        <f t="shared" ref="AS7" si="27">AR8+1</f>
        <v>46447</v>
      </c>
      <c r="AT7" s="5">
        <f t="shared" ref="AT7" si="28">AS8+1</f>
        <v>46454</v>
      </c>
      <c r="AU7" s="5">
        <f t="shared" ref="AU7" si="29">AT8+1</f>
        <v>46461</v>
      </c>
      <c r="AV7" s="5">
        <f t="shared" ref="AV7" si="30">AU8+1</f>
        <v>46468</v>
      </c>
      <c r="AW7" s="5">
        <f t="shared" ref="AW7" si="31">AV8+1</f>
        <v>46475</v>
      </c>
      <c r="AX7" s="5">
        <f t="shared" ref="AX7" si="32">AW8+1</f>
        <v>46482</v>
      </c>
      <c r="AY7" s="5">
        <f t="shared" ref="AY7" si="33">AX8+1</f>
        <v>46489</v>
      </c>
      <c r="AZ7" s="5">
        <f t="shared" ref="AZ7" si="34">AY8+1</f>
        <v>46496</v>
      </c>
      <c r="BA7" s="5">
        <f t="shared" ref="BA7" si="35">AZ8+1</f>
        <v>46503</v>
      </c>
      <c r="BB7" s="5">
        <f t="shared" ref="BB7" si="36">BA8+1</f>
        <v>46510</v>
      </c>
      <c r="BC7" s="5">
        <f t="shared" ref="BC7" si="37">BB8+1</f>
        <v>46517</v>
      </c>
      <c r="BD7" s="5">
        <f t="shared" ref="BD7" si="38">BC8+1</f>
        <v>46524</v>
      </c>
      <c r="BE7" s="5">
        <f t="shared" ref="BE7" si="39">BD8+1</f>
        <v>46531</v>
      </c>
    </row>
    <row r="8" spans="1:58" x14ac:dyDescent="0.25">
      <c r="C8" s="3" t="s">
        <v>1</v>
      </c>
      <c r="F8" s="5">
        <f t="shared" ref="F8:R8" si="40">F7+6</f>
        <v>46180</v>
      </c>
      <c r="G8" s="5">
        <f t="shared" si="40"/>
        <v>46187</v>
      </c>
      <c r="H8" s="5">
        <f t="shared" si="40"/>
        <v>46194</v>
      </c>
      <c r="I8" s="5">
        <f t="shared" si="40"/>
        <v>46201</v>
      </c>
      <c r="J8" s="5">
        <f t="shared" si="40"/>
        <v>46208</v>
      </c>
      <c r="K8" s="5">
        <f t="shared" si="40"/>
        <v>46215</v>
      </c>
      <c r="L8" s="5">
        <f t="shared" si="40"/>
        <v>46222</v>
      </c>
      <c r="M8" s="5">
        <f t="shared" si="40"/>
        <v>46229</v>
      </c>
      <c r="N8" s="5">
        <f t="shared" si="40"/>
        <v>46236</v>
      </c>
      <c r="O8" s="5">
        <f t="shared" si="40"/>
        <v>46243</v>
      </c>
      <c r="P8" s="5">
        <f t="shared" si="40"/>
        <v>46250</v>
      </c>
      <c r="Q8" s="5">
        <f t="shared" si="40"/>
        <v>46257</v>
      </c>
      <c r="R8" s="5">
        <f t="shared" si="40"/>
        <v>46264</v>
      </c>
      <c r="S8" s="5">
        <f t="shared" ref="S8:AI8" si="41">S7+6</f>
        <v>46271</v>
      </c>
      <c r="T8" s="5">
        <f t="shared" si="41"/>
        <v>46278</v>
      </c>
      <c r="U8" s="5">
        <f t="shared" si="41"/>
        <v>46285</v>
      </c>
      <c r="V8" s="5">
        <f t="shared" si="41"/>
        <v>46292</v>
      </c>
      <c r="W8" s="5">
        <f t="shared" si="41"/>
        <v>46299</v>
      </c>
      <c r="X8" s="5">
        <f t="shared" si="41"/>
        <v>46306</v>
      </c>
      <c r="Y8" s="5">
        <f t="shared" si="41"/>
        <v>46313</v>
      </c>
      <c r="Z8" s="5">
        <f t="shared" si="41"/>
        <v>46320</v>
      </c>
      <c r="AA8" s="5">
        <f t="shared" si="41"/>
        <v>46327</v>
      </c>
      <c r="AB8" s="5">
        <f t="shared" si="41"/>
        <v>46334</v>
      </c>
      <c r="AC8" s="5">
        <f t="shared" si="41"/>
        <v>46341</v>
      </c>
      <c r="AD8" s="5">
        <f t="shared" si="41"/>
        <v>46348</v>
      </c>
      <c r="AE8" s="5">
        <f t="shared" si="41"/>
        <v>46355</v>
      </c>
      <c r="AF8" s="5">
        <f t="shared" si="41"/>
        <v>46362</v>
      </c>
      <c r="AG8" s="5">
        <f t="shared" si="41"/>
        <v>46369</v>
      </c>
      <c r="AH8" s="5">
        <f t="shared" si="41"/>
        <v>46376</v>
      </c>
      <c r="AI8" s="5">
        <f t="shared" si="41"/>
        <v>46383</v>
      </c>
      <c r="AJ8" s="5">
        <f t="shared" ref="AJ8:BE8" si="42">AJ7+6</f>
        <v>46390</v>
      </c>
      <c r="AK8" s="5">
        <f t="shared" si="42"/>
        <v>46397</v>
      </c>
      <c r="AL8" s="5">
        <f t="shared" si="42"/>
        <v>46404</v>
      </c>
      <c r="AM8" s="5">
        <f t="shared" si="42"/>
        <v>46411</v>
      </c>
      <c r="AN8" s="5">
        <f t="shared" si="42"/>
        <v>46418</v>
      </c>
      <c r="AO8" s="5">
        <f t="shared" si="42"/>
        <v>46425</v>
      </c>
      <c r="AP8" s="5">
        <f t="shared" si="42"/>
        <v>46432</v>
      </c>
      <c r="AQ8" s="5">
        <f t="shared" si="42"/>
        <v>46439</v>
      </c>
      <c r="AR8" s="5">
        <f t="shared" si="42"/>
        <v>46446</v>
      </c>
      <c r="AS8" s="5">
        <f t="shared" si="42"/>
        <v>46453</v>
      </c>
      <c r="AT8" s="5">
        <f t="shared" si="42"/>
        <v>46460</v>
      </c>
      <c r="AU8" s="5">
        <f t="shared" si="42"/>
        <v>46467</v>
      </c>
      <c r="AV8" s="5">
        <f t="shared" si="42"/>
        <v>46474</v>
      </c>
      <c r="AW8" s="5">
        <f t="shared" si="42"/>
        <v>46481</v>
      </c>
      <c r="AX8" s="5">
        <f t="shared" si="42"/>
        <v>46488</v>
      </c>
      <c r="AY8" s="5">
        <f t="shared" si="42"/>
        <v>46495</v>
      </c>
      <c r="AZ8" s="5">
        <f t="shared" si="42"/>
        <v>46502</v>
      </c>
      <c r="BA8" s="5">
        <f t="shared" si="42"/>
        <v>46509</v>
      </c>
      <c r="BB8" s="5">
        <f t="shared" si="42"/>
        <v>46516</v>
      </c>
      <c r="BC8" s="5">
        <f t="shared" si="42"/>
        <v>46523</v>
      </c>
      <c r="BD8" s="5">
        <f t="shared" si="42"/>
        <v>46530</v>
      </c>
      <c r="BE8" s="5">
        <f t="shared" si="42"/>
        <v>46537</v>
      </c>
    </row>
    <row r="9" spans="1:58" x14ac:dyDescent="0.25">
      <c r="C9" s="3" t="s">
        <v>3</v>
      </c>
      <c r="F9" s="8">
        <f t="shared" ref="F9:AI9" si="43">WEEKNUM(F7, 21)</f>
        <v>23</v>
      </c>
      <c r="G9" s="8">
        <f t="shared" si="43"/>
        <v>24</v>
      </c>
      <c r="H9" s="8">
        <f t="shared" si="43"/>
        <v>25</v>
      </c>
      <c r="I9" s="8">
        <f t="shared" si="43"/>
        <v>26</v>
      </c>
      <c r="J9" s="8">
        <f t="shared" si="43"/>
        <v>27</v>
      </c>
      <c r="K9" s="8">
        <f t="shared" si="43"/>
        <v>28</v>
      </c>
      <c r="L9" s="8">
        <f t="shared" si="43"/>
        <v>29</v>
      </c>
      <c r="M9" s="8">
        <f t="shared" si="43"/>
        <v>30</v>
      </c>
      <c r="N9" s="8">
        <f t="shared" si="43"/>
        <v>31</v>
      </c>
      <c r="O9" s="8">
        <f t="shared" si="43"/>
        <v>32</v>
      </c>
      <c r="P9" s="8">
        <f t="shared" si="43"/>
        <v>33</v>
      </c>
      <c r="Q9" s="8">
        <f t="shared" si="43"/>
        <v>34</v>
      </c>
      <c r="R9" s="8">
        <f t="shared" si="43"/>
        <v>35</v>
      </c>
      <c r="S9" s="8">
        <f t="shared" si="43"/>
        <v>36</v>
      </c>
      <c r="T9" s="8">
        <f t="shared" si="43"/>
        <v>37</v>
      </c>
      <c r="U9" s="8">
        <f t="shared" si="43"/>
        <v>38</v>
      </c>
      <c r="V9" s="8">
        <f t="shared" si="43"/>
        <v>39</v>
      </c>
      <c r="W9" s="8">
        <f t="shared" si="43"/>
        <v>40</v>
      </c>
      <c r="X9" s="8">
        <f t="shared" si="43"/>
        <v>41</v>
      </c>
      <c r="Y9" s="8">
        <f t="shared" si="43"/>
        <v>42</v>
      </c>
      <c r="Z9" s="8">
        <f t="shared" si="43"/>
        <v>43</v>
      </c>
      <c r="AA9" s="8">
        <f t="shared" si="43"/>
        <v>44</v>
      </c>
      <c r="AB9" s="8">
        <f t="shared" si="43"/>
        <v>45</v>
      </c>
      <c r="AC9" s="8">
        <f t="shared" si="43"/>
        <v>46</v>
      </c>
      <c r="AD9" s="8">
        <f t="shared" si="43"/>
        <v>47</v>
      </c>
      <c r="AE9" s="8">
        <f t="shared" si="43"/>
        <v>48</v>
      </c>
      <c r="AF9" s="8">
        <f t="shared" si="43"/>
        <v>49</v>
      </c>
      <c r="AG9" s="8">
        <f t="shared" si="43"/>
        <v>50</v>
      </c>
      <c r="AH9" s="8">
        <f t="shared" si="43"/>
        <v>51</v>
      </c>
      <c r="AI9" s="8">
        <f t="shared" si="43"/>
        <v>52</v>
      </c>
      <c r="AJ9" s="8">
        <f t="shared" ref="AJ9:BE9" si="44">WEEKNUM(AJ7, 21)</f>
        <v>53</v>
      </c>
      <c r="AK9" s="8">
        <f t="shared" si="44"/>
        <v>1</v>
      </c>
      <c r="AL9" s="8">
        <f t="shared" si="44"/>
        <v>2</v>
      </c>
      <c r="AM9" s="8">
        <f t="shared" si="44"/>
        <v>3</v>
      </c>
      <c r="AN9" s="8">
        <f t="shared" si="44"/>
        <v>4</v>
      </c>
      <c r="AO9" s="8">
        <f t="shared" si="44"/>
        <v>5</v>
      </c>
      <c r="AP9" s="8">
        <f t="shared" si="44"/>
        <v>6</v>
      </c>
      <c r="AQ9" s="8">
        <f t="shared" si="44"/>
        <v>7</v>
      </c>
      <c r="AR9" s="8">
        <f t="shared" si="44"/>
        <v>8</v>
      </c>
      <c r="AS9" s="8">
        <f t="shared" si="44"/>
        <v>9</v>
      </c>
      <c r="AT9" s="8">
        <f t="shared" si="44"/>
        <v>10</v>
      </c>
      <c r="AU9" s="8">
        <f t="shared" si="44"/>
        <v>11</v>
      </c>
      <c r="AV9" s="8">
        <f t="shared" si="44"/>
        <v>12</v>
      </c>
      <c r="AW9" s="8">
        <f t="shared" si="44"/>
        <v>13</v>
      </c>
      <c r="AX9" s="8">
        <f t="shared" si="44"/>
        <v>14</v>
      </c>
      <c r="AY9" s="8">
        <f t="shared" si="44"/>
        <v>15</v>
      </c>
      <c r="AZ9" s="8">
        <f t="shared" si="44"/>
        <v>16</v>
      </c>
      <c r="BA9" s="8">
        <f t="shared" si="44"/>
        <v>17</v>
      </c>
      <c r="BB9" s="8">
        <f t="shared" si="44"/>
        <v>18</v>
      </c>
      <c r="BC9" s="8">
        <f t="shared" si="44"/>
        <v>19</v>
      </c>
      <c r="BD9" s="8">
        <f t="shared" si="44"/>
        <v>20</v>
      </c>
      <c r="BE9" s="8">
        <f t="shared" si="44"/>
        <v>21</v>
      </c>
    </row>
    <row r="10" spans="1:58" x14ac:dyDescent="0.25">
      <c r="C10" s="3" t="s">
        <v>4</v>
      </c>
      <c r="F10" s="10" t="s">
        <v>193</v>
      </c>
      <c r="G10" s="10" t="s">
        <v>193</v>
      </c>
      <c r="H10" s="10" t="s">
        <v>193</v>
      </c>
      <c r="I10" s="10" t="s">
        <v>193</v>
      </c>
      <c r="J10" s="10" t="s">
        <v>193</v>
      </c>
      <c r="K10" s="10" t="s">
        <v>193</v>
      </c>
      <c r="L10" s="10" t="s">
        <v>193</v>
      </c>
      <c r="M10" s="10" t="s">
        <v>193</v>
      </c>
      <c r="N10" s="10" t="s">
        <v>193</v>
      </c>
      <c r="O10" s="10" t="s">
        <v>193</v>
      </c>
      <c r="P10" s="10" t="s">
        <v>193</v>
      </c>
      <c r="Q10" s="10" t="s">
        <v>193</v>
      </c>
      <c r="R10" s="10" t="s">
        <v>193</v>
      </c>
      <c r="S10" s="10" t="s">
        <v>193</v>
      </c>
      <c r="T10" s="10" t="s">
        <v>193</v>
      </c>
      <c r="U10" s="10" t="s">
        <v>193</v>
      </c>
      <c r="V10" s="10" t="s">
        <v>193</v>
      </c>
      <c r="W10" s="10" t="s">
        <v>193</v>
      </c>
      <c r="X10" s="10" t="s">
        <v>193</v>
      </c>
      <c r="Y10" s="10" t="s">
        <v>193</v>
      </c>
      <c r="Z10" s="10" t="s">
        <v>193</v>
      </c>
      <c r="AA10" s="10" t="s">
        <v>193</v>
      </c>
      <c r="AB10" s="10" t="s">
        <v>193</v>
      </c>
      <c r="AC10" s="10" t="s">
        <v>193</v>
      </c>
      <c r="AD10" s="10" t="s">
        <v>193</v>
      </c>
      <c r="AE10" s="10" t="s">
        <v>193</v>
      </c>
      <c r="AF10" s="10" t="s">
        <v>193</v>
      </c>
      <c r="AG10" s="10" t="s">
        <v>193</v>
      </c>
      <c r="AH10" s="10" t="s">
        <v>193</v>
      </c>
      <c r="AI10" s="10" t="s">
        <v>193</v>
      </c>
      <c r="AJ10" s="10" t="s">
        <v>193</v>
      </c>
      <c r="AK10" s="10" t="s">
        <v>193</v>
      </c>
      <c r="AL10" s="10" t="s">
        <v>193</v>
      </c>
      <c r="AM10" s="10" t="s">
        <v>193</v>
      </c>
      <c r="AN10" s="10" t="s">
        <v>193</v>
      </c>
      <c r="AO10" s="10" t="s">
        <v>193</v>
      </c>
      <c r="AP10" s="10" t="s">
        <v>193</v>
      </c>
      <c r="AQ10" s="10" t="s">
        <v>193</v>
      </c>
      <c r="AR10" s="10" t="s">
        <v>193</v>
      </c>
      <c r="AS10" s="10" t="s">
        <v>193</v>
      </c>
      <c r="AT10" s="10" t="s">
        <v>193</v>
      </c>
      <c r="AU10" s="10" t="s">
        <v>193</v>
      </c>
      <c r="AV10" s="10" t="s">
        <v>193</v>
      </c>
      <c r="AW10" s="10" t="s">
        <v>193</v>
      </c>
      <c r="AX10" s="10" t="s">
        <v>193</v>
      </c>
      <c r="AY10" s="10" t="s">
        <v>193</v>
      </c>
      <c r="AZ10" s="10" t="s">
        <v>193</v>
      </c>
      <c r="BA10" s="10" t="s">
        <v>193</v>
      </c>
      <c r="BB10" s="10" t="s">
        <v>193</v>
      </c>
      <c r="BC10" s="10" t="s">
        <v>193</v>
      </c>
      <c r="BD10" s="10" t="s">
        <v>193</v>
      </c>
      <c r="BE10" s="10" t="s">
        <v>193</v>
      </c>
    </row>
    <row r="11" spans="1:58" ht="5.0999999999999996" customHeight="1" x14ac:dyDescent="0.25"/>
    <row r="12" spans="1:58" x14ac:dyDescent="0.25">
      <c r="C12" s="12" t="s">
        <v>131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</row>
    <row r="13" spans="1:58" ht="5.0999999999999996" customHeight="1" x14ac:dyDescent="0.25"/>
    <row r="14" spans="1:58" x14ac:dyDescent="0.25">
      <c r="C14" s="1" t="s">
        <v>142</v>
      </c>
      <c r="F14" s="69">
        <f>SUMIFS(Bank_postings[Amount], Bank_postings[Date], "&gt;="&amp;'Cash actuals'!F$7, Bank_postings[Date], "&lt;="&amp;'Cash actuals'!F$8, Bank_postings[Sub-category (output)], 'Cash actuals'!$C14)</f>
        <v>0</v>
      </c>
      <c r="G14" s="69">
        <f>SUMIFS(Bank_postings[Amount], Bank_postings[Date], "&gt;="&amp;'Cash actuals'!G$7, Bank_postings[Date], "&lt;="&amp;'Cash actuals'!G$8, Bank_postings[Sub-category (output)], 'Cash actuals'!$C14)</f>
        <v>0</v>
      </c>
      <c r="H14" s="69">
        <f>SUMIFS(Bank_postings[Amount], Bank_postings[Date], "&gt;="&amp;'Cash actuals'!H$7, Bank_postings[Date], "&lt;="&amp;'Cash actuals'!H$8, Bank_postings[Sub-category (output)], 'Cash actuals'!$C14)</f>
        <v>0</v>
      </c>
      <c r="I14" s="69">
        <f>SUMIFS(Bank_postings[Amount], Bank_postings[Date], "&gt;="&amp;'Cash actuals'!I$7, Bank_postings[Date], "&lt;="&amp;'Cash actuals'!I$8, Bank_postings[Sub-category (output)], 'Cash actuals'!$C14)</f>
        <v>0</v>
      </c>
      <c r="J14" s="69">
        <f>SUMIFS(Bank_postings[Amount], Bank_postings[Date], "&gt;="&amp;'Cash actuals'!J$7, Bank_postings[Date], "&lt;="&amp;'Cash actuals'!J$8, Bank_postings[Sub-category (output)], 'Cash actuals'!$C14)</f>
        <v>0</v>
      </c>
      <c r="K14" s="69">
        <f>SUMIFS(Bank_postings[Amount], Bank_postings[Date], "&gt;="&amp;'Cash actuals'!K$7, Bank_postings[Date], "&lt;="&amp;'Cash actuals'!K$8, Bank_postings[Sub-category (output)], 'Cash actuals'!$C14)</f>
        <v>0</v>
      </c>
      <c r="L14" s="69">
        <f>SUMIFS(Bank_postings[Amount], Bank_postings[Date], "&gt;="&amp;'Cash actuals'!L$7, Bank_postings[Date], "&lt;="&amp;'Cash actuals'!L$8, Bank_postings[Sub-category (output)], 'Cash actuals'!$C14)</f>
        <v>0</v>
      </c>
      <c r="M14" s="69">
        <f>SUMIFS(Bank_postings[Amount], Bank_postings[Date], "&gt;="&amp;'Cash actuals'!M$7, Bank_postings[Date], "&lt;="&amp;'Cash actuals'!M$8, Bank_postings[Sub-category (output)], 'Cash actuals'!$C14)</f>
        <v>0</v>
      </c>
      <c r="N14" s="69">
        <f>SUMIFS(Bank_postings[Amount], Bank_postings[Date], "&gt;="&amp;'Cash actuals'!N$7, Bank_postings[Date], "&lt;="&amp;'Cash actuals'!N$8, Bank_postings[Sub-category (output)], 'Cash actuals'!$C14)</f>
        <v>0</v>
      </c>
      <c r="O14" s="69">
        <f>SUMIFS(Bank_postings[Amount], Bank_postings[Date], "&gt;="&amp;'Cash actuals'!O$7, Bank_postings[Date], "&lt;="&amp;'Cash actuals'!O$8, Bank_postings[Sub-category (output)], 'Cash actuals'!$C14)</f>
        <v>0</v>
      </c>
      <c r="P14" s="69">
        <f>SUMIFS(Bank_postings[Amount], Bank_postings[Date], "&gt;="&amp;'Cash actuals'!P$7, Bank_postings[Date], "&lt;="&amp;'Cash actuals'!P$8, Bank_postings[Sub-category (output)], 'Cash actuals'!$C14)</f>
        <v>0</v>
      </c>
      <c r="Q14" s="69">
        <f>SUMIFS(Bank_postings[Amount], Bank_postings[Date], "&gt;="&amp;'Cash actuals'!Q$7, Bank_postings[Date], "&lt;="&amp;'Cash actuals'!Q$8, Bank_postings[Sub-category (output)], 'Cash actuals'!$C14)</f>
        <v>0</v>
      </c>
      <c r="R14" s="69">
        <f>SUMIFS(Bank_postings[Amount], Bank_postings[Date], "&gt;="&amp;'Cash actuals'!R$7, Bank_postings[Date], "&lt;="&amp;'Cash actuals'!R$8, Bank_postings[Sub-category (output)], 'Cash actuals'!$C14)</f>
        <v>0</v>
      </c>
      <c r="S14" s="69">
        <f>SUMIFS(Bank_postings[Amount], Bank_postings[Date], "&gt;="&amp;'Cash actuals'!S$7, Bank_postings[Date], "&lt;="&amp;'Cash actuals'!S$8, Bank_postings[Sub-category (output)], 'Cash actuals'!$C14)</f>
        <v>0</v>
      </c>
      <c r="T14" s="69">
        <f>SUMIFS(Bank_postings[Amount], Bank_postings[Date], "&gt;="&amp;'Cash actuals'!T$7, Bank_postings[Date], "&lt;="&amp;'Cash actuals'!T$8, Bank_postings[Sub-category (output)], 'Cash actuals'!$C14)</f>
        <v>0</v>
      </c>
      <c r="U14" s="69">
        <f>SUMIFS(Bank_postings[Amount], Bank_postings[Date], "&gt;="&amp;'Cash actuals'!U$7, Bank_postings[Date], "&lt;="&amp;'Cash actuals'!U$8, Bank_postings[Sub-category (output)], 'Cash actuals'!$C14)</f>
        <v>0</v>
      </c>
      <c r="V14" s="69">
        <f>SUMIFS(Bank_postings[Amount], Bank_postings[Date], "&gt;="&amp;'Cash actuals'!V$7, Bank_postings[Date], "&lt;="&amp;'Cash actuals'!V$8, Bank_postings[Sub-category (output)], 'Cash actuals'!$C14)</f>
        <v>0</v>
      </c>
      <c r="W14" s="69">
        <f>SUMIFS(Bank_postings[Amount], Bank_postings[Date], "&gt;="&amp;'Cash actuals'!W$7, Bank_postings[Date], "&lt;="&amp;'Cash actuals'!W$8, Bank_postings[Sub-category (output)], 'Cash actuals'!$C14)</f>
        <v>0</v>
      </c>
      <c r="X14" s="69">
        <f>SUMIFS(Bank_postings[Amount], Bank_postings[Date], "&gt;="&amp;'Cash actuals'!X$7, Bank_postings[Date], "&lt;="&amp;'Cash actuals'!X$8, Bank_postings[Sub-category (output)], 'Cash actuals'!$C14)</f>
        <v>0</v>
      </c>
      <c r="Y14" s="69">
        <f>SUMIFS(Bank_postings[Amount], Bank_postings[Date], "&gt;="&amp;'Cash actuals'!Y$7, Bank_postings[Date], "&lt;="&amp;'Cash actuals'!Y$8, Bank_postings[Sub-category (output)], 'Cash actuals'!$C14)</f>
        <v>0</v>
      </c>
      <c r="Z14" s="69">
        <f>SUMIFS(Bank_postings[Amount], Bank_postings[Date], "&gt;="&amp;'Cash actuals'!Z$7, Bank_postings[Date], "&lt;="&amp;'Cash actuals'!Z$8, Bank_postings[Sub-category (output)], 'Cash actuals'!$C14)</f>
        <v>0</v>
      </c>
      <c r="AA14" s="69">
        <f>SUMIFS(Bank_postings[Amount], Bank_postings[Date], "&gt;="&amp;'Cash actuals'!AA$7, Bank_postings[Date], "&lt;="&amp;'Cash actuals'!AA$8, Bank_postings[Sub-category (output)], 'Cash actuals'!$C14)</f>
        <v>0</v>
      </c>
      <c r="AB14" s="69">
        <f>SUMIFS(Bank_postings[Amount], Bank_postings[Date], "&gt;="&amp;'Cash actuals'!AB$7, Bank_postings[Date], "&lt;="&amp;'Cash actuals'!AB$8, Bank_postings[Sub-category (output)], 'Cash actuals'!$C14)</f>
        <v>0</v>
      </c>
      <c r="AC14" s="69">
        <f>SUMIFS(Bank_postings[Amount], Bank_postings[Date], "&gt;="&amp;'Cash actuals'!AC$7, Bank_postings[Date], "&lt;="&amp;'Cash actuals'!AC$8, Bank_postings[Sub-category (output)], 'Cash actuals'!$C14)</f>
        <v>0</v>
      </c>
      <c r="AD14" s="69">
        <f>SUMIFS(Bank_postings[Amount], Bank_postings[Date], "&gt;="&amp;'Cash actuals'!AD$7, Bank_postings[Date], "&lt;="&amp;'Cash actuals'!AD$8, Bank_postings[Sub-category (output)], 'Cash actuals'!$C14)</f>
        <v>0</v>
      </c>
      <c r="AE14" s="69">
        <f>SUMIFS(Bank_postings[Amount], Bank_postings[Date], "&gt;="&amp;'Cash actuals'!AE$7, Bank_postings[Date], "&lt;="&amp;'Cash actuals'!AE$8, Bank_postings[Sub-category (output)], 'Cash actuals'!$C14)</f>
        <v>0</v>
      </c>
      <c r="AF14" s="69">
        <f>SUMIFS(Bank_postings[Amount], Bank_postings[Date], "&gt;="&amp;'Cash actuals'!AF$7, Bank_postings[Date], "&lt;="&amp;'Cash actuals'!AF$8, Bank_postings[Sub-category (output)], 'Cash actuals'!$C14)</f>
        <v>0</v>
      </c>
      <c r="AG14" s="69">
        <f>SUMIFS(Bank_postings[Amount], Bank_postings[Date], "&gt;="&amp;'Cash actuals'!AG$7, Bank_postings[Date], "&lt;="&amp;'Cash actuals'!AG$8, Bank_postings[Sub-category (output)], 'Cash actuals'!$C14)</f>
        <v>0</v>
      </c>
      <c r="AH14" s="69">
        <f>SUMIFS(Bank_postings[Amount], Bank_postings[Date], "&gt;="&amp;'Cash actuals'!AH$7, Bank_postings[Date], "&lt;="&amp;'Cash actuals'!AH$8, Bank_postings[Sub-category (output)], 'Cash actuals'!$C14)</f>
        <v>0</v>
      </c>
      <c r="AI14" s="69">
        <f>SUMIFS(Bank_postings[Amount], Bank_postings[Date], "&gt;="&amp;'Cash actuals'!AI$7, Bank_postings[Date], "&lt;="&amp;'Cash actuals'!AI$8, Bank_postings[Sub-category (output)], 'Cash actuals'!$C14)</f>
        <v>0</v>
      </c>
      <c r="AJ14" s="69">
        <f>SUMIFS(Bank_postings[Amount], Bank_postings[Date], "&gt;="&amp;'Cash actuals'!AJ$7, Bank_postings[Date], "&lt;="&amp;'Cash actuals'!AJ$8, Bank_postings[Sub-category (output)], 'Cash actuals'!$C14)</f>
        <v>0</v>
      </c>
      <c r="AK14" s="69">
        <f>SUMIFS(Bank_postings[Amount], Bank_postings[Date], "&gt;="&amp;'Cash actuals'!AK$7, Bank_postings[Date], "&lt;="&amp;'Cash actuals'!AK$8, Bank_postings[Sub-category (output)], 'Cash actuals'!$C14)</f>
        <v>0</v>
      </c>
      <c r="AL14" s="69">
        <f>SUMIFS(Bank_postings[Amount], Bank_postings[Date], "&gt;="&amp;'Cash actuals'!AL$7, Bank_postings[Date], "&lt;="&amp;'Cash actuals'!AL$8, Bank_postings[Sub-category (output)], 'Cash actuals'!$C14)</f>
        <v>0</v>
      </c>
      <c r="AM14" s="69">
        <f>SUMIFS(Bank_postings[Amount], Bank_postings[Date], "&gt;="&amp;'Cash actuals'!AM$7, Bank_postings[Date], "&lt;="&amp;'Cash actuals'!AM$8, Bank_postings[Sub-category (output)], 'Cash actuals'!$C14)</f>
        <v>0</v>
      </c>
      <c r="AN14" s="69">
        <f>SUMIFS(Bank_postings[Amount], Bank_postings[Date], "&gt;="&amp;'Cash actuals'!AN$7, Bank_postings[Date], "&lt;="&amp;'Cash actuals'!AN$8, Bank_postings[Sub-category (output)], 'Cash actuals'!$C14)</f>
        <v>0</v>
      </c>
      <c r="AO14" s="69">
        <f>SUMIFS(Bank_postings[Amount], Bank_postings[Date], "&gt;="&amp;'Cash actuals'!AO$7, Bank_postings[Date], "&lt;="&amp;'Cash actuals'!AO$8, Bank_postings[Sub-category (output)], 'Cash actuals'!$C14)</f>
        <v>0</v>
      </c>
      <c r="AP14" s="69">
        <f>SUMIFS(Bank_postings[Amount], Bank_postings[Date], "&gt;="&amp;'Cash actuals'!AP$7, Bank_postings[Date], "&lt;="&amp;'Cash actuals'!AP$8, Bank_postings[Sub-category (output)], 'Cash actuals'!$C14)</f>
        <v>0</v>
      </c>
      <c r="AQ14" s="69">
        <f>SUMIFS(Bank_postings[Amount], Bank_postings[Date], "&gt;="&amp;'Cash actuals'!AQ$7, Bank_postings[Date], "&lt;="&amp;'Cash actuals'!AQ$8, Bank_postings[Sub-category (output)], 'Cash actuals'!$C14)</f>
        <v>0</v>
      </c>
      <c r="AR14" s="69">
        <f>SUMIFS(Bank_postings[Amount], Bank_postings[Date], "&gt;="&amp;'Cash actuals'!AR$7, Bank_postings[Date], "&lt;="&amp;'Cash actuals'!AR$8, Bank_postings[Sub-category (output)], 'Cash actuals'!$C14)</f>
        <v>0</v>
      </c>
      <c r="AS14" s="69">
        <f>SUMIFS(Bank_postings[Amount], Bank_postings[Date], "&gt;="&amp;'Cash actuals'!AS$7, Bank_postings[Date], "&lt;="&amp;'Cash actuals'!AS$8, Bank_postings[Sub-category (output)], 'Cash actuals'!$C14)</f>
        <v>0</v>
      </c>
      <c r="AT14" s="69">
        <f>SUMIFS(Bank_postings[Amount], Bank_postings[Date], "&gt;="&amp;'Cash actuals'!AT$7, Bank_postings[Date], "&lt;="&amp;'Cash actuals'!AT$8, Bank_postings[Sub-category (output)], 'Cash actuals'!$C14)</f>
        <v>0</v>
      </c>
      <c r="AU14" s="69">
        <f>SUMIFS(Bank_postings[Amount], Bank_postings[Date], "&gt;="&amp;'Cash actuals'!AU$7, Bank_postings[Date], "&lt;="&amp;'Cash actuals'!AU$8, Bank_postings[Sub-category (output)], 'Cash actuals'!$C14)</f>
        <v>0</v>
      </c>
      <c r="AV14" s="69">
        <f>SUMIFS(Bank_postings[Amount], Bank_postings[Date], "&gt;="&amp;'Cash actuals'!AV$7, Bank_postings[Date], "&lt;="&amp;'Cash actuals'!AV$8, Bank_postings[Sub-category (output)], 'Cash actuals'!$C14)</f>
        <v>0</v>
      </c>
      <c r="AW14" s="69">
        <f>SUMIFS(Bank_postings[Amount], Bank_postings[Date], "&gt;="&amp;'Cash actuals'!AW$7, Bank_postings[Date], "&lt;="&amp;'Cash actuals'!AW$8, Bank_postings[Sub-category (output)], 'Cash actuals'!$C14)</f>
        <v>0</v>
      </c>
      <c r="AX14" s="69">
        <f>SUMIFS(Bank_postings[Amount], Bank_postings[Date], "&gt;="&amp;'Cash actuals'!AX$7, Bank_postings[Date], "&lt;="&amp;'Cash actuals'!AX$8, Bank_postings[Sub-category (output)], 'Cash actuals'!$C14)</f>
        <v>0</v>
      </c>
      <c r="AY14" s="69">
        <f>SUMIFS(Bank_postings[Amount], Bank_postings[Date], "&gt;="&amp;'Cash actuals'!AY$7, Bank_postings[Date], "&lt;="&amp;'Cash actuals'!AY$8, Bank_postings[Sub-category (output)], 'Cash actuals'!$C14)</f>
        <v>0</v>
      </c>
      <c r="AZ14" s="69">
        <f>SUMIFS(Bank_postings[Amount], Bank_postings[Date], "&gt;="&amp;'Cash actuals'!AZ$7, Bank_postings[Date], "&lt;="&amp;'Cash actuals'!AZ$8, Bank_postings[Sub-category (output)], 'Cash actuals'!$C14)</f>
        <v>0</v>
      </c>
      <c r="BA14" s="69">
        <f>SUMIFS(Bank_postings[Amount], Bank_postings[Date], "&gt;="&amp;'Cash actuals'!BA$7, Bank_postings[Date], "&lt;="&amp;'Cash actuals'!BA$8, Bank_postings[Sub-category (output)], 'Cash actuals'!$C14)</f>
        <v>0</v>
      </c>
      <c r="BB14" s="69">
        <f>SUMIFS(Bank_postings[Amount], Bank_postings[Date], "&gt;="&amp;'Cash actuals'!BB$7, Bank_postings[Date], "&lt;="&amp;'Cash actuals'!BB$8, Bank_postings[Sub-category (output)], 'Cash actuals'!$C14)</f>
        <v>0</v>
      </c>
      <c r="BC14" s="69">
        <f>SUMIFS(Bank_postings[Amount], Bank_postings[Date], "&gt;="&amp;'Cash actuals'!BC$7, Bank_postings[Date], "&lt;="&amp;'Cash actuals'!BC$8, Bank_postings[Sub-category (output)], 'Cash actuals'!$C14)</f>
        <v>0</v>
      </c>
      <c r="BD14" s="69">
        <f>SUMIFS(Bank_postings[Amount], Bank_postings[Date], "&gt;="&amp;'Cash actuals'!BD$7, Bank_postings[Date], "&lt;="&amp;'Cash actuals'!BD$8, Bank_postings[Sub-category (output)], 'Cash actuals'!$C14)</f>
        <v>0</v>
      </c>
      <c r="BE14" s="69">
        <f>SUMIFS(Bank_postings[Amount], Bank_postings[Date], "&gt;="&amp;'Cash actuals'!BE$7, Bank_postings[Date], "&lt;="&amp;'Cash actuals'!BE$8, Bank_postings[Sub-category (output)], 'Cash actuals'!$C14)</f>
        <v>0</v>
      </c>
    </row>
    <row r="15" spans="1:58" ht="5.0999999999999996" customHeight="1" x14ac:dyDescent="0.25"/>
    <row r="16" spans="1:58" x14ac:dyDescent="0.25">
      <c r="C16" s="1" t="s">
        <v>8</v>
      </c>
      <c r="F16" s="69">
        <f>SUMIFS(Bank_postings[Amount], Bank_postings[Date], "&gt;="&amp;'Cash actuals'!F$7, Bank_postings[Date], "&lt;="&amp;'Cash actuals'!F$8, Bank_postings[Sub-category (output)], 'Cash actuals'!$C16)</f>
        <v>0</v>
      </c>
      <c r="G16" s="69">
        <f>SUMIFS(Bank_postings[Amount], Bank_postings[Date], "&gt;="&amp;'Cash actuals'!G$7, Bank_postings[Date], "&lt;="&amp;'Cash actuals'!G$8, Bank_postings[Sub-category (output)], 'Cash actuals'!$C16)</f>
        <v>0</v>
      </c>
      <c r="H16" s="69">
        <f>SUMIFS(Bank_postings[Amount], Bank_postings[Date], "&gt;="&amp;'Cash actuals'!H$7, Bank_postings[Date], "&lt;="&amp;'Cash actuals'!H$8, Bank_postings[Sub-category (output)], 'Cash actuals'!$C16)</f>
        <v>0</v>
      </c>
      <c r="I16" s="69">
        <f>SUMIFS(Bank_postings[Amount], Bank_postings[Date], "&gt;="&amp;'Cash actuals'!I$7, Bank_postings[Date], "&lt;="&amp;'Cash actuals'!I$8, Bank_postings[Sub-category (output)], 'Cash actuals'!$C16)</f>
        <v>0</v>
      </c>
      <c r="J16" s="69">
        <f>SUMIFS(Bank_postings[Amount], Bank_postings[Date], "&gt;="&amp;'Cash actuals'!J$7, Bank_postings[Date], "&lt;="&amp;'Cash actuals'!J$8, Bank_postings[Sub-category (output)], 'Cash actuals'!$C16)</f>
        <v>0</v>
      </c>
      <c r="K16" s="69">
        <f>SUMIFS(Bank_postings[Amount], Bank_postings[Date], "&gt;="&amp;'Cash actuals'!K$7, Bank_postings[Date], "&lt;="&amp;'Cash actuals'!K$8, Bank_postings[Sub-category (output)], 'Cash actuals'!$C16)</f>
        <v>0</v>
      </c>
      <c r="L16" s="69">
        <f>SUMIFS(Bank_postings[Amount], Bank_postings[Date], "&gt;="&amp;'Cash actuals'!L$7, Bank_postings[Date], "&lt;="&amp;'Cash actuals'!L$8, Bank_postings[Sub-category (output)], 'Cash actuals'!$C16)</f>
        <v>0</v>
      </c>
      <c r="M16" s="69">
        <f>SUMIFS(Bank_postings[Amount], Bank_postings[Date], "&gt;="&amp;'Cash actuals'!M$7, Bank_postings[Date], "&lt;="&amp;'Cash actuals'!M$8, Bank_postings[Sub-category (output)], 'Cash actuals'!$C16)</f>
        <v>0</v>
      </c>
      <c r="N16" s="69">
        <f>SUMIFS(Bank_postings[Amount], Bank_postings[Date], "&gt;="&amp;'Cash actuals'!N$7, Bank_postings[Date], "&lt;="&amp;'Cash actuals'!N$8, Bank_postings[Sub-category (output)], 'Cash actuals'!$C16)</f>
        <v>0</v>
      </c>
      <c r="O16" s="69">
        <f>SUMIFS(Bank_postings[Amount], Bank_postings[Date], "&gt;="&amp;'Cash actuals'!O$7, Bank_postings[Date], "&lt;="&amp;'Cash actuals'!O$8, Bank_postings[Sub-category (output)], 'Cash actuals'!$C16)</f>
        <v>0</v>
      </c>
      <c r="P16" s="69">
        <f>SUMIFS(Bank_postings[Amount], Bank_postings[Date], "&gt;="&amp;'Cash actuals'!P$7, Bank_postings[Date], "&lt;="&amp;'Cash actuals'!P$8, Bank_postings[Sub-category (output)], 'Cash actuals'!$C16)</f>
        <v>0</v>
      </c>
      <c r="Q16" s="69">
        <f>SUMIFS(Bank_postings[Amount], Bank_postings[Date], "&gt;="&amp;'Cash actuals'!Q$7, Bank_postings[Date], "&lt;="&amp;'Cash actuals'!Q$8, Bank_postings[Sub-category (output)], 'Cash actuals'!$C16)</f>
        <v>0</v>
      </c>
      <c r="R16" s="69">
        <f>SUMIFS(Bank_postings[Amount], Bank_postings[Date], "&gt;="&amp;'Cash actuals'!R$7, Bank_postings[Date], "&lt;="&amp;'Cash actuals'!R$8, Bank_postings[Sub-category (output)], 'Cash actuals'!$C16)</f>
        <v>0</v>
      </c>
      <c r="S16" s="69">
        <f>SUMIFS(Bank_postings[Amount], Bank_postings[Date], "&gt;="&amp;'Cash actuals'!S$7, Bank_postings[Date], "&lt;="&amp;'Cash actuals'!S$8, Bank_postings[Sub-category (output)], 'Cash actuals'!$C16)</f>
        <v>0</v>
      </c>
      <c r="T16" s="69">
        <f>SUMIFS(Bank_postings[Amount], Bank_postings[Date], "&gt;="&amp;'Cash actuals'!T$7, Bank_postings[Date], "&lt;="&amp;'Cash actuals'!T$8, Bank_postings[Sub-category (output)], 'Cash actuals'!$C16)</f>
        <v>0</v>
      </c>
      <c r="U16" s="69">
        <f>SUMIFS(Bank_postings[Amount], Bank_postings[Date], "&gt;="&amp;'Cash actuals'!U$7, Bank_postings[Date], "&lt;="&amp;'Cash actuals'!U$8, Bank_postings[Sub-category (output)], 'Cash actuals'!$C16)</f>
        <v>0</v>
      </c>
      <c r="V16" s="69">
        <f>SUMIFS(Bank_postings[Amount], Bank_postings[Date], "&gt;="&amp;'Cash actuals'!V$7, Bank_postings[Date], "&lt;="&amp;'Cash actuals'!V$8, Bank_postings[Sub-category (output)], 'Cash actuals'!$C16)</f>
        <v>0</v>
      </c>
      <c r="W16" s="69">
        <f>SUMIFS(Bank_postings[Amount], Bank_postings[Date], "&gt;="&amp;'Cash actuals'!W$7, Bank_postings[Date], "&lt;="&amp;'Cash actuals'!W$8, Bank_postings[Sub-category (output)], 'Cash actuals'!$C16)</f>
        <v>0</v>
      </c>
      <c r="X16" s="69">
        <f>SUMIFS(Bank_postings[Amount], Bank_postings[Date], "&gt;="&amp;'Cash actuals'!X$7, Bank_postings[Date], "&lt;="&amp;'Cash actuals'!X$8, Bank_postings[Sub-category (output)], 'Cash actuals'!$C16)</f>
        <v>0</v>
      </c>
      <c r="Y16" s="69">
        <f>SUMIFS(Bank_postings[Amount], Bank_postings[Date], "&gt;="&amp;'Cash actuals'!Y$7, Bank_postings[Date], "&lt;="&amp;'Cash actuals'!Y$8, Bank_postings[Sub-category (output)], 'Cash actuals'!$C16)</f>
        <v>0</v>
      </c>
      <c r="Z16" s="69">
        <f>SUMIFS(Bank_postings[Amount], Bank_postings[Date], "&gt;="&amp;'Cash actuals'!Z$7, Bank_postings[Date], "&lt;="&amp;'Cash actuals'!Z$8, Bank_postings[Sub-category (output)], 'Cash actuals'!$C16)</f>
        <v>0</v>
      </c>
      <c r="AA16" s="69">
        <f>SUMIFS(Bank_postings[Amount], Bank_postings[Date], "&gt;="&amp;'Cash actuals'!AA$7, Bank_postings[Date], "&lt;="&amp;'Cash actuals'!AA$8, Bank_postings[Sub-category (output)], 'Cash actuals'!$C16)</f>
        <v>0</v>
      </c>
      <c r="AB16" s="69">
        <f>SUMIFS(Bank_postings[Amount], Bank_postings[Date], "&gt;="&amp;'Cash actuals'!AB$7, Bank_postings[Date], "&lt;="&amp;'Cash actuals'!AB$8, Bank_postings[Sub-category (output)], 'Cash actuals'!$C16)</f>
        <v>0</v>
      </c>
      <c r="AC16" s="69">
        <f>SUMIFS(Bank_postings[Amount], Bank_postings[Date], "&gt;="&amp;'Cash actuals'!AC$7, Bank_postings[Date], "&lt;="&amp;'Cash actuals'!AC$8, Bank_postings[Sub-category (output)], 'Cash actuals'!$C16)</f>
        <v>0</v>
      </c>
      <c r="AD16" s="69">
        <f>SUMIFS(Bank_postings[Amount], Bank_postings[Date], "&gt;="&amp;'Cash actuals'!AD$7, Bank_postings[Date], "&lt;="&amp;'Cash actuals'!AD$8, Bank_postings[Sub-category (output)], 'Cash actuals'!$C16)</f>
        <v>0</v>
      </c>
      <c r="AE16" s="69">
        <f>SUMIFS(Bank_postings[Amount], Bank_postings[Date], "&gt;="&amp;'Cash actuals'!AE$7, Bank_postings[Date], "&lt;="&amp;'Cash actuals'!AE$8, Bank_postings[Sub-category (output)], 'Cash actuals'!$C16)</f>
        <v>0</v>
      </c>
      <c r="AF16" s="69">
        <f>SUMIFS(Bank_postings[Amount], Bank_postings[Date], "&gt;="&amp;'Cash actuals'!AF$7, Bank_postings[Date], "&lt;="&amp;'Cash actuals'!AF$8, Bank_postings[Sub-category (output)], 'Cash actuals'!$C16)</f>
        <v>0</v>
      </c>
      <c r="AG16" s="69">
        <f>SUMIFS(Bank_postings[Amount], Bank_postings[Date], "&gt;="&amp;'Cash actuals'!AG$7, Bank_postings[Date], "&lt;="&amp;'Cash actuals'!AG$8, Bank_postings[Sub-category (output)], 'Cash actuals'!$C16)</f>
        <v>0</v>
      </c>
      <c r="AH16" s="69">
        <f>SUMIFS(Bank_postings[Amount], Bank_postings[Date], "&gt;="&amp;'Cash actuals'!AH$7, Bank_postings[Date], "&lt;="&amp;'Cash actuals'!AH$8, Bank_postings[Sub-category (output)], 'Cash actuals'!$C16)</f>
        <v>0</v>
      </c>
      <c r="AI16" s="69">
        <f>SUMIFS(Bank_postings[Amount], Bank_postings[Date], "&gt;="&amp;'Cash actuals'!AI$7, Bank_postings[Date], "&lt;="&amp;'Cash actuals'!AI$8, Bank_postings[Sub-category (output)], 'Cash actuals'!$C16)</f>
        <v>0</v>
      </c>
      <c r="AJ16" s="69">
        <f>SUMIFS(Bank_postings[Amount], Bank_postings[Date], "&gt;="&amp;'Cash actuals'!AJ$7, Bank_postings[Date], "&lt;="&amp;'Cash actuals'!AJ$8, Bank_postings[Sub-category (output)], 'Cash actuals'!$C16)</f>
        <v>0</v>
      </c>
      <c r="AK16" s="69">
        <f>SUMIFS(Bank_postings[Amount], Bank_postings[Date], "&gt;="&amp;'Cash actuals'!AK$7, Bank_postings[Date], "&lt;="&amp;'Cash actuals'!AK$8, Bank_postings[Sub-category (output)], 'Cash actuals'!$C16)</f>
        <v>0</v>
      </c>
      <c r="AL16" s="69">
        <f>SUMIFS(Bank_postings[Amount], Bank_postings[Date], "&gt;="&amp;'Cash actuals'!AL$7, Bank_postings[Date], "&lt;="&amp;'Cash actuals'!AL$8, Bank_postings[Sub-category (output)], 'Cash actuals'!$C16)</f>
        <v>0</v>
      </c>
      <c r="AM16" s="69">
        <f>SUMIFS(Bank_postings[Amount], Bank_postings[Date], "&gt;="&amp;'Cash actuals'!AM$7, Bank_postings[Date], "&lt;="&amp;'Cash actuals'!AM$8, Bank_postings[Sub-category (output)], 'Cash actuals'!$C16)</f>
        <v>0</v>
      </c>
      <c r="AN16" s="69">
        <f>SUMIFS(Bank_postings[Amount], Bank_postings[Date], "&gt;="&amp;'Cash actuals'!AN$7, Bank_postings[Date], "&lt;="&amp;'Cash actuals'!AN$8, Bank_postings[Sub-category (output)], 'Cash actuals'!$C16)</f>
        <v>0</v>
      </c>
      <c r="AO16" s="69">
        <f>SUMIFS(Bank_postings[Amount], Bank_postings[Date], "&gt;="&amp;'Cash actuals'!AO$7, Bank_postings[Date], "&lt;="&amp;'Cash actuals'!AO$8, Bank_postings[Sub-category (output)], 'Cash actuals'!$C16)</f>
        <v>0</v>
      </c>
      <c r="AP16" s="69">
        <f>SUMIFS(Bank_postings[Amount], Bank_postings[Date], "&gt;="&amp;'Cash actuals'!AP$7, Bank_postings[Date], "&lt;="&amp;'Cash actuals'!AP$8, Bank_postings[Sub-category (output)], 'Cash actuals'!$C16)</f>
        <v>0</v>
      </c>
      <c r="AQ16" s="69">
        <f>SUMIFS(Bank_postings[Amount], Bank_postings[Date], "&gt;="&amp;'Cash actuals'!AQ$7, Bank_postings[Date], "&lt;="&amp;'Cash actuals'!AQ$8, Bank_postings[Sub-category (output)], 'Cash actuals'!$C16)</f>
        <v>0</v>
      </c>
      <c r="AR16" s="69">
        <f>SUMIFS(Bank_postings[Amount], Bank_postings[Date], "&gt;="&amp;'Cash actuals'!AR$7, Bank_postings[Date], "&lt;="&amp;'Cash actuals'!AR$8, Bank_postings[Sub-category (output)], 'Cash actuals'!$C16)</f>
        <v>0</v>
      </c>
      <c r="AS16" s="69">
        <f>SUMIFS(Bank_postings[Amount], Bank_postings[Date], "&gt;="&amp;'Cash actuals'!AS$7, Bank_postings[Date], "&lt;="&amp;'Cash actuals'!AS$8, Bank_postings[Sub-category (output)], 'Cash actuals'!$C16)</f>
        <v>0</v>
      </c>
      <c r="AT16" s="69">
        <f>SUMIFS(Bank_postings[Amount], Bank_postings[Date], "&gt;="&amp;'Cash actuals'!AT$7, Bank_postings[Date], "&lt;="&amp;'Cash actuals'!AT$8, Bank_postings[Sub-category (output)], 'Cash actuals'!$C16)</f>
        <v>0</v>
      </c>
      <c r="AU16" s="69">
        <f>SUMIFS(Bank_postings[Amount], Bank_postings[Date], "&gt;="&amp;'Cash actuals'!AU$7, Bank_postings[Date], "&lt;="&amp;'Cash actuals'!AU$8, Bank_postings[Sub-category (output)], 'Cash actuals'!$C16)</f>
        <v>0</v>
      </c>
      <c r="AV16" s="69">
        <f>SUMIFS(Bank_postings[Amount], Bank_postings[Date], "&gt;="&amp;'Cash actuals'!AV$7, Bank_postings[Date], "&lt;="&amp;'Cash actuals'!AV$8, Bank_postings[Sub-category (output)], 'Cash actuals'!$C16)</f>
        <v>0</v>
      </c>
      <c r="AW16" s="69">
        <f>SUMIFS(Bank_postings[Amount], Bank_postings[Date], "&gt;="&amp;'Cash actuals'!AW$7, Bank_postings[Date], "&lt;="&amp;'Cash actuals'!AW$8, Bank_postings[Sub-category (output)], 'Cash actuals'!$C16)</f>
        <v>0</v>
      </c>
      <c r="AX16" s="69">
        <f>SUMIFS(Bank_postings[Amount], Bank_postings[Date], "&gt;="&amp;'Cash actuals'!AX$7, Bank_postings[Date], "&lt;="&amp;'Cash actuals'!AX$8, Bank_postings[Sub-category (output)], 'Cash actuals'!$C16)</f>
        <v>0</v>
      </c>
      <c r="AY16" s="69">
        <f>SUMIFS(Bank_postings[Amount], Bank_postings[Date], "&gt;="&amp;'Cash actuals'!AY$7, Bank_postings[Date], "&lt;="&amp;'Cash actuals'!AY$8, Bank_postings[Sub-category (output)], 'Cash actuals'!$C16)</f>
        <v>0</v>
      </c>
      <c r="AZ16" s="69">
        <f>SUMIFS(Bank_postings[Amount], Bank_postings[Date], "&gt;="&amp;'Cash actuals'!AZ$7, Bank_postings[Date], "&lt;="&amp;'Cash actuals'!AZ$8, Bank_postings[Sub-category (output)], 'Cash actuals'!$C16)</f>
        <v>0</v>
      </c>
      <c r="BA16" s="69">
        <f>SUMIFS(Bank_postings[Amount], Bank_postings[Date], "&gt;="&amp;'Cash actuals'!BA$7, Bank_postings[Date], "&lt;="&amp;'Cash actuals'!BA$8, Bank_postings[Sub-category (output)], 'Cash actuals'!$C16)</f>
        <v>0</v>
      </c>
      <c r="BB16" s="69">
        <f>SUMIFS(Bank_postings[Amount], Bank_postings[Date], "&gt;="&amp;'Cash actuals'!BB$7, Bank_postings[Date], "&lt;="&amp;'Cash actuals'!BB$8, Bank_postings[Sub-category (output)], 'Cash actuals'!$C16)</f>
        <v>0</v>
      </c>
      <c r="BC16" s="69">
        <f>SUMIFS(Bank_postings[Amount], Bank_postings[Date], "&gt;="&amp;'Cash actuals'!BC$7, Bank_postings[Date], "&lt;="&amp;'Cash actuals'!BC$8, Bank_postings[Sub-category (output)], 'Cash actuals'!$C16)</f>
        <v>0</v>
      </c>
      <c r="BD16" s="69">
        <f>SUMIFS(Bank_postings[Amount], Bank_postings[Date], "&gt;="&amp;'Cash actuals'!BD$7, Bank_postings[Date], "&lt;="&amp;'Cash actuals'!BD$8, Bank_postings[Sub-category (output)], 'Cash actuals'!$C16)</f>
        <v>0</v>
      </c>
      <c r="BE16" s="69">
        <f>SUMIFS(Bank_postings[Amount], Bank_postings[Date], "&gt;="&amp;'Cash actuals'!BE$7, Bank_postings[Date], "&lt;="&amp;'Cash actuals'!BE$8, Bank_postings[Sub-category (output)], 'Cash actuals'!$C16)</f>
        <v>0</v>
      </c>
    </row>
    <row r="17" spans="3:57" ht="5.0999999999999996" customHeight="1" x14ac:dyDescent="0.25"/>
    <row r="18" spans="3:57" x14ac:dyDescent="0.25">
      <c r="C18" s="14" t="s">
        <v>132</v>
      </c>
      <c r="F18" s="73">
        <f t="shared" ref="F18:R18" si="45">F14 + F16</f>
        <v>0</v>
      </c>
      <c r="G18" s="73">
        <f t="shared" si="45"/>
        <v>0</v>
      </c>
      <c r="H18" s="73">
        <f t="shared" si="45"/>
        <v>0</v>
      </c>
      <c r="I18" s="73">
        <f t="shared" si="45"/>
        <v>0</v>
      </c>
      <c r="J18" s="73">
        <f t="shared" si="45"/>
        <v>0</v>
      </c>
      <c r="K18" s="73">
        <f t="shared" si="45"/>
        <v>0</v>
      </c>
      <c r="L18" s="73">
        <f t="shared" si="45"/>
        <v>0</v>
      </c>
      <c r="M18" s="73">
        <f t="shared" si="45"/>
        <v>0</v>
      </c>
      <c r="N18" s="73">
        <f t="shared" si="45"/>
        <v>0</v>
      </c>
      <c r="O18" s="73">
        <f t="shared" si="45"/>
        <v>0</v>
      </c>
      <c r="P18" s="73">
        <f t="shared" si="45"/>
        <v>0</v>
      </c>
      <c r="Q18" s="73">
        <f t="shared" si="45"/>
        <v>0</v>
      </c>
      <c r="R18" s="73">
        <f t="shared" si="45"/>
        <v>0</v>
      </c>
      <c r="S18" s="73">
        <f t="shared" ref="S18:BE18" si="46">S14 + S16</f>
        <v>0</v>
      </c>
      <c r="T18" s="73">
        <f t="shared" si="46"/>
        <v>0</v>
      </c>
      <c r="U18" s="73">
        <f t="shared" si="46"/>
        <v>0</v>
      </c>
      <c r="V18" s="73">
        <f t="shared" si="46"/>
        <v>0</v>
      </c>
      <c r="W18" s="73">
        <f t="shared" si="46"/>
        <v>0</v>
      </c>
      <c r="X18" s="73">
        <f t="shared" si="46"/>
        <v>0</v>
      </c>
      <c r="Y18" s="73">
        <f t="shared" si="46"/>
        <v>0</v>
      </c>
      <c r="Z18" s="73">
        <f t="shared" si="46"/>
        <v>0</v>
      </c>
      <c r="AA18" s="73">
        <f t="shared" si="46"/>
        <v>0</v>
      </c>
      <c r="AB18" s="73">
        <f t="shared" si="46"/>
        <v>0</v>
      </c>
      <c r="AC18" s="73">
        <f t="shared" si="46"/>
        <v>0</v>
      </c>
      <c r="AD18" s="73">
        <f t="shared" si="46"/>
        <v>0</v>
      </c>
      <c r="AE18" s="73">
        <f t="shared" si="46"/>
        <v>0</v>
      </c>
      <c r="AF18" s="73">
        <f t="shared" si="46"/>
        <v>0</v>
      </c>
      <c r="AG18" s="73">
        <f t="shared" si="46"/>
        <v>0</v>
      </c>
      <c r="AH18" s="73">
        <f t="shared" si="46"/>
        <v>0</v>
      </c>
      <c r="AI18" s="73">
        <f t="shared" si="46"/>
        <v>0</v>
      </c>
      <c r="AJ18" s="73">
        <f t="shared" si="46"/>
        <v>0</v>
      </c>
      <c r="AK18" s="73">
        <f t="shared" si="46"/>
        <v>0</v>
      </c>
      <c r="AL18" s="73">
        <f t="shared" si="46"/>
        <v>0</v>
      </c>
      <c r="AM18" s="73">
        <f t="shared" si="46"/>
        <v>0</v>
      </c>
      <c r="AN18" s="73">
        <f t="shared" si="46"/>
        <v>0</v>
      </c>
      <c r="AO18" s="73">
        <f t="shared" si="46"/>
        <v>0</v>
      </c>
      <c r="AP18" s="73">
        <f t="shared" si="46"/>
        <v>0</v>
      </c>
      <c r="AQ18" s="73">
        <f t="shared" si="46"/>
        <v>0</v>
      </c>
      <c r="AR18" s="73">
        <f t="shared" si="46"/>
        <v>0</v>
      </c>
      <c r="AS18" s="73">
        <f t="shared" si="46"/>
        <v>0</v>
      </c>
      <c r="AT18" s="73">
        <f t="shared" si="46"/>
        <v>0</v>
      </c>
      <c r="AU18" s="73">
        <f t="shared" si="46"/>
        <v>0</v>
      </c>
      <c r="AV18" s="73">
        <f t="shared" si="46"/>
        <v>0</v>
      </c>
      <c r="AW18" s="73">
        <f t="shared" si="46"/>
        <v>0</v>
      </c>
      <c r="AX18" s="73">
        <f t="shared" si="46"/>
        <v>0</v>
      </c>
      <c r="AY18" s="73">
        <f t="shared" si="46"/>
        <v>0</v>
      </c>
      <c r="AZ18" s="73">
        <f t="shared" si="46"/>
        <v>0</v>
      </c>
      <c r="BA18" s="73">
        <f t="shared" si="46"/>
        <v>0</v>
      </c>
      <c r="BB18" s="73">
        <f t="shared" si="46"/>
        <v>0</v>
      </c>
      <c r="BC18" s="73">
        <f t="shared" si="46"/>
        <v>0</v>
      </c>
      <c r="BD18" s="73">
        <f t="shared" si="46"/>
        <v>0</v>
      </c>
      <c r="BE18" s="73">
        <f t="shared" si="46"/>
        <v>0</v>
      </c>
    </row>
    <row r="19" spans="3:57" x14ac:dyDescent="0.25"/>
    <row r="20" spans="3:57" x14ac:dyDescent="0.25">
      <c r="C20" s="12" t="s">
        <v>133</v>
      </c>
      <c r="D20" s="13"/>
      <c r="E20" s="13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3:57" ht="5.0999999999999996" customHeight="1" x14ac:dyDescent="0.25"/>
    <row r="22" spans="3:57" x14ac:dyDescent="0.25">
      <c r="C22" s="1">
        <f>Assumptions!$D$24</f>
        <v>0</v>
      </c>
      <c r="F22" s="69">
        <f>SUMIFS(Bank_postings[Amount], Bank_postings[Date], "&gt;="&amp;'Cash actuals'!F$7, Bank_postings[Date], "&lt;="&amp;'Cash actuals'!F$8, Bank_postings[Sub-category (output)], 'Cash actuals'!$C22)</f>
        <v>0</v>
      </c>
      <c r="G22" s="69">
        <f>SUMIFS(Bank_postings[Amount], Bank_postings[Date], "&gt;="&amp;'Cash actuals'!G$7, Bank_postings[Date], "&lt;="&amp;'Cash actuals'!G$8, Bank_postings[Sub-category (output)], 'Cash actuals'!$C22)</f>
        <v>0</v>
      </c>
      <c r="H22" s="69">
        <f>SUMIFS(Bank_postings[Amount], Bank_postings[Date], "&gt;="&amp;'Cash actuals'!H$7, Bank_postings[Date], "&lt;="&amp;'Cash actuals'!H$8, Bank_postings[Sub-category (output)], 'Cash actuals'!$C22)</f>
        <v>0</v>
      </c>
      <c r="I22" s="69">
        <f>SUMIFS(Bank_postings[Amount], Bank_postings[Date], "&gt;="&amp;'Cash actuals'!I$7, Bank_postings[Date], "&lt;="&amp;'Cash actuals'!I$8, Bank_postings[Sub-category (output)], 'Cash actuals'!$C22)</f>
        <v>0</v>
      </c>
      <c r="J22" s="69">
        <f>SUMIFS(Bank_postings[Amount], Bank_postings[Date], "&gt;="&amp;'Cash actuals'!J$7, Bank_postings[Date], "&lt;="&amp;'Cash actuals'!J$8, Bank_postings[Sub-category (output)], 'Cash actuals'!$C22)</f>
        <v>0</v>
      </c>
      <c r="K22" s="69">
        <f>SUMIFS(Bank_postings[Amount], Bank_postings[Date], "&gt;="&amp;'Cash actuals'!K$7, Bank_postings[Date], "&lt;="&amp;'Cash actuals'!K$8, Bank_postings[Sub-category (output)], 'Cash actuals'!$C22)</f>
        <v>0</v>
      </c>
      <c r="L22" s="69">
        <f>SUMIFS(Bank_postings[Amount], Bank_postings[Date], "&gt;="&amp;'Cash actuals'!L$7, Bank_postings[Date], "&lt;="&amp;'Cash actuals'!L$8, Bank_postings[Sub-category (output)], 'Cash actuals'!$C22)</f>
        <v>0</v>
      </c>
      <c r="M22" s="69">
        <f>SUMIFS(Bank_postings[Amount], Bank_postings[Date], "&gt;="&amp;'Cash actuals'!M$7, Bank_postings[Date], "&lt;="&amp;'Cash actuals'!M$8, Bank_postings[Sub-category (output)], 'Cash actuals'!$C22)</f>
        <v>0</v>
      </c>
      <c r="N22" s="69">
        <f>SUMIFS(Bank_postings[Amount], Bank_postings[Date], "&gt;="&amp;'Cash actuals'!N$7, Bank_postings[Date], "&lt;="&amp;'Cash actuals'!N$8, Bank_postings[Sub-category (output)], 'Cash actuals'!$C22)</f>
        <v>0</v>
      </c>
      <c r="O22" s="69">
        <f>SUMIFS(Bank_postings[Amount], Bank_postings[Date], "&gt;="&amp;'Cash actuals'!O$7, Bank_postings[Date], "&lt;="&amp;'Cash actuals'!O$8, Bank_postings[Sub-category (output)], 'Cash actuals'!$C22)</f>
        <v>0</v>
      </c>
      <c r="P22" s="69">
        <f>SUMIFS(Bank_postings[Amount], Bank_postings[Date], "&gt;="&amp;'Cash actuals'!P$7, Bank_postings[Date], "&lt;="&amp;'Cash actuals'!P$8, Bank_postings[Sub-category (output)], 'Cash actuals'!$C22)</f>
        <v>0</v>
      </c>
      <c r="Q22" s="69">
        <f>SUMIFS(Bank_postings[Amount], Bank_postings[Date], "&gt;="&amp;'Cash actuals'!Q$7, Bank_postings[Date], "&lt;="&amp;'Cash actuals'!Q$8, Bank_postings[Sub-category (output)], 'Cash actuals'!$C22)</f>
        <v>0</v>
      </c>
      <c r="R22" s="69">
        <f>SUMIFS(Bank_postings[Amount], Bank_postings[Date], "&gt;="&amp;'Cash actuals'!R$7, Bank_postings[Date], "&lt;="&amp;'Cash actuals'!R$8, Bank_postings[Sub-category (output)], 'Cash actuals'!$C22)</f>
        <v>0</v>
      </c>
      <c r="S22" s="69">
        <f>SUMIFS(Bank_postings[Amount], Bank_postings[Date], "&gt;="&amp;'Cash actuals'!S$7, Bank_postings[Date], "&lt;="&amp;'Cash actuals'!S$8, Bank_postings[Sub-category (output)], 'Cash actuals'!$C22)</f>
        <v>0</v>
      </c>
      <c r="T22" s="69">
        <f>SUMIFS(Bank_postings[Amount], Bank_postings[Date], "&gt;="&amp;'Cash actuals'!T$7, Bank_postings[Date], "&lt;="&amp;'Cash actuals'!T$8, Bank_postings[Sub-category (output)], 'Cash actuals'!$C22)</f>
        <v>0</v>
      </c>
      <c r="U22" s="69">
        <f>SUMIFS(Bank_postings[Amount], Bank_postings[Date], "&gt;="&amp;'Cash actuals'!U$7, Bank_postings[Date], "&lt;="&amp;'Cash actuals'!U$8, Bank_postings[Sub-category (output)], 'Cash actuals'!$C22)</f>
        <v>0</v>
      </c>
      <c r="V22" s="69">
        <f>SUMIFS(Bank_postings[Amount], Bank_postings[Date], "&gt;="&amp;'Cash actuals'!V$7, Bank_postings[Date], "&lt;="&amp;'Cash actuals'!V$8, Bank_postings[Sub-category (output)], 'Cash actuals'!$C22)</f>
        <v>0</v>
      </c>
      <c r="W22" s="69">
        <f>SUMIFS(Bank_postings[Amount], Bank_postings[Date], "&gt;="&amp;'Cash actuals'!W$7, Bank_postings[Date], "&lt;="&amp;'Cash actuals'!W$8, Bank_postings[Sub-category (output)], 'Cash actuals'!$C22)</f>
        <v>0</v>
      </c>
      <c r="X22" s="69">
        <f>SUMIFS(Bank_postings[Amount], Bank_postings[Date], "&gt;="&amp;'Cash actuals'!X$7, Bank_postings[Date], "&lt;="&amp;'Cash actuals'!X$8, Bank_postings[Sub-category (output)], 'Cash actuals'!$C22)</f>
        <v>0</v>
      </c>
      <c r="Y22" s="69">
        <f>SUMIFS(Bank_postings[Amount], Bank_postings[Date], "&gt;="&amp;'Cash actuals'!Y$7, Bank_postings[Date], "&lt;="&amp;'Cash actuals'!Y$8, Bank_postings[Sub-category (output)], 'Cash actuals'!$C22)</f>
        <v>0</v>
      </c>
      <c r="Z22" s="69">
        <f>SUMIFS(Bank_postings[Amount], Bank_postings[Date], "&gt;="&amp;'Cash actuals'!Z$7, Bank_postings[Date], "&lt;="&amp;'Cash actuals'!Z$8, Bank_postings[Sub-category (output)], 'Cash actuals'!$C22)</f>
        <v>0</v>
      </c>
      <c r="AA22" s="69">
        <f>SUMIFS(Bank_postings[Amount], Bank_postings[Date], "&gt;="&amp;'Cash actuals'!AA$7, Bank_postings[Date], "&lt;="&amp;'Cash actuals'!AA$8, Bank_postings[Sub-category (output)], 'Cash actuals'!$C22)</f>
        <v>0</v>
      </c>
      <c r="AB22" s="69">
        <f>SUMIFS(Bank_postings[Amount], Bank_postings[Date], "&gt;="&amp;'Cash actuals'!AB$7, Bank_postings[Date], "&lt;="&amp;'Cash actuals'!AB$8, Bank_postings[Sub-category (output)], 'Cash actuals'!$C22)</f>
        <v>0</v>
      </c>
      <c r="AC22" s="69">
        <f>SUMIFS(Bank_postings[Amount], Bank_postings[Date], "&gt;="&amp;'Cash actuals'!AC$7, Bank_postings[Date], "&lt;="&amp;'Cash actuals'!AC$8, Bank_postings[Sub-category (output)], 'Cash actuals'!$C22)</f>
        <v>0</v>
      </c>
      <c r="AD22" s="69">
        <f>SUMIFS(Bank_postings[Amount], Bank_postings[Date], "&gt;="&amp;'Cash actuals'!AD$7, Bank_postings[Date], "&lt;="&amp;'Cash actuals'!AD$8, Bank_postings[Sub-category (output)], 'Cash actuals'!$C22)</f>
        <v>0</v>
      </c>
      <c r="AE22" s="69">
        <f>SUMIFS(Bank_postings[Amount], Bank_postings[Date], "&gt;="&amp;'Cash actuals'!AE$7, Bank_postings[Date], "&lt;="&amp;'Cash actuals'!AE$8, Bank_postings[Sub-category (output)], 'Cash actuals'!$C22)</f>
        <v>0</v>
      </c>
      <c r="AF22" s="69">
        <f>SUMIFS(Bank_postings[Amount], Bank_postings[Date], "&gt;="&amp;'Cash actuals'!AF$7, Bank_postings[Date], "&lt;="&amp;'Cash actuals'!AF$8, Bank_postings[Sub-category (output)], 'Cash actuals'!$C22)</f>
        <v>0</v>
      </c>
      <c r="AG22" s="69">
        <f>SUMIFS(Bank_postings[Amount], Bank_postings[Date], "&gt;="&amp;'Cash actuals'!AG$7, Bank_postings[Date], "&lt;="&amp;'Cash actuals'!AG$8, Bank_postings[Sub-category (output)], 'Cash actuals'!$C22)</f>
        <v>0</v>
      </c>
      <c r="AH22" s="69">
        <f>SUMIFS(Bank_postings[Amount], Bank_postings[Date], "&gt;="&amp;'Cash actuals'!AH$7, Bank_postings[Date], "&lt;="&amp;'Cash actuals'!AH$8, Bank_postings[Sub-category (output)], 'Cash actuals'!$C22)</f>
        <v>0</v>
      </c>
      <c r="AI22" s="69">
        <f>SUMIFS(Bank_postings[Amount], Bank_postings[Date], "&gt;="&amp;'Cash actuals'!AI$7, Bank_postings[Date], "&lt;="&amp;'Cash actuals'!AI$8, Bank_postings[Sub-category (output)], 'Cash actuals'!$C22)</f>
        <v>0</v>
      </c>
      <c r="AJ22" s="69">
        <f>SUMIFS(Bank_postings[Amount], Bank_postings[Date], "&gt;="&amp;'Cash actuals'!AJ$7, Bank_postings[Date], "&lt;="&amp;'Cash actuals'!AJ$8, Bank_postings[Sub-category (output)], 'Cash actuals'!$C22)</f>
        <v>0</v>
      </c>
      <c r="AK22" s="69">
        <f>SUMIFS(Bank_postings[Amount], Bank_postings[Date], "&gt;="&amp;'Cash actuals'!AK$7, Bank_postings[Date], "&lt;="&amp;'Cash actuals'!AK$8, Bank_postings[Sub-category (output)], 'Cash actuals'!$C22)</f>
        <v>0</v>
      </c>
      <c r="AL22" s="69">
        <f>SUMIFS(Bank_postings[Amount], Bank_postings[Date], "&gt;="&amp;'Cash actuals'!AL$7, Bank_postings[Date], "&lt;="&amp;'Cash actuals'!AL$8, Bank_postings[Sub-category (output)], 'Cash actuals'!$C22)</f>
        <v>0</v>
      </c>
      <c r="AM22" s="69">
        <f>SUMIFS(Bank_postings[Amount], Bank_postings[Date], "&gt;="&amp;'Cash actuals'!AM$7, Bank_postings[Date], "&lt;="&amp;'Cash actuals'!AM$8, Bank_postings[Sub-category (output)], 'Cash actuals'!$C22)</f>
        <v>0</v>
      </c>
      <c r="AN22" s="69">
        <f>SUMIFS(Bank_postings[Amount], Bank_postings[Date], "&gt;="&amp;'Cash actuals'!AN$7, Bank_postings[Date], "&lt;="&amp;'Cash actuals'!AN$8, Bank_postings[Sub-category (output)], 'Cash actuals'!$C22)</f>
        <v>0</v>
      </c>
      <c r="AO22" s="69">
        <f>SUMIFS(Bank_postings[Amount], Bank_postings[Date], "&gt;="&amp;'Cash actuals'!AO$7, Bank_postings[Date], "&lt;="&amp;'Cash actuals'!AO$8, Bank_postings[Sub-category (output)], 'Cash actuals'!$C22)</f>
        <v>0</v>
      </c>
      <c r="AP22" s="69">
        <f>SUMIFS(Bank_postings[Amount], Bank_postings[Date], "&gt;="&amp;'Cash actuals'!AP$7, Bank_postings[Date], "&lt;="&amp;'Cash actuals'!AP$8, Bank_postings[Sub-category (output)], 'Cash actuals'!$C22)</f>
        <v>0</v>
      </c>
      <c r="AQ22" s="69">
        <f>SUMIFS(Bank_postings[Amount], Bank_postings[Date], "&gt;="&amp;'Cash actuals'!AQ$7, Bank_postings[Date], "&lt;="&amp;'Cash actuals'!AQ$8, Bank_postings[Sub-category (output)], 'Cash actuals'!$C22)</f>
        <v>0</v>
      </c>
      <c r="AR22" s="69">
        <f>SUMIFS(Bank_postings[Amount], Bank_postings[Date], "&gt;="&amp;'Cash actuals'!AR$7, Bank_postings[Date], "&lt;="&amp;'Cash actuals'!AR$8, Bank_postings[Sub-category (output)], 'Cash actuals'!$C22)</f>
        <v>0</v>
      </c>
      <c r="AS22" s="69">
        <f>SUMIFS(Bank_postings[Amount], Bank_postings[Date], "&gt;="&amp;'Cash actuals'!AS$7, Bank_postings[Date], "&lt;="&amp;'Cash actuals'!AS$8, Bank_postings[Sub-category (output)], 'Cash actuals'!$C22)</f>
        <v>0</v>
      </c>
      <c r="AT22" s="69">
        <f>SUMIFS(Bank_postings[Amount], Bank_postings[Date], "&gt;="&amp;'Cash actuals'!AT$7, Bank_postings[Date], "&lt;="&amp;'Cash actuals'!AT$8, Bank_postings[Sub-category (output)], 'Cash actuals'!$C22)</f>
        <v>0</v>
      </c>
      <c r="AU22" s="69">
        <f>SUMIFS(Bank_postings[Amount], Bank_postings[Date], "&gt;="&amp;'Cash actuals'!AU$7, Bank_postings[Date], "&lt;="&amp;'Cash actuals'!AU$8, Bank_postings[Sub-category (output)], 'Cash actuals'!$C22)</f>
        <v>0</v>
      </c>
      <c r="AV22" s="69">
        <f>SUMIFS(Bank_postings[Amount], Bank_postings[Date], "&gt;="&amp;'Cash actuals'!AV$7, Bank_postings[Date], "&lt;="&amp;'Cash actuals'!AV$8, Bank_postings[Sub-category (output)], 'Cash actuals'!$C22)</f>
        <v>0</v>
      </c>
      <c r="AW22" s="69">
        <f>SUMIFS(Bank_postings[Amount], Bank_postings[Date], "&gt;="&amp;'Cash actuals'!AW$7, Bank_postings[Date], "&lt;="&amp;'Cash actuals'!AW$8, Bank_postings[Sub-category (output)], 'Cash actuals'!$C22)</f>
        <v>0</v>
      </c>
      <c r="AX22" s="69">
        <f>SUMIFS(Bank_postings[Amount], Bank_postings[Date], "&gt;="&amp;'Cash actuals'!AX$7, Bank_postings[Date], "&lt;="&amp;'Cash actuals'!AX$8, Bank_postings[Sub-category (output)], 'Cash actuals'!$C22)</f>
        <v>0</v>
      </c>
      <c r="AY22" s="69">
        <f>SUMIFS(Bank_postings[Amount], Bank_postings[Date], "&gt;="&amp;'Cash actuals'!AY$7, Bank_postings[Date], "&lt;="&amp;'Cash actuals'!AY$8, Bank_postings[Sub-category (output)], 'Cash actuals'!$C22)</f>
        <v>0</v>
      </c>
      <c r="AZ22" s="69">
        <f>SUMIFS(Bank_postings[Amount], Bank_postings[Date], "&gt;="&amp;'Cash actuals'!AZ$7, Bank_postings[Date], "&lt;="&amp;'Cash actuals'!AZ$8, Bank_postings[Sub-category (output)], 'Cash actuals'!$C22)</f>
        <v>0</v>
      </c>
      <c r="BA22" s="69">
        <f>SUMIFS(Bank_postings[Amount], Bank_postings[Date], "&gt;="&amp;'Cash actuals'!BA$7, Bank_postings[Date], "&lt;="&amp;'Cash actuals'!BA$8, Bank_postings[Sub-category (output)], 'Cash actuals'!$C22)</f>
        <v>0</v>
      </c>
      <c r="BB22" s="69">
        <f>SUMIFS(Bank_postings[Amount], Bank_postings[Date], "&gt;="&amp;'Cash actuals'!BB$7, Bank_postings[Date], "&lt;="&amp;'Cash actuals'!BB$8, Bank_postings[Sub-category (output)], 'Cash actuals'!$C22)</f>
        <v>0</v>
      </c>
      <c r="BC22" s="69">
        <f>SUMIFS(Bank_postings[Amount], Bank_postings[Date], "&gt;="&amp;'Cash actuals'!BC$7, Bank_postings[Date], "&lt;="&amp;'Cash actuals'!BC$8, Bank_postings[Sub-category (output)], 'Cash actuals'!$C22)</f>
        <v>0</v>
      </c>
      <c r="BD22" s="69">
        <f>SUMIFS(Bank_postings[Amount], Bank_postings[Date], "&gt;="&amp;'Cash actuals'!BD$7, Bank_postings[Date], "&lt;="&amp;'Cash actuals'!BD$8, Bank_postings[Sub-category (output)], 'Cash actuals'!$C22)</f>
        <v>0</v>
      </c>
      <c r="BE22" s="69">
        <f>SUMIFS(Bank_postings[Amount], Bank_postings[Date], "&gt;="&amp;'Cash actuals'!BE$7, Bank_postings[Date], "&lt;="&amp;'Cash actuals'!BE$8, Bank_postings[Sub-category (output)], 'Cash actuals'!$C22)</f>
        <v>0</v>
      </c>
    </row>
    <row r="23" spans="3:57" ht="5.0999999999999996" customHeight="1" x14ac:dyDescent="0.25"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</row>
    <row r="24" spans="3:57" x14ac:dyDescent="0.25">
      <c r="C24" s="1">
        <f>Assumptions!$D$25</f>
        <v>0</v>
      </c>
      <c r="F24" s="69">
        <f>SUMIFS(Bank_postings[Amount], Bank_postings[Date], "&gt;="&amp;'Cash actuals'!F$7, Bank_postings[Date], "&lt;="&amp;'Cash actuals'!F$8, Bank_postings[Sub-category (output)], 'Cash actuals'!$C24)</f>
        <v>0</v>
      </c>
      <c r="G24" s="69">
        <f>SUMIFS(Bank_postings[Amount], Bank_postings[Date], "&gt;="&amp;'Cash actuals'!G$7, Bank_postings[Date], "&lt;="&amp;'Cash actuals'!G$8, Bank_postings[Sub-category (output)], 'Cash actuals'!$C24)</f>
        <v>0</v>
      </c>
      <c r="H24" s="69">
        <f>SUMIFS(Bank_postings[Amount], Bank_postings[Date], "&gt;="&amp;'Cash actuals'!H$7, Bank_postings[Date], "&lt;="&amp;'Cash actuals'!H$8, Bank_postings[Sub-category (output)], 'Cash actuals'!$C24)</f>
        <v>0</v>
      </c>
      <c r="I24" s="69">
        <f>SUMIFS(Bank_postings[Amount], Bank_postings[Date], "&gt;="&amp;'Cash actuals'!I$7, Bank_postings[Date], "&lt;="&amp;'Cash actuals'!I$8, Bank_postings[Sub-category (output)], 'Cash actuals'!$C24)</f>
        <v>0</v>
      </c>
      <c r="J24" s="69">
        <f>SUMIFS(Bank_postings[Amount], Bank_postings[Date], "&gt;="&amp;'Cash actuals'!J$7, Bank_postings[Date], "&lt;="&amp;'Cash actuals'!J$8, Bank_postings[Sub-category (output)], 'Cash actuals'!$C24)</f>
        <v>0</v>
      </c>
      <c r="K24" s="69">
        <f>SUMIFS(Bank_postings[Amount], Bank_postings[Date], "&gt;="&amp;'Cash actuals'!K$7, Bank_postings[Date], "&lt;="&amp;'Cash actuals'!K$8, Bank_postings[Sub-category (output)], 'Cash actuals'!$C24)</f>
        <v>0</v>
      </c>
      <c r="L24" s="69">
        <f>SUMIFS(Bank_postings[Amount], Bank_postings[Date], "&gt;="&amp;'Cash actuals'!L$7, Bank_postings[Date], "&lt;="&amp;'Cash actuals'!L$8, Bank_postings[Sub-category (output)], 'Cash actuals'!$C24)</f>
        <v>0</v>
      </c>
      <c r="M24" s="69">
        <f>SUMIFS(Bank_postings[Amount], Bank_postings[Date], "&gt;="&amp;'Cash actuals'!M$7, Bank_postings[Date], "&lt;="&amp;'Cash actuals'!M$8, Bank_postings[Sub-category (output)], 'Cash actuals'!$C24)</f>
        <v>0</v>
      </c>
      <c r="N24" s="69">
        <f>SUMIFS(Bank_postings[Amount], Bank_postings[Date], "&gt;="&amp;'Cash actuals'!N$7, Bank_postings[Date], "&lt;="&amp;'Cash actuals'!N$8, Bank_postings[Sub-category (output)], 'Cash actuals'!$C24)</f>
        <v>0</v>
      </c>
      <c r="O24" s="69">
        <f>SUMIFS(Bank_postings[Amount], Bank_postings[Date], "&gt;="&amp;'Cash actuals'!O$7, Bank_postings[Date], "&lt;="&amp;'Cash actuals'!O$8, Bank_postings[Sub-category (output)], 'Cash actuals'!$C24)</f>
        <v>0</v>
      </c>
      <c r="P24" s="69">
        <f>SUMIFS(Bank_postings[Amount], Bank_postings[Date], "&gt;="&amp;'Cash actuals'!P$7, Bank_postings[Date], "&lt;="&amp;'Cash actuals'!P$8, Bank_postings[Sub-category (output)], 'Cash actuals'!$C24)</f>
        <v>0</v>
      </c>
      <c r="Q24" s="69">
        <f>SUMIFS(Bank_postings[Amount], Bank_postings[Date], "&gt;="&amp;'Cash actuals'!Q$7, Bank_postings[Date], "&lt;="&amp;'Cash actuals'!Q$8, Bank_postings[Sub-category (output)], 'Cash actuals'!$C24)</f>
        <v>0</v>
      </c>
      <c r="R24" s="69">
        <f>SUMIFS(Bank_postings[Amount], Bank_postings[Date], "&gt;="&amp;'Cash actuals'!R$7, Bank_postings[Date], "&lt;="&amp;'Cash actuals'!R$8, Bank_postings[Sub-category (output)], 'Cash actuals'!$C24)</f>
        <v>0</v>
      </c>
      <c r="S24" s="69">
        <f>SUMIFS(Bank_postings[Amount], Bank_postings[Date], "&gt;="&amp;'Cash actuals'!S$7, Bank_postings[Date], "&lt;="&amp;'Cash actuals'!S$8, Bank_postings[Sub-category (output)], 'Cash actuals'!$C24)</f>
        <v>0</v>
      </c>
      <c r="T24" s="69">
        <f>SUMIFS(Bank_postings[Amount], Bank_postings[Date], "&gt;="&amp;'Cash actuals'!T$7, Bank_postings[Date], "&lt;="&amp;'Cash actuals'!T$8, Bank_postings[Sub-category (output)], 'Cash actuals'!$C24)</f>
        <v>0</v>
      </c>
      <c r="U24" s="69">
        <f>SUMIFS(Bank_postings[Amount], Bank_postings[Date], "&gt;="&amp;'Cash actuals'!U$7, Bank_postings[Date], "&lt;="&amp;'Cash actuals'!U$8, Bank_postings[Sub-category (output)], 'Cash actuals'!$C24)</f>
        <v>0</v>
      </c>
      <c r="V24" s="69">
        <f>SUMIFS(Bank_postings[Amount], Bank_postings[Date], "&gt;="&amp;'Cash actuals'!V$7, Bank_postings[Date], "&lt;="&amp;'Cash actuals'!V$8, Bank_postings[Sub-category (output)], 'Cash actuals'!$C24)</f>
        <v>0</v>
      </c>
      <c r="W24" s="69">
        <f>SUMIFS(Bank_postings[Amount], Bank_postings[Date], "&gt;="&amp;'Cash actuals'!W$7, Bank_postings[Date], "&lt;="&amp;'Cash actuals'!W$8, Bank_postings[Sub-category (output)], 'Cash actuals'!$C24)</f>
        <v>0</v>
      </c>
      <c r="X24" s="69">
        <f>SUMIFS(Bank_postings[Amount], Bank_postings[Date], "&gt;="&amp;'Cash actuals'!X$7, Bank_postings[Date], "&lt;="&amp;'Cash actuals'!X$8, Bank_postings[Sub-category (output)], 'Cash actuals'!$C24)</f>
        <v>0</v>
      </c>
      <c r="Y24" s="69">
        <f>SUMIFS(Bank_postings[Amount], Bank_postings[Date], "&gt;="&amp;'Cash actuals'!Y$7, Bank_postings[Date], "&lt;="&amp;'Cash actuals'!Y$8, Bank_postings[Sub-category (output)], 'Cash actuals'!$C24)</f>
        <v>0</v>
      </c>
      <c r="Z24" s="69">
        <f>SUMIFS(Bank_postings[Amount], Bank_postings[Date], "&gt;="&amp;'Cash actuals'!Z$7, Bank_postings[Date], "&lt;="&amp;'Cash actuals'!Z$8, Bank_postings[Sub-category (output)], 'Cash actuals'!$C24)</f>
        <v>0</v>
      </c>
      <c r="AA24" s="69">
        <f>SUMIFS(Bank_postings[Amount], Bank_postings[Date], "&gt;="&amp;'Cash actuals'!AA$7, Bank_postings[Date], "&lt;="&amp;'Cash actuals'!AA$8, Bank_postings[Sub-category (output)], 'Cash actuals'!$C24)</f>
        <v>0</v>
      </c>
      <c r="AB24" s="69">
        <f>SUMIFS(Bank_postings[Amount], Bank_postings[Date], "&gt;="&amp;'Cash actuals'!AB$7, Bank_postings[Date], "&lt;="&amp;'Cash actuals'!AB$8, Bank_postings[Sub-category (output)], 'Cash actuals'!$C24)</f>
        <v>0</v>
      </c>
      <c r="AC24" s="69">
        <f>SUMIFS(Bank_postings[Amount], Bank_postings[Date], "&gt;="&amp;'Cash actuals'!AC$7, Bank_postings[Date], "&lt;="&amp;'Cash actuals'!AC$8, Bank_postings[Sub-category (output)], 'Cash actuals'!$C24)</f>
        <v>0</v>
      </c>
      <c r="AD24" s="69">
        <f>SUMIFS(Bank_postings[Amount], Bank_postings[Date], "&gt;="&amp;'Cash actuals'!AD$7, Bank_postings[Date], "&lt;="&amp;'Cash actuals'!AD$8, Bank_postings[Sub-category (output)], 'Cash actuals'!$C24)</f>
        <v>0</v>
      </c>
      <c r="AE24" s="69">
        <f>SUMIFS(Bank_postings[Amount], Bank_postings[Date], "&gt;="&amp;'Cash actuals'!AE$7, Bank_postings[Date], "&lt;="&amp;'Cash actuals'!AE$8, Bank_postings[Sub-category (output)], 'Cash actuals'!$C24)</f>
        <v>0</v>
      </c>
      <c r="AF24" s="69">
        <f>SUMIFS(Bank_postings[Amount], Bank_postings[Date], "&gt;="&amp;'Cash actuals'!AF$7, Bank_postings[Date], "&lt;="&amp;'Cash actuals'!AF$8, Bank_postings[Sub-category (output)], 'Cash actuals'!$C24)</f>
        <v>0</v>
      </c>
      <c r="AG24" s="69">
        <f>SUMIFS(Bank_postings[Amount], Bank_postings[Date], "&gt;="&amp;'Cash actuals'!AG$7, Bank_postings[Date], "&lt;="&amp;'Cash actuals'!AG$8, Bank_postings[Sub-category (output)], 'Cash actuals'!$C24)</f>
        <v>0</v>
      </c>
      <c r="AH24" s="69">
        <f>SUMIFS(Bank_postings[Amount], Bank_postings[Date], "&gt;="&amp;'Cash actuals'!AH$7, Bank_postings[Date], "&lt;="&amp;'Cash actuals'!AH$8, Bank_postings[Sub-category (output)], 'Cash actuals'!$C24)</f>
        <v>0</v>
      </c>
      <c r="AI24" s="69">
        <f>SUMIFS(Bank_postings[Amount], Bank_postings[Date], "&gt;="&amp;'Cash actuals'!AI$7, Bank_postings[Date], "&lt;="&amp;'Cash actuals'!AI$8, Bank_postings[Sub-category (output)], 'Cash actuals'!$C24)</f>
        <v>0</v>
      </c>
      <c r="AJ24" s="69">
        <f>SUMIFS(Bank_postings[Amount], Bank_postings[Date], "&gt;="&amp;'Cash actuals'!AJ$7, Bank_postings[Date], "&lt;="&amp;'Cash actuals'!AJ$8, Bank_postings[Sub-category (output)], 'Cash actuals'!$C24)</f>
        <v>0</v>
      </c>
      <c r="AK24" s="69">
        <f>SUMIFS(Bank_postings[Amount], Bank_postings[Date], "&gt;="&amp;'Cash actuals'!AK$7, Bank_postings[Date], "&lt;="&amp;'Cash actuals'!AK$8, Bank_postings[Sub-category (output)], 'Cash actuals'!$C24)</f>
        <v>0</v>
      </c>
      <c r="AL24" s="69">
        <f>SUMIFS(Bank_postings[Amount], Bank_postings[Date], "&gt;="&amp;'Cash actuals'!AL$7, Bank_postings[Date], "&lt;="&amp;'Cash actuals'!AL$8, Bank_postings[Sub-category (output)], 'Cash actuals'!$C24)</f>
        <v>0</v>
      </c>
      <c r="AM24" s="69">
        <f>SUMIFS(Bank_postings[Amount], Bank_postings[Date], "&gt;="&amp;'Cash actuals'!AM$7, Bank_postings[Date], "&lt;="&amp;'Cash actuals'!AM$8, Bank_postings[Sub-category (output)], 'Cash actuals'!$C24)</f>
        <v>0</v>
      </c>
      <c r="AN24" s="69">
        <f>SUMIFS(Bank_postings[Amount], Bank_postings[Date], "&gt;="&amp;'Cash actuals'!AN$7, Bank_postings[Date], "&lt;="&amp;'Cash actuals'!AN$8, Bank_postings[Sub-category (output)], 'Cash actuals'!$C24)</f>
        <v>0</v>
      </c>
      <c r="AO24" s="69">
        <f>SUMIFS(Bank_postings[Amount], Bank_postings[Date], "&gt;="&amp;'Cash actuals'!AO$7, Bank_postings[Date], "&lt;="&amp;'Cash actuals'!AO$8, Bank_postings[Sub-category (output)], 'Cash actuals'!$C24)</f>
        <v>0</v>
      </c>
      <c r="AP24" s="69">
        <f>SUMIFS(Bank_postings[Amount], Bank_postings[Date], "&gt;="&amp;'Cash actuals'!AP$7, Bank_postings[Date], "&lt;="&amp;'Cash actuals'!AP$8, Bank_postings[Sub-category (output)], 'Cash actuals'!$C24)</f>
        <v>0</v>
      </c>
      <c r="AQ24" s="69">
        <f>SUMIFS(Bank_postings[Amount], Bank_postings[Date], "&gt;="&amp;'Cash actuals'!AQ$7, Bank_postings[Date], "&lt;="&amp;'Cash actuals'!AQ$8, Bank_postings[Sub-category (output)], 'Cash actuals'!$C24)</f>
        <v>0</v>
      </c>
      <c r="AR24" s="69">
        <f>SUMIFS(Bank_postings[Amount], Bank_postings[Date], "&gt;="&amp;'Cash actuals'!AR$7, Bank_postings[Date], "&lt;="&amp;'Cash actuals'!AR$8, Bank_postings[Sub-category (output)], 'Cash actuals'!$C24)</f>
        <v>0</v>
      </c>
      <c r="AS24" s="69">
        <f>SUMIFS(Bank_postings[Amount], Bank_postings[Date], "&gt;="&amp;'Cash actuals'!AS$7, Bank_postings[Date], "&lt;="&amp;'Cash actuals'!AS$8, Bank_postings[Sub-category (output)], 'Cash actuals'!$C24)</f>
        <v>0</v>
      </c>
      <c r="AT24" s="69">
        <f>SUMIFS(Bank_postings[Amount], Bank_postings[Date], "&gt;="&amp;'Cash actuals'!AT$7, Bank_postings[Date], "&lt;="&amp;'Cash actuals'!AT$8, Bank_postings[Sub-category (output)], 'Cash actuals'!$C24)</f>
        <v>0</v>
      </c>
      <c r="AU24" s="69">
        <f>SUMIFS(Bank_postings[Amount], Bank_postings[Date], "&gt;="&amp;'Cash actuals'!AU$7, Bank_postings[Date], "&lt;="&amp;'Cash actuals'!AU$8, Bank_postings[Sub-category (output)], 'Cash actuals'!$C24)</f>
        <v>0</v>
      </c>
      <c r="AV24" s="69">
        <f>SUMIFS(Bank_postings[Amount], Bank_postings[Date], "&gt;="&amp;'Cash actuals'!AV$7, Bank_postings[Date], "&lt;="&amp;'Cash actuals'!AV$8, Bank_postings[Sub-category (output)], 'Cash actuals'!$C24)</f>
        <v>0</v>
      </c>
      <c r="AW24" s="69">
        <f>SUMIFS(Bank_postings[Amount], Bank_postings[Date], "&gt;="&amp;'Cash actuals'!AW$7, Bank_postings[Date], "&lt;="&amp;'Cash actuals'!AW$8, Bank_postings[Sub-category (output)], 'Cash actuals'!$C24)</f>
        <v>0</v>
      </c>
      <c r="AX24" s="69">
        <f>SUMIFS(Bank_postings[Amount], Bank_postings[Date], "&gt;="&amp;'Cash actuals'!AX$7, Bank_postings[Date], "&lt;="&amp;'Cash actuals'!AX$8, Bank_postings[Sub-category (output)], 'Cash actuals'!$C24)</f>
        <v>0</v>
      </c>
      <c r="AY24" s="69">
        <f>SUMIFS(Bank_postings[Amount], Bank_postings[Date], "&gt;="&amp;'Cash actuals'!AY$7, Bank_postings[Date], "&lt;="&amp;'Cash actuals'!AY$8, Bank_postings[Sub-category (output)], 'Cash actuals'!$C24)</f>
        <v>0</v>
      </c>
      <c r="AZ24" s="69">
        <f>SUMIFS(Bank_postings[Amount], Bank_postings[Date], "&gt;="&amp;'Cash actuals'!AZ$7, Bank_postings[Date], "&lt;="&amp;'Cash actuals'!AZ$8, Bank_postings[Sub-category (output)], 'Cash actuals'!$C24)</f>
        <v>0</v>
      </c>
      <c r="BA24" s="69">
        <f>SUMIFS(Bank_postings[Amount], Bank_postings[Date], "&gt;="&amp;'Cash actuals'!BA$7, Bank_postings[Date], "&lt;="&amp;'Cash actuals'!BA$8, Bank_postings[Sub-category (output)], 'Cash actuals'!$C24)</f>
        <v>0</v>
      </c>
      <c r="BB24" s="69">
        <f>SUMIFS(Bank_postings[Amount], Bank_postings[Date], "&gt;="&amp;'Cash actuals'!BB$7, Bank_postings[Date], "&lt;="&amp;'Cash actuals'!BB$8, Bank_postings[Sub-category (output)], 'Cash actuals'!$C24)</f>
        <v>0</v>
      </c>
      <c r="BC24" s="69">
        <f>SUMIFS(Bank_postings[Amount], Bank_postings[Date], "&gt;="&amp;'Cash actuals'!BC$7, Bank_postings[Date], "&lt;="&amp;'Cash actuals'!BC$8, Bank_postings[Sub-category (output)], 'Cash actuals'!$C24)</f>
        <v>0</v>
      </c>
      <c r="BD24" s="69">
        <f>SUMIFS(Bank_postings[Amount], Bank_postings[Date], "&gt;="&amp;'Cash actuals'!BD$7, Bank_postings[Date], "&lt;="&amp;'Cash actuals'!BD$8, Bank_postings[Sub-category (output)], 'Cash actuals'!$C24)</f>
        <v>0</v>
      </c>
      <c r="BE24" s="69">
        <f>SUMIFS(Bank_postings[Amount], Bank_postings[Date], "&gt;="&amp;'Cash actuals'!BE$7, Bank_postings[Date], "&lt;="&amp;'Cash actuals'!BE$8, Bank_postings[Sub-category (output)], 'Cash actuals'!$C24)</f>
        <v>0</v>
      </c>
    </row>
    <row r="25" spans="3:57" ht="5.0999999999999996" customHeight="1" x14ac:dyDescent="0.25"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</row>
    <row r="26" spans="3:57" x14ac:dyDescent="0.25">
      <c r="C26" s="1">
        <f>Assumptions!$D$26</f>
        <v>0</v>
      </c>
      <c r="F26" s="69">
        <f>SUMIFS(Bank_postings[Amount], Bank_postings[Date], "&gt;="&amp;'Cash actuals'!F$7, Bank_postings[Date], "&lt;="&amp;'Cash actuals'!F$8, Bank_postings[Sub-category (output)], 'Cash actuals'!$C26)</f>
        <v>0</v>
      </c>
      <c r="G26" s="69">
        <f>SUMIFS(Bank_postings[Amount], Bank_postings[Date], "&gt;="&amp;'Cash actuals'!G$7, Bank_postings[Date], "&lt;="&amp;'Cash actuals'!G$8, Bank_postings[Sub-category (output)], 'Cash actuals'!$C26)</f>
        <v>0</v>
      </c>
      <c r="H26" s="69">
        <f>SUMIFS(Bank_postings[Amount], Bank_postings[Date], "&gt;="&amp;'Cash actuals'!H$7, Bank_postings[Date], "&lt;="&amp;'Cash actuals'!H$8, Bank_postings[Sub-category (output)], 'Cash actuals'!$C26)</f>
        <v>0</v>
      </c>
      <c r="I26" s="69">
        <f>SUMIFS(Bank_postings[Amount], Bank_postings[Date], "&gt;="&amp;'Cash actuals'!I$7, Bank_postings[Date], "&lt;="&amp;'Cash actuals'!I$8, Bank_postings[Sub-category (output)], 'Cash actuals'!$C26)</f>
        <v>0</v>
      </c>
      <c r="J26" s="69">
        <f>SUMIFS(Bank_postings[Amount], Bank_postings[Date], "&gt;="&amp;'Cash actuals'!J$7, Bank_postings[Date], "&lt;="&amp;'Cash actuals'!J$8, Bank_postings[Sub-category (output)], 'Cash actuals'!$C26)</f>
        <v>0</v>
      </c>
      <c r="K26" s="69">
        <f>SUMIFS(Bank_postings[Amount], Bank_postings[Date], "&gt;="&amp;'Cash actuals'!K$7, Bank_postings[Date], "&lt;="&amp;'Cash actuals'!K$8, Bank_postings[Sub-category (output)], 'Cash actuals'!$C26)</f>
        <v>0</v>
      </c>
      <c r="L26" s="69">
        <f>SUMIFS(Bank_postings[Amount], Bank_postings[Date], "&gt;="&amp;'Cash actuals'!L$7, Bank_postings[Date], "&lt;="&amp;'Cash actuals'!L$8, Bank_postings[Sub-category (output)], 'Cash actuals'!$C26)</f>
        <v>0</v>
      </c>
      <c r="M26" s="69">
        <f>SUMIFS(Bank_postings[Amount], Bank_postings[Date], "&gt;="&amp;'Cash actuals'!M$7, Bank_postings[Date], "&lt;="&amp;'Cash actuals'!M$8, Bank_postings[Sub-category (output)], 'Cash actuals'!$C26)</f>
        <v>0</v>
      </c>
      <c r="N26" s="69">
        <f>SUMIFS(Bank_postings[Amount], Bank_postings[Date], "&gt;="&amp;'Cash actuals'!N$7, Bank_postings[Date], "&lt;="&amp;'Cash actuals'!N$8, Bank_postings[Sub-category (output)], 'Cash actuals'!$C26)</f>
        <v>0</v>
      </c>
      <c r="O26" s="69">
        <f>SUMIFS(Bank_postings[Amount], Bank_postings[Date], "&gt;="&amp;'Cash actuals'!O$7, Bank_postings[Date], "&lt;="&amp;'Cash actuals'!O$8, Bank_postings[Sub-category (output)], 'Cash actuals'!$C26)</f>
        <v>0</v>
      </c>
      <c r="P26" s="69">
        <f>SUMIFS(Bank_postings[Amount], Bank_postings[Date], "&gt;="&amp;'Cash actuals'!P$7, Bank_postings[Date], "&lt;="&amp;'Cash actuals'!P$8, Bank_postings[Sub-category (output)], 'Cash actuals'!$C26)</f>
        <v>0</v>
      </c>
      <c r="Q26" s="69">
        <f>SUMIFS(Bank_postings[Amount], Bank_postings[Date], "&gt;="&amp;'Cash actuals'!Q$7, Bank_postings[Date], "&lt;="&amp;'Cash actuals'!Q$8, Bank_postings[Sub-category (output)], 'Cash actuals'!$C26)</f>
        <v>0</v>
      </c>
      <c r="R26" s="69">
        <f>SUMIFS(Bank_postings[Amount], Bank_postings[Date], "&gt;="&amp;'Cash actuals'!R$7, Bank_postings[Date], "&lt;="&amp;'Cash actuals'!R$8, Bank_postings[Sub-category (output)], 'Cash actuals'!$C26)</f>
        <v>0</v>
      </c>
      <c r="S26" s="69">
        <f>SUMIFS(Bank_postings[Amount], Bank_postings[Date], "&gt;="&amp;'Cash actuals'!S$7, Bank_postings[Date], "&lt;="&amp;'Cash actuals'!S$8, Bank_postings[Sub-category (output)], 'Cash actuals'!$C26)</f>
        <v>0</v>
      </c>
      <c r="T26" s="69">
        <f>SUMIFS(Bank_postings[Amount], Bank_postings[Date], "&gt;="&amp;'Cash actuals'!T$7, Bank_postings[Date], "&lt;="&amp;'Cash actuals'!T$8, Bank_postings[Sub-category (output)], 'Cash actuals'!$C26)</f>
        <v>0</v>
      </c>
      <c r="U26" s="69">
        <f>SUMIFS(Bank_postings[Amount], Bank_postings[Date], "&gt;="&amp;'Cash actuals'!U$7, Bank_postings[Date], "&lt;="&amp;'Cash actuals'!U$8, Bank_postings[Sub-category (output)], 'Cash actuals'!$C26)</f>
        <v>0</v>
      </c>
      <c r="V26" s="69">
        <f>SUMIFS(Bank_postings[Amount], Bank_postings[Date], "&gt;="&amp;'Cash actuals'!V$7, Bank_postings[Date], "&lt;="&amp;'Cash actuals'!V$8, Bank_postings[Sub-category (output)], 'Cash actuals'!$C26)</f>
        <v>0</v>
      </c>
      <c r="W26" s="69">
        <f>SUMIFS(Bank_postings[Amount], Bank_postings[Date], "&gt;="&amp;'Cash actuals'!W$7, Bank_postings[Date], "&lt;="&amp;'Cash actuals'!W$8, Bank_postings[Sub-category (output)], 'Cash actuals'!$C26)</f>
        <v>0</v>
      </c>
      <c r="X26" s="69">
        <f>SUMIFS(Bank_postings[Amount], Bank_postings[Date], "&gt;="&amp;'Cash actuals'!X$7, Bank_postings[Date], "&lt;="&amp;'Cash actuals'!X$8, Bank_postings[Sub-category (output)], 'Cash actuals'!$C26)</f>
        <v>0</v>
      </c>
      <c r="Y26" s="69">
        <f>SUMIFS(Bank_postings[Amount], Bank_postings[Date], "&gt;="&amp;'Cash actuals'!Y$7, Bank_postings[Date], "&lt;="&amp;'Cash actuals'!Y$8, Bank_postings[Sub-category (output)], 'Cash actuals'!$C26)</f>
        <v>0</v>
      </c>
      <c r="Z26" s="69">
        <f>SUMIFS(Bank_postings[Amount], Bank_postings[Date], "&gt;="&amp;'Cash actuals'!Z$7, Bank_postings[Date], "&lt;="&amp;'Cash actuals'!Z$8, Bank_postings[Sub-category (output)], 'Cash actuals'!$C26)</f>
        <v>0</v>
      </c>
      <c r="AA26" s="69">
        <f>SUMIFS(Bank_postings[Amount], Bank_postings[Date], "&gt;="&amp;'Cash actuals'!AA$7, Bank_postings[Date], "&lt;="&amp;'Cash actuals'!AA$8, Bank_postings[Sub-category (output)], 'Cash actuals'!$C26)</f>
        <v>0</v>
      </c>
      <c r="AB26" s="69">
        <f>SUMIFS(Bank_postings[Amount], Bank_postings[Date], "&gt;="&amp;'Cash actuals'!AB$7, Bank_postings[Date], "&lt;="&amp;'Cash actuals'!AB$8, Bank_postings[Sub-category (output)], 'Cash actuals'!$C26)</f>
        <v>0</v>
      </c>
      <c r="AC26" s="69">
        <f>SUMIFS(Bank_postings[Amount], Bank_postings[Date], "&gt;="&amp;'Cash actuals'!AC$7, Bank_postings[Date], "&lt;="&amp;'Cash actuals'!AC$8, Bank_postings[Sub-category (output)], 'Cash actuals'!$C26)</f>
        <v>0</v>
      </c>
      <c r="AD26" s="69">
        <f>SUMIFS(Bank_postings[Amount], Bank_postings[Date], "&gt;="&amp;'Cash actuals'!AD$7, Bank_postings[Date], "&lt;="&amp;'Cash actuals'!AD$8, Bank_postings[Sub-category (output)], 'Cash actuals'!$C26)</f>
        <v>0</v>
      </c>
      <c r="AE26" s="69">
        <f>SUMIFS(Bank_postings[Amount], Bank_postings[Date], "&gt;="&amp;'Cash actuals'!AE$7, Bank_postings[Date], "&lt;="&amp;'Cash actuals'!AE$8, Bank_postings[Sub-category (output)], 'Cash actuals'!$C26)</f>
        <v>0</v>
      </c>
      <c r="AF26" s="69">
        <f>SUMIFS(Bank_postings[Amount], Bank_postings[Date], "&gt;="&amp;'Cash actuals'!AF$7, Bank_postings[Date], "&lt;="&amp;'Cash actuals'!AF$8, Bank_postings[Sub-category (output)], 'Cash actuals'!$C26)</f>
        <v>0</v>
      </c>
      <c r="AG26" s="69">
        <f>SUMIFS(Bank_postings[Amount], Bank_postings[Date], "&gt;="&amp;'Cash actuals'!AG$7, Bank_postings[Date], "&lt;="&amp;'Cash actuals'!AG$8, Bank_postings[Sub-category (output)], 'Cash actuals'!$C26)</f>
        <v>0</v>
      </c>
      <c r="AH26" s="69">
        <f>SUMIFS(Bank_postings[Amount], Bank_postings[Date], "&gt;="&amp;'Cash actuals'!AH$7, Bank_postings[Date], "&lt;="&amp;'Cash actuals'!AH$8, Bank_postings[Sub-category (output)], 'Cash actuals'!$C26)</f>
        <v>0</v>
      </c>
      <c r="AI26" s="69">
        <f>SUMIFS(Bank_postings[Amount], Bank_postings[Date], "&gt;="&amp;'Cash actuals'!AI$7, Bank_postings[Date], "&lt;="&amp;'Cash actuals'!AI$8, Bank_postings[Sub-category (output)], 'Cash actuals'!$C26)</f>
        <v>0</v>
      </c>
      <c r="AJ26" s="69">
        <f>SUMIFS(Bank_postings[Amount], Bank_postings[Date], "&gt;="&amp;'Cash actuals'!AJ$7, Bank_postings[Date], "&lt;="&amp;'Cash actuals'!AJ$8, Bank_postings[Sub-category (output)], 'Cash actuals'!$C26)</f>
        <v>0</v>
      </c>
      <c r="AK26" s="69">
        <f>SUMIFS(Bank_postings[Amount], Bank_postings[Date], "&gt;="&amp;'Cash actuals'!AK$7, Bank_postings[Date], "&lt;="&amp;'Cash actuals'!AK$8, Bank_postings[Sub-category (output)], 'Cash actuals'!$C26)</f>
        <v>0</v>
      </c>
      <c r="AL26" s="69">
        <f>SUMIFS(Bank_postings[Amount], Bank_postings[Date], "&gt;="&amp;'Cash actuals'!AL$7, Bank_postings[Date], "&lt;="&amp;'Cash actuals'!AL$8, Bank_postings[Sub-category (output)], 'Cash actuals'!$C26)</f>
        <v>0</v>
      </c>
      <c r="AM26" s="69">
        <f>SUMIFS(Bank_postings[Amount], Bank_postings[Date], "&gt;="&amp;'Cash actuals'!AM$7, Bank_postings[Date], "&lt;="&amp;'Cash actuals'!AM$8, Bank_postings[Sub-category (output)], 'Cash actuals'!$C26)</f>
        <v>0</v>
      </c>
      <c r="AN26" s="69">
        <f>SUMIFS(Bank_postings[Amount], Bank_postings[Date], "&gt;="&amp;'Cash actuals'!AN$7, Bank_postings[Date], "&lt;="&amp;'Cash actuals'!AN$8, Bank_postings[Sub-category (output)], 'Cash actuals'!$C26)</f>
        <v>0</v>
      </c>
      <c r="AO26" s="69">
        <f>SUMIFS(Bank_postings[Amount], Bank_postings[Date], "&gt;="&amp;'Cash actuals'!AO$7, Bank_postings[Date], "&lt;="&amp;'Cash actuals'!AO$8, Bank_postings[Sub-category (output)], 'Cash actuals'!$C26)</f>
        <v>0</v>
      </c>
      <c r="AP26" s="69">
        <f>SUMIFS(Bank_postings[Amount], Bank_postings[Date], "&gt;="&amp;'Cash actuals'!AP$7, Bank_postings[Date], "&lt;="&amp;'Cash actuals'!AP$8, Bank_postings[Sub-category (output)], 'Cash actuals'!$C26)</f>
        <v>0</v>
      </c>
      <c r="AQ26" s="69">
        <f>SUMIFS(Bank_postings[Amount], Bank_postings[Date], "&gt;="&amp;'Cash actuals'!AQ$7, Bank_postings[Date], "&lt;="&amp;'Cash actuals'!AQ$8, Bank_postings[Sub-category (output)], 'Cash actuals'!$C26)</f>
        <v>0</v>
      </c>
      <c r="AR26" s="69">
        <f>SUMIFS(Bank_postings[Amount], Bank_postings[Date], "&gt;="&amp;'Cash actuals'!AR$7, Bank_postings[Date], "&lt;="&amp;'Cash actuals'!AR$8, Bank_postings[Sub-category (output)], 'Cash actuals'!$C26)</f>
        <v>0</v>
      </c>
      <c r="AS26" s="69">
        <f>SUMIFS(Bank_postings[Amount], Bank_postings[Date], "&gt;="&amp;'Cash actuals'!AS$7, Bank_postings[Date], "&lt;="&amp;'Cash actuals'!AS$8, Bank_postings[Sub-category (output)], 'Cash actuals'!$C26)</f>
        <v>0</v>
      </c>
      <c r="AT26" s="69">
        <f>SUMIFS(Bank_postings[Amount], Bank_postings[Date], "&gt;="&amp;'Cash actuals'!AT$7, Bank_postings[Date], "&lt;="&amp;'Cash actuals'!AT$8, Bank_postings[Sub-category (output)], 'Cash actuals'!$C26)</f>
        <v>0</v>
      </c>
      <c r="AU26" s="69">
        <f>SUMIFS(Bank_postings[Amount], Bank_postings[Date], "&gt;="&amp;'Cash actuals'!AU$7, Bank_postings[Date], "&lt;="&amp;'Cash actuals'!AU$8, Bank_postings[Sub-category (output)], 'Cash actuals'!$C26)</f>
        <v>0</v>
      </c>
      <c r="AV26" s="69">
        <f>SUMIFS(Bank_postings[Amount], Bank_postings[Date], "&gt;="&amp;'Cash actuals'!AV$7, Bank_postings[Date], "&lt;="&amp;'Cash actuals'!AV$8, Bank_postings[Sub-category (output)], 'Cash actuals'!$C26)</f>
        <v>0</v>
      </c>
      <c r="AW26" s="69">
        <f>SUMIFS(Bank_postings[Amount], Bank_postings[Date], "&gt;="&amp;'Cash actuals'!AW$7, Bank_postings[Date], "&lt;="&amp;'Cash actuals'!AW$8, Bank_postings[Sub-category (output)], 'Cash actuals'!$C26)</f>
        <v>0</v>
      </c>
      <c r="AX26" s="69">
        <f>SUMIFS(Bank_postings[Amount], Bank_postings[Date], "&gt;="&amp;'Cash actuals'!AX$7, Bank_postings[Date], "&lt;="&amp;'Cash actuals'!AX$8, Bank_postings[Sub-category (output)], 'Cash actuals'!$C26)</f>
        <v>0</v>
      </c>
      <c r="AY26" s="69">
        <f>SUMIFS(Bank_postings[Amount], Bank_postings[Date], "&gt;="&amp;'Cash actuals'!AY$7, Bank_postings[Date], "&lt;="&amp;'Cash actuals'!AY$8, Bank_postings[Sub-category (output)], 'Cash actuals'!$C26)</f>
        <v>0</v>
      </c>
      <c r="AZ26" s="69">
        <f>SUMIFS(Bank_postings[Amount], Bank_postings[Date], "&gt;="&amp;'Cash actuals'!AZ$7, Bank_postings[Date], "&lt;="&amp;'Cash actuals'!AZ$8, Bank_postings[Sub-category (output)], 'Cash actuals'!$C26)</f>
        <v>0</v>
      </c>
      <c r="BA26" s="69">
        <f>SUMIFS(Bank_postings[Amount], Bank_postings[Date], "&gt;="&amp;'Cash actuals'!BA$7, Bank_postings[Date], "&lt;="&amp;'Cash actuals'!BA$8, Bank_postings[Sub-category (output)], 'Cash actuals'!$C26)</f>
        <v>0</v>
      </c>
      <c r="BB26" s="69">
        <f>SUMIFS(Bank_postings[Amount], Bank_postings[Date], "&gt;="&amp;'Cash actuals'!BB$7, Bank_postings[Date], "&lt;="&amp;'Cash actuals'!BB$8, Bank_postings[Sub-category (output)], 'Cash actuals'!$C26)</f>
        <v>0</v>
      </c>
      <c r="BC26" s="69">
        <f>SUMIFS(Bank_postings[Amount], Bank_postings[Date], "&gt;="&amp;'Cash actuals'!BC$7, Bank_postings[Date], "&lt;="&amp;'Cash actuals'!BC$8, Bank_postings[Sub-category (output)], 'Cash actuals'!$C26)</f>
        <v>0</v>
      </c>
      <c r="BD26" s="69">
        <f>SUMIFS(Bank_postings[Amount], Bank_postings[Date], "&gt;="&amp;'Cash actuals'!BD$7, Bank_postings[Date], "&lt;="&amp;'Cash actuals'!BD$8, Bank_postings[Sub-category (output)], 'Cash actuals'!$C26)</f>
        <v>0</v>
      </c>
      <c r="BE26" s="69">
        <f>SUMIFS(Bank_postings[Amount], Bank_postings[Date], "&gt;="&amp;'Cash actuals'!BE$7, Bank_postings[Date], "&lt;="&amp;'Cash actuals'!BE$8, Bank_postings[Sub-category (output)], 'Cash actuals'!$C26)</f>
        <v>0</v>
      </c>
    </row>
    <row r="27" spans="3:57" ht="5.0999999999999996" customHeight="1" x14ac:dyDescent="0.25"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</row>
    <row r="28" spans="3:57" x14ac:dyDescent="0.25">
      <c r="C28" s="1">
        <f>Assumptions!$D$27</f>
        <v>0</v>
      </c>
      <c r="F28" s="69">
        <f>SUMIFS(Bank_postings[Amount], Bank_postings[Date], "&gt;="&amp;'Cash actuals'!F$7, Bank_postings[Date], "&lt;="&amp;'Cash actuals'!F$8, Bank_postings[Sub-category (output)], 'Cash actuals'!$C28)</f>
        <v>0</v>
      </c>
      <c r="G28" s="69">
        <f>SUMIFS(Bank_postings[Amount], Bank_postings[Date], "&gt;="&amp;'Cash actuals'!G$7, Bank_postings[Date], "&lt;="&amp;'Cash actuals'!G$8, Bank_postings[Sub-category (output)], 'Cash actuals'!$C28)</f>
        <v>0</v>
      </c>
      <c r="H28" s="69">
        <f>SUMIFS(Bank_postings[Amount], Bank_postings[Date], "&gt;="&amp;'Cash actuals'!H$7, Bank_postings[Date], "&lt;="&amp;'Cash actuals'!H$8, Bank_postings[Sub-category (output)], 'Cash actuals'!$C28)</f>
        <v>0</v>
      </c>
      <c r="I28" s="69">
        <f>SUMIFS(Bank_postings[Amount], Bank_postings[Date], "&gt;="&amp;'Cash actuals'!I$7, Bank_postings[Date], "&lt;="&amp;'Cash actuals'!I$8, Bank_postings[Sub-category (output)], 'Cash actuals'!$C28)</f>
        <v>0</v>
      </c>
      <c r="J28" s="69">
        <f>SUMIFS(Bank_postings[Amount], Bank_postings[Date], "&gt;="&amp;'Cash actuals'!J$7, Bank_postings[Date], "&lt;="&amp;'Cash actuals'!J$8, Bank_postings[Sub-category (output)], 'Cash actuals'!$C28)</f>
        <v>0</v>
      </c>
      <c r="K28" s="69">
        <f>SUMIFS(Bank_postings[Amount], Bank_postings[Date], "&gt;="&amp;'Cash actuals'!K$7, Bank_postings[Date], "&lt;="&amp;'Cash actuals'!K$8, Bank_postings[Sub-category (output)], 'Cash actuals'!$C28)</f>
        <v>0</v>
      </c>
      <c r="L28" s="69">
        <f>SUMIFS(Bank_postings[Amount], Bank_postings[Date], "&gt;="&amp;'Cash actuals'!L$7, Bank_postings[Date], "&lt;="&amp;'Cash actuals'!L$8, Bank_postings[Sub-category (output)], 'Cash actuals'!$C28)</f>
        <v>0</v>
      </c>
      <c r="M28" s="69">
        <f>SUMIFS(Bank_postings[Amount], Bank_postings[Date], "&gt;="&amp;'Cash actuals'!M$7, Bank_postings[Date], "&lt;="&amp;'Cash actuals'!M$8, Bank_postings[Sub-category (output)], 'Cash actuals'!$C28)</f>
        <v>0</v>
      </c>
      <c r="N28" s="69">
        <f>SUMIFS(Bank_postings[Amount], Bank_postings[Date], "&gt;="&amp;'Cash actuals'!N$7, Bank_postings[Date], "&lt;="&amp;'Cash actuals'!N$8, Bank_postings[Sub-category (output)], 'Cash actuals'!$C28)</f>
        <v>0</v>
      </c>
      <c r="O28" s="69">
        <f>SUMIFS(Bank_postings[Amount], Bank_postings[Date], "&gt;="&amp;'Cash actuals'!O$7, Bank_postings[Date], "&lt;="&amp;'Cash actuals'!O$8, Bank_postings[Sub-category (output)], 'Cash actuals'!$C28)</f>
        <v>0</v>
      </c>
      <c r="P28" s="69">
        <f>SUMIFS(Bank_postings[Amount], Bank_postings[Date], "&gt;="&amp;'Cash actuals'!P$7, Bank_postings[Date], "&lt;="&amp;'Cash actuals'!P$8, Bank_postings[Sub-category (output)], 'Cash actuals'!$C28)</f>
        <v>0</v>
      </c>
      <c r="Q28" s="69">
        <f>SUMIFS(Bank_postings[Amount], Bank_postings[Date], "&gt;="&amp;'Cash actuals'!Q$7, Bank_postings[Date], "&lt;="&amp;'Cash actuals'!Q$8, Bank_postings[Sub-category (output)], 'Cash actuals'!$C28)</f>
        <v>0</v>
      </c>
      <c r="R28" s="69">
        <f>SUMIFS(Bank_postings[Amount], Bank_postings[Date], "&gt;="&amp;'Cash actuals'!R$7, Bank_postings[Date], "&lt;="&amp;'Cash actuals'!R$8, Bank_postings[Sub-category (output)], 'Cash actuals'!$C28)</f>
        <v>0</v>
      </c>
      <c r="S28" s="69">
        <f>SUMIFS(Bank_postings[Amount], Bank_postings[Date], "&gt;="&amp;'Cash actuals'!S$7, Bank_postings[Date], "&lt;="&amp;'Cash actuals'!S$8, Bank_postings[Sub-category (output)], 'Cash actuals'!$C28)</f>
        <v>0</v>
      </c>
      <c r="T28" s="69">
        <f>SUMIFS(Bank_postings[Amount], Bank_postings[Date], "&gt;="&amp;'Cash actuals'!T$7, Bank_postings[Date], "&lt;="&amp;'Cash actuals'!T$8, Bank_postings[Sub-category (output)], 'Cash actuals'!$C28)</f>
        <v>0</v>
      </c>
      <c r="U28" s="69">
        <f>SUMIFS(Bank_postings[Amount], Bank_postings[Date], "&gt;="&amp;'Cash actuals'!U$7, Bank_postings[Date], "&lt;="&amp;'Cash actuals'!U$8, Bank_postings[Sub-category (output)], 'Cash actuals'!$C28)</f>
        <v>0</v>
      </c>
      <c r="V28" s="69">
        <f>SUMIFS(Bank_postings[Amount], Bank_postings[Date], "&gt;="&amp;'Cash actuals'!V$7, Bank_postings[Date], "&lt;="&amp;'Cash actuals'!V$8, Bank_postings[Sub-category (output)], 'Cash actuals'!$C28)</f>
        <v>0</v>
      </c>
      <c r="W28" s="69">
        <f>SUMIFS(Bank_postings[Amount], Bank_postings[Date], "&gt;="&amp;'Cash actuals'!W$7, Bank_postings[Date], "&lt;="&amp;'Cash actuals'!W$8, Bank_postings[Sub-category (output)], 'Cash actuals'!$C28)</f>
        <v>0</v>
      </c>
      <c r="X28" s="69">
        <f>SUMIFS(Bank_postings[Amount], Bank_postings[Date], "&gt;="&amp;'Cash actuals'!X$7, Bank_postings[Date], "&lt;="&amp;'Cash actuals'!X$8, Bank_postings[Sub-category (output)], 'Cash actuals'!$C28)</f>
        <v>0</v>
      </c>
      <c r="Y28" s="69">
        <f>SUMIFS(Bank_postings[Amount], Bank_postings[Date], "&gt;="&amp;'Cash actuals'!Y$7, Bank_postings[Date], "&lt;="&amp;'Cash actuals'!Y$8, Bank_postings[Sub-category (output)], 'Cash actuals'!$C28)</f>
        <v>0</v>
      </c>
      <c r="Z28" s="69">
        <f>SUMIFS(Bank_postings[Amount], Bank_postings[Date], "&gt;="&amp;'Cash actuals'!Z$7, Bank_postings[Date], "&lt;="&amp;'Cash actuals'!Z$8, Bank_postings[Sub-category (output)], 'Cash actuals'!$C28)</f>
        <v>0</v>
      </c>
      <c r="AA28" s="69">
        <f>SUMIFS(Bank_postings[Amount], Bank_postings[Date], "&gt;="&amp;'Cash actuals'!AA$7, Bank_postings[Date], "&lt;="&amp;'Cash actuals'!AA$8, Bank_postings[Sub-category (output)], 'Cash actuals'!$C28)</f>
        <v>0</v>
      </c>
      <c r="AB28" s="69">
        <f>SUMIFS(Bank_postings[Amount], Bank_postings[Date], "&gt;="&amp;'Cash actuals'!AB$7, Bank_postings[Date], "&lt;="&amp;'Cash actuals'!AB$8, Bank_postings[Sub-category (output)], 'Cash actuals'!$C28)</f>
        <v>0</v>
      </c>
      <c r="AC28" s="69">
        <f>SUMIFS(Bank_postings[Amount], Bank_postings[Date], "&gt;="&amp;'Cash actuals'!AC$7, Bank_postings[Date], "&lt;="&amp;'Cash actuals'!AC$8, Bank_postings[Sub-category (output)], 'Cash actuals'!$C28)</f>
        <v>0</v>
      </c>
      <c r="AD28" s="69">
        <f>SUMIFS(Bank_postings[Amount], Bank_postings[Date], "&gt;="&amp;'Cash actuals'!AD$7, Bank_postings[Date], "&lt;="&amp;'Cash actuals'!AD$8, Bank_postings[Sub-category (output)], 'Cash actuals'!$C28)</f>
        <v>0</v>
      </c>
      <c r="AE28" s="69">
        <f>SUMIFS(Bank_postings[Amount], Bank_postings[Date], "&gt;="&amp;'Cash actuals'!AE$7, Bank_postings[Date], "&lt;="&amp;'Cash actuals'!AE$8, Bank_postings[Sub-category (output)], 'Cash actuals'!$C28)</f>
        <v>0</v>
      </c>
      <c r="AF28" s="69">
        <f>SUMIFS(Bank_postings[Amount], Bank_postings[Date], "&gt;="&amp;'Cash actuals'!AF$7, Bank_postings[Date], "&lt;="&amp;'Cash actuals'!AF$8, Bank_postings[Sub-category (output)], 'Cash actuals'!$C28)</f>
        <v>0</v>
      </c>
      <c r="AG28" s="69">
        <f>SUMIFS(Bank_postings[Amount], Bank_postings[Date], "&gt;="&amp;'Cash actuals'!AG$7, Bank_postings[Date], "&lt;="&amp;'Cash actuals'!AG$8, Bank_postings[Sub-category (output)], 'Cash actuals'!$C28)</f>
        <v>0</v>
      </c>
      <c r="AH28" s="69">
        <f>SUMIFS(Bank_postings[Amount], Bank_postings[Date], "&gt;="&amp;'Cash actuals'!AH$7, Bank_postings[Date], "&lt;="&amp;'Cash actuals'!AH$8, Bank_postings[Sub-category (output)], 'Cash actuals'!$C28)</f>
        <v>0</v>
      </c>
      <c r="AI28" s="69">
        <f>SUMIFS(Bank_postings[Amount], Bank_postings[Date], "&gt;="&amp;'Cash actuals'!AI$7, Bank_postings[Date], "&lt;="&amp;'Cash actuals'!AI$8, Bank_postings[Sub-category (output)], 'Cash actuals'!$C28)</f>
        <v>0</v>
      </c>
      <c r="AJ28" s="69">
        <f>SUMIFS(Bank_postings[Amount], Bank_postings[Date], "&gt;="&amp;'Cash actuals'!AJ$7, Bank_postings[Date], "&lt;="&amp;'Cash actuals'!AJ$8, Bank_postings[Sub-category (output)], 'Cash actuals'!$C28)</f>
        <v>0</v>
      </c>
      <c r="AK28" s="69">
        <f>SUMIFS(Bank_postings[Amount], Bank_postings[Date], "&gt;="&amp;'Cash actuals'!AK$7, Bank_postings[Date], "&lt;="&amp;'Cash actuals'!AK$8, Bank_postings[Sub-category (output)], 'Cash actuals'!$C28)</f>
        <v>0</v>
      </c>
      <c r="AL28" s="69">
        <f>SUMIFS(Bank_postings[Amount], Bank_postings[Date], "&gt;="&amp;'Cash actuals'!AL$7, Bank_postings[Date], "&lt;="&amp;'Cash actuals'!AL$8, Bank_postings[Sub-category (output)], 'Cash actuals'!$C28)</f>
        <v>0</v>
      </c>
      <c r="AM28" s="69">
        <f>SUMIFS(Bank_postings[Amount], Bank_postings[Date], "&gt;="&amp;'Cash actuals'!AM$7, Bank_postings[Date], "&lt;="&amp;'Cash actuals'!AM$8, Bank_postings[Sub-category (output)], 'Cash actuals'!$C28)</f>
        <v>0</v>
      </c>
      <c r="AN28" s="69">
        <f>SUMIFS(Bank_postings[Amount], Bank_postings[Date], "&gt;="&amp;'Cash actuals'!AN$7, Bank_postings[Date], "&lt;="&amp;'Cash actuals'!AN$8, Bank_postings[Sub-category (output)], 'Cash actuals'!$C28)</f>
        <v>0</v>
      </c>
      <c r="AO28" s="69">
        <f>SUMIFS(Bank_postings[Amount], Bank_postings[Date], "&gt;="&amp;'Cash actuals'!AO$7, Bank_postings[Date], "&lt;="&amp;'Cash actuals'!AO$8, Bank_postings[Sub-category (output)], 'Cash actuals'!$C28)</f>
        <v>0</v>
      </c>
      <c r="AP28" s="69">
        <f>SUMIFS(Bank_postings[Amount], Bank_postings[Date], "&gt;="&amp;'Cash actuals'!AP$7, Bank_postings[Date], "&lt;="&amp;'Cash actuals'!AP$8, Bank_postings[Sub-category (output)], 'Cash actuals'!$C28)</f>
        <v>0</v>
      </c>
      <c r="AQ28" s="69">
        <f>SUMIFS(Bank_postings[Amount], Bank_postings[Date], "&gt;="&amp;'Cash actuals'!AQ$7, Bank_postings[Date], "&lt;="&amp;'Cash actuals'!AQ$8, Bank_postings[Sub-category (output)], 'Cash actuals'!$C28)</f>
        <v>0</v>
      </c>
      <c r="AR28" s="69">
        <f>SUMIFS(Bank_postings[Amount], Bank_postings[Date], "&gt;="&amp;'Cash actuals'!AR$7, Bank_postings[Date], "&lt;="&amp;'Cash actuals'!AR$8, Bank_postings[Sub-category (output)], 'Cash actuals'!$C28)</f>
        <v>0</v>
      </c>
      <c r="AS28" s="69">
        <f>SUMIFS(Bank_postings[Amount], Bank_postings[Date], "&gt;="&amp;'Cash actuals'!AS$7, Bank_postings[Date], "&lt;="&amp;'Cash actuals'!AS$8, Bank_postings[Sub-category (output)], 'Cash actuals'!$C28)</f>
        <v>0</v>
      </c>
      <c r="AT28" s="69">
        <f>SUMIFS(Bank_postings[Amount], Bank_postings[Date], "&gt;="&amp;'Cash actuals'!AT$7, Bank_postings[Date], "&lt;="&amp;'Cash actuals'!AT$8, Bank_postings[Sub-category (output)], 'Cash actuals'!$C28)</f>
        <v>0</v>
      </c>
      <c r="AU28" s="69">
        <f>SUMIFS(Bank_postings[Amount], Bank_postings[Date], "&gt;="&amp;'Cash actuals'!AU$7, Bank_postings[Date], "&lt;="&amp;'Cash actuals'!AU$8, Bank_postings[Sub-category (output)], 'Cash actuals'!$C28)</f>
        <v>0</v>
      </c>
      <c r="AV28" s="69">
        <f>SUMIFS(Bank_postings[Amount], Bank_postings[Date], "&gt;="&amp;'Cash actuals'!AV$7, Bank_postings[Date], "&lt;="&amp;'Cash actuals'!AV$8, Bank_postings[Sub-category (output)], 'Cash actuals'!$C28)</f>
        <v>0</v>
      </c>
      <c r="AW28" s="69">
        <f>SUMIFS(Bank_postings[Amount], Bank_postings[Date], "&gt;="&amp;'Cash actuals'!AW$7, Bank_postings[Date], "&lt;="&amp;'Cash actuals'!AW$8, Bank_postings[Sub-category (output)], 'Cash actuals'!$C28)</f>
        <v>0</v>
      </c>
      <c r="AX28" s="69">
        <f>SUMIFS(Bank_postings[Amount], Bank_postings[Date], "&gt;="&amp;'Cash actuals'!AX$7, Bank_postings[Date], "&lt;="&amp;'Cash actuals'!AX$8, Bank_postings[Sub-category (output)], 'Cash actuals'!$C28)</f>
        <v>0</v>
      </c>
      <c r="AY28" s="69">
        <f>SUMIFS(Bank_postings[Amount], Bank_postings[Date], "&gt;="&amp;'Cash actuals'!AY$7, Bank_postings[Date], "&lt;="&amp;'Cash actuals'!AY$8, Bank_postings[Sub-category (output)], 'Cash actuals'!$C28)</f>
        <v>0</v>
      </c>
      <c r="AZ28" s="69">
        <f>SUMIFS(Bank_postings[Amount], Bank_postings[Date], "&gt;="&amp;'Cash actuals'!AZ$7, Bank_postings[Date], "&lt;="&amp;'Cash actuals'!AZ$8, Bank_postings[Sub-category (output)], 'Cash actuals'!$C28)</f>
        <v>0</v>
      </c>
      <c r="BA28" s="69">
        <f>SUMIFS(Bank_postings[Amount], Bank_postings[Date], "&gt;="&amp;'Cash actuals'!BA$7, Bank_postings[Date], "&lt;="&amp;'Cash actuals'!BA$8, Bank_postings[Sub-category (output)], 'Cash actuals'!$C28)</f>
        <v>0</v>
      </c>
      <c r="BB28" s="69">
        <f>SUMIFS(Bank_postings[Amount], Bank_postings[Date], "&gt;="&amp;'Cash actuals'!BB$7, Bank_postings[Date], "&lt;="&amp;'Cash actuals'!BB$8, Bank_postings[Sub-category (output)], 'Cash actuals'!$C28)</f>
        <v>0</v>
      </c>
      <c r="BC28" s="69">
        <f>SUMIFS(Bank_postings[Amount], Bank_postings[Date], "&gt;="&amp;'Cash actuals'!BC$7, Bank_postings[Date], "&lt;="&amp;'Cash actuals'!BC$8, Bank_postings[Sub-category (output)], 'Cash actuals'!$C28)</f>
        <v>0</v>
      </c>
      <c r="BD28" s="69">
        <f>SUMIFS(Bank_postings[Amount], Bank_postings[Date], "&gt;="&amp;'Cash actuals'!BD$7, Bank_postings[Date], "&lt;="&amp;'Cash actuals'!BD$8, Bank_postings[Sub-category (output)], 'Cash actuals'!$C28)</f>
        <v>0</v>
      </c>
      <c r="BE28" s="69">
        <f>SUMIFS(Bank_postings[Amount], Bank_postings[Date], "&gt;="&amp;'Cash actuals'!BE$7, Bank_postings[Date], "&lt;="&amp;'Cash actuals'!BE$8, Bank_postings[Sub-category (output)], 'Cash actuals'!$C28)</f>
        <v>0</v>
      </c>
    </row>
    <row r="29" spans="3:57" ht="5.0999999999999996" customHeight="1" x14ac:dyDescent="0.25"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</row>
    <row r="30" spans="3:57" x14ac:dyDescent="0.25">
      <c r="C30" s="1">
        <f>Assumptions!$D$28</f>
        <v>0</v>
      </c>
      <c r="F30" s="69">
        <f>SUMIFS(Bank_postings[Amount], Bank_postings[Date], "&gt;="&amp;'Cash actuals'!F$7, Bank_postings[Date], "&lt;="&amp;'Cash actuals'!F$8, Bank_postings[Sub-category (output)], 'Cash actuals'!$C30)</f>
        <v>0</v>
      </c>
      <c r="G30" s="69">
        <f>SUMIFS(Bank_postings[Amount], Bank_postings[Date], "&gt;="&amp;'Cash actuals'!G$7, Bank_postings[Date], "&lt;="&amp;'Cash actuals'!G$8, Bank_postings[Sub-category (output)], 'Cash actuals'!$C30)</f>
        <v>0</v>
      </c>
      <c r="H30" s="69">
        <f>SUMIFS(Bank_postings[Amount], Bank_postings[Date], "&gt;="&amp;'Cash actuals'!H$7, Bank_postings[Date], "&lt;="&amp;'Cash actuals'!H$8, Bank_postings[Sub-category (output)], 'Cash actuals'!$C30)</f>
        <v>0</v>
      </c>
      <c r="I30" s="69">
        <f>SUMIFS(Bank_postings[Amount], Bank_postings[Date], "&gt;="&amp;'Cash actuals'!I$7, Bank_postings[Date], "&lt;="&amp;'Cash actuals'!I$8, Bank_postings[Sub-category (output)], 'Cash actuals'!$C30)</f>
        <v>0</v>
      </c>
      <c r="J30" s="69">
        <f>SUMIFS(Bank_postings[Amount], Bank_postings[Date], "&gt;="&amp;'Cash actuals'!J$7, Bank_postings[Date], "&lt;="&amp;'Cash actuals'!J$8, Bank_postings[Sub-category (output)], 'Cash actuals'!$C30)</f>
        <v>0</v>
      </c>
      <c r="K30" s="69">
        <f>SUMIFS(Bank_postings[Amount], Bank_postings[Date], "&gt;="&amp;'Cash actuals'!K$7, Bank_postings[Date], "&lt;="&amp;'Cash actuals'!K$8, Bank_postings[Sub-category (output)], 'Cash actuals'!$C30)</f>
        <v>0</v>
      </c>
      <c r="L30" s="69">
        <f>SUMIFS(Bank_postings[Amount], Bank_postings[Date], "&gt;="&amp;'Cash actuals'!L$7, Bank_postings[Date], "&lt;="&amp;'Cash actuals'!L$8, Bank_postings[Sub-category (output)], 'Cash actuals'!$C30)</f>
        <v>0</v>
      </c>
      <c r="M30" s="69">
        <f>SUMIFS(Bank_postings[Amount], Bank_postings[Date], "&gt;="&amp;'Cash actuals'!M$7, Bank_postings[Date], "&lt;="&amp;'Cash actuals'!M$8, Bank_postings[Sub-category (output)], 'Cash actuals'!$C30)</f>
        <v>0</v>
      </c>
      <c r="N30" s="69">
        <f>SUMIFS(Bank_postings[Amount], Bank_postings[Date], "&gt;="&amp;'Cash actuals'!N$7, Bank_postings[Date], "&lt;="&amp;'Cash actuals'!N$8, Bank_postings[Sub-category (output)], 'Cash actuals'!$C30)</f>
        <v>0</v>
      </c>
      <c r="O30" s="69">
        <f>SUMIFS(Bank_postings[Amount], Bank_postings[Date], "&gt;="&amp;'Cash actuals'!O$7, Bank_postings[Date], "&lt;="&amp;'Cash actuals'!O$8, Bank_postings[Sub-category (output)], 'Cash actuals'!$C30)</f>
        <v>0</v>
      </c>
      <c r="P30" s="69">
        <f>SUMIFS(Bank_postings[Amount], Bank_postings[Date], "&gt;="&amp;'Cash actuals'!P$7, Bank_postings[Date], "&lt;="&amp;'Cash actuals'!P$8, Bank_postings[Sub-category (output)], 'Cash actuals'!$C30)</f>
        <v>0</v>
      </c>
      <c r="Q30" s="69">
        <f>SUMIFS(Bank_postings[Amount], Bank_postings[Date], "&gt;="&amp;'Cash actuals'!Q$7, Bank_postings[Date], "&lt;="&amp;'Cash actuals'!Q$8, Bank_postings[Sub-category (output)], 'Cash actuals'!$C30)</f>
        <v>0</v>
      </c>
      <c r="R30" s="69">
        <f>SUMIFS(Bank_postings[Amount], Bank_postings[Date], "&gt;="&amp;'Cash actuals'!R$7, Bank_postings[Date], "&lt;="&amp;'Cash actuals'!R$8, Bank_postings[Sub-category (output)], 'Cash actuals'!$C30)</f>
        <v>0</v>
      </c>
      <c r="S30" s="69">
        <f>SUMIFS(Bank_postings[Amount], Bank_postings[Date], "&gt;="&amp;'Cash actuals'!S$7, Bank_postings[Date], "&lt;="&amp;'Cash actuals'!S$8, Bank_postings[Sub-category (output)], 'Cash actuals'!$C30)</f>
        <v>0</v>
      </c>
      <c r="T30" s="69">
        <f>SUMIFS(Bank_postings[Amount], Bank_postings[Date], "&gt;="&amp;'Cash actuals'!T$7, Bank_postings[Date], "&lt;="&amp;'Cash actuals'!T$8, Bank_postings[Sub-category (output)], 'Cash actuals'!$C30)</f>
        <v>0</v>
      </c>
      <c r="U30" s="69">
        <f>SUMIFS(Bank_postings[Amount], Bank_postings[Date], "&gt;="&amp;'Cash actuals'!U$7, Bank_postings[Date], "&lt;="&amp;'Cash actuals'!U$8, Bank_postings[Sub-category (output)], 'Cash actuals'!$C30)</f>
        <v>0</v>
      </c>
      <c r="V30" s="69">
        <f>SUMIFS(Bank_postings[Amount], Bank_postings[Date], "&gt;="&amp;'Cash actuals'!V$7, Bank_postings[Date], "&lt;="&amp;'Cash actuals'!V$8, Bank_postings[Sub-category (output)], 'Cash actuals'!$C30)</f>
        <v>0</v>
      </c>
      <c r="W30" s="69">
        <f>SUMIFS(Bank_postings[Amount], Bank_postings[Date], "&gt;="&amp;'Cash actuals'!W$7, Bank_postings[Date], "&lt;="&amp;'Cash actuals'!W$8, Bank_postings[Sub-category (output)], 'Cash actuals'!$C30)</f>
        <v>0</v>
      </c>
      <c r="X30" s="69">
        <f>SUMIFS(Bank_postings[Amount], Bank_postings[Date], "&gt;="&amp;'Cash actuals'!X$7, Bank_postings[Date], "&lt;="&amp;'Cash actuals'!X$8, Bank_postings[Sub-category (output)], 'Cash actuals'!$C30)</f>
        <v>0</v>
      </c>
      <c r="Y30" s="69">
        <f>SUMIFS(Bank_postings[Amount], Bank_postings[Date], "&gt;="&amp;'Cash actuals'!Y$7, Bank_postings[Date], "&lt;="&amp;'Cash actuals'!Y$8, Bank_postings[Sub-category (output)], 'Cash actuals'!$C30)</f>
        <v>0</v>
      </c>
      <c r="Z30" s="69">
        <f>SUMIFS(Bank_postings[Amount], Bank_postings[Date], "&gt;="&amp;'Cash actuals'!Z$7, Bank_postings[Date], "&lt;="&amp;'Cash actuals'!Z$8, Bank_postings[Sub-category (output)], 'Cash actuals'!$C30)</f>
        <v>0</v>
      </c>
      <c r="AA30" s="69">
        <f>SUMIFS(Bank_postings[Amount], Bank_postings[Date], "&gt;="&amp;'Cash actuals'!AA$7, Bank_postings[Date], "&lt;="&amp;'Cash actuals'!AA$8, Bank_postings[Sub-category (output)], 'Cash actuals'!$C30)</f>
        <v>0</v>
      </c>
      <c r="AB30" s="69">
        <f>SUMIFS(Bank_postings[Amount], Bank_postings[Date], "&gt;="&amp;'Cash actuals'!AB$7, Bank_postings[Date], "&lt;="&amp;'Cash actuals'!AB$8, Bank_postings[Sub-category (output)], 'Cash actuals'!$C30)</f>
        <v>0</v>
      </c>
      <c r="AC30" s="69">
        <f>SUMIFS(Bank_postings[Amount], Bank_postings[Date], "&gt;="&amp;'Cash actuals'!AC$7, Bank_postings[Date], "&lt;="&amp;'Cash actuals'!AC$8, Bank_postings[Sub-category (output)], 'Cash actuals'!$C30)</f>
        <v>0</v>
      </c>
      <c r="AD30" s="69">
        <f>SUMIFS(Bank_postings[Amount], Bank_postings[Date], "&gt;="&amp;'Cash actuals'!AD$7, Bank_postings[Date], "&lt;="&amp;'Cash actuals'!AD$8, Bank_postings[Sub-category (output)], 'Cash actuals'!$C30)</f>
        <v>0</v>
      </c>
      <c r="AE30" s="69">
        <f>SUMIFS(Bank_postings[Amount], Bank_postings[Date], "&gt;="&amp;'Cash actuals'!AE$7, Bank_postings[Date], "&lt;="&amp;'Cash actuals'!AE$8, Bank_postings[Sub-category (output)], 'Cash actuals'!$C30)</f>
        <v>0</v>
      </c>
      <c r="AF30" s="69">
        <f>SUMIFS(Bank_postings[Amount], Bank_postings[Date], "&gt;="&amp;'Cash actuals'!AF$7, Bank_postings[Date], "&lt;="&amp;'Cash actuals'!AF$8, Bank_postings[Sub-category (output)], 'Cash actuals'!$C30)</f>
        <v>0</v>
      </c>
      <c r="AG30" s="69">
        <f>SUMIFS(Bank_postings[Amount], Bank_postings[Date], "&gt;="&amp;'Cash actuals'!AG$7, Bank_postings[Date], "&lt;="&amp;'Cash actuals'!AG$8, Bank_postings[Sub-category (output)], 'Cash actuals'!$C30)</f>
        <v>0</v>
      </c>
      <c r="AH30" s="69">
        <f>SUMIFS(Bank_postings[Amount], Bank_postings[Date], "&gt;="&amp;'Cash actuals'!AH$7, Bank_postings[Date], "&lt;="&amp;'Cash actuals'!AH$8, Bank_postings[Sub-category (output)], 'Cash actuals'!$C30)</f>
        <v>0</v>
      </c>
      <c r="AI30" s="69">
        <f>SUMIFS(Bank_postings[Amount], Bank_postings[Date], "&gt;="&amp;'Cash actuals'!AI$7, Bank_postings[Date], "&lt;="&amp;'Cash actuals'!AI$8, Bank_postings[Sub-category (output)], 'Cash actuals'!$C30)</f>
        <v>0</v>
      </c>
      <c r="AJ30" s="69">
        <f>SUMIFS(Bank_postings[Amount], Bank_postings[Date], "&gt;="&amp;'Cash actuals'!AJ$7, Bank_postings[Date], "&lt;="&amp;'Cash actuals'!AJ$8, Bank_postings[Sub-category (output)], 'Cash actuals'!$C30)</f>
        <v>0</v>
      </c>
      <c r="AK30" s="69">
        <f>SUMIFS(Bank_postings[Amount], Bank_postings[Date], "&gt;="&amp;'Cash actuals'!AK$7, Bank_postings[Date], "&lt;="&amp;'Cash actuals'!AK$8, Bank_postings[Sub-category (output)], 'Cash actuals'!$C30)</f>
        <v>0</v>
      </c>
      <c r="AL30" s="69">
        <f>SUMIFS(Bank_postings[Amount], Bank_postings[Date], "&gt;="&amp;'Cash actuals'!AL$7, Bank_postings[Date], "&lt;="&amp;'Cash actuals'!AL$8, Bank_postings[Sub-category (output)], 'Cash actuals'!$C30)</f>
        <v>0</v>
      </c>
      <c r="AM30" s="69">
        <f>SUMIFS(Bank_postings[Amount], Bank_postings[Date], "&gt;="&amp;'Cash actuals'!AM$7, Bank_postings[Date], "&lt;="&amp;'Cash actuals'!AM$8, Bank_postings[Sub-category (output)], 'Cash actuals'!$C30)</f>
        <v>0</v>
      </c>
      <c r="AN30" s="69">
        <f>SUMIFS(Bank_postings[Amount], Bank_postings[Date], "&gt;="&amp;'Cash actuals'!AN$7, Bank_postings[Date], "&lt;="&amp;'Cash actuals'!AN$8, Bank_postings[Sub-category (output)], 'Cash actuals'!$C30)</f>
        <v>0</v>
      </c>
      <c r="AO30" s="69">
        <f>SUMIFS(Bank_postings[Amount], Bank_postings[Date], "&gt;="&amp;'Cash actuals'!AO$7, Bank_postings[Date], "&lt;="&amp;'Cash actuals'!AO$8, Bank_postings[Sub-category (output)], 'Cash actuals'!$C30)</f>
        <v>0</v>
      </c>
      <c r="AP30" s="69">
        <f>SUMIFS(Bank_postings[Amount], Bank_postings[Date], "&gt;="&amp;'Cash actuals'!AP$7, Bank_postings[Date], "&lt;="&amp;'Cash actuals'!AP$8, Bank_postings[Sub-category (output)], 'Cash actuals'!$C30)</f>
        <v>0</v>
      </c>
      <c r="AQ30" s="69">
        <f>SUMIFS(Bank_postings[Amount], Bank_postings[Date], "&gt;="&amp;'Cash actuals'!AQ$7, Bank_postings[Date], "&lt;="&amp;'Cash actuals'!AQ$8, Bank_postings[Sub-category (output)], 'Cash actuals'!$C30)</f>
        <v>0</v>
      </c>
      <c r="AR30" s="69">
        <f>SUMIFS(Bank_postings[Amount], Bank_postings[Date], "&gt;="&amp;'Cash actuals'!AR$7, Bank_postings[Date], "&lt;="&amp;'Cash actuals'!AR$8, Bank_postings[Sub-category (output)], 'Cash actuals'!$C30)</f>
        <v>0</v>
      </c>
      <c r="AS30" s="69">
        <f>SUMIFS(Bank_postings[Amount], Bank_postings[Date], "&gt;="&amp;'Cash actuals'!AS$7, Bank_postings[Date], "&lt;="&amp;'Cash actuals'!AS$8, Bank_postings[Sub-category (output)], 'Cash actuals'!$C30)</f>
        <v>0</v>
      </c>
      <c r="AT30" s="69">
        <f>SUMIFS(Bank_postings[Amount], Bank_postings[Date], "&gt;="&amp;'Cash actuals'!AT$7, Bank_postings[Date], "&lt;="&amp;'Cash actuals'!AT$8, Bank_postings[Sub-category (output)], 'Cash actuals'!$C30)</f>
        <v>0</v>
      </c>
      <c r="AU30" s="69">
        <f>SUMIFS(Bank_postings[Amount], Bank_postings[Date], "&gt;="&amp;'Cash actuals'!AU$7, Bank_postings[Date], "&lt;="&amp;'Cash actuals'!AU$8, Bank_postings[Sub-category (output)], 'Cash actuals'!$C30)</f>
        <v>0</v>
      </c>
      <c r="AV30" s="69">
        <f>SUMIFS(Bank_postings[Amount], Bank_postings[Date], "&gt;="&amp;'Cash actuals'!AV$7, Bank_postings[Date], "&lt;="&amp;'Cash actuals'!AV$8, Bank_postings[Sub-category (output)], 'Cash actuals'!$C30)</f>
        <v>0</v>
      </c>
      <c r="AW30" s="69">
        <f>SUMIFS(Bank_postings[Amount], Bank_postings[Date], "&gt;="&amp;'Cash actuals'!AW$7, Bank_postings[Date], "&lt;="&amp;'Cash actuals'!AW$8, Bank_postings[Sub-category (output)], 'Cash actuals'!$C30)</f>
        <v>0</v>
      </c>
      <c r="AX30" s="69">
        <f>SUMIFS(Bank_postings[Amount], Bank_postings[Date], "&gt;="&amp;'Cash actuals'!AX$7, Bank_postings[Date], "&lt;="&amp;'Cash actuals'!AX$8, Bank_postings[Sub-category (output)], 'Cash actuals'!$C30)</f>
        <v>0</v>
      </c>
      <c r="AY30" s="69">
        <f>SUMIFS(Bank_postings[Amount], Bank_postings[Date], "&gt;="&amp;'Cash actuals'!AY$7, Bank_postings[Date], "&lt;="&amp;'Cash actuals'!AY$8, Bank_postings[Sub-category (output)], 'Cash actuals'!$C30)</f>
        <v>0</v>
      </c>
      <c r="AZ30" s="69">
        <f>SUMIFS(Bank_postings[Amount], Bank_postings[Date], "&gt;="&amp;'Cash actuals'!AZ$7, Bank_postings[Date], "&lt;="&amp;'Cash actuals'!AZ$8, Bank_postings[Sub-category (output)], 'Cash actuals'!$C30)</f>
        <v>0</v>
      </c>
      <c r="BA30" s="69">
        <f>SUMIFS(Bank_postings[Amount], Bank_postings[Date], "&gt;="&amp;'Cash actuals'!BA$7, Bank_postings[Date], "&lt;="&amp;'Cash actuals'!BA$8, Bank_postings[Sub-category (output)], 'Cash actuals'!$C30)</f>
        <v>0</v>
      </c>
      <c r="BB30" s="69">
        <f>SUMIFS(Bank_postings[Amount], Bank_postings[Date], "&gt;="&amp;'Cash actuals'!BB$7, Bank_postings[Date], "&lt;="&amp;'Cash actuals'!BB$8, Bank_postings[Sub-category (output)], 'Cash actuals'!$C30)</f>
        <v>0</v>
      </c>
      <c r="BC30" s="69">
        <f>SUMIFS(Bank_postings[Amount], Bank_postings[Date], "&gt;="&amp;'Cash actuals'!BC$7, Bank_postings[Date], "&lt;="&amp;'Cash actuals'!BC$8, Bank_postings[Sub-category (output)], 'Cash actuals'!$C30)</f>
        <v>0</v>
      </c>
      <c r="BD30" s="69">
        <f>SUMIFS(Bank_postings[Amount], Bank_postings[Date], "&gt;="&amp;'Cash actuals'!BD$7, Bank_postings[Date], "&lt;="&amp;'Cash actuals'!BD$8, Bank_postings[Sub-category (output)], 'Cash actuals'!$C30)</f>
        <v>0</v>
      </c>
      <c r="BE30" s="69">
        <f>SUMIFS(Bank_postings[Amount], Bank_postings[Date], "&gt;="&amp;'Cash actuals'!BE$7, Bank_postings[Date], "&lt;="&amp;'Cash actuals'!BE$8, Bank_postings[Sub-category (output)], 'Cash actuals'!$C30)</f>
        <v>0</v>
      </c>
    </row>
    <row r="31" spans="3:57" ht="5.0999999999999996" customHeight="1" x14ac:dyDescent="0.25"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</row>
    <row r="32" spans="3:57" x14ac:dyDescent="0.25">
      <c r="C32" s="14" t="s">
        <v>134</v>
      </c>
      <c r="F32" s="73">
        <f t="shared" ref="F32:R32" si="47">F22 + F24 + F26 + F28 + F30</f>
        <v>0</v>
      </c>
      <c r="G32" s="73">
        <f t="shared" si="47"/>
        <v>0</v>
      </c>
      <c r="H32" s="73">
        <f t="shared" si="47"/>
        <v>0</v>
      </c>
      <c r="I32" s="73">
        <f t="shared" si="47"/>
        <v>0</v>
      </c>
      <c r="J32" s="73">
        <f t="shared" si="47"/>
        <v>0</v>
      </c>
      <c r="K32" s="73">
        <f t="shared" si="47"/>
        <v>0</v>
      </c>
      <c r="L32" s="73">
        <f t="shared" si="47"/>
        <v>0</v>
      </c>
      <c r="M32" s="73">
        <f t="shared" si="47"/>
        <v>0</v>
      </c>
      <c r="N32" s="73">
        <f t="shared" si="47"/>
        <v>0</v>
      </c>
      <c r="O32" s="73">
        <f t="shared" si="47"/>
        <v>0</v>
      </c>
      <c r="P32" s="73">
        <f t="shared" si="47"/>
        <v>0</v>
      </c>
      <c r="Q32" s="73">
        <f t="shared" si="47"/>
        <v>0</v>
      </c>
      <c r="R32" s="73">
        <f t="shared" si="47"/>
        <v>0</v>
      </c>
      <c r="S32" s="73">
        <f t="shared" ref="S32:BE32" si="48">S22 + S24 + S26 + S28 + S30</f>
        <v>0</v>
      </c>
      <c r="T32" s="73">
        <f t="shared" si="48"/>
        <v>0</v>
      </c>
      <c r="U32" s="73">
        <f t="shared" si="48"/>
        <v>0</v>
      </c>
      <c r="V32" s="73">
        <f t="shared" si="48"/>
        <v>0</v>
      </c>
      <c r="W32" s="73">
        <f t="shared" si="48"/>
        <v>0</v>
      </c>
      <c r="X32" s="73">
        <f t="shared" si="48"/>
        <v>0</v>
      </c>
      <c r="Y32" s="73">
        <f t="shared" si="48"/>
        <v>0</v>
      </c>
      <c r="Z32" s="73">
        <f t="shared" si="48"/>
        <v>0</v>
      </c>
      <c r="AA32" s="73">
        <f t="shared" si="48"/>
        <v>0</v>
      </c>
      <c r="AB32" s="73">
        <f t="shared" si="48"/>
        <v>0</v>
      </c>
      <c r="AC32" s="73">
        <f t="shared" si="48"/>
        <v>0</v>
      </c>
      <c r="AD32" s="73">
        <f t="shared" si="48"/>
        <v>0</v>
      </c>
      <c r="AE32" s="73">
        <f t="shared" si="48"/>
        <v>0</v>
      </c>
      <c r="AF32" s="73">
        <f t="shared" si="48"/>
        <v>0</v>
      </c>
      <c r="AG32" s="73">
        <f t="shared" si="48"/>
        <v>0</v>
      </c>
      <c r="AH32" s="73">
        <f t="shared" si="48"/>
        <v>0</v>
      </c>
      <c r="AI32" s="73">
        <f t="shared" si="48"/>
        <v>0</v>
      </c>
      <c r="AJ32" s="73">
        <f t="shared" si="48"/>
        <v>0</v>
      </c>
      <c r="AK32" s="73">
        <f t="shared" si="48"/>
        <v>0</v>
      </c>
      <c r="AL32" s="73">
        <f t="shared" si="48"/>
        <v>0</v>
      </c>
      <c r="AM32" s="73">
        <f t="shared" si="48"/>
        <v>0</v>
      </c>
      <c r="AN32" s="73">
        <f t="shared" si="48"/>
        <v>0</v>
      </c>
      <c r="AO32" s="73">
        <f t="shared" si="48"/>
        <v>0</v>
      </c>
      <c r="AP32" s="73">
        <f t="shared" si="48"/>
        <v>0</v>
      </c>
      <c r="AQ32" s="73">
        <f t="shared" si="48"/>
        <v>0</v>
      </c>
      <c r="AR32" s="73">
        <f t="shared" si="48"/>
        <v>0</v>
      </c>
      <c r="AS32" s="73">
        <f t="shared" si="48"/>
        <v>0</v>
      </c>
      <c r="AT32" s="73">
        <f t="shared" si="48"/>
        <v>0</v>
      </c>
      <c r="AU32" s="73">
        <f t="shared" si="48"/>
        <v>0</v>
      </c>
      <c r="AV32" s="73">
        <f t="shared" si="48"/>
        <v>0</v>
      </c>
      <c r="AW32" s="73">
        <f t="shared" si="48"/>
        <v>0</v>
      </c>
      <c r="AX32" s="73">
        <f t="shared" si="48"/>
        <v>0</v>
      </c>
      <c r="AY32" s="73">
        <f t="shared" si="48"/>
        <v>0</v>
      </c>
      <c r="AZ32" s="73">
        <f t="shared" si="48"/>
        <v>0</v>
      </c>
      <c r="BA32" s="73">
        <f t="shared" si="48"/>
        <v>0</v>
      </c>
      <c r="BB32" s="73">
        <f t="shared" si="48"/>
        <v>0</v>
      </c>
      <c r="BC32" s="73">
        <f t="shared" si="48"/>
        <v>0</v>
      </c>
      <c r="BD32" s="73">
        <f t="shared" si="48"/>
        <v>0</v>
      </c>
      <c r="BE32" s="73">
        <f t="shared" si="48"/>
        <v>0</v>
      </c>
    </row>
    <row r="33" spans="3:57" x14ac:dyDescent="0.25"/>
    <row r="34" spans="3:57" x14ac:dyDescent="0.25">
      <c r="C34" s="12" t="s">
        <v>135</v>
      </c>
      <c r="D34" s="13"/>
      <c r="E34" s="13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3:57" ht="5.0999999999999996" customHeight="1" x14ac:dyDescent="0.25"/>
    <row r="36" spans="3:57" x14ac:dyDescent="0.25">
      <c r="C36" s="1">
        <f>Assumptions!$D$29</f>
        <v>0</v>
      </c>
      <c r="F36" s="69">
        <f>SUMIFS(Bank_postings[Amount], Bank_postings[Date], "&gt;="&amp;'Cash actuals'!F$7, Bank_postings[Date], "&lt;="&amp;'Cash actuals'!F$8, Bank_postings[Sub-category (output)], 'Cash actuals'!$C36)</f>
        <v>0</v>
      </c>
      <c r="G36" s="69">
        <f>SUMIFS(Bank_postings[Amount], Bank_postings[Date], "&gt;="&amp;'Cash actuals'!G$7, Bank_postings[Date], "&lt;="&amp;'Cash actuals'!G$8, Bank_postings[Sub-category (output)], 'Cash actuals'!$C36)</f>
        <v>0</v>
      </c>
      <c r="H36" s="69">
        <f>SUMIFS(Bank_postings[Amount], Bank_postings[Date], "&gt;="&amp;'Cash actuals'!H$7, Bank_postings[Date], "&lt;="&amp;'Cash actuals'!H$8, Bank_postings[Sub-category (output)], 'Cash actuals'!$C36)</f>
        <v>0</v>
      </c>
      <c r="I36" s="69">
        <f>SUMIFS(Bank_postings[Amount], Bank_postings[Date], "&gt;="&amp;'Cash actuals'!I$7, Bank_postings[Date], "&lt;="&amp;'Cash actuals'!I$8, Bank_postings[Sub-category (output)], 'Cash actuals'!$C36)</f>
        <v>0</v>
      </c>
      <c r="J36" s="69">
        <f>SUMIFS(Bank_postings[Amount], Bank_postings[Date], "&gt;="&amp;'Cash actuals'!J$7, Bank_postings[Date], "&lt;="&amp;'Cash actuals'!J$8, Bank_postings[Sub-category (output)], 'Cash actuals'!$C36)</f>
        <v>0</v>
      </c>
      <c r="K36" s="69">
        <f>SUMIFS(Bank_postings[Amount], Bank_postings[Date], "&gt;="&amp;'Cash actuals'!K$7, Bank_postings[Date], "&lt;="&amp;'Cash actuals'!K$8, Bank_postings[Sub-category (output)], 'Cash actuals'!$C36)</f>
        <v>0</v>
      </c>
      <c r="L36" s="69">
        <f>SUMIFS(Bank_postings[Amount], Bank_postings[Date], "&gt;="&amp;'Cash actuals'!L$7, Bank_postings[Date], "&lt;="&amp;'Cash actuals'!L$8, Bank_postings[Sub-category (output)], 'Cash actuals'!$C36)</f>
        <v>0</v>
      </c>
      <c r="M36" s="69">
        <f>SUMIFS(Bank_postings[Amount], Bank_postings[Date], "&gt;="&amp;'Cash actuals'!M$7, Bank_postings[Date], "&lt;="&amp;'Cash actuals'!M$8, Bank_postings[Sub-category (output)], 'Cash actuals'!$C36)</f>
        <v>0</v>
      </c>
      <c r="N36" s="69">
        <f>SUMIFS(Bank_postings[Amount], Bank_postings[Date], "&gt;="&amp;'Cash actuals'!N$7, Bank_postings[Date], "&lt;="&amp;'Cash actuals'!N$8, Bank_postings[Sub-category (output)], 'Cash actuals'!$C36)</f>
        <v>0</v>
      </c>
      <c r="O36" s="69">
        <f>SUMIFS(Bank_postings[Amount], Bank_postings[Date], "&gt;="&amp;'Cash actuals'!O$7, Bank_postings[Date], "&lt;="&amp;'Cash actuals'!O$8, Bank_postings[Sub-category (output)], 'Cash actuals'!$C36)</f>
        <v>0</v>
      </c>
      <c r="P36" s="69">
        <f>SUMIFS(Bank_postings[Amount], Bank_postings[Date], "&gt;="&amp;'Cash actuals'!P$7, Bank_postings[Date], "&lt;="&amp;'Cash actuals'!P$8, Bank_postings[Sub-category (output)], 'Cash actuals'!$C36)</f>
        <v>0</v>
      </c>
      <c r="Q36" s="69">
        <f>SUMIFS(Bank_postings[Amount], Bank_postings[Date], "&gt;="&amp;'Cash actuals'!Q$7, Bank_postings[Date], "&lt;="&amp;'Cash actuals'!Q$8, Bank_postings[Sub-category (output)], 'Cash actuals'!$C36)</f>
        <v>0</v>
      </c>
      <c r="R36" s="69">
        <f>SUMIFS(Bank_postings[Amount], Bank_postings[Date], "&gt;="&amp;'Cash actuals'!R$7, Bank_postings[Date], "&lt;="&amp;'Cash actuals'!R$8, Bank_postings[Sub-category (output)], 'Cash actuals'!$C36)</f>
        <v>0</v>
      </c>
      <c r="S36" s="69">
        <f>SUMIFS(Bank_postings[Amount], Bank_postings[Date], "&gt;="&amp;'Cash actuals'!S$7, Bank_postings[Date], "&lt;="&amp;'Cash actuals'!S$8, Bank_postings[Sub-category (output)], 'Cash actuals'!$C36)</f>
        <v>0</v>
      </c>
      <c r="T36" s="69">
        <f>SUMIFS(Bank_postings[Amount], Bank_postings[Date], "&gt;="&amp;'Cash actuals'!T$7, Bank_postings[Date], "&lt;="&amp;'Cash actuals'!T$8, Bank_postings[Sub-category (output)], 'Cash actuals'!$C36)</f>
        <v>0</v>
      </c>
      <c r="U36" s="69">
        <f>SUMIFS(Bank_postings[Amount], Bank_postings[Date], "&gt;="&amp;'Cash actuals'!U$7, Bank_postings[Date], "&lt;="&amp;'Cash actuals'!U$8, Bank_postings[Sub-category (output)], 'Cash actuals'!$C36)</f>
        <v>0</v>
      </c>
      <c r="V36" s="69">
        <f>SUMIFS(Bank_postings[Amount], Bank_postings[Date], "&gt;="&amp;'Cash actuals'!V$7, Bank_postings[Date], "&lt;="&amp;'Cash actuals'!V$8, Bank_postings[Sub-category (output)], 'Cash actuals'!$C36)</f>
        <v>0</v>
      </c>
      <c r="W36" s="69">
        <f>SUMIFS(Bank_postings[Amount], Bank_postings[Date], "&gt;="&amp;'Cash actuals'!W$7, Bank_postings[Date], "&lt;="&amp;'Cash actuals'!W$8, Bank_postings[Sub-category (output)], 'Cash actuals'!$C36)</f>
        <v>0</v>
      </c>
      <c r="X36" s="69">
        <f>SUMIFS(Bank_postings[Amount], Bank_postings[Date], "&gt;="&amp;'Cash actuals'!X$7, Bank_postings[Date], "&lt;="&amp;'Cash actuals'!X$8, Bank_postings[Sub-category (output)], 'Cash actuals'!$C36)</f>
        <v>0</v>
      </c>
      <c r="Y36" s="69">
        <f>SUMIFS(Bank_postings[Amount], Bank_postings[Date], "&gt;="&amp;'Cash actuals'!Y$7, Bank_postings[Date], "&lt;="&amp;'Cash actuals'!Y$8, Bank_postings[Sub-category (output)], 'Cash actuals'!$C36)</f>
        <v>0</v>
      </c>
      <c r="Z36" s="69">
        <f>SUMIFS(Bank_postings[Amount], Bank_postings[Date], "&gt;="&amp;'Cash actuals'!Z$7, Bank_postings[Date], "&lt;="&amp;'Cash actuals'!Z$8, Bank_postings[Sub-category (output)], 'Cash actuals'!$C36)</f>
        <v>0</v>
      </c>
      <c r="AA36" s="69">
        <f>SUMIFS(Bank_postings[Amount], Bank_postings[Date], "&gt;="&amp;'Cash actuals'!AA$7, Bank_postings[Date], "&lt;="&amp;'Cash actuals'!AA$8, Bank_postings[Sub-category (output)], 'Cash actuals'!$C36)</f>
        <v>0</v>
      </c>
      <c r="AB36" s="69">
        <f>SUMIFS(Bank_postings[Amount], Bank_postings[Date], "&gt;="&amp;'Cash actuals'!AB$7, Bank_postings[Date], "&lt;="&amp;'Cash actuals'!AB$8, Bank_postings[Sub-category (output)], 'Cash actuals'!$C36)</f>
        <v>0</v>
      </c>
      <c r="AC36" s="69">
        <f>SUMIFS(Bank_postings[Amount], Bank_postings[Date], "&gt;="&amp;'Cash actuals'!AC$7, Bank_postings[Date], "&lt;="&amp;'Cash actuals'!AC$8, Bank_postings[Sub-category (output)], 'Cash actuals'!$C36)</f>
        <v>0</v>
      </c>
      <c r="AD36" s="69">
        <f>SUMIFS(Bank_postings[Amount], Bank_postings[Date], "&gt;="&amp;'Cash actuals'!AD$7, Bank_postings[Date], "&lt;="&amp;'Cash actuals'!AD$8, Bank_postings[Sub-category (output)], 'Cash actuals'!$C36)</f>
        <v>0</v>
      </c>
      <c r="AE36" s="69">
        <f>SUMIFS(Bank_postings[Amount], Bank_postings[Date], "&gt;="&amp;'Cash actuals'!AE$7, Bank_postings[Date], "&lt;="&amp;'Cash actuals'!AE$8, Bank_postings[Sub-category (output)], 'Cash actuals'!$C36)</f>
        <v>0</v>
      </c>
      <c r="AF36" s="69">
        <f>SUMIFS(Bank_postings[Amount], Bank_postings[Date], "&gt;="&amp;'Cash actuals'!AF$7, Bank_postings[Date], "&lt;="&amp;'Cash actuals'!AF$8, Bank_postings[Sub-category (output)], 'Cash actuals'!$C36)</f>
        <v>0</v>
      </c>
      <c r="AG36" s="69">
        <f>SUMIFS(Bank_postings[Amount], Bank_postings[Date], "&gt;="&amp;'Cash actuals'!AG$7, Bank_postings[Date], "&lt;="&amp;'Cash actuals'!AG$8, Bank_postings[Sub-category (output)], 'Cash actuals'!$C36)</f>
        <v>0</v>
      </c>
      <c r="AH36" s="69">
        <f>SUMIFS(Bank_postings[Amount], Bank_postings[Date], "&gt;="&amp;'Cash actuals'!AH$7, Bank_postings[Date], "&lt;="&amp;'Cash actuals'!AH$8, Bank_postings[Sub-category (output)], 'Cash actuals'!$C36)</f>
        <v>0</v>
      </c>
      <c r="AI36" s="69">
        <f>SUMIFS(Bank_postings[Amount], Bank_postings[Date], "&gt;="&amp;'Cash actuals'!AI$7, Bank_postings[Date], "&lt;="&amp;'Cash actuals'!AI$8, Bank_postings[Sub-category (output)], 'Cash actuals'!$C36)</f>
        <v>0</v>
      </c>
      <c r="AJ36" s="69">
        <f>SUMIFS(Bank_postings[Amount], Bank_postings[Date], "&gt;="&amp;'Cash actuals'!AJ$7, Bank_postings[Date], "&lt;="&amp;'Cash actuals'!AJ$8, Bank_postings[Sub-category (output)], 'Cash actuals'!$C36)</f>
        <v>0</v>
      </c>
      <c r="AK36" s="69">
        <f>SUMIFS(Bank_postings[Amount], Bank_postings[Date], "&gt;="&amp;'Cash actuals'!AK$7, Bank_postings[Date], "&lt;="&amp;'Cash actuals'!AK$8, Bank_postings[Sub-category (output)], 'Cash actuals'!$C36)</f>
        <v>0</v>
      </c>
      <c r="AL36" s="69">
        <f>SUMIFS(Bank_postings[Amount], Bank_postings[Date], "&gt;="&amp;'Cash actuals'!AL$7, Bank_postings[Date], "&lt;="&amp;'Cash actuals'!AL$8, Bank_postings[Sub-category (output)], 'Cash actuals'!$C36)</f>
        <v>0</v>
      </c>
      <c r="AM36" s="69">
        <f>SUMIFS(Bank_postings[Amount], Bank_postings[Date], "&gt;="&amp;'Cash actuals'!AM$7, Bank_postings[Date], "&lt;="&amp;'Cash actuals'!AM$8, Bank_postings[Sub-category (output)], 'Cash actuals'!$C36)</f>
        <v>0</v>
      </c>
      <c r="AN36" s="69">
        <f>SUMIFS(Bank_postings[Amount], Bank_postings[Date], "&gt;="&amp;'Cash actuals'!AN$7, Bank_postings[Date], "&lt;="&amp;'Cash actuals'!AN$8, Bank_postings[Sub-category (output)], 'Cash actuals'!$C36)</f>
        <v>0</v>
      </c>
      <c r="AO36" s="69">
        <f>SUMIFS(Bank_postings[Amount], Bank_postings[Date], "&gt;="&amp;'Cash actuals'!AO$7, Bank_postings[Date], "&lt;="&amp;'Cash actuals'!AO$8, Bank_postings[Sub-category (output)], 'Cash actuals'!$C36)</f>
        <v>0</v>
      </c>
      <c r="AP36" s="69">
        <f>SUMIFS(Bank_postings[Amount], Bank_postings[Date], "&gt;="&amp;'Cash actuals'!AP$7, Bank_postings[Date], "&lt;="&amp;'Cash actuals'!AP$8, Bank_postings[Sub-category (output)], 'Cash actuals'!$C36)</f>
        <v>0</v>
      </c>
      <c r="AQ36" s="69">
        <f>SUMIFS(Bank_postings[Amount], Bank_postings[Date], "&gt;="&amp;'Cash actuals'!AQ$7, Bank_postings[Date], "&lt;="&amp;'Cash actuals'!AQ$8, Bank_postings[Sub-category (output)], 'Cash actuals'!$C36)</f>
        <v>0</v>
      </c>
      <c r="AR36" s="69">
        <f>SUMIFS(Bank_postings[Amount], Bank_postings[Date], "&gt;="&amp;'Cash actuals'!AR$7, Bank_postings[Date], "&lt;="&amp;'Cash actuals'!AR$8, Bank_postings[Sub-category (output)], 'Cash actuals'!$C36)</f>
        <v>0</v>
      </c>
      <c r="AS36" s="69">
        <f>SUMIFS(Bank_postings[Amount], Bank_postings[Date], "&gt;="&amp;'Cash actuals'!AS$7, Bank_postings[Date], "&lt;="&amp;'Cash actuals'!AS$8, Bank_postings[Sub-category (output)], 'Cash actuals'!$C36)</f>
        <v>0</v>
      </c>
      <c r="AT36" s="69">
        <f>SUMIFS(Bank_postings[Amount], Bank_postings[Date], "&gt;="&amp;'Cash actuals'!AT$7, Bank_postings[Date], "&lt;="&amp;'Cash actuals'!AT$8, Bank_postings[Sub-category (output)], 'Cash actuals'!$C36)</f>
        <v>0</v>
      </c>
      <c r="AU36" s="69">
        <f>SUMIFS(Bank_postings[Amount], Bank_postings[Date], "&gt;="&amp;'Cash actuals'!AU$7, Bank_postings[Date], "&lt;="&amp;'Cash actuals'!AU$8, Bank_postings[Sub-category (output)], 'Cash actuals'!$C36)</f>
        <v>0</v>
      </c>
      <c r="AV36" s="69">
        <f>SUMIFS(Bank_postings[Amount], Bank_postings[Date], "&gt;="&amp;'Cash actuals'!AV$7, Bank_postings[Date], "&lt;="&amp;'Cash actuals'!AV$8, Bank_postings[Sub-category (output)], 'Cash actuals'!$C36)</f>
        <v>0</v>
      </c>
      <c r="AW36" s="69">
        <f>SUMIFS(Bank_postings[Amount], Bank_postings[Date], "&gt;="&amp;'Cash actuals'!AW$7, Bank_postings[Date], "&lt;="&amp;'Cash actuals'!AW$8, Bank_postings[Sub-category (output)], 'Cash actuals'!$C36)</f>
        <v>0</v>
      </c>
      <c r="AX36" s="69">
        <f>SUMIFS(Bank_postings[Amount], Bank_postings[Date], "&gt;="&amp;'Cash actuals'!AX$7, Bank_postings[Date], "&lt;="&amp;'Cash actuals'!AX$8, Bank_postings[Sub-category (output)], 'Cash actuals'!$C36)</f>
        <v>0</v>
      </c>
      <c r="AY36" s="69">
        <f>SUMIFS(Bank_postings[Amount], Bank_postings[Date], "&gt;="&amp;'Cash actuals'!AY$7, Bank_postings[Date], "&lt;="&amp;'Cash actuals'!AY$8, Bank_postings[Sub-category (output)], 'Cash actuals'!$C36)</f>
        <v>0</v>
      </c>
      <c r="AZ36" s="69">
        <f>SUMIFS(Bank_postings[Amount], Bank_postings[Date], "&gt;="&amp;'Cash actuals'!AZ$7, Bank_postings[Date], "&lt;="&amp;'Cash actuals'!AZ$8, Bank_postings[Sub-category (output)], 'Cash actuals'!$C36)</f>
        <v>0</v>
      </c>
      <c r="BA36" s="69">
        <f>SUMIFS(Bank_postings[Amount], Bank_postings[Date], "&gt;="&amp;'Cash actuals'!BA$7, Bank_postings[Date], "&lt;="&amp;'Cash actuals'!BA$8, Bank_postings[Sub-category (output)], 'Cash actuals'!$C36)</f>
        <v>0</v>
      </c>
      <c r="BB36" s="69">
        <f>SUMIFS(Bank_postings[Amount], Bank_postings[Date], "&gt;="&amp;'Cash actuals'!BB$7, Bank_postings[Date], "&lt;="&amp;'Cash actuals'!BB$8, Bank_postings[Sub-category (output)], 'Cash actuals'!$C36)</f>
        <v>0</v>
      </c>
      <c r="BC36" s="69">
        <f>SUMIFS(Bank_postings[Amount], Bank_postings[Date], "&gt;="&amp;'Cash actuals'!BC$7, Bank_postings[Date], "&lt;="&amp;'Cash actuals'!BC$8, Bank_postings[Sub-category (output)], 'Cash actuals'!$C36)</f>
        <v>0</v>
      </c>
      <c r="BD36" s="69">
        <f>SUMIFS(Bank_postings[Amount], Bank_postings[Date], "&gt;="&amp;'Cash actuals'!BD$7, Bank_postings[Date], "&lt;="&amp;'Cash actuals'!BD$8, Bank_postings[Sub-category (output)], 'Cash actuals'!$C36)</f>
        <v>0</v>
      </c>
      <c r="BE36" s="69">
        <f>SUMIFS(Bank_postings[Amount], Bank_postings[Date], "&gt;="&amp;'Cash actuals'!BE$7, Bank_postings[Date], "&lt;="&amp;'Cash actuals'!BE$8, Bank_postings[Sub-category (output)], 'Cash actuals'!$C36)</f>
        <v>0</v>
      </c>
    </row>
    <row r="37" spans="3:57" ht="5.0999999999999996" customHeight="1" x14ac:dyDescent="0.25"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</row>
    <row r="38" spans="3:57" x14ac:dyDescent="0.25">
      <c r="C38" s="1">
        <f>Assumptions!$D$30</f>
        <v>0</v>
      </c>
      <c r="F38" s="69">
        <f>SUMIFS(Bank_postings[Amount], Bank_postings[Date], "&gt;="&amp;'Cash actuals'!F$7, Bank_postings[Date], "&lt;="&amp;'Cash actuals'!F$8, Bank_postings[Sub-category (output)], 'Cash actuals'!$C38)</f>
        <v>0</v>
      </c>
      <c r="G38" s="69">
        <f>SUMIFS(Bank_postings[Amount], Bank_postings[Date], "&gt;="&amp;'Cash actuals'!G$7, Bank_postings[Date], "&lt;="&amp;'Cash actuals'!G$8, Bank_postings[Sub-category (output)], 'Cash actuals'!$C38)</f>
        <v>0</v>
      </c>
      <c r="H38" s="69">
        <f>SUMIFS(Bank_postings[Amount], Bank_postings[Date], "&gt;="&amp;'Cash actuals'!H$7, Bank_postings[Date], "&lt;="&amp;'Cash actuals'!H$8, Bank_postings[Sub-category (output)], 'Cash actuals'!$C38)</f>
        <v>0</v>
      </c>
      <c r="I38" s="69">
        <f>SUMIFS(Bank_postings[Amount], Bank_postings[Date], "&gt;="&amp;'Cash actuals'!I$7, Bank_postings[Date], "&lt;="&amp;'Cash actuals'!I$8, Bank_postings[Sub-category (output)], 'Cash actuals'!$C38)</f>
        <v>0</v>
      </c>
      <c r="J38" s="69">
        <f>SUMIFS(Bank_postings[Amount], Bank_postings[Date], "&gt;="&amp;'Cash actuals'!J$7, Bank_postings[Date], "&lt;="&amp;'Cash actuals'!J$8, Bank_postings[Sub-category (output)], 'Cash actuals'!$C38)</f>
        <v>0</v>
      </c>
      <c r="K38" s="69">
        <f>SUMIFS(Bank_postings[Amount], Bank_postings[Date], "&gt;="&amp;'Cash actuals'!K$7, Bank_postings[Date], "&lt;="&amp;'Cash actuals'!K$8, Bank_postings[Sub-category (output)], 'Cash actuals'!$C38)</f>
        <v>0</v>
      </c>
      <c r="L38" s="69">
        <f>SUMIFS(Bank_postings[Amount], Bank_postings[Date], "&gt;="&amp;'Cash actuals'!L$7, Bank_postings[Date], "&lt;="&amp;'Cash actuals'!L$8, Bank_postings[Sub-category (output)], 'Cash actuals'!$C38)</f>
        <v>0</v>
      </c>
      <c r="M38" s="69">
        <f>SUMIFS(Bank_postings[Amount], Bank_postings[Date], "&gt;="&amp;'Cash actuals'!M$7, Bank_postings[Date], "&lt;="&amp;'Cash actuals'!M$8, Bank_postings[Sub-category (output)], 'Cash actuals'!$C38)</f>
        <v>0</v>
      </c>
      <c r="N38" s="69">
        <f>SUMIFS(Bank_postings[Amount], Bank_postings[Date], "&gt;="&amp;'Cash actuals'!N$7, Bank_postings[Date], "&lt;="&amp;'Cash actuals'!N$8, Bank_postings[Sub-category (output)], 'Cash actuals'!$C38)</f>
        <v>0</v>
      </c>
      <c r="O38" s="69">
        <f>SUMIFS(Bank_postings[Amount], Bank_postings[Date], "&gt;="&amp;'Cash actuals'!O$7, Bank_postings[Date], "&lt;="&amp;'Cash actuals'!O$8, Bank_postings[Sub-category (output)], 'Cash actuals'!$C38)</f>
        <v>0</v>
      </c>
      <c r="P38" s="69">
        <f>SUMIFS(Bank_postings[Amount], Bank_postings[Date], "&gt;="&amp;'Cash actuals'!P$7, Bank_postings[Date], "&lt;="&amp;'Cash actuals'!P$8, Bank_postings[Sub-category (output)], 'Cash actuals'!$C38)</f>
        <v>0</v>
      </c>
      <c r="Q38" s="69">
        <f>SUMIFS(Bank_postings[Amount], Bank_postings[Date], "&gt;="&amp;'Cash actuals'!Q$7, Bank_postings[Date], "&lt;="&amp;'Cash actuals'!Q$8, Bank_postings[Sub-category (output)], 'Cash actuals'!$C38)</f>
        <v>0</v>
      </c>
      <c r="R38" s="69">
        <f>SUMIFS(Bank_postings[Amount], Bank_postings[Date], "&gt;="&amp;'Cash actuals'!R$7, Bank_postings[Date], "&lt;="&amp;'Cash actuals'!R$8, Bank_postings[Sub-category (output)], 'Cash actuals'!$C38)</f>
        <v>0</v>
      </c>
      <c r="S38" s="69">
        <f>SUMIFS(Bank_postings[Amount], Bank_postings[Date], "&gt;="&amp;'Cash actuals'!S$7, Bank_postings[Date], "&lt;="&amp;'Cash actuals'!S$8, Bank_postings[Sub-category (output)], 'Cash actuals'!$C38)</f>
        <v>0</v>
      </c>
      <c r="T38" s="69">
        <f>SUMIFS(Bank_postings[Amount], Bank_postings[Date], "&gt;="&amp;'Cash actuals'!T$7, Bank_postings[Date], "&lt;="&amp;'Cash actuals'!T$8, Bank_postings[Sub-category (output)], 'Cash actuals'!$C38)</f>
        <v>0</v>
      </c>
      <c r="U38" s="69">
        <f>SUMIFS(Bank_postings[Amount], Bank_postings[Date], "&gt;="&amp;'Cash actuals'!U$7, Bank_postings[Date], "&lt;="&amp;'Cash actuals'!U$8, Bank_postings[Sub-category (output)], 'Cash actuals'!$C38)</f>
        <v>0</v>
      </c>
      <c r="V38" s="69">
        <f>SUMIFS(Bank_postings[Amount], Bank_postings[Date], "&gt;="&amp;'Cash actuals'!V$7, Bank_postings[Date], "&lt;="&amp;'Cash actuals'!V$8, Bank_postings[Sub-category (output)], 'Cash actuals'!$C38)</f>
        <v>0</v>
      </c>
      <c r="W38" s="69">
        <f>SUMIFS(Bank_postings[Amount], Bank_postings[Date], "&gt;="&amp;'Cash actuals'!W$7, Bank_postings[Date], "&lt;="&amp;'Cash actuals'!W$8, Bank_postings[Sub-category (output)], 'Cash actuals'!$C38)</f>
        <v>0</v>
      </c>
      <c r="X38" s="69">
        <f>SUMIFS(Bank_postings[Amount], Bank_postings[Date], "&gt;="&amp;'Cash actuals'!X$7, Bank_postings[Date], "&lt;="&amp;'Cash actuals'!X$8, Bank_postings[Sub-category (output)], 'Cash actuals'!$C38)</f>
        <v>0</v>
      </c>
      <c r="Y38" s="69">
        <f>SUMIFS(Bank_postings[Amount], Bank_postings[Date], "&gt;="&amp;'Cash actuals'!Y$7, Bank_postings[Date], "&lt;="&amp;'Cash actuals'!Y$8, Bank_postings[Sub-category (output)], 'Cash actuals'!$C38)</f>
        <v>0</v>
      </c>
      <c r="Z38" s="69">
        <f>SUMIFS(Bank_postings[Amount], Bank_postings[Date], "&gt;="&amp;'Cash actuals'!Z$7, Bank_postings[Date], "&lt;="&amp;'Cash actuals'!Z$8, Bank_postings[Sub-category (output)], 'Cash actuals'!$C38)</f>
        <v>0</v>
      </c>
      <c r="AA38" s="69">
        <f>SUMIFS(Bank_postings[Amount], Bank_postings[Date], "&gt;="&amp;'Cash actuals'!AA$7, Bank_postings[Date], "&lt;="&amp;'Cash actuals'!AA$8, Bank_postings[Sub-category (output)], 'Cash actuals'!$C38)</f>
        <v>0</v>
      </c>
      <c r="AB38" s="69">
        <f>SUMIFS(Bank_postings[Amount], Bank_postings[Date], "&gt;="&amp;'Cash actuals'!AB$7, Bank_postings[Date], "&lt;="&amp;'Cash actuals'!AB$8, Bank_postings[Sub-category (output)], 'Cash actuals'!$C38)</f>
        <v>0</v>
      </c>
      <c r="AC38" s="69">
        <f>SUMIFS(Bank_postings[Amount], Bank_postings[Date], "&gt;="&amp;'Cash actuals'!AC$7, Bank_postings[Date], "&lt;="&amp;'Cash actuals'!AC$8, Bank_postings[Sub-category (output)], 'Cash actuals'!$C38)</f>
        <v>0</v>
      </c>
      <c r="AD38" s="69">
        <f>SUMIFS(Bank_postings[Amount], Bank_postings[Date], "&gt;="&amp;'Cash actuals'!AD$7, Bank_postings[Date], "&lt;="&amp;'Cash actuals'!AD$8, Bank_postings[Sub-category (output)], 'Cash actuals'!$C38)</f>
        <v>0</v>
      </c>
      <c r="AE38" s="69">
        <f>SUMIFS(Bank_postings[Amount], Bank_postings[Date], "&gt;="&amp;'Cash actuals'!AE$7, Bank_postings[Date], "&lt;="&amp;'Cash actuals'!AE$8, Bank_postings[Sub-category (output)], 'Cash actuals'!$C38)</f>
        <v>0</v>
      </c>
      <c r="AF38" s="69">
        <f>SUMIFS(Bank_postings[Amount], Bank_postings[Date], "&gt;="&amp;'Cash actuals'!AF$7, Bank_postings[Date], "&lt;="&amp;'Cash actuals'!AF$8, Bank_postings[Sub-category (output)], 'Cash actuals'!$C38)</f>
        <v>0</v>
      </c>
      <c r="AG38" s="69">
        <f>SUMIFS(Bank_postings[Amount], Bank_postings[Date], "&gt;="&amp;'Cash actuals'!AG$7, Bank_postings[Date], "&lt;="&amp;'Cash actuals'!AG$8, Bank_postings[Sub-category (output)], 'Cash actuals'!$C38)</f>
        <v>0</v>
      </c>
      <c r="AH38" s="69">
        <f>SUMIFS(Bank_postings[Amount], Bank_postings[Date], "&gt;="&amp;'Cash actuals'!AH$7, Bank_postings[Date], "&lt;="&amp;'Cash actuals'!AH$8, Bank_postings[Sub-category (output)], 'Cash actuals'!$C38)</f>
        <v>0</v>
      </c>
      <c r="AI38" s="69">
        <f>SUMIFS(Bank_postings[Amount], Bank_postings[Date], "&gt;="&amp;'Cash actuals'!AI$7, Bank_postings[Date], "&lt;="&amp;'Cash actuals'!AI$8, Bank_postings[Sub-category (output)], 'Cash actuals'!$C38)</f>
        <v>0</v>
      </c>
      <c r="AJ38" s="69">
        <f>SUMIFS(Bank_postings[Amount], Bank_postings[Date], "&gt;="&amp;'Cash actuals'!AJ$7, Bank_postings[Date], "&lt;="&amp;'Cash actuals'!AJ$8, Bank_postings[Sub-category (output)], 'Cash actuals'!$C38)</f>
        <v>0</v>
      </c>
      <c r="AK38" s="69">
        <f>SUMIFS(Bank_postings[Amount], Bank_postings[Date], "&gt;="&amp;'Cash actuals'!AK$7, Bank_postings[Date], "&lt;="&amp;'Cash actuals'!AK$8, Bank_postings[Sub-category (output)], 'Cash actuals'!$C38)</f>
        <v>0</v>
      </c>
      <c r="AL38" s="69">
        <f>SUMIFS(Bank_postings[Amount], Bank_postings[Date], "&gt;="&amp;'Cash actuals'!AL$7, Bank_postings[Date], "&lt;="&amp;'Cash actuals'!AL$8, Bank_postings[Sub-category (output)], 'Cash actuals'!$C38)</f>
        <v>0</v>
      </c>
      <c r="AM38" s="69">
        <f>SUMIFS(Bank_postings[Amount], Bank_postings[Date], "&gt;="&amp;'Cash actuals'!AM$7, Bank_postings[Date], "&lt;="&amp;'Cash actuals'!AM$8, Bank_postings[Sub-category (output)], 'Cash actuals'!$C38)</f>
        <v>0</v>
      </c>
      <c r="AN38" s="69">
        <f>SUMIFS(Bank_postings[Amount], Bank_postings[Date], "&gt;="&amp;'Cash actuals'!AN$7, Bank_postings[Date], "&lt;="&amp;'Cash actuals'!AN$8, Bank_postings[Sub-category (output)], 'Cash actuals'!$C38)</f>
        <v>0</v>
      </c>
      <c r="AO38" s="69">
        <f>SUMIFS(Bank_postings[Amount], Bank_postings[Date], "&gt;="&amp;'Cash actuals'!AO$7, Bank_postings[Date], "&lt;="&amp;'Cash actuals'!AO$8, Bank_postings[Sub-category (output)], 'Cash actuals'!$C38)</f>
        <v>0</v>
      </c>
      <c r="AP38" s="69">
        <f>SUMIFS(Bank_postings[Amount], Bank_postings[Date], "&gt;="&amp;'Cash actuals'!AP$7, Bank_postings[Date], "&lt;="&amp;'Cash actuals'!AP$8, Bank_postings[Sub-category (output)], 'Cash actuals'!$C38)</f>
        <v>0</v>
      </c>
      <c r="AQ38" s="69">
        <f>SUMIFS(Bank_postings[Amount], Bank_postings[Date], "&gt;="&amp;'Cash actuals'!AQ$7, Bank_postings[Date], "&lt;="&amp;'Cash actuals'!AQ$8, Bank_postings[Sub-category (output)], 'Cash actuals'!$C38)</f>
        <v>0</v>
      </c>
      <c r="AR38" s="69">
        <f>SUMIFS(Bank_postings[Amount], Bank_postings[Date], "&gt;="&amp;'Cash actuals'!AR$7, Bank_postings[Date], "&lt;="&amp;'Cash actuals'!AR$8, Bank_postings[Sub-category (output)], 'Cash actuals'!$C38)</f>
        <v>0</v>
      </c>
      <c r="AS38" s="69">
        <f>SUMIFS(Bank_postings[Amount], Bank_postings[Date], "&gt;="&amp;'Cash actuals'!AS$7, Bank_postings[Date], "&lt;="&amp;'Cash actuals'!AS$8, Bank_postings[Sub-category (output)], 'Cash actuals'!$C38)</f>
        <v>0</v>
      </c>
      <c r="AT38" s="69">
        <f>SUMIFS(Bank_postings[Amount], Bank_postings[Date], "&gt;="&amp;'Cash actuals'!AT$7, Bank_postings[Date], "&lt;="&amp;'Cash actuals'!AT$8, Bank_postings[Sub-category (output)], 'Cash actuals'!$C38)</f>
        <v>0</v>
      </c>
      <c r="AU38" s="69">
        <f>SUMIFS(Bank_postings[Amount], Bank_postings[Date], "&gt;="&amp;'Cash actuals'!AU$7, Bank_postings[Date], "&lt;="&amp;'Cash actuals'!AU$8, Bank_postings[Sub-category (output)], 'Cash actuals'!$C38)</f>
        <v>0</v>
      </c>
      <c r="AV38" s="69">
        <f>SUMIFS(Bank_postings[Amount], Bank_postings[Date], "&gt;="&amp;'Cash actuals'!AV$7, Bank_postings[Date], "&lt;="&amp;'Cash actuals'!AV$8, Bank_postings[Sub-category (output)], 'Cash actuals'!$C38)</f>
        <v>0</v>
      </c>
      <c r="AW38" s="69">
        <f>SUMIFS(Bank_postings[Amount], Bank_postings[Date], "&gt;="&amp;'Cash actuals'!AW$7, Bank_postings[Date], "&lt;="&amp;'Cash actuals'!AW$8, Bank_postings[Sub-category (output)], 'Cash actuals'!$C38)</f>
        <v>0</v>
      </c>
      <c r="AX38" s="69">
        <f>SUMIFS(Bank_postings[Amount], Bank_postings[Date], "&gt;="&amp;'Cash actuals'!AX$7, Bank_postings[Date], "&lt;="&amp;'Cash actuals'!AX$8, Bank_postings[Sub-category (output)], 'Cash actuals'!$C38)</f>
        <v>0</v>
      </c>
      <c r="AY38" s="69">
        <f>SUMIFS(Bank_postings[Amount], Bank_postings[Date], "&gt;="&amp;'Cash actuals'!AY$7, Bank_postings[Date], "&lt;="&amp;'Cash actuals'!AY$8, Bank_postings[Sub-category (output)], 'Cash actuals'!$C38)</f>
        <v>0</v>
      </c>
      <c r="AZ38" s="69">
        <f>SUMIFS(Bank_postings[Amount], Bank_postings[Date], "&gt;="&amp;'Cash actuals'!AZ$7, Bank_postings[Date], "&lt;="&amp;'Cash actuals'!AZ$8, Bank_postings[Sub-category (output)], 'Cash actuals'!$C38)</f>
        <v>0</v>
      </c>
      <c r="BA38" s="69">
        <f>SUMIFS(Bank_postings[Amount], Bank_postings[Date], "&gt;="&amp;'Cash actuals'!BA$7, Bank_postings[Date], "&lt;="&amp;'Cash actuals'!BA$8, Bank_postings[Sub-category (output)], 'Cash actuals'!$C38)</f>
        <v>0</v>
      </c>
      <c r="BB38" s="69">
        <f>SUMIFS(Bank_postings[Amount], Bank_postings[Date], "&gt;="&amp;'Cash actuals'!BB$7, Bank_postings[Date], "&lt;="&amp;'Cash actuals'!BB$8, Bank_postings[Sub-category (output)], 'Cash actuals'!$C38)</f>
        <v>0</v>
      </c>
      <c r="BC38" s="69">
        <f>SUMIFS(Bank_postings[Amount], Bank_postings[Date], "&gt;="&amp;'Cash actuals'!BC$7, Bank_postings[Date], "&lt;="&amp;'Cash actuals'!BC$8, Bank_postings[Sub-category (output)], 'Cash actuals'!$C38)</f>
        <v>0</v>
      </c>
      <c r="BD38" s="69">
        <f>SUMIFS(Bank_postings[Amount], Bank_postings[Date], "&gt;="&amp;'Cash actuals'!BD$7, Bank_postings[Date], "&lt;="&amp;'Cash actuals'!BD$8, Bank_postings[Sub-category (output)], 'Cash actuals'!$C38)</f>
        <v>0</v>
      </c>
      <c r="BE38" s="69">
        <f>SUMIFS(Bank_postings[Amount], Bank_postings[Date], "&gt;="&amp;'Cash actuals'!BE$7, Bank_postings[Date], "&lt;="&amp;'Cash actuals'!BE$8, Bank_postings[Sub-category (output)], 'Cash actuals'!$C38)</f>
        <v>0</v>
      </c>
    </row>
    <row r="39" spans="3:57" ht="5.0999999999999996" customHeight="1" x14ac:dyDescent="0.25"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</row>
    <row r="40" spans="3:57" x14ac:dyDescent="0.25">
      <c r="C40" s="1">
        <f>Assumptions!$D$31</f>
        <v>0</v>
      </c>
      <c r="F40" s="69">
        <f>SUMIFS(Bank_postings[Amount], Bank_postings[Date], "&gt;="&amp;'Cash actuals'!F$7, Bank_postings[Date], "&lt;="&amp;'Cash actuals'!F$8, Bank_postings[Sub-category (output)], 'Cash actuals'!$C40)</f>
        <v>0</v>
      </c>
      <c r="G40" s="69">
        <f>SUMIFS(Bank_postings[Amount], Bank_postings[Date], "&gt;="&amp;'Cash actuals'!G$7, Bank_postings[Date], "&lt;="&amp;'Cash actuals'!G$8, Bank_postings[Sub-category (output)], 'Cash actuals'!$C40)</f>
        <v>0</v>
      </c>
      <c r="H40" s="69">
        <f>SUMIFS(Bank_postings[Amount], Bank_postings[Date], "&gt;="&amp;'Cash actuals'!H$7, Bank_postings[Date], "&lt;="&amp;'Cash actuals'!H$8, Bank_postings[Sub-category (output)], 'Cash actuals'!$C40)</f>
        <v>0</v>
      </c>
      <c r="I40" s="69">
        <f>SUMIFS(Bank_postings[Amount], Bank_postings[Date], "&gt;="&amp;'Cash actuals'!I$7, Bank_postings[Date], "&lt;="&amp;'Cash actuals'!I$8, Bank_postings[Sub-category (output)], 'Cash actuals'!$C40)</f>
        <v>0</v>
      </c>
      <c r="J40" s="69">
        <f>SUMIFS(Bank_postings[Amount], Bank_postings[Date], "&gt;="&amp;'Cash actuals'!J$7, Bank_postings[Date], "&lt;="&amp;'Cash actuals'!J$8, Bank_postings[Sub-category (output)], 'Cash actuals'!$C40)</f>
        <v>0</v>
      </c>
      <c r="K40" s="69">
        <f>SUMIFS(Bank_postings[Amount], Bank_postings[Date], "&gt;="&amp;'Cash actuals'!K$7, Bank_postings[Date], "&lt;="&amp;'Cash actuals'!K$8, Bank_postings[Sub-category (output)], 'Cash actuals'!$C40)</f>
        <v>0</v>
      </c>
      <c r="L40" s="69">
        <f>SUMIFS(Bank_postings[Amount], Bank_postings[Date], "&gt;="&amp;'Cash actuals'!L$7, Bank_postings[Date], "&lt;="&amp;'Cash actuals'!L$8, Bank_postings[Sub-category (output)], 'Cash actuals'!$C40)</f>
        <v>0</v>
      </c>
      <c r="M40" s="69">
        <f>SUMIFS(Bank_postings[Amount], Bank_postings[Date], "&gt;="&amp;'Cash actuals'!M$7, Bank_postings[Date], "&lt;="&amp;'Cash actuals'!M$8, Bank_postings[Sub-category (output)], 'Cash actuals'!$C40)</f>
        <v>0</v>
      </c>
      <c r="N40" s="69">
        <f>SUMIFS(Bank_postings[Amount], Bank_postings[Date], "&gt;="&amp;'Cash actuals'!N$7, Bank_postings[Date], "&lt;="&amp;'Cash actuals'!N$8, Bank_postings[Sub-category (output)], 'Cash actuals'!$C40)</f>
        <v>0</v>
      </c>
      <c r="O40" s="69">
        <f>SUMIFS(Bank_postings[Amount], Bank_postings[Date], "&gt;="&amp;'Cash actuals'!O$7, Bank_postings[Date], "&lt;="&amp;'Cash actuals'!O$8, Bank_postings[Sub-category (output)], 'Cash actuals'!$C40)</f>
        <v>0</v>
      </c>
      <c r="P40" s="69">
        <f>SUMIFS(Bank_postings[Amount], Bank_postings[Date], "&gt;="&amp;'Cash actuals'!P$7, Bank_postings[Date], "&lt;="&amp;'Cash actuals'!P$8, Bank_postings[Sub-category (output)], 'Cash actuals'!$C40)</f>
        <v>0</v>
      </c>
      <c r="Q40" s="69">
        <f>SUMIFS(Bank_postings[Amount], Bank_postings[Date], "&gt;="&amp;'Cash actuals'!Q$7, Bank_postings[Date], "&lt;="&amp;'Cash actuals'!Q$8, Bank_postings[Sub-category (output)], 'Cash actuals'!$C40)</f>
        <v>0</v>
      </c>
      <c r="R40" s="69">
        <f>SUMIFS(Bank_postings[Amount], Bank_postings[Date], "&gt;="&amp;'Cash actuals'!R$7, Bank_postings[Date], "&lt;="&amp;'Cash actuals'!R$8, Bank_postings[Sub-category (output)], 'Cash actuals'!$C40)</f>
        <v>0</v>
      </c>
      <c r="S40" s="69">
        <f>SUMIFS(Bank_postings[Amount], Bank_postings[Date], "&gt;="&amp;'Cash actuals'!S$7, Bank_postings[Date], "&lt;="&amp;'Cash actuals'!S$8, Bank_postings[Sub-category (output)], 'Cash actuals'!$C40)</f>
        <v>0</v>
      </c>
      <c r="T40" s="69">
        <f>SUMIFS(Bank_postings[Amount], Bank_postings[Date], "&gt;="&amp;'Cash actuals'!T$7, Bank_postings[Date], "&lt;="&amp;'Cash actuals'!T$8, Bank_postings[Sub-category (output)], 'Cash actuals'!$C40)</f>
        <v>0</v>
      </c>
      <c r="U40" s="69">
        <f>SUMIFS(Bank_postings[Amount], Bank_postings[Date], "&gt;="&amp;'Cash actuals'!U$7, Bank_postings[Date], "&lt;="&amp;'Cash actuals'!U$8, Bank_postings[Sub-category (output)], 'Cash actuals'!$C40)</f>
        <v>0</v>
      </c>
      <c r="V40" s="69">
        <f>SUMIFS(Bank_postings[Amount], Bank_postings[Date], "&gt;="&amp;'Cash actuals'!V$7, Bank_postings[Date], "&lt;="&amp;'Cash actuals'!V$8, Bank_postings[Sub-category (output)], 'Cash actuals'!$C40)</f>
        <v>0</v>
      </c>
      <c r="W40" s="69">
        <f>SUMIFS(Bank_postings[Amount], Bank_postings[Date], "&gt;="&amp;'Cash actuals'!W$7, Bank_postings[Date], "&lt;="&amp;'Cash actuals'!W$8, Bank_postings[Sub-category (output)], 'Cash actuals'!$C40)</f>
        <v>0</v>
      </c>
      <c r="X40" s="69">
        <f>SUMIFS(Bank_postings[Amount], Bank_postings[Date], "&gt;="&amp;'Cash actuals'!X$7, Bank_postings[Date], "&lt;="&amp;'Cash actuals'!X$8, Bank_postings[Sub-category (output)], 'Cash actuals'!$C40)</f>
        <v>0</v>
      </c>
      <c r="Y40" s="69">
        <f>SUMIFS(Bank_postings[Amount], Bank_postings[Date], "&gt;="&amp;'Cash actuals'!Y$7, Bank_postings[Date], "&lt;="&amp;'Cash actuals'!Y$8, Bank_postings[Sub-category (output)], 'Cash actuals'!$C40)</f>
        <v>0</v>
      </c>
      <c r="Z40" s="69">
        <f>SUMIFS(Bank_postings[Amount], Bank_postings[Date], "&gt;="&amp;'Cash actuals'!Z$7, Bank_postings[Date], "&lt;="&amp;'Cash actuals'!Z$8, Bank_postings[Sub-category (output)], 'Cash actuals'!$C40)</f>
        <v>0</v>
      </c>
      <c r="AA40" s="69">
        <f>SUMIFS(Bank_postings[Amount], Bank_postings[Date], "&gt;="&amp;'Cash actuals'!AA$7, Bank_postings[Date], "&lt;="&amp;'Cash actuals'!AA$8, Bank_postings[Sub-category (output)], 'Cash actuals'!$C40)</f>
        <v>0</v>
      </c>
      <c r="AB40" s="69">
        <f>SUMIFS(Bank_postings[Amount], Bank_postings[Date], "&gt;="&amp;'Cash actuals'!AB$7, Bank_postings[Date], "&lt;="&amp;'Cash actuals'!AB$8, Bank_postings[Sub-category (output)], 'Cash actuals'!$C40)</f>
        <v>0</v>
      </c>
      <c r="AC40" s="69">
        <f>SUMIFS(Bank_postings[Amount], Bank_postings[Date], "&gt;="&amp;'Cash actuals'!AC$7, Bank_postings[Date], "&lt;="&amp;'Cash actuals'!AC$8, Bank_postings[Sub-category (output)], 'Cash actuals'!$C40)</f>
        <v>0</v>
      </c>
      <c r="AD40" s="69">
        <f>SUMIFS(Bank_postings[Amount], Bank_postings[Date], "&gt;="&amp;'Cash actuals'!AD$7, Bank_postings[Date], "&lt;="&amp;'Cash actuals'!AD$8, Bank_postings[Sub-category (output)], 'Cash actuals'!$C40)</f>
        <v>0</v>
      </c>
      <c r="AE40" s="69">
        <f>SUMIFS(Bank_postings[Amount], Bank_postings[Date], "&gt;="&amp;'Cash actuals'!AE$7, Bank_postings[Date], "&lt;="&amp;'Cash actuals'!AE$8, Bank_postings[Sub-category (output)], 'Cash actuals'!$C40)</f>
        <v>0</v>
      </c>
      <c r="AF40" s="69">
        <f>SUMIFS(Bank_postings[Amount], Bank_postings[Date], "&gt;="&amp;'Cash actuals'!AF$7, Bank_postings[Date], "&lt;="&amp;'Cash actuals'!AF$8, Bank_postings[Sub-category (output)], 'Cash actuals'!$C40)</f>
        <v>0</v>
      </c>
      <c r="AG40" s="69">
        <f>SUMIFS(Bank_postings[Amount], Bank_postings[Date], "&gt;="&amp;'Cash actuals'!AG$7, Bank_postings[Date], "&lt;="&amp;'Cash actuals'!AG$8, Bank_postings[Sub-category (output)], 'Cash actuals'!$C40)</f>
        <v>0</v>
      </c>
      <c r="AH40" s="69">
        <f>SUMIFS(Bank_postings[Amount], Bank_postings[Date], "&gt;="&amp;'Cash actuals'!AH$7, Bank_postings[Date], "&lt;="&amp;'Cash actuals'!AH$8, Bank_postings[Sub-category (output)], 'Cash actuals'!$C40)</f>
        <v>0</v>
      </c>
      <c r="AI40" s="69">
        <f>SUMIFS(Bank_postings[Amount], Bank_postings[Date], "&gt;="&amp;'Cash actuals'!AI$7, Bank_postings[Date], "&lt;="&amp;'Cash actuals'!AI$8, Bank_postings[Sub-category (output)], 'Cash actuals'!$C40)</f>
        <v>0</v>
      </c>
      <c r="AJ40" s="69">
        <f>SUMIFS(Bank_postings[Amount], Bank_postings[Date], "&gt;="&amp;'Cash actuals'!AJ$7, Bank_postings[Date], "&lt;="&amp;'Cash actuals'!AJ$8, Bank_postings[Sub-category (output)], 'Cash actuals'!$C40)</f>
        <v>0</v>
      </c>
      <c r="AK40" s="69">
        <f>SUMIFS(Bank_postings[Amount], Bank_postings[Date], "&gt;="&amp;'Cash actuals'!AK$7, Bank_postings[Date], "&lt;="&amp;'Cash actuals'!AK$8, Bank_postings[Sub-category (output)], 'Cash actuals'!$C40)</f>
        <v>0</v>
      </c>
      <c r="AL40" s="69">
        <f>SUMIFS(Bank_postings[Amount], Bank_postings[Date], "&gt;="&amp;'Cash actuals'!AL$7, Bank_postings[Date], "&lt;="&amp;'Cash actuals'!AL$8, Bank_postings[Sub-category (output)], 'Cash actuals'!$C40)</f>
        <v>0</v>
      </c>
      <c r="AM40" s="69">
        <f>SUMIFS(Bank_postings[Amount], Bank_postings[Date], "&gt;="&amp;'Cash actuals'!AM$7, Bank_postings[Date], "&lt;="&amp;'Cash actuals'!AM$8, Bank_postings[Sub-category (output)], 'Cash actuals'!$C40)</f>
        <v>0</v>
      </c>
      <c r="AN40" s="69">
        <f>SUMIFS(Bank_postings[Amount], Bank_postings[Date], "&gt;="&amp;'Cash actuals'!AN$7, Bank_postings[Date], "&lt;="&amp;'Cash actuals'!AN$8, Bank_postings[Sub-category (output)], 'Cash actuals'!$C40)</f>
        <v>0</v>
      </c>
      <c r="AO40" s="69">
        <f>SUMIFS(Bank_postings[Amount], Bank_postings[Date], "&gt;="&amp;'Cash actuals'!AO$7, Bank_postings[Date], "&lt;="&amp;'Cash actuals'!AO$8, Bank_postings[Sub-category (output)], 'Cash actuals'!$C40)</f>
        <v>0</v>
      </c>
      <c r="AP40" s="69">
        <f>SUMIFS(Bank_postings[Amount], Bank_postings[Date], "&gt;="&amp;'Cash actuals'!AP$7, Bank_postings[Date], "&lt;="&amp;'Cash actuals'!AP$8, Bank_postings[Sub-category (output)], 'Cash actuals'!$C40)</f>
        <v>0</v>
      </c>
      <c r="AQ40" s="69">
        <f>SUMIFS(Bank_postings[Amount], Bank_postings[Date], "&gt;="&amp;'Cash actuals'!AQ$7, Bank_postings[Date], "&lt;="&amp;'Cash actuals'!AQ$8, Bank_postings[Sub-category (output)], 'Cash actuals'!$C40)</f>
        <v>0</v>
      </c>
      <c r="AR40" s="69">
        <f>SUMIFS(Bank_postings[Amount], Bank_postings[Date], "&gt;="&amp;'Cash actuals'!AR$7, Bank_postings[Date], "&lt;="&amp;'Cash actuals'!AR$8, Bank_postings[Sub-category (output)], 'Cash actuals'!$C40)</f>
        <v>0</v>
      </c>
      <c r="AS40" s="69">
        <f>SUMIFS(Bank_postings[Amount], Bank_postings[Date], "&gt;="&amp;'Cash actuals'!AS$7, Bank_postings[Date], "&lt;="&amp;'Cash actuals'!AS$8, Bank_postings[Sub-category (output)], 'Cash actuals'!$C40)</f>
        <v>0</v>
      </c>
      <c r="AT40" s="69">
        <f>SUMIFS(Bank_postings[Amount], Bank_postings[Date], "&gt;="&amp;'Cash actuals'!AT$7, Bank_postings[Date], "&lt;="&amp;'Cash actuals'!AT$8, Bank_postings[Sub-category (output)], 'Cash actuals'!$C40)</f>
        <v>0</v>
      </c>
      <c r="AU40" s="69">
        <f>SUMIFS(Bank_postings[Amount], Bank_postings[Date], "&gt;="&amp;'Cash actuals'!AU$7, Bank_postings[Date], "&lt;="&amp;'Cash actuals'!AU$8, Bank_postings[Sub-category (output)], 'Cash actuals'!$C40)</f>
        <v>0</v>
      </c>
      <c r="AV40" s="69">
        <f>SUMIFS(Bank_postings[Amount], Bank_postings[Date], "&gt;="&amp;'Cash actuals'!AV$7, Bank_postings[Date], "&lt;="&amp;'Cash actuals'!AV$8, Bank_postings[Sub-category (output)], 'Cash actuals'!$C40)</f>
        <v>0</v>
      </c>
      <c r="AW40" s="69">
        <f>SUMIFS(Bank_postings[Amount], Bank_postings[Date], "&gt;="&amp;'Cash actuals'!AW$7, Bank_postings[Date], "&lt;="&amp;'Cash actuals'!AW$8, Bank_postings[Sub-category (output)], 'Cash actuals'!$C40)</f>
        <v>0</v>
      </c>
      <c r="AX40" s="69">
        <f>SUMIFS(Bank_postings[Amount], Bank_postings[Date], "&gt;="&amp;'Cash actuals'!AX$7, Bank_postings[Date], "&lt;="&amp;'Cash actuals'!AX$8, Bank_postings[Sub-category (output)], 'Cash actuals'!$C40)</f>
        <v>0</v>
      </c>
      <c r="AY40" s="69">
        <f>SUMIFS(Bank_postings[Amount], Bank_postings[Date], "&gt;="&amp;'Cash actuals'!AY$7, Bank_postings[Date], "&lt;="&amp;'Cash actuals'!AY$8, Bank_postings[Sub-category (output)], 'Cash actuals'!$C40)</f>
        <v>0</v>
      </c>
      <c r="AZ40" s="69">
        <f>SUMIFS(Bank_postings[Amount], Bank_postings[Date], "&gt;="&amp;'Cash actuals'!AZ$7, Bank_postings[Date], "&lt;="&amp;'Cash actuals'!AZ$8, Bank_postings[Sub-category (output)], 'Cash actuals'!$C40)</f>
        <v>0</v>
      </c>
      <c r="BA40" s="69">
        <f>SUMIFS(Bank_postings[Amount], Bank_postings[Date], "&gt;="&amp;'Cash actuals'!BA$7, Bank_postings[Date], "&lt;="&amp;'Cash actuals'!BA$8, Bank_postings[Sub-category (output)], 'Cash actuals'!$C40)</f>
        <v>0</v>
      </c>
      <c r="BB40" s="69">
        <f>SUMIFS(Bank_postings[Amount], Bank_postings[Date], "&gt;="&amp;'Cash actuals'!BB$7, Bank_postings[Date], "&lt;="&amp;'Cash actuals'!BB$8, Bank_postings[Sub-category (output)], 'Cash actuals'!$C40)</f>
        <v>0</v>
      </c>
      <c r="BC40" s="69">
        <f>SUMIFS(Bank_postings[Amount], Bank_postings[Date], "&gt;="&amp;'Cash actuals'!BC$7, Bank_postings[Date], "&lt;="&amp;'Cash actuals'!BC$8, Bank_postings[Sub-category (output)], 'Cash actuals'!$C40)</f>
        <v>0</v>
      </c>
      <c r="BD40" s="69">
        <f>SUMIFS(Bank_postings[Amount], Bank_postings[Date], "&gt;="&amp;'Cash actuals'!BD$7, Bank_postings[Date], "&lt;="&amp;'Cash actuals'!BD$8, Bank_postings[Sub-category (output)], 'Cash actuals'!$C40)</f>
        <v>0</v>
      </c>
      <c r="BE40" s="69">
        <f>SUMIFS(Bank_postings[Amount], Bank_postings[Date], "&gt;="&amp;'Cash actuals'!BE$7, Bank_postings[Date], "&lt;="&amp;'Cash actuals'!BE$8, Bank_postings[Sub-category (output)], 'Cash actuals'!$C40)</f>
        <v>0</v>
      </c>
    </row>
    <row r="41" spans="3:57" ht="5.0999999999999996" customHeight="1" x14ac:dyDescent="0.25"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</row>
    <row r="42" spans="3:57" x14ac:dyDescent="0.25">
      <c r="C42" s="14" t="s">
        <v>136</v>
      </c>
      <c r="F42" s="73">
        <f t="shared" ref="F42:R42" si="49">F36 + F38 + F40</f>
        <v>0</v>
      </c>
      <c r="G42" s="73">
        <f t="shared" si="49"/>
        <v>0</v>
      </c>
      <c r="H42" s="73">
        <f t="shared" si="49"/>
        <v>0</v>
      </c>
      <c r="I42" s="73">
        <f t="shared" si="49"/>
        <v>0</v>
      </c>
      <c r="J42" s="73">
        <f t="shared" si="49"/>
        <v>0</v>
      </c>
      <c r="K42" s="73">
        <f t="shared" si="49"/>
        <v>0</v>
      </c>
      <c r="L42" s="73">
        <f t="shared" si="49"/>
        <v>0</v>
      </c>
      <c r="M42" s="73">
        <f t="shared" si="49"/>
        <v>0</v>
      </c>
      <c r="N42" s="73">
        <f t="shared" si="49"/>
        <v>0</v>
      </c>
      <c r="O42" s="73">
        <f t="shared" si="49"/>
        <v>0</v>
      </c>
      <c r="P42" s="73">
        <f t="shared" si="49"/>
        <v>0</v>
      </c>
      <c r="Q42" s="73">
        <f t="shared" si="49"/>
        <v>0</v>
      </c>
      <c r="R42" s="73">
        <f t="shared" si="49"/>
        <v>0</v>
      </c>
      <c r="S42" s="73">
        <f t="shared" ref="S42:BE42" si="50">S36 + S38 + S40</f>
        <v>0</v>
      </c>
      <c r="T42" s="73">
        <f t="shared" si="50"/>
        <v>0</v>
      </c>
      <c r="U42" s="73">
        <f t="shared" si="50"/>
        <v>0</v>
      </c>
      <c r="V42" s="73">
        <f t="shared" si="50"/>
        <v>0</v>
      </c>
      <c r="W42" s="73">
        <f t="shared" si="50"/>
        <v>0</v>
      </c>
      <c r="X42" s="73">
        <f t="shared" si="50"/>
        <v>0</v>
      </c>
      <c r="Y42" s="73">
        <f t="shared" si="50"/>
        <v>0</v>
      </c>
      <c r="Z42" s="73">
        <f t="shared" si="50"/>
        <v>0</v>
      </c>
      <c r="AA42" s="73">
        <f t="shared" si="50"/>
        <v>0</v>
      </c>
      <c r="AB42" s="73">
        <f t="shared" si="50"/>
        <v>0</v>
      </c>
      <c r="AC42" s="73">
        <f t="shared" si="50"/>
        <v>0</v>
      </c>
      <c r="AD42" s="73">
        <f t="shared" si="50"/>
        <v>0</v>
      </c>
      <c r="AE42" s="73">
        <f t="shared" si="50"/>
        <v>0</v>
      </c>
      <c r="AF42" s="73">
        <f t="shared" si="50"/>
        <v>0</v>
      </c>
      <c r="AG42" s="73">
        <f t="shared" si="50"/>
        <v>0</v>
      </c>
      <c r="AH42" s="73">
        <f t="shared" si="50"/>
        <v>0</v>
      </c>
      <c r="AI42" s="73">
        <f t="shared" si="50"/>
        <v>0</v>
      </c>
      <c r="AJ42" s="73">
        <f t="shared" si="50"/>
        <v>0</v>
      </c>
      <c r="AK42" s="73">
        <f t="shared" si="50"/>
        <v>0</v>
      </c>
      <c r="AL42" s="73">
        <f t="shared" si="50"/>
        <v>0</v>
      </c>
      <c r="AM42" s="73">
        <f t="shared" si="50"/>
        <v>0</v>
      </c>
      <c r="AN42" s="73">
        <f t="shared" si="50"/>
        <v>0</v>
      </c>
      <c r="AO42" s="73">
        <f t="shared" si="50"/>
        <v>0</v>
      </c>
      <c r="AP42" s="73">
        <f t="shared" si="50"/>
        <v>0</v>
      </c>
      <c r="AQ42" s="73">
        <f t="shared" si="50"/>
        <v>0</v>
      </c>
      <c r="AR42" s="73">
        <f t="shared" si="50"/>
        <v>0</v>
      </c>
      <c r="AS42" s="73">
        <f t="shared" si="50"/>
        <v>0</v>
      </c>
      <c r="AT42" s="73">
        <f t="shared" si="50"/>
        <v>0</v>
      </c>
      <c r="AU42" s="73">
        <f t="shared" si="50"/>
        <v>0</v>
      </c>
      <c r="AV42" s="73">
        <f t="shared" si="50"/>
        <v>0</v>
      </c>
      <c r="AW42" s="73">
        <f t="shared" si="50"/>
        <v>0</v>
      </c>
      <c r="AX42" s="73">
        <f t="shared" si="50"/>
        <v>0</v>
      </c>
      <c r="AY42" s="73">
        <f t="shared" si="50"/>
        <v>0</v>
      </c>
      <c r="AZ42" s="73">
        <f t="shared" si="50"/>
        <v>0</v>
      </c>
      <c r="BA42" s="73">
        <f t="shared" si="50"/>
        <v>0</v>
      </c>
      <c r="BB42" s="73">
        <f t="shared" si="50"/>
        <v>0</v>
      </c>
      <c r="BC42" s="73">
        <f t="shared" si="50"/>
        <v>0</v>
      </c>
      <c r="BD42" s="73">
        <f t="shared" si="50"/>
        <v>0</v>
      </c>
      <c r="BE42" s="73">
        <f t="shared" si="50"/>
        <v>0</v>
      </c>
    </row>
    <row r="43" spans="3:57" x14ac:dyDescent="0.25"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</row>
    <row r="44" spans="3:57" x14ac:dyDescent="0.25">
      <c r="C44" s="12" t="s">
        <v>17</v>
      </c>
      <c r="D44" s="13"/>
      <c r="E44" s="13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3:57" ht="5.0999999999999996" customHeight="1" x14ac:dyDescent="0.25"/>
    <row r="46" spans="3:57" x14ac:dyDescent="0.25">
      <c r="C46" s="1" t="s">
        <v>232</v>
      </c>
      <c r="F46" s="69">
        <f>SUMIFS(Bank_postings[Amount], Bank_postings[Date], "&gt;="&amp;'Cash actuals'!F$7, Bank_postings[Date], "&lt;="&amp;'Cash actuals'!F$8, Bank_postings[Sub-category (output)], 'Cash actuals'!$C46)</f>
        <v>0</v>
      </c>
      <c r="G46" s="69">
        <f>SUMIFS(Bank_postings[Amount], Bank_postings[Date], "&gt;="&amp;'Cash actuals'!G$7, Bank_postings[Date], "&lt;="&amp;'Cash actuals'!G$8, Bank_postings[Sub-category (output)], 'Cash actuals'!$C46)</f>
        <v>0</v>
      </c>
      <c r="H46" s="69">
        <f>SUMIFS(Bank_postings[Amount], Bank_postings[Date], "&gt;="&amp;'Cash actuals'!H$7, Bank_postings[Date], "&lt;="&amp;'Cash actuals'!H$8, Bank_postings[Sub-category (output)], 'Cash actuals'!$C46)</f>
        <v>0</v>
      </c>
      <c r="I46" s="69">
        <f>SUMIFS(Bank_postings[Amount], Bank_postings[Date], "&gt;="&amp;'Cash actuals'!I$7, Bank_postings[Date], "&lt;="&amp;'Cash actuals'!I$8, Bank_postings[Sub-category (output)], 'Cash actuals'!$C46)</f>
        <v>0</v>
      </c>
      <c r="J46" s="69">
        <f>SUMIFS(Bank_postings[Amount], Bank_postings[Date], "&gt;="&amp;'Cash actuals'!J$7, Bank_postings[Date], "&lt;="&amp;'Cash actuals'!J$8, Bank_postings[Sub-category (output)], 'Cash actuals'!$C46)</f>
        <v>0</v>
      </c>
      <c r="K46" s="69">
        <f>SUMIFS(Bank_postings[Amount], Bank_postings[Date], "&gt;="&amp;'Cash actuals'!K$7, Bank_postings[Date], "&lt;="&amp;'Cash actuals'!K$8, Bank_postings[Sub-category (output)], 'Cash actuals'!$C46)</f>
        <v>0</v>
      </c>
      <c r="L46" s="69">
        <f>SUMIFS(Bank_postings[Amount], Bank_postings[Date], "&gt;="&amp;'Cash actuals'!L$7, Bank_postings[Date], "&lt;="&amp;'Cash actuals'!L$8, Bank_postings[Sub-category (output)], 'Cash actuals'!$C46)</f>
        <v>0</v>
      </c>
      <c r="M46" s="69">
        <f>SUMIFS(Bank_postings[Amount], Bank_postings[Date], "&gt;="&amp;'Cash actuals'!M$7, Bank_postings[Date], "&lt;="&amp;'Cash actuals'!M$8, Bank_postings[Sub-category (output)], 'Cash actuals'!$C46)</f>
        <v>0</v>
      </c>
      <c r="N46" s="69">
        <f>SUMIFS(Bank_postings[Amount], Bank_postings[Date], "&gt;="&amp;'Cash actuals'!N$7, Bank_postings[Date], "&lt;="&amp;'Cash actuals'!N$8, Bank_postings[Sub-category (output)], 'Cash actuals'!$C46)</f>
        <v>0</v>
      </c>
      <c r="O46" s="69">
        <f>SUMIFS(Bank_postings[Amount], Bank_postings[Date], "&gt;="&amp;'Cash actuals'!O$7, Bank_postings[Date], "&lt;="&amp;'Cash actuals'!O$8, Bank_postings[Sub-category (output)], 'Cash actuals'!$C46)</f>
        <v>0</v>
      </c>
      <c r="P46" s="69">
        <f>SUMIFS(Bank_postings[Amount], Bank_postings[Date], "&gt;="&amp;'Cash actuals'!P$7, Bank_postings[Date], "&lt;="&amp;'Cash actuals'!P$8, Bank_postings[Sub-category (output)], 'Cash actuals'!$C46)</f>
        <v>0</v>
      </c>
      <c r="Q46" s="69">
        <f>SUMIFS(Bank_postings[Amount], Bank_postings[Date], "&gt;="&amp;'Cash actuals'!Q$7, Bank_postings[Date], "&lt;="&amp;'Cash actuals'!Q$8, Bank_postings[Sub-category (output)], 'Cash actuals'!$C46)</f>
        <v>0</v>
      </c>
      <c r="R46" s="69">
        <f>SUMIFS(Bank_postings[Amount], Bank_postings[Date], "&gt;="&amp;'Cash actuals'!R$7, Bank_postings[Date], "&lt;="&amp;'Cash actuals'!R$8, Bank_postings[Sub-category (output)], 'Cash actuals'!$C46)</f>
        <v>0</v>
      </c>
      <c r="S46" s="69">
        <f>SUMIFS(Bank_postings[Amount], Bank_postings[Date], "&gt;="&amp;'Cash actuals'!S$7, Bank_postings[Date], "&lt;="&amp;'Cash actuals'!S$8, Bank_postings[Sub-category (output)], 'Cash actuals'!$C46)</f>
        <v>0</v>
      </c>
      <c r="T46" s="69">
        <f>SUMIFS(Bank_postings[Amount], Bank_postings[Date], "&gt;="&amp;'Cash actuals'!T$7, Bank_postings[Date], "&lt;="&amp;'Cash actuals'!T$8, Bank_postings[Sub-category (output)], 'Cash actuals'!$C46)</f>
        <v>0</v>
      </c>
      <c r="U46" s="69">
        <f>SUMIFS(Bank_postings[Amount], Bank_postings[Date], "&gt;="&amp;'Cash actuals'!U$7, Bank_postings[Date], "&lt;="&amp;'Cash actuals'!U$8, Bank_postings[Sub-category (output)], 'Cash actuals'!$C46)</f>
        <v>0</v>
      </c>
      <c r="V46" s="69">
        <f>SUMIFS(Bank_postings[Amount], Bank_postings[Date], "&gt;="&amp;'Cash actuals'!V$7, Bank_postings[Date], "&lt;="&amp;'Cash actuals'!V$8, Bank_postings[Sub-category (output)], 'Cash actuals'!$C46)</f>
        <v>0</v>
      </c>
      <c r="W46" s="69">
        <f>SUMIFS(Bank_postings[Amount], Bank_postings[Date], "&gt;="&amp;'Cash actuals'!W$7, Bank_postings[Date], "&lt;="&amp;'Cash actuals'!W$8, Bank_postings[Sub-category (output)], 'Cash actuals'!$C46)</f>
        <v>0</v>
      </c>
      <c r="X46" s="69">
        <f>SUMIFS(Bank_postings[Amount], Bank_postings[Date], "&gt;="&amp;'Cash actuals'!X$7, Bank_postings[Date], "&lt;="&amp;'Cash actuals'!X$8, Bank_postings[Sub-category (output)], 'Cash actuals'!$C46)</f>
        <v>0</v>
      </c>
      <c r="Y46" s="69">
        <f>SUMIFS(Bank_postings[Amount], Bank_postings[Date], "&gt;="&amp;'Cash actuals'!Y$7, Bank_postings[Date], "&lt;="&amp;'Cash actuals'!Y$8, Bank_postings[Sub-category (output)], 'Cash actuals'!$C46)</f>
        <v>0</v>
      </c>
      <c r="Z46" s="69">
        <f>SUMIFS(Bank_postings[Amount], Bank_postings[Date], "&gt;="&amp;'Cash actuals'!Z$7, Bank_postings[Date], "&lt;="&amp;'Cash actuals'!Z$8, Bank_postings[Sub-category (output)], 'Cash actuals'!$C46)</f>
        <v>0</v>
      </c>
      <c r="AA46" s="69">
        <f>SUMIFS(Bank_postings[Amount], Bank_postings[Date], "&gt;="&amp;'Cash actuals'!AA$7, Bank_postings[Date], "&lt;="&amp;'Cash actuals'!AA$8, Bank_postings[Sub-category (output)], 'Cash actuals'!$C46)</f>
        <v>0</v>
      </c>
      <c r="AB46" s="69">
        <f>SUMIFS(Bank_postings[Amount], Bank_postings[Date], "&gt;="&amp;'Cash actuals'!AB$7, Bank_postings[Date], "&lt;="&amp;'Cash actuals'!AB$8, Bank_postings[Sub-category (output)], 'Cash actuals'!$C46)</f>
        <v>0</v>
      </c>
      <c r="AC46" s="69">
        <f>SUMIFS(Bank_postings[Amount], Bank_postings[Date], "&gt;="&amp;'Cash actuals'!AC$7, Bank_postings[Date], "&lt;="&amp;'Cash actuals'!AC$8, Bank_postings[Sub-category (output)], 'Cash actuals'!$C46)</f>
        <v>0</v>
      </c>
      <c r="AD46" s="69">
        <f>SUMIFS(Bank_postings[Amount], Bank_postings[Date], "&gt;="&amp;'Cash actuals'!AD$7, Bank_postings[Date], "&lt;="&amp;'Cash actuals'!AD$8, Bank_postings[Sub-category (output)], 'Cash actuals'!$C46)</f>
        <v>0</v>
      </c>
      <c r="AE46" s="69">
        <f>SUMIFS(Bank_postings[Amount], Bank_postings[Date], "&gt;="&amp;'Cash actuals'!AE$7, Bank_postings[Date], "&lt;="&amp;'Cash actuals'!AE$8, Bank_postings[Sub-category (output)], 'Cash actuals'!$C46)</f>
        <v>0</v>
      </c>
      <c r="AF46" s="69">
        <f>SUMIFS(Bank_postings[Amount], Bank_postings[Date], "&gt;="&amp;'Cash actuals'!AF$7, Bank_postings[Date], "&lt;="&amp;'Cash actuals'!AF$8, Bank_postings[Sub-category (output)], 'Cash actuals'!$C46)</f>
        <v>0</v>
      </c>
      <c r="AG46" s="69">
        <f>SUMIFS(Bank_postings[Amount], Bank_postings[Date], "&gt;="&amp;'Cash actuals'!AG$7, Bank_postings[Date], "&lt;="&amp;'Cash actuals'!AG$8, Bank_postings[Sub-category (output)], 'Cash actuals'!$C46)</f>
        <v>0</v>
      </c>
      <c r="AH46" s="69">
        <f>SUMIFS(Bank_postings[Amount], Bank_postings[Date], "&gt;="&amp;'Cash actuals'!AH$7, Bank_postings[Date], "&lt;="&amp;'Cash actuals'!AH$8, Bank_postings[Sub-category (output)], 'Cash actuals'!$C46)</f>
        <v>0</v>
      </c>
      <c r="AI46" s="69">
        <f>SUMIFS(Bank_postings[Amount], Bank_postings[Date], "&gt;="&amp;'Cash actuals'!AI$7, Bank_postings[Date], "&lt;="&amp;'Cash actuals'!AI$8, Bank_postings[Sub-category (output)], 'Cash actuals'!$C46)</f>
        <v>0</v>
      </c>
      <c r="AJ46" s="69">
        <f>SUMIFS(Bank_postings[Amount], Bank_postings[Date], "&gt;="&amp;'Cash actuals'!AJ$7, Bank_postings[Date], "&lt;="&amp;'Cash actuals'!AJ$8, Bank_postings[Sub-category (output)], 'Cash actuals'!$C46)</f>
        <v>0</v>
      </c>
      <c r="AK46" s="69">
        <f>SUMIFS(Bank_postings[Amount], Bank_postings[Date], "&gt;="&amp;'Cash actuals'!AK$7, Bank_postings[Date], "&lt;="&amp;'Cash actuals'!AK$8, Bank_postings[Sub-category (output)], 'Cash actuals'!$C46)</f>
        <v>0</v>
      </c>
      <c r="AL46" s="69">
        <f>SUMIFS(Bank_postings[Amount], Bank_postings[Date], "&gt;="&amp;'Cash actuals'!AL$7, Bank_postings[Date], "&lt;="&amp;'Cash actuals'!AL$8, Bank_postings[Sub-category (output)], 'Cash actuals'!$C46)</f>
        <v>0</v>
      </c>
      <c r="AM46" s="69">
        <f>SUMIFS(Bank_postings[Amount], Bank_postings[Date], "&gt;="&amp;'Cash actuals'!AM$7, Bank_postings[Date], "&lt;="&amp;'Cash actuals'!AM$8, Bank_postings[Sub-category (output)], 'Cash actuals'!$C46)</f>
        <v>0</v>
      </c>
      <c r="AN46" s="69">
        <f>SUMIFS(Bank_postings[Amount], Bank_postings[Date], "&gt;="&amp;'Cash actuals'!AN$7, Bank_postings[Date], "&lt;="&amp;'Cash actuals'!AN$8, Bank_postings[Sub-category (output)], 'Cash actuals'!$C46)</f>
        <v>0</v>
      </c>
      <c r="AO46" s="69">
        <f>SUMIFS(Bank_postings[Amount], Bank_postings[Date], "&gt;="&amp;'Cash actuals'!AO$7, Bank_postings[Date], "&lt;="&amp;'Cash actuals'!AO$8, Bank_postings[Sub-category (output)], 'Cash actuals'!$C46)</f>
        <v>0</v>
      </c>
      <c r="AP46" s="69">
        <f>SUMIFS(Bank_postings[Amount], Bank_postings[Date], "&gt;="&amp;'Cash actuals'!AP$7, Bank_postings[Date], "&lt;="&amp;'Cash actuals'!AP$8, Bank_postings[Sub-category (output)], 'Cash actuals'!$C46)</f>
        <v>0</v>
      </c>
      <c r="AQ46" s="69">
        <f>SUMIFS(Bank_postings[Amount], Bank_postings[Date], "&gt;="&amp;'Cash actuals'!AQ$7, Bank_postings[Date], "&lt;="&amp;'Cash actuals'!AQ$8, Bank_postings[Sub-category (output)], 'Cash actuals'!$C46)</f>
        <v>0</v>
      </c>
      <c r="AR46" s="69">
        <f>SUMIFS(Bank_postings[Amount], Bank_postings[Date], "&gt;="&amp;'Cash actuals'!AR$7, Bank_postings[Date], "&lt;="&amp;'Cash actuals'!AR$8, Bank_postings[Sub-category (output)], 'Cash actuals'!$C46)</f>
        <v>0</v>
      </c>
      <c r="AS46" s="69">
        <f>SUMIFS(Bank_postings[Amount], Bank_postings[Date], "&gt;="&amp;'Cash actuals'!AS$7, Bank_postings[Date], "&lt;="&amp;'Cash actuals'!AS$8, Bank_postings[Sub-category (output)], 'Cash actuals'!$C46)</f>
        <v>0</v>
      </c>
      <c r="AT46" s="69">
        <f>SUMIFS(Bank_postings[Amount], Bank_postings[Date], "&gt;="&amp;'Cash actuals'!AT$7, Bank_postings[Date], "&lt;="&amp;'Cash actuals'!AT$8, Bank_postings[Sub-category (output)], 'Cash actuals'!$C46)</f>
        <v>0</v>
      </c>
      <c r="AU46" s="69">
        <f>SUMIFS(Bank_postings[Amount], Bank_postings[Date], "&gt;="&amp;'Cash actuals'!AU$7, Bank_postings[Date], "&lt;="&amp;'Cash actuals'!AU$8, Bank_postings[Sub-category (output)], 'Cash actuals'!$C46)</f>
        <v>0</v>
      </c>
      <c r="AV46" s="69">
        <f>SUMIFS(Bank_postings[Amount], Bank_postings[Date], "&gt;="&amp;'Cash actuals'!AV$7, Bank_postings[Date], "&lt;="&amp;'Cash actuals'!AV$8, Bank_postings[Sub-category (output)], 'Cash actuals'!$C46)</f>
        <v>0</v>
      </c>
      <c r="AW46" s="69">
        <f>SUMIFS(Bank_postings[Amount], Bank_postings[Date], "&gt;="&amp;'Cash actuals'!AW$7, Bank_postings[Date], "&lt;="&amp;'Cash actuals'!AW$8, Bank_postings[Sub-category (output)], 'Cash actuals'!$C46)</f>
        <v>0</v>
      </c>
      <c r="AX46" s="69">
        <f>SUMIFS(Bank_postings[Amount], Bank_postings[Date], "&gt;="&amp;'Cash actuals'!AX$7, Bank_postings[Date], "&lt;="&amp;'Cash actuals'!AX$8, Bank_postings[Sub-category (output)], 'Cash actuals'!$C46)</f>
        <v>0</v>
      </c>
      <c r="AY46" s="69">
        <f>SUMIFS(Bank_postings[Amount], Bank_postings[Date], "&gt;="&amp;'Cash actuals'!AY$7, Bank_postings[Date], "&lt;="&amp;'Cash actuals'!AY$8, Bank_postings[Sub-category (output)], 'Cash actuals'!$C46)</f>
        <v>0</v>
      </c>
      <c r="AZ46" s="69">
        <f>SUMIFS(Bank_postings[Amount], Bank_postings[Date], "&gt;="&amp;'Cash actuals'!AZ$7, Bank_postings[Date], "&lt;="&amp;'Cash actuals'!AZ$8, Bank_postings[Sub-category (output)], 'Cash actuals'!$C46)</f>
        <v>0</v>
      </c>
      <c r="BA46" s="69">
        <f>SUMIFS(Bank_postings[Amount], Bank_postings[Date], "&gt;="&amp;'Cash actuals'!BA$7, Bank_postings[Date], "&lt;="&amp;'Cash actuals'!BA$8, Bank_postings[Sub-category (output)], 'Cash actuals'!$C46)</f>
        <v>0</v>
      </c>
      <c r="BB46" s="69">
        <f>SUMIFS(Bank_postings[Amount], Bank_postings[Date], "&gt;="&amp;'Cash actuals'!BB$7, Bank_postings[Date], "&lt;="&amp;'Cash actuals'!BB$8, Bank_postings[Sub-category (output)], 'Cash actuals'!$C46)</f>
        <v>0</v>
      </c>
      <c r="BC46" s="69">
        <f>SUMIFS(Bank_postings[Amount], Bank_postings[Date], "&gt;="&amp;'Cash actuals'!BC$7, Bank_postings[Date], "&lt;="&amp;'Cash actuals'!BC$8, Bank_postings[Sub-category (output)], 'Cash actuals'!$C46)</f>
        <v>0</v>
      </c>
      <c r="BD46" s="69">
        <f>SUMIFS(Bank_postings[Amount], Bank_postings[Date], "&gt;="&amp;'Cash actuals'!BD$7, Bank_postings[Date], "&lt;="&amp;'Cash actuals'!BD$8, Bank_postings[Sub-category (output)], 'Cash actuals'!$C46)</f>
        <v>0</v>
      </c>
      <c r="BE46" s="69">
        <f>SUMIFS(Bank_postings[Amount], Bank_postings[Date], "&gt;="&amp;'Cash actuals'!BE$7, Bank_postings[Date], "&lt;="&amp;'Cash actuals'!BE$8, Bank_postings[Sub-category (output)], 'Cash actuals'!$C46)</f>
        <v>0</v>
      </c>
    </row>
    <row r="47" spans="3:57" ht="5.0999999999999996" customHeight="1" x14ac:dyDescent="0.25"/>
    <row r="48" spans="3:57" x14ac:dyDescent="0.25">
      <c r="C48" s="1">
        <f>Assumptions!$D$32</f>
        <v>0</v>
      </c>
      <c r="F48" s="69">
        <f>SUMIFS(Bank_postings[Amount], Bank_postings[Date], "&gt;="&amp;'Cash actuals'!F$7, Bank_postings[Date], "&lt;="&amp;'Cash actuals'!F$8, Bank_postings[Sub-category (output)], 'Cash actuals'!$C48)</f>
        <v>0</v>
      </c>
      <c r="G48" s="69">
        <f>SUMIFS(Bank_postings[Amount], Bank_postings[Date], "&gt;="&amp;'Cash actuals'!G$7, Bank_postings[Date], "&lt;="&amp;'Cash actuals'!G$8, Bank_postings[Sub-category (output)], 'Cash actuals'!$C48)</f>
        <v>0</v>
      </c>
      <c r="H48" s="69">
        <f>SUMIFS(Bank_postings[Amount], Bank_postings[Date], "&gt;="&amp;'Cash actuals'!H$7, Bank_postings[Date], "&lt;="&amp;'Cash actuals'!H$8, Bank_postings[Sub-category (output)], 'Cash actuals'!$C48)</f>
        <v>0</v>
      </c>
      <c r="I48" s="69">
        <f>SUMIFS(Bank_postings[Amount], Bank_postings[Date], "&gt;="&amp;'Cash actuals'!I$7, Bank_postings[Date], "&lt;="&amp;'Cash actuals'!I$8, Bank_postings[Sub-category (output)], 'Cash actuals'!$C48)</f>
        <v>0</v>
      </c>
      <c r="J48" s="69">
        <f>SUMIFS(Bank_postings[Amount], Bank_postings[Date], "&gt;="&amp;'Cash actuals'!J$7, Bank_postings[Date], "&lt;="&amp;'Cash actuals'!J$8, Bank_postings[Sub-category (output)], 'Cash actuals'!$C48)</f>
        <v>0</v>
      </c>
      <c r="K48" s="69">
        <f>SUMIFS(Bank_postings[Amount], Bank_postings[Date], "&gt;="&amp;'Cash actuals'!K$7, Bank_postings[Date], "&lt;="&amp;'Cash actuals'!K$8, Bank_postings[Sub-category (output)], 'Cash actuals'!$C48)</f>
        <v>0</v>
      </c>
      <c r="L48" s="69">
        <f>SUMIFS(Bank_postings[Amount], Bank_postings[Date], "&gt;="&amp;'Cash actuals'!L$7, Bank_postings[Date], "&lt;="&amp;'Cash actuals'!L$8, Bank_postings[Sub-category (output)], 'Cash actuals'!$C48)</f>
        <v>0</v>
      </c>
      <c r="M48" s="69">
        <f>SUMIFS(Bank_postings[Amount], Bank_postings[Date], "&gt;="&amp;'Cash actuals'!M$7, Bank_postings[Date], "&lt;="&amp;'Cash actuals'!M$8, Bank_postings[Sub-category (output)], 'Cash actuals'!$C48)</f>
        <v>0</v>
      </c>
      <c r="N48" s="69">
        <f>SUMIFS(Bank_postings[Amount], Bank_postings[Date], "&gt;="&amp;'Cash actuals'!N$7, Bank_postings[Date], "&lt;="&amp;'Cash actuals'!N$8, Bank_postings[Sub-category (output)], 'Cash actuals'!$C48)</f>
        <v>0</v>
      </c>
      <c r="O48" s="69">
        <f>SUMIFS(Bank_postings[Amount], Bank_postings[Date], "&gt;="&amp;'Cash actuals'!O$7, Bank_postings[Date], "&lt;="&amp;'Cash actuals'!O$8, Bank_postings[Sub-category (output)], 'Cash actuals'!$C48)</f>
        <v>0</v>
      </c>
      <c r="P48" s="69">
        <f>SUMIFS(Bank_postings[Amount], Bank_postings[Date], "&gt;="&amp;'Cash actuals'!P$7, Bank_postings[Date], "&lt;="&amp;'Cash actuals'!P$8, Bank_postings[Sub-category (output)], 'Cash actuals'!$C48)</f>
        <v>0</v>
      </c>
      <c r="Q48" s="69">
        <f>SUMIFS(Bank_postings[Amount], Bank_postings[Date], "&gt;="&amp;'Cash actuals'!Q$7, Bank_postings[Date], "&lt;="&amp;'Cash actuals'!Q$8, Bank_postings[Sub-category (output)], 'Cash actuals'!$C48)</f>
        <v>0</v>
      </c>
      <c r="R48" s="69">
        <f>SUMIFS(Bank_postings[Amount], Bank_postings[Date], "&gt;="&amp;'Cash actuals'!R$7, Bank_postings[Date], "&lt;="&amp;'Cash actuals'!R$8, Bank_postings[Sub-category (output)], 'Cash actuals'!$C48)</f>
        <v>0</v>
      </c>
      <c r="S48" s="69">
        <f>SUMIFS(Bank_postings[Amount], Bank_postings[Date], "&gt;="&amp;'Cash actuals'!S$7, Bank_postings[Date], "&lt;="&amp;'Cash actuals'!S$8, Bank_postings[Sub-category (output)], 'Cash actuals'!$C48)</f>
        <v>0</v>
      </c>
      <c r="T48" s="69">
        <f>SUMIFS(Bank_postings[Amount], Bank_postings[Date], "&gt;="&amp;'Cash actuals'!T$7, Bank_postings[Date], "&lt;="&amp;'Cash actuals'!T$8, Bank_postings[Sub-category (output)], 'Cash actuals'!$C48)</f>
        <v>0</v>
      </c>
      <c r="U48" s="69">
        <f>SUMIFS(Bank_postings[Amount], Bank_postings[Date], "&gt;="&amp;'Cash actuals'!U$7, Bank_postings[Date], "&lt;="&amp;'Cash actuals'!U$8, Bank_postings[Sub-category (output)], 'Cash actuals'!$C48)</f>
        <v>0</v>
      </c>
      <c r="V48" s="69">
        <f>SUMIFS(Bank_postings[Amount], Bank_postings[Date], "&gt;="&amp;'Cash actuals'!V$7, Bank_postings[Date], "&lt;="&amp;'Cash actuals'!V$8, Bank_postings[Sub-category (output)], 'Cash actuals'!$C48)</f>
        <v>0</v>
      </c>
      <c r="W48" s="69">
        <f>SUMIFS(Bank_postings[Amount], Bank_postings[Date], "&gt;="&amp;'Cash actuals'!W$7, Bank_postings[Date], "&lt;="&amp;'Cash actuals'!W$8, Bank_postings[Sub-category (output)], 'Cash actuals'!$C48)</f>
        <v>0</v>
      </c>
      <c r="X48" s="69">
        <f>SUMIFS(Bank_postings[Amount], Bank_postings[Date], "&gt;="&amp;'Cash actuals'!X$7, Bank_postings[Date], "&lt;="&amp;'Cash actuals'!X$8, Bank_postings[Sub-category (output)], 'Cash actuals'!$C48)</f>
        <v>0</v>
      </c>
      <c r="Y48" s="69">
        <f>SUMIFS(Bank_postings[Amount], Bank_postings[Date], "&gt;="&amp;'Cash actuals'!Y$7, Bank_postings[Date], "&lt;="&amp;'Cash actuals'!Y$8, Bank_postings[Sub-category (output)], 'Cash actuals'!$C48)</f>
        <v>0</v>
      </c>
      <c r="Z48" s="69">
        <f>SUMIFS(Bank_postings[Amount], Bank_postings[Date], "&gt;="&amp;'Cash actuals'!Z$7, Bank_postings[Date], "&lt;="&amp;'Cash actuals'!Z$8, Bank_postings[Sub-category (output)], 'Cash actuals'!$C48)</f>
        <v>0</v>
      </c>
      <c r="AA48" s="69">
        <f>SUMIFS(Bank_postings[Amount], Bank_postings[Date], "&gt;="&amp;'Cash actuals'!AA$7, Bank_postings[Date], "&lt;="&amp;'Cash actuals'!AA$8, Bank_postings[Sub-category (output)], 'Cash actuals'!$C48)</f>
        <v>0</v>
      </c>
      <c r="AB48" s="69">
        <f>SUMIFS(Bank_postings[Amount], Bank_postings[Date], "&gt;="&amp;'Cash actuals'!AB$7, Bank_postings[Date], "&lt;="&amp;'Cash actuals'!AB$8, Bank_postings[Sub-category (output)], 'Cash actuals'!$C48)</f>
        <v>0</v>
      </c>
      <c r="AC48" s="69">
        <f>SUMIFS(Bank_postings[Amount], Bank_postings[Date], "&gt;="&amp;'Cash actuals'!AC$7, Bank_postings[Date], "&lt;="&amp;'Cash actuals'!AC$8, Bank_postings[Sub-category (output)], 'Cash actuals'!$C48)</f>
        <v>0</v>
      </c>
      <c r="AD48" s="69">
        <f>SUMIFS(Bank_postings[Amount], Bank_postings[Date], "&gt;="&amp;'Cash actuals'!AD$7, Bank_postings[Date], "&lt;="&amp;'Cash actuals'!AD$8, Bank_postings[Sub-category (output)], 'Cash actuals'!$C48)</f>
        <v>0</v>
      </c>
      <c r="AE48" s="69">
        <f>SUMIFS(Bank_postings[Amount], Bank_postings[Date], "&gt;="&amp;'Cash actuals'!AE$7, Bank_postings[Date], "&lt;="&amp;'Cash actuals'!AE$8, Bank_postings[Sub-category (output)], 'Cash actuals'!$C48)</f>
        <v>0</v>
      </c>
      <c r="AF48" s="69">
        <f>SUMIFS(Bank_postings[Amount], Bank_postings[Date], "&gt;="&amp;'Cash actuals'!AF$7, Bank_postings[Date], "&lt;="&amp;'Cash actuals'!AF$8, Bank_postings[Sub-category (output)], 'Cash actuals'!$C48)</f>
        <v>0</v>
      </c>
      <c r="AG48" s="69">
        <f>SUMIFS(Bank_postings[Amount], Bank_postings[Date], "&gt;="&amp;'Cash actuals'!AG$7, Bank_postings[Date], "&lt;="&amp;'Cash actuals'!AG$8, Bank_postings[Sub-category (output)], 'Cash actuals'!$C48)</f>
        <v>0</v>
      </c>
      <c r="AH48" s="69">
        <f>SUMIFS(Bank_postings[Amount], Bank_postings[Date], "&gt;="&amp;'Cash actuals'!AH$7, Bank_postings[Date], "&lt;="&amp;'Cash actuals'!AH$8, Bank_postings[Sub-category (output)], 'Cash actuals'!$C48)</f>
        <v>0</v>
      </c>
      <c r="AI48" s="69">
        <f>SUMIFS(Bank_postings[Amount], Bank_postings[Date], "&gt;="&amp;'Cash actuals'!AI$7, Bank_postings[Date], "&lt;="&amp;'Cash actuals'!AI$8, Bank_postings[Sub-category (output)], 'Cash actuals'!$C48)</f>
        <v>0</v>
      </c>
      <c r="AJ48" s="69">
        <f>SUMIFS(Bank_postings[Amount], Bank_postings[Date], "&gt;="&amp;'Cash actuals'!AJ$7, Bank_postings[Date], "&lt;="&amp;'Cash actuals'!AJ$8, Bank_postings[Sub-category (output)], 'Cash actuals'!$C48)</f>
        <v>0</v>
      </c>
      <c r="AK48" s="69">
        <f>SUMIFS(Bank_postings[Amount], Bank_postings[Date], "&gt;="&amp;'Cash actuals'!AK$7, Bank_postings[Date], "&lt;="&amp;'Cash actuals'!AK$8, Bank_postings[Sub-category (output)], 'Cash actuals'!$C48)</f>
        <v>0</v>
      </c>
      <c r="AL48" s="69">
        <f>SUMIFS(Bank_postings[Amount], Bank_postings[Date], "&gt;="&amp;'Cash actuals'!AL$7, Bank_postings[Date], "&lt;="&amp;'Cash actuals'!AL$8, Bank_postings[Sub-category (output)], 'Cash actuals'!$C48)</f>
        <v>0</v>
      </c>
      <c r="AM48" s="69">
        <f>SUMIFS(Bank_postings[Amount], Bank_postings[Date], "&gt;="&amp;'Cash actuals'!AM$7, Bank_postings[Date], "&lt;="&amp;'Cash actuals'!AM$8, Bank_postings[Sub-category (output)], 'Cash actuals'!$C48)</f>
        <v>0</v>
      </c>
      <c r="AN48" s="69">
        <f>SUMIFS(Bank_postings[Amount], Bank_postings[Date], "&gt;="&amp;'Cash actuals'!AN$7, Bank_postings[Date], "&lt;="&amp;'Cash actuals'!AN$8, Bank_postings[Sub-category (output)], 'Cash actuals'!$C48)</f>
        <v>0</v>
      </c>
      <c r="AO48" s="69">
        <f>SUMIFS(Bank_postings[Amount], Bank_postings[Date], "&gt;="&amp;'Cash actuals'!AO$7, Bank_postings[Date], "&lt;="&amp;'Cash actuals'!AO$8, Bank_postings[Sub-category (output)], 'Cash actuals'!$C48)</f>
        <v>0</v>
      </c>
      <c r="AP48" s="69">
        <f>SUMIFS(Bank_postings[Amount], Bank_postings[Date], "&gt;="&amp;'Cash actuals'!AP$7, Bank_postings[Date], "&lt;="&amp;'Cash actuals'!AP$8, Bank_postings[Sub-category (output)], 'Cash actuals'!$C48)</f>
        <v>0</v>
      </c>
      <c r="AQ48" s="69">
        <f>SUMIFS(Bank_postings[Amount], Bank_postings[Date], "&gt;="&amp;'Cash actuals'!AQ$7, Bank_postings[Date], "&lt;="&amp;'Cash actuals'!AQ$8, Bank_postings[Sub-category (output)], 'Cash actuals'!$C48)</f>
        <v>0</v>
      </c>
      <c r="AR48" s="69">
        <f>SUMIFS(Bank_postings[Amount], Bank_postings[Date], "&gt;="&amp;'Cash actuals'!AR$7, Bank_postings[Date], "&lt;="&amp;'Cash actuals'!AR$8, Bank_postings[Sub-category (output)], 'Cash actuals'!$C48)</f>
        <v>0</v>
      </c>
      <c r="AS48" s="69">
        <f>SUMIFS(Bank_postings[Amount], Bank_postings[Date], "&gt;="&amp;'Cash actuals'!AS$7, Bank_postings[Date], "&lt;="&amp;'Cash actuals'!AS$8, Bank_postings[Sub-category (output)], 'Cash actuals'!$C48)</f>
        <v>0</v>
      </c>
      <c r="AT48" s="69">
        <f>SUMIFS(Bank_postings[Amount], Bank_postings[Date], "&gt;="&amp;'Cash actuals'!AT$7, Bank_postings[Date], "&lt;="&amp;'Cash actuals'!AT$8, Bank_postings[Sub-category (output)], 'Cash actuals'!$C48)</f>
        <v>0</v>
      </c>
      <c r="AU48" s="69">
        <f>SUMIFS(Bank_postings[Amount], Bank_postings[Date], "&gt;="&amp;'Cash actuals'!AU$7, Bank_postings[Date], "&lt;="&amp;'Cash actuals'!AU$8, Bank_postings[Sub-category (output)], 'Cash actuals'!$C48)</f>
        <v>0</v>
      </c>
      <c r="AV48" s="69">
        <f>SUMIFS(Bank_postings[Amount], Bank_postings[Date], "&gt;="&amp;'Cash actuals'!AV$7, Bank_postings[Date], "&lt;="&amp;'Cash actuals'!AV$8, Bank_postings[Sub-category (output)], 'Cash actuals'!$C48)</f>
        <v>0</v>
      </c>
      <c r="AW48" s="69">
        <f>SUMIFS(Bank_postings[Amount], Bank_postings[Date], "&gt;="&amp;'Cash actuals'!AW$7, Bank_postings[Date], "&lt;="&amp;'Cash actuals'!AW$8, Bank_postings[Sub-category (output)], 'Cash actuals'!$C48)</f>
        <v>0</v>
      </c>
      <c r="AX48" s="69">
        <f>SUMIFS(Bank_postings[Amount], Bank_postings[Date], "&gt;="&amp;'Cash actuals'!AX$7, Bank_postings[Date], "&lt;="&amp;'Cash actuals'!AX$8, Bank_postings[Sub-category (output)], 'Cash actuals'!$C48)</f>
        <v>0</v>
      </c>
      <c r="AY48" s="69">
        <f>SUMIFS(Bank_postings[Amount], Bank_postings[Date], "&gt;="&amp;'Cash actuals'!AY$7, Bank_postings[Date], "&lt;="&amp;'Cash actuals'!AY$8, Bank_postings[Sub-category (output)], 'Cash actuals'!$C48)</f>
        <v>0</v>
      </c>
      <c r="AZ48" s="69">
        <f>SUMIFS(Bank_postings[Amount], Bank_postings[Date], "&gt;="&amp;'Cash actuals'!AZ$7, Bank_postings[Date], "&lt;="&amp;'Cash actuals'!AZ$8, Bank_postings[Sub-category (output)], 'Cash actuals'!$C48)</f>
        <v>0</v>
      </c>
      <c r="BA48" s="69">
        <f>SUMIFS(Bank_postings[Amount], Bank_postings[Date], "&gt;="&amp;'Cash actuals'!BA$7, Bank_postings[Date], "&lt;="&amp;'Cash actuals'!BA$8, Bank_postings[Sub-category (output)], 'Cash actuals'!$C48)</f>
        <v>0</v>
      </c>
      <c r="BB48" s="69">
        <f>SUMIFS(Bank_postings[Amount], Bank_postings[Date], "&gt;="&amp;'Cash actuals'!BB$7, Bank_postings[Date], "&lt;="&amp;'Cash actuals'!BB$8, Bank_postings[Sub-category (output)], 'Cash actuals'!$C48)</f>
        <v>0</v>
      </c>
      <c r="BC48" s="69">
        <f>SUMIFS(Bank_postings[Amount], Bank_postings[Date], "&gt;="&amp;'Cash actuals'!BC$7, Bank_postings[Date], "&lt;="&amp;'Cash actuals'!BC$8, Bank_postings[Sub-category (output)], 'Cash actuals'!$C48)</f>
        <v>0</v>
      </c>
      <c r="BD48" s="69">
        <f>SUMIFS(Bank_postings[Amount], Bank_postings[Date], "&gt;="&amp;'Cash actuals'!BD$7, Bank_postings[Date], "&lt;="&amp;'Cash actuals'!BD$8, Bank_postings[Sub-category (output)], 'Cash actuals'!$C48)</f>
        <v>0</v>
      </c>
      <c r="BE48" s="69">
        <f>SUMIFS(Bank_postings[Amount], Bank_postings[Date], "&gt;="&amp;'Cash actuals'!BE$7, Bank_postings[Date], "&lt;="&amp;'Cash actuals'!BE$8, Bank_postings[Sub-category (output)], 'Cash actuals'!$C48)</f>
        <v>0</v>
      </c>
    </row>
    <row r="49" spans="3:57" ht="5.0999999999999996" customHeight="1" x14ac:dyDescent="0.25"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</row>
    <row r="50" spans="3:57" x14ac:dyDescent="0.25">
      <c r="C50" s="1">
        <f>Assumptions!$D$33</f>
        <v>0</v>
      </c>
      <c r="F50" s="69">
        <f>SUMIFS(Bank_postings[Amount], Bank_postings[Date], "&gt;="&amp;'Cash actuals'!F$7, Bank_postings[Date], "&lt;="&amp;'Cash actuals'!F$8, Bank_postings[Sub-category (output)], 'Cash actuals'!$C50)</f>
        <v>0</v>
      </c>
      <c r="G50" s="69">
        <f>SUMIFS(Bank_postings[Amount], Bank_postings[Date], "&gt;="&amp;'Cash actuals'!G$7, Bank_postings[Date], "&lt;="&amp;'Cash actuals'!G$8, Bank_postings[Sub-category (output)], 'Cash actuals'!$C50)</f>
        <v>0</v>
      </c>
      <c r="H50" s="69">
        <f>SUMIFS(Bank_postings[Amount], Bank_postings[Date], "&gt;="&amp;'Cash actuals'!H$7, Bank_postings[Date], "&lt;="&amp;'Cash actuals'!H$8, Bank_postings[Sub-category (output)], 'Cash actuals'!$C50)</f>
        <v>0</v>
      </c>
      <c r="I50" s="69">
        <f>SUMIFS(Bank_postings[Amount], Bank_postings[Date], "&gt;="&amp;'Cash actuals'!I$7, Bank_postings[Date], "&lt;="&amp;'Cash actuals'!I$8, Bank_postings[Sub-category (output)], 'Cash actuals'!$C50)</f>
        <v>0</v>
      </c>
      <c r="J50" s="69">
        <f>SUMIFS(Bank_postings[Amount], Bank_postings[Date], "&gt;="&amp;'Cash actuals'!J$7, Bank_postings[Date], "&lt;="&amp;'Cash actuals'!J$8, Bank_postings[Sub-category (output)], 'Cash actuals'!$C50)</f>
        <v>0</v>
      </c>
      <c r="K50" s="69">
        <f>SUMIFS(Bank_postings[Amount], Bank_postings[Date], "&gt;="&amp;'Cash actuals'!K$7, Bank_postings[Date], "&lt;="&amp;'Cash actuals'!K$8, Bank_postings[Sub-category (output)], 'Cash actuals'!$C50)</f>
        <v>0</v>
      </c>
      <c r="L50" s="69">
        <f>SUMIFS(Bank_postings[Amount], Bank_postings[Date], "&gt;="&amp;'Cash actuals'!L$7, Bank_postings[Date], "&lt;="&amp;'Cash actuals'!L$8, Bank_postings[Sub-category (output)], 'Cash actuals'!$C50)</f>
        <v>0</v>
      </c>
      <c r="M50" s="69">
        <f>SUMIFS(Bank_postings[Amount], Bank_postings[Date], "&gt;="&amp;'Cash actuals'!M$7, Bank_postings[Date], "&lt;="&amp;'Cash actuals'!M$8, Bank_postings[Sub-category (output)], 'Cash actuals'!$C50)</f>
        <v>0</v>
      </c>
      <c r="N50" s="69">
        <f>SUMIFS(Bank_postings[Amount], Bank_postings[Date], "&gt;="&amp;'Cash actuals'!N$7, Bank_postings[Date], "&lt;="&amp;'Cash actuals'!N$8, Bank_postings[Sub-category (output)], 'Cash actuals'!$C50)</f>
        <v>0</v>
      </c>
      <c r="O50" s="69">
        <f>SUMIFS(Bank_postings[Amount], Bank_postings[Date], "&gt;="&amp;'Cash actuals'!O$7, Bank_postings[Date], "&lt;="&amp;'Cash actuals'!O$8, Bank_postings[Sub-category (output)], 'Cash actuals'!$C50)</f>
        <v>0</v>
      </c>
      <c r="P50" s="69">
        <f>SUMIFS(Bank_postings[Amount], Bank_postings[Date], "&gt;="&amp;'Cash actuals'!P$7, Bank_postings[Date], "&lt;="&amp;'Cash actuals'!P$8, Bank_postings[Sub-category (output)], 'Cash actuals'!$C50)</f>
        <v>0</v>
      </c>
      <c r="Q50" s="69">
        <f>SUMIFS(Bank_postings[Amount], Bank_postings[Date], "&gt;="&amp;'Cash actuals'!Q$7, Bank_postings[Date], "&lt;="&amp;'Cash actuals'!Q$8, Bank_postings[Sub-category (output)], 'Cash actuals'!$C50)</f>
        <v>0</v>
      </c>
      <c r="R50" s="69">
        <f>SUMIFS(Bank_postings[Amount], Bank_postings[Date], "&gt;="&amp;'Cash actuals'!R$7, Bank_postings[Date], "&lt;="&amp;'Cash actuals'!R$8, Bank_postings[Sub-category (output)], 'Cash actuals'!$C50)</f>
        <v>0</v>
      </c>
      <c r="S50" s="69">
        <f>SUMIFS(Bank_postings[Amount], Bank_postings[Date], "&gt;="&amp;'Cash actuals'!S$7, Bank_postings[Date], "&lt;="&amp;'Cash actuals'!S$8, Bank_postings[Sub-category (output)], 'Cash actuals'!$C50)</f>
        <v>0</v>
      </c>
      <c r="T50" s="69">
        <f>SUMIFS(Bank_postings[Amount], Bank_postings[Date], "&gt;="&amp;'Cash actuals'!T$7, Bank_postings[Date], "&lt;="&amp;'Cash actuals'!T$8, Bank_postings[Sub-category (output)], 'Cash actuals'!$C50)</f>
        <v>0</v>
      </c>
      <c r="U50" s="69">
        <f>SUMIFS(Bank_postings[Amount], Bank_postings[Date], "&gt;="&amp;'Cash actuals'!U$7, Bank_postings[Date], "&lt;="&amp;'Cash actuals'!U$8, Bank_postings[Sub-category (output)], 'Cash actuals'!$C50)</f>
        <v>0</v>
      </c>
      <c r="V50" s="69">
        <f>SUMIFS(Bank_postings[Amount], Bank_postings[Date], "&gt;="&amp;'Cash actuals'!V$7, Bank_postings[Date], "&lt;="&amp;'Cash actuals'!V$8, Bank_postings[Sub-category (output)], 'Cash actuals'!$C50)</f>
        <v>0</v>
      </c>
      <c r="W50" s="69">
        <f>SUMIFS(Bank_postings[Amount], Bank_postings[Date], "&gt;="&amp;'Cash actuals'!W$7, Bank_postings[Date], "&lt;="&amp;'Cash actuals'!W$8, Bank_postings[Sub-category (output)], 'Cash actuals'!$C50)</f>
        <v>0</v>
      </c>
      <c r="X50" s="69">
        <f>SUMIFS(Bank_postings[Amount], Bank_postings[Date], "&gt;="&amp;'Cash actuals'!X$7, Bank_postings[Date], "&lt;="&amp;'Cash actuals'!X$8, Bank_postings[Sub-category (output)], 'Cash actuals'!$C50)</f>
        <v>0</v>
      </c>
      <c r="Y50" s="69">
        <f>SUMIFS(Bank_postings[Amount], Bank_postings[Date], "&gt;="&amp;'Cash actuals'!Y$7, Bank_postings[Date], "&lt;="&amp;'Cash actuals'!Y$8, Bank_postings[Sub-category (output)], 'Cash actuals'!$C50)</f>
        <v>0</v>
      </c>
      <c r="Z50" s="69">
        <f>SUMIFS(Bank_postings[Amount], Bank_postings[Date], "&gt;="&amp;'Cash actuals'!Z$7, Bank_postings[Date], "&lt;="&amp;'Cash actuals'!Z$8, Bank_postings[Sub-category (output)], 'Cash actuals'!$C50)</f>
        <v>0</v>
      </c>
      <c r="AA50" s="69">
        <f>SUMIFS(Bank_postings[Amount], Bank_postings[Date], "&gt;="&amp;'Cash actuals'!AA$7, Bank_postings[Date], "&lt;="&amp;'Cash actuals'!AA$8, Bank_postings[Sub-category (output)], 'Cash actuals'!$C50)</f>
        <v>0</v>
      </c>
      <c r="AB50" s="69">
        <f>SUMIFS(Bank_postings[Amount], Bank_postings[Date], "&gt;="&amp;'Cash actuals'!AB$7, Bank_postings[Date], "&lt;="&amp;'Cash actuals'!AB$8, Bank_postings[Sub-category (output)], 'Cash actuals'!$C50)</f>
        <v>0</v>
      </c>
      <c r="AC50" s="69">
        <f>SUMIFS(Bank_postings[Amount], Bank_postings[Date], "&gt;="&amp;'Cash actuals'!AC$7, Bank_postings[Date], "&lt;="&amp;'Cash actuals'!AC$8, Bank_postings[Sub-category (output)], 'Cash actuals'!$C50)</f>
        <v>0</v>
      </c>
      <c r="AD50" s="69">
        <f>SUMIFS(Bank_postings[Amount], Bank_postings[Date], "&gt;="&amp;'Cash actuals'!AD$7, Bank_postings[Date], "&lt;="&amp;'Cash actuals'!AD$8, Bank_postings[Sub-category (output)], 'Cash actuals'!$C50)</f>
        <v>0</v>
      </c>
      <c r="AE50" s="69">
        <f>SUMIFS(Bank_postings[Amount], Bank_postings[Date], "&gt;="&amp;'Cash actuals'!AE$7, Bank_postings[Date], "&lt;="&amp;'Cash actuals'!AE$8, Bank_postings[Sub-category (output)], 'Cash actuals'!$C50)</f>
        <v>0</v>
      </c>
      <c r="AF50" s="69">
        <f>SUMIFS(Bank_postings[Amount], Bank_postings[Date], "&gt;="&amp;'Cash actuals'!AF$7, Bank_postings[Date], "&lt;="&amp;'Cash actuals'!AF$8, Bank_postings[Sub-category (output)], 'Cash actuals'!$C50)</f>
        <v>0</v>
      </c>
      <c r="AG50" s="69">
        <f>SUMIFS(Bank_postings[Amount], Bank_postings[Date], "&gt;="&amp;'Cash actuals'!AG$7, Bank_postings[Date], "&lt;="&amp;'Cash actuals'!AG$8, Bank_postings[Sub-category (output)], 'Cash actuals'!$C50)</f>
        <v>0</v>
      </c>
      <c r="AH50" s="69">
        <f>SUMIFS(Bank_postings[Amount], Bank_postings[Date], "&gt;="&amp;'Cash actuals'!AH$7, Bank_postings[Date], "&lt;="&amp;'Cash actuals'!AH$8, Bank_postings[Sub-category (output)], 'Cash actuals'!$C50)</f>
        <v>0</v>
      </c>
      <c r="AI50" s="69">
        <f>SUMIFS(Bank_postings[Amount], Bank_postings[Date], "&gt;="&amp;'Cash actuals'!AI$7, Bank_postings[Date], "&lt;="&amp;'Cash actuals'!AI$8, Bank_postings[Sub-category (output)], 'Cash actuals'!$C50)</f>
        <v>0</v>
      </c>
      <c r="AJ50" s="69">
        <f>SUMIFS(Bank_postings[Amount], Bank_postings[Date], "&gt;="&amp;'Cash actuals'!AJ$7, Bank_postings[Date], "&lt;="&amp;'Cash actuals'!AJ$8, Bank_postings[Sub-category (output)], 'Cash actuals'!$C50)</f>
        <v>0</v>
      </c>
      <c r="AK50" s="69">
        <f>SUMIFS(Bank_postings[Amount], Bank_postings[Date], "&gt;="&amp;'Cash actuals'!AK$7, Bank_postings[Date], "&lt;="&amp;'Cash actuals'!AK$8, Bank_postings[Sub-category (output)], 'Cash actuals'!$C50)</f>
        <v>0</v>
      </c>
      <c r="AL50" s="69">
        <f>SUMIFS(Bank_postings[Amount], Bank_postings[Date], "&gt;="&amp;'Cash actuals'!AL$7, Bank_postings[Date], "&lt;="&amp;'Cash actuals'!AL$8, Bank_postings[Sub-category (output)], 'Cash actuals'!$C50)</f>
        <v>0</v>
      </c>
      <c r="AM50" s="69">
        <f>SUMIFS(Bank_postings[Amount], Bank_postings[Date], "&gt;="&amp;'Cash actuals'!AM$7, Bank_postings[Date], "&lt;="&amp;'Cash actuals'!AM$8, Bank_postings[Sub-category (output)], 'Cash actuals'!$C50)</f>
        <v>0</v>
      </c>
      <c r="AN50" s="69">
        <f>SUMIFS(Bank_postings[Amount], Bank_postings[Date], "&gt;="&amp;'Cash actuals'!AN$7, Bank_postings[Date], "&lt;="&amp;'Cash actuals'!AN$8, Bank_postings[Sub-category (output)], 'Cash actuals'!$C50)</f>
        <v>0</v>
      </c>
      <c r="AO50" s="69">
        <f>SUMIFS(Bank_postings[Amount], Bank_postings[Date], "&gt;="&amp;'Cash actuals'!AO$7, Bank_postings[Date], "&lt;="&amp;'Cash actuals'!AO$8, Bank_postings[Sub-category (output)], 'Cash actuals'!$C50)</f>
        <v>0</v>
      </c>
      <c r="AP50" s="69">
        <f>SUMIFS(Bank_postings[Amount], Bank_postings[Date], "&gt;="&amp;'Cash actuals'!AP$7, Bank_postings[Date], "&lt;="&amp;'Cash actuals'!AP$8, Bank_postings[Sub-category (output)], 'Cash actuals'!$C50)</f>
        <v>0</v>
      </c>
      <c r="AQ50" s="69">
        <f>SUMIFS(Bank_postings[Amount], Bank_postings[Date], "&gt;="&amp;'Cash actuals'!AQ$7, Bank_postings[Date], "&lt;="&amp;'Cash actuals'!AQ$8, Bank_postings[Sub-category (output)], 'Cash actuals'!$C50)</f>
        <v>0</v>
      </c>
      <c r="AR50" s="69">
        <f>SUMIFS(Bank_postings[Amount], Bank_postings[Date], "&gt;="&amp;'Cash actuals'!AR$7, Bank_postings[Date], "&lt;="&amp;'Cash actuals'!AR$8, Bank_postings[Sub-category (output)], 'Cash actuals'!$C50)</f>
        <v>0</v>
      </c>
      <c r="AS50" s="69">
        <f>SUMIFS(Bank_postings[Amount], Bank_postings[Date], "&gt;="&amp;'Cash actuals'!AS$7, Bank_postings[Date], "&lt;="&amp;'Cash actuals'!AS$8, Bank_postings[Sub-category (output)], 'Cash actuals'!$C50)</f>
        <v>0</v>
      </c>
      <c r="AT50" s="69">
        <f>SUMIFS(Bank_postings[Amount], Bank_postings[Date], "&gt;="&amp;'Cash actuals'!AT$7, Bank_postings[Date], "&lt;="&amp;'Cash actuals'!AT$8, Bank_postings[Sub-category (output)], 'Cash actuals'!$C50)</f>
        <v>0</v>
      </c>
      <c r="AU50" s="69">
        <f>SUMIFS(Bank_postings[Amount], Bank_postings[Date], "&gt;="&amp;'Cash actuals'!AU$7, Bank_postings[Date], "&lt;="&amp;'Cash actuals'!AU$8, Bank_postings[Sub-category (output)], 'Cash actuals'!$C50)</f>
        <v>0</v>
      </c>
      <c r="AV50" s="69">
        <f>SUMIFS(Bank_postings[Amount], Bank_postings[Date], "&gt;="&amp;'Cash actuals'!AV$7, Bank_postings[Date], "&lt;="&amp;'Cash actuals'!AV$8, Bank_postings[Sub-category (output)], 'Cash actuals'!$C50)</f>
        <v>0</v>
      </c>
      <c r="AW50" s="69">
        <f>SUMIFS(Bank_postings[Amount], Bank_postings[Date], "&gt;="&amp;'Cash actuals'!AW$7, Bank_postings[Date], "&lt;="&amp;'Cash actuals'!AW$8, Bank_postings[Sub-category (output)], 'Cash actuals'!$C50)</f>
        <v>0</v>
      </c>
      <c r="AX50" s="69">
        <f>SUMIFS(Bank_postings[Amount], Bank_postings[Date], "&gt;="&amp;'Cash actuals'!AX$7, Bank_postings[Date], "&lt;="&amp;'Cash actuals'!AX$8, Bank_postings[Sub-category (output)], 'Cash actuals'!$C50)</f>
        <v>0</v>
      </c>
      <c r="AY50" s="69">
        <f>SUMIFS(Bank_postings[Amount], Bank_postings[Date], "&gt;="&amp;'Cash actuals'!AY$7, Bank_postings[Date], "&lt;="&amp;'Cash actuals'!AY$8, Bank_postings[Sub-category (output)], 'Cash actuals'!$C50)</f>
        <v>0</v>
      </c>
      <c r="AZ50" s="69">
        <f>SUMIFS(Bank_postings[Amount], Bank_postings[Date], "&gt;="&amp;'Cash actuals'!AZ$7, Bank_postings[Date], "&lt;="&amp;'Cash actuals'!AZ$8, Bank_postings[Sub-category (output)], 'Cash actuals'!$C50)</f>
        <v>0</v>
      </c>
      <c r="BA50" s="69">
        <f>SUMIFS(Bank_postings[Amount], Bank_postings[Date], "&gt;="&amp;'Cash actuals'!BA$7, Bank_postings[Date], "&lt;="&amp;'Cash actuals'!BA$8, Bank_postings[Sub-category (output)], 'Cash actuals'!$C50)</f>
        <v>0</v>
      </c>
      <c r="BB50" s="69">
        <f>SUMIFS(Bank_postings[Amount], Bank_postings[Date], "&gt;="&amp;'Cash actuals'!BB$7, Bank_postings[Date], "&lt;="&amp;'Cash actuals'!BB$8, Bank_postings[Sub-category (output)], 'Cash actuals'!$C50)</f>
        <v>0</v>
      </c>
      <c r="BC50" s="69">
        <f>SUMIFS(Bank_postings[Amount], Bank_postings[Date], "&gt;="&amp;'Cash actuals'!BC$7, Bank_postings[Date], "&lt;="&amp;'Cash actuals'!BC$8, Bank_postings[Sub-category (output)], 'Cash actuals'!$C50)</f>
        <v>0</v>
      </c>
      <c r="BD50" s="69">
        <f>SUMIFS(Bank_postings[Amount], Bank_postings[Date], "&gt;="&amp;'Cash actuals'!BD$7, Bank_postings[Date], "&lt;="&amp;'Cash actuals'!BD$8, Bank_postings[Sub-category (output)], 'Cash actuals'!$C50)</f>
        <v>0</v>
      </c>
      <c r="BE50" s="69">
        <f>SUMIFS(Bank_postings[Amount], Bank_postings[Date], "&gt;="&amp;'Cash actuals'!BE$7, Bank_postings[Date], "&lt;="&amp;'Cash actuals'!BE$8, Bank_postings[Sub-category (output)], 'Cash actuals'!$C50)</f>
        <v>0</v>
      </c>
    </row>
    <row r="51" spans="3:57" ht="5.0999999999999996" customHeight="1" x14ac:dyDescent="0.25"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</row>
    <row r="52" spans="3:57" x14ac:dyDescent="0.25">
      <c r="C52" s="1">
        <f>Assumptions!$D$34</f>
        <v>0</v>
      </c>
      <c r="F52" s="69">
        <f>SUMIFS(Bank_postings[Amount], Bank_postings[Date], "&gt;="&amp;'Cash actuals'!F$7, Bank_postings[Date], "&lt;="&amp;'Cash actuals'!F$8, Bank_postings[Sub-category (output)], 'Cash actuals'!$C52)</f>
        <v>0</v>
      </c>
      <c r="G52" s="69">
        <f>SUMIFS(Bank_postings[Amount], Bank_postings[Date], "&gt;="&amp;'Cash actuals'!G$7, Bank_postings[Date], "&lt;="&amp;'Cash actuals'!G$8, Bank_postings[Sub-category (output)], 'Cash actuals'!$C52)</f>
        <v>0</v>
      </c>
      <c r="H52" s="69">
        <f>SUMIFS(Bank_postings[Amount], Bank_postings[Date], "&gt;="&amp;'Cash actuals'!H$7, Bank_postings[Date], "&lt;="&amp;'Cash actuals'!H$8, Bank_postings[Sub-category (output)], 'Cash actuals'!$C52)</f>
        <v>0</v>
      </c>
      <c r="I52" s="69">
        <f>SUMIFS(Bank_postings[Amount], Bank_postings[Date], "&gt;="&amp;'Cash actuals'!I$7, Bank_postings[Date], "&lt;="&amp;'Cash actuals'!I$8, Bank_postings[Sub-category (output)], 'Cash actuals'!$C52)</f>
        <v>0</v>
      </c>
      <c r="J52" s="69">
        <f>SUMIFS(Bank_postings[Amount], Bank_postings[Date], "&gt;="&amp;'Cash actuals'!J$7, Bank_postings[Date], "&lt;="&amp;'Cash actuals'!J$8, Bank_postings[Sub-category (output)], 'Cash actuals'!$C52)</f>
        <v>0</v>
      </c>
      <c r="K52" s="69">
        <f>SUMIFS(Bank_postings[Amount], Bank_postings[Date], "&gt;="&amp;'Cash actuals'!K$7, Bank_postings[Date], "&lt;="&amp;'Cash actuals'!K$8, Bank_postings[Sub-category (output)], 'Cash actuals'!$C52)</f>
        <v>0</v>
      </c>
      <c r="L52" s="69">
        <f>SUMIFS(Bank_postings[Amount], Bank_postings[Date], "&gt;="&amp;'Cash actuals'!L$7, Bank_postings[Date], "&lt;="&amp;'Cash actuals'!L$8, Bank_postings[Sub-category (output)], 'Cash actuals'!$C52)</f>
        <v>0</v>
      </c>
      <c r="M52" s="69">
        <f>SUMIFS(Bank_postings[Amount], Bank_postings[Date], "&gt;="&amp;'Cash actuals'!M$7, Bank_postings[Date], "&lt;="&amp;'Cash actuals'!M$8, Bank_postings[Sub-category (output)], 'Cash actuals'!$C52)</f>
        <v>0</v>
      </c>
      <c r="N52" s="69">
        <f>SUMIFS(Bank_postings[Amount], Bank_postings[Date], "&gt;="&amp;'Cash actuals'!N$7, Bank_postings[Date], "&lt;="&amp;'Cash actuals'!N$8, Bank_postings[Sub-category (output)], 'Cash actuals'!$C52)</f>
        <v>0</v>
      </c>
      <c r="O52" s="69">
        <f>SUMIFS(Bank_postings[Amount], Bank_postings[Date], "&gt;="&amp;'Cash actuals'!O$7, Bank_postings[Date], "&lt;="&amp;'Cash actuals'!O$8, Bank_postings[Sub-category (output)], 'Cash actuals'!$C52)</f>
        <v>0</v>
      </c>
      <c r="P52" s="69">
        <f>SUMIFS(Bank_postings[Amount], Bank_postings[Date], "&gt;="&amp;'Cash actuals'!P$7, Bank_postings[Date], "&lt;="&amp;'Cash actuals'!P$8, Bank_postings[Sub-category (output)], 'Cash actuals'!$C52)</f>
        <v>0</v>
      </c>
      <c r="Q52" s="69">
        <f>SUMIFS(Bank_postings[Amount], Bank_postings[Date], "&gt;="&amp;'Cash actuals'!Q$7, Bank_postings[Date], "&lt;="&amp;'Cash actuals'!Q$8, Bank_postings[Sub-category (output)], 'Cash actuals'!$C52)</f>
        <v>0</v>
      </c>
      <c r="R52" s="69">
        <f>SUMIFS(Bank_postings[Amount], Bank_postings[Date], "&gt;="&amp;'Cash actuals'!R$7, Bank_postings[Date], "&lt;="&amp;'Cash actuals'!R$8, Bank_postings[Sub-category (output)], 'Cash actuals'!$C52)</f>
        <v>0</v>
      </c>
      <c r="S52" s="69">
        <f>SUMIFS(Bank_postings[Amount], Bank_postings[Date], "&gt;="&amp;'Cash actuals'!S$7, Bank_postings[Date], "&lt;="&amp;'Cash actuals'!S$8, Bank_postings[Sub-category (output)], 'Cash actuals'!$C52)</f>
        <v>0</v>
      </c>
      <c r="T52" s="69">
        <f>SUMIFS(Bank_postings[Amount], Bank_postings[Date], "&gt;="&amp;'Cash actuals'!T$7, Bank_postings[Date], "&lt;="&amp;'Cash actuals'!T$8, Bank_postings[Sub-category (output)], 'Cash actuals'!$C52)</f>
        <v>0</v>
      </c>
      <c r="U52" s="69">
        <f>SUMIFS(Bank_postings[Amount], Bank_postings[Date], "&gt;="&amp;'Cash actuals'!U$7, Bank_postings[Date], "&lt;="&amp;'Cash actuals'!U$8, Bank_postings[Sub-category (output)], 'Cash actuals'!$C52)</f>
        <v>0</v>
      </c>
      <c r="V52" s="69">
        <f>SUMIFS(Bank_postings[Amount], Bank_postings[Date], "&gt;="&amp;'Cash actuals'!V$7, Bank_postings[Date], "&lt;="&amp;'Cash actuals'!V$8, Bank_postings[Sub-category (output)], 'Cash actuals'!$C52)</f>
        <v>0</v>
      </c>
      <c r="W52" s="69">
        <f>SUMIFS(Bank_postings[Amount], Bank_postings[Date], "&gt;="&amp;'Cash actuals'!W$7, Bank_postings[Date], "&lt;="&amp;'Cash actuals'!W$8, Bank_postings[Sub-category (output)], 'Cash actuals'!$C52)</f>
        <v>0</v>
      </c>
      <c r="X52" s="69">
        <f>SUMIFS(Bank_postings[Amount], Bank_postings[Date], "&gt;="&amp;'Cash actuals'!X$7, Bank_postings[Date], "&lt;="&amp;'Cash actuals'!X$8, Bank_postings[Sub-category (output)], 'Cash actuals'!$C52)</f>
        <v>0</v>
      </c>
      <c r="Y52" s="69">
        <f>SUMIFS(Bank_postings[Amount], Bank_postings[Date], "&gt;="&amp;'Cash actuals'!Y$7, Bank_postings[Date], "&lt;="&amp;'Cash actuals'!Y$8, Bank_postings[Sub-category (output)], 'Cash actuals'!$C52)</f>
        <v>0</v>
      </c>
      <c r="Z52" s="69">
        <f>SUMIFS(Bank_postings[Amount], Bank_postings[Date], "&gt;="&amp;'Cash actuals'!Z$7, Bank_postings[Date], "&lt;="&amp;'Cash actuals'!Z$8, Bank_postings[Sub-category (output)], 'Cash actuals'!$C52)</f>
        <v>0</v>
      </c>
      <c r="AA52" s="69">
        <f>SUMIFS(Bank_postings[Amount], Bank_postings[Date], "&gt;="&amp;'Cash actuals'!AA$7, Bank_postings[Date], "&lt;="&amp;'Cash actuals'!AA$8, Bank_postings[Sub-category (output)], 'Cash actuals'!$C52)</f>
        <v>0</v>
      </c>
      <c r="AB52" s="69">
        <f>SUMIFS(Bank_postings[Amount], Bank_postings[Date], "&gt;="&amp;'Cash actuals'!AB$7, Bank_postings[Date], "&lt;="&amp;'Cash actuals'!AB$8, Bank_postings[Sub-category (output)], 'Cash actuals'!$C52)</f>
        <v>0</v>
      </c>
      <c r="AC52" s="69">
        <f>SUMIFS(Bank_postings[Amount], Bank_postings[Date], "&gt;="&amp;'Cash actuals'!AC$7, Bank_postings[Date], "&lt;="&amp;'Cash actuals'!AC$8, Bank_postings[Sub-category (output)], 'Cash actuals'!$C52)</f>
        <v>0</v>
      </c>
      <c r="AD52" s="69">
        <f>SUMIFS(Bank_postings[Amount], Bank_postings[Date], "&gt;="&amp;'Cash actuals'!AD$7, Bank_postings[Date], "&lt;="&amp;'Cash actuals'!AD$8, Bank_postings[Sub-category (output)], 'Cash actuals'!$C52)</f>
        <v>0</v>
      </c>
      <c r="AE52" s="69">
        <f>SUMIFS(Bank_postings[Amount], Bank_postings[Date], "&gt;="&amp;'Cash actuals'!AE$7, Bank_postings[Date], "&lt;="&amp;'Cash actuals'!AE$8, Bank_postings[Sub-category (output)], 'Cash actuals'!$C52)</f>
        <v>0</v>
      </c>
      <c r="AF52" s="69">
        <f>SUMIFS(Bank_postings[Amount], Bank_postings[Date], "&gt;="&amp;'Cash actuals'!AF$7, Bank_postings[Date], "&lt;="&amp;'Cash actuals'!AF$8, Bank_postings[Sub-category (output)], 'Cash actuals'!$C52)</f>
        <v>0</v>
      </c>
      <c r="AG52" s="69">
        <f>SUMIFS(Bank_postings[Amount], Bank_postings[Date], "&gt;="&amp;'Cash actuals'!AG$7, Bank_postings[Date], "&lt;="&amp;'Cash actuals'!AG$8, Bank_postings[Sub-category (output)], 'Cash actuals'!$C52)</f>
        <v>0</v>
      </c>
      <c r="AH52" s="69">
        <f>SUMIFS(Bank_postings[Amount], Bank_postings[Date], "&gt;="&amp;'Cash actuals'!AH$7, Bank_postings[Date], "&lt;="&amp;'Cash actuals'!AH$8, Bank_postings[Sub-category (output)], 'Cash actuals'!$C52)</f>
        <v>0</v>
      </c>
      <c r="AI52" s="69">
        <f>SUMIFS(Bank_postings[Amount], Bank_postings[Date], "&gt;="&amp;'Cash actuals'!AI$7, Bank_postings[Date], "&lt;="&amp;'Cash actuals'!AI$8, Bank_postings[Sub-category (output)], 'Cash actuals'!$C52)</f>
        <v>0</v>
      </c>
      <c r="AJ52" s="69">
        <f>SUMIFS(Bank_postings[Amount], Bank_postings[Date], "&gt;="&amp;'Cash actuals'!AJ$7, Bank_postings[Date], "&lt;="&amp;'Cash actuals'!AJ$8, Bank_postings[Sub-category (output)], 'Cash actuals'!$C52)</f>
        <v>0</v>
      </c>
      <c r="AK52" s="69">
        <f>SUMIFS(Bank_postings[Amount], Bank_postings[Date], "&gt;="&amp;'Cash actuals'!AK$7, Bank_postings[Date], "&lt;="&amp;'Cash actuals'!AK$8, Bank_postings[Sub-category (output)], 'Cash actuals'!$C52)</f>
        <v>0</v>
      </c>
      <c r="AL52" s="69">
        <f>SUMIFS(Bank_postings[Amount], Bank_postings[Date], "&gt;="&amp;'Cash actuals'!AL$7, Bank_postings[Date], "&lt;="&amp;'Cash actuals'!AL$8, Bank_postings[Sub-category (output)], 'Cash actuals'!$C52)</f>
        <v>0</v>
      </c>
      <c r="AM52" s="69">
        <f>SUMIFS(Bank_postings[Amount], Bank_postings[Date], "&gt;="&amp;'Cash actuals'!AM$7, Bank_postings[Date], "&lt;="&amp;'Cash actuals'!AM$8, Bank_postings[Sub-category (output)], 'Cash actuals'!$C52)</f>
        <v>0</v>
      </c>
      <c r="AN52" s="69">
        <f>SUMIFS(Bank_postings[Amount], Bank_postings[Date], "&gt;="&amp;'Cash actuals'!AN$7, Bank_postings[Date], "&lt;="&amp;'Cash actuals'!AN$8, Bank_postings[Sub-category (output)], 'Cash actuals'!$C52)</f>
        <v>0</v>
      </c>
      <c r="AO52" s="69">
        <f>SUMIFS(Bank_postings[Amount], Bank_postings[Date], "&gt;="&amp;'Cash actuals'!AO$7, Bank_postings[Date], "&lt;="&amp;'Cash actuals'!AO$8, Bank_postings[Sub-category (output)], 'Cash actuals'!$C52)</f>
        <v>0</v>
      </c>
      <c r="AP52" s="69">
        <f>SUMIFS(Bank_postings[Amount], Bank_postings[Date], "&gt;="&amp;'Cash actuals'!AP$7, Bank_postings[Date], "&lt;="&amp;'Cash actuals'!AP$8, Bank_postings[Sub-category (output)], 'Cash actuals'!$C52)</f>
        <v>0</v>
      </c>
      <c r="AQ52" s="69">
        <f>SUMIFS(Bank_postings[Amount], Bank_postings[Date], "&gt;="&amp;'Cash actuals'!AQ$7, Bank_postings[Date], "&lt;="&amp;'Cash actuals'!AQ$8, Bank_postings[Sub-category (output)], 'Cash actuals'!$C52)</f>
        <v>0</v>
      </c>
      <c r="AR52" s="69">
        <f>SUMIFS(Bank_postings[Amount], Bank_postings[Date], "&gt;="&amp;'Cash actuals'!AR$7, Bank_postings[Date], "&lt;="&amp;'Cash actuals'!AR$8, Bank_postings[Sub-category (output)], 'Cash actuals'!$C52)</f>
        <v>0</v>
      </c>
      <c r="AS52" s="69">
        <f>SUMIFS(Bank_postings[Amount], Bank_postings[Date], "&gt;="&amp;'Cash actuals'!AS$7, Bank_postings[Date], "&lt;="&amp;'Cash actuals'!AS$8, Bank_postings[Sub-category (output)], 'Cash actuals'!$C52)</f>
        <v>0</v>
      </c>
      <c r="AT52" s="69">
        <f>SUMIFS(Bank_postings[Amount], Bank_postings[Date], "&gt;="&amp;'Cash actuals'!AT$7, Bank_postings[Date], "&lt;="&amp;'Cash actuals'!AT$8, Bank_postings[Sub-category (output)], 'Cash actuals'!$C52)</f>
        <v>0</v>
      </c>
      <c r="AU52" s="69">
        <f>SUMIFS(Bank_postings[Amount], Bank_postings[Date], "&gt;="&amp;'Cash actuals'!AU$7, Bank_postings[Date], "&lt;="&amp;'Cash actuals'!AU$8, Bank_postings[Sub-category (output)], 'Cash actuals'!$C52)</f>
        <v>0</v>
      </c>
      <c r="AV52" s="69">
        <f>SUMIFS(Bank_postings[Amount], Bank_postings[Date], "&gt;="&amp;'Cash actuals'!AV$7, Bank_postings[Date], "&lt;="&amp;'Cash actuals'!AV$8, Bank_postings[Sub-category (output)], 'Cash actuals'!$C52)</f>
        <v>0</v>
      </c>
      <c r="AW52" s="69">
        <f>SUMIFS(Bank_postings[Amount], Bank_postings[Date], "&gt;="&amp;'Cash actuals'!AW$7, Bank_postings[Date], "&lt;="&amp;'Cash actuals'!AW$8, Bank_postings[Sub-category (output)], 'Cash actuals'!$C52)</f>
        <v>0</v>
      </c>
      <c r="AX52" s="69">
        <f>SUMIFS(Bank_postings[Amount], Bank_postings[Date], "&gt;="&amp;'Cash actuals'!AX$7, Bank_postings[Date], "&lt;="&amp;'Cash actuals'!AX$8, Bank_postings[Sub-category (output)], 'Cash actuals'!$C52)</f>
        <v>0</v>
      </c>
      <c r="AY52" s="69">
        <f>SUMIFS(Bank_postings[Amount], Bank_postings[Date], "&gt;="&amp;'Cash actuals'!AY$7, Bank_postings[Date], "&lt;="&amp;'Cash actuals'!AY$8, Bank_postings[Sub-category (output)], 'Cash actuals'!$C52)</f>
        <v>0</v>
      </c>
      <c r="AZ52" s="69">
        <f>SUMIFS(Bank_postings[Amount], Bank_postings[Date], "&gt;="&amp;'Cash actuals'!AZ$7, Bank_postings[Date], "&lt;="&amp;'Cash actuals'!AZ$8, Bank_postings[Sub-category (output)], 'Cash actuals'!$C52)</f>
        <v>0</v>
      </c>
      <c r="BA52" s="69">
        <f>SUMIFS(Bank_postings[Amount], Bank_postings[Date], "&gt;="&amp;'Cash actuals'!BA$7, Bank_postings[Date], "&lt;="&amp;'Cash actuals'!BA$8, Bank_postings[Sub-category (output)], 'Cash actuals'!$C52)</f>
        <v>0</v>
      </c>
      <c r="BB52" s="69">
        <f>SUMIFS(Bank_postings[Amount], Bank_postings[Date], "&gt;="&amp;'Cash actuals'!BB$7, Bank_postings[Date], "&lt;="&amp;'Cash actuals'!BB$8, Bank_postings[Sub-category (output)], 'Cash actuals'!$C52)</f>
        <v>0</v>
      </c>
      <c r="BC52" s="69">
        <f>SUMIFS(Bank_postings[Amount], Bank_postings[Date], "&gt;="&amp;'Cash actuals'!BC$7, Bank_postings[Date], "&lt;="&amp;'Cash actuals'!BC$8, Bank_postings[Sub-category (output)], 'Cash actuals'!$C52)</f>
        <v>0</v>
      </c>
      <c r="BD52" s="69">
        <f>SUMIFS(Bank_postings[Amount], Bank_postings[Date], "&gt;="&amp;'Cash actuals'!BD$7, Bank_postings[Date], "&lt;="&amp;'Cash actuals'!BD$8, Bank_postings[Sub-category (output)], 'Cash actuals'!$C52)</f>
        <v>0</v>
      </c>
      <c r="BE52" s="69">
        <f>SUMIFS(Bank_postings[Amount], Bank_postings[Date], "&gt;="&amp;'Cash actuals'!BE$7, Bank_postings[Date], "&lt;="&amp;'Cash actuals'!BE$8, Bank_postings[Sub-category (output)], 'Cash actuals'!$C52)</f>
        <v>0</v>
      </c>
    </row>
    <row r="53" spans="3:57" ht="5.0999999999999996" customHeight="1" x14ac:dyDescent="0.25"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</row>
    <row r="54" spans="3:57" x14ac:dyDescent="0.25">
      <c r="C54" s="1">
        <f>Assumptions!$D$35</f>
        <v>0</v>
      </c>
      <c r="F54" s="69">
        <f>SUMIFS(Bank_postings[Amount], Bank_postings[Date], "&gt;="&amp;'Cash actuals'!F$7, Bank_postings[Date], "&lt;="&amp;'Cash actuals'!F$8, Bank_postings[Sub-category (output)], 'Cash actuals'!$C54)</f>
        <v>0</v>
      </c>
      <c r="G54" s="69">
        <f>SUMIFS(Bank_postings[Amount], Bank_postings[Date], "&gt;="&amp;'Cash actuals'!G$7, Bank_postings[Date], "&lt;="&amp;'Cash actuals'!G$8, Bank_postings[Sub-category (output)], 'Cash actuals'!$C54)</f>
        <v>0</v>
      </c>
      <c r="H54" s="69">
        <f>SUMIFS(Bank_postings[Amount], Bank_postings[Date], "&gt;="&amp;'Cash actuals'!H$7, Bank_postings[Date], "&lt;="&amp;'Cash actuals'!H$8, Bank_postings[Sub-category (output)], 'Cash actuals'!$C54)</f>
        <v>0</v>
      </c>
      <c r="I54" s="69">
        <f>SUMIFS(Bank_postings[Amount], Bank_postings[Date], "&gt;="&amp;'Cash actuals'!I$7, Bank_postings[Date], "&lt;="&amp;'Cash actuals'!I$8, Bank_postings[Sub-category (output)], 'Cash actuals'!$C54)</f>
        <v>0</v>
      </c>
      <c r="J54" s="69">
        <f>SUMIFS(Bank_postings[Amount], Bank_postings[Date], "&gt;="&amp;'Cash actuals'!J$7, Bank_postings[Date], "&lt;="&amp;'Cash actuals'!J$8, Bank_postings[Sub-category (output)], 'Cash actuals'!$C54)</f>
        <v>0</v>
      </c>
      <c r="K54" s="69">
        <f>SUMIFS(Bank_postings[Amount], Bank_postings[Date], "&gt;="&amp;'Cash actuals'!K$7, Bank_postings[Date], "&lt;="&amp;'Cash actuals'!K$8, Bank_postings[Sub-category (output)], 'Cash actuals'!$C54)</f>
        <v>0</v>
      </c>
      <c r="L54" s="69">
        <f>SUMIFS(Bank_postings[Amount], Bank_postings[Date], "&gt;="&amp;'Cash actuals'!L$7, Bank_postings[Date], "&lt;="&amp;'Cash actuals'!L$8, Bank_postings[Sub-category (output)], 'Cash actuals'!$C54)</f>
        <v>0</v>
      </c>
      <c r="M54" s="69">
        <f>SUMIFS(Bank_postings[Amount], Bank_postings[Date], "&gt;="&amp;'Cash actuals'!M$7, Bank_postings[Date], "&lt;="&amp;'Cash actuals'!M$8, Bank_postings[Sub-category (output)], 'Cash actuals'!$C54)</f>
        <v>0</v>
      </c>
      <c r="N54" s="69">
        <f>SUMIFS(Bank_postings[Amount], Bank_postings[Date], "&gt;="&amp;'Cash actuals'!N$7, Bank_postings[Date], "&lt;="&amp;'Cash actuals'!N$8, Bank_postings[Sub-category (output)], 'Cash actuals'!$C54)</f>
        <v>0</v>
      </c>
      <c r="O54" s="69">
        <f>SUMIFS(Bank_postings[Amount], Bank_postings[Date], "&gt;="&amp;'Cash actuals'!O$7, Bank_postings[Date], "&lt;="&amp;'Cash actuals'!O$8, Bank_postings[Sub-category (output)], 'Cash actuals'!$C54)</f>
        <v>0</v>
      </c>
      <c r="P54" s="69">
        <f>SUMIFS(Bank_postings[Amount], Bank_postings[Date], "&gt;="&amp;'Cash actuals'!P$7, Bank_postings[Date], "&lt;="&amp;'Cash actuals'!P$8, Bank_postings[Sub-category (output)], 'Cash actuals'!$C54)</f>
        <v>0</v>
      </c>
      <c r="Q54" s="69">
        <f>SUMIFS(Bank_postings[Amount], Bank_postings[Date], "&gt;="&amp;'Cash actuals'!Q$7, Bank_postings[Date], "&lt;="&amp;'Cash actuals'!Q$8, Bank_postings[Sub-category (output)], 'Cash actuals'!$C54)</f>
        <v>0</v>
      </c>
      <c r="R54" s="69">
        <f>SUMIFS(Bank_postings[Amount], Bank_postings[Date], "&gt;="&amp;'Cash actuals'!R$7, Bank_postings[Date], "&lt;="&amp;'Cash actuals'!R$8, Bank_postings[Sub-category (output)], 'Cash actuals'!$C54)</f>
        <v>0</v>
      </c>
      <c r="S54" s="69">
        <f>SUMIFS(Bank_postings[Amount], Bank_postings[Date], "&gt;="&amp;'Cash actuals'!S$7, Bank_postings[Date], "&lt;="&amp;'Cash actuals'!S$8, Bank_postings[Sub-category (output)], 'Cash actuals'!$C54)</f>
        <v>0</v>
      </c>
      <c r="T54" s="69">
        <f>SUMIFS(Bank_postings[Amount], Bank_postings[Date], "&gt;="&amp;'Cash actuals'!T$7, Bank_postings[Date], "&lt;="&amp;'Cash actuals'!T$8, Bank_postings[Sub-category (output)], 'Cash actuals'!$C54)</f>
        <v>0</v>
      </c>
      <c r="U54" s="69">
        <f>SUMIFS(Bank_postings[Amount], Bank_postings[Date], "&gt;="&amp;'Cash actuals'!U$7, Bank_postings[Date], "&lt;="&amp;'Cash actuals'!U$8, Bank_postings[Sub-category (output)], 'Cash actuals'!$C54)</f>
        <v>0</v>
      </c>
      <c r="V54" s="69">
        <f>SUMIFS(Bank_postings[Amount], Bank_postings[Date], "&gt;="&amp;'Cash actuals'!V$7, Bank_postings[Date], "&lt;="&amp;'Cash actuals'!V$8, Bank_postings[Sub-category (output)], 'Cash actuals'!$C54)</f>
        <v>0</v>
      </c>
      <c r="W54" s="69">
        <f>SUMIFS(Bank_postings[Amount], Bank_postings[Date], "&gt;="&amp;'Cash actuals'!W$7, Bank_postings[Date], "&lt;="&amp;'Cash actuals'!W$8, Bank_postings[Sub-category (output)], 'Cash actuals'!$C54)</f>
        <v>0</v>
      </c>
      <c r="X54" s="69">
        <f>SUMIFS(Bank_postings[Amount], Bank_postings[Date], "&gt;="&amp;'Cash actuals'!X$7, Bank_postings[Date], "&lt;="&amp;'Cash actuals'!X$8, Bank_postings[Sub-category (output)], 'Cash actuals'!$C54)</f>
        <v>0</v>
      </c>
      <c r="Y54" s="69">
        <f>SUMIFS(Bank_postings[Amount], Bank_postings[Date], "&gt;="&amp;'Cash actuals'!Y$7, Bank_postings[Date], "&lt;="&amp;'Cash actuals'!Y$8, Bank_postings[Sub-category (output)], 'Cash actuals'!$C54)</f>
        <v>0</v>
      </c>
      <c r="Z54" s="69">
        <f>SUMIFS(Bank_postings[Amount], Bank_postings[Date], "&gt;="&amp;'Cash actuals'!Z$7, Bank_postings[Date], "&lt;="&amp;'Cash actuals'!Z$8, Bank_postings[Sub-category (output)], 'Cash actuals'!$C54)</f>
        <v>0</v>
      </c>
      <c r="AA54" s="69">
        <f>SUMIFS(Bank_postings[Amount], Bank_postings[Date], "&gt;="&amp;'Cash actuals'!AA$7, Bank_postings[Date], "&lt;="&amp;'Cash actuals'!AA$8, Bank_postings[Sub-category (output)], 'Cash actuals'!$C54)</f>
        <v>0</v>
      </c>
      <c r="AB54" s="69">
        <f>SUMIFS(Bank_postings[Amount], Bank_postings[Date], "&gt;="&amp;'Cash actuals'!AB$7, Bank_postings[Date], "&lt;="&amp;'Cash actuals'!AB$8, Bank_postings[Sub-category (output)], 'Cash actuals'!$C54)</f>
        <v>0</v>
      </c>
      <c r="AC54" s="69">
        <f>SUMIFS(Bank_postings[Amount], Bank_postings[Date], "&gt;="&amp;'Cash actuals'!AC$7, Bank_postings[Date], "&lt;="&amp;'Cash actuals'!AC$8, Bank_postings[Sub-category (output)], 'Cash actuals'!$C54)</f>
        <v>0</v>
      </c>
      <c r="AD54" s="69">
        <f>SUMIFS(Bank_postings[Amount], Bank_postings[Date], "&gt;="&amp;'Cash actuals'!AD$7, Bank_postings[Date], "&lt;="&amp;'Cash actuals'!AD$8, Bank_postings[Sub-category (output)], 'Cash actuals'!$C54)</f>
        <v>0</v>
      </c>
      <c r="AE54" s="69">
        <f>SUMIFS(Bank_postings[Amount], Bank_postings[Date], "&gt;="&amp;'Cash actuals'!AE$7, Bank_postings[Date], "&lt;="&amp;'Cash actuals'!AE$8, Bank_postings[Sub-category (output)], 'Cash actuals'!$C54)</f>
        <v>0</v>
      </c>
      <c r="AF54" s="69">
        <f>SUMIFS(Bank_postings[Amount], Bank_postings[Date], "&gt;="&amp;'Cash actuals'!AF$7, Bank_postings[Date], "&lt;="&amp;'Cash actuals'!AF$8, Bank_postings[Sub-category (output)], 'Cash actuals'!$C54)</f>
        <v>0</v>
      </c>
      <c r="AG54" s="69">
        <f>SUMIFS(Bank_postings[Amount], Bank_postings[Date], "&gt;="&amp;'Cash actuals'!AG$7, Bank_postings[Date], "&lt;="&amp;'Cash actuals'!AG$8, Bank_postings[Sub-category (output)], 'Cash actuals'!$C54)</f>
        <v>0</v>
      </c>
      <c r="AH54" s="69">
        <f>SUMIFS(Bank_postings[Amount], Bank_postings[Date], "&gt;="&amp;'Cash actuals'!AH$7, Bank_postings[Date], "&lt;="&amp;'Cash actuals'!AH$8, Bank_postings[Sub-category (output)], 'Cash actuals'!$C54)</f>
        <v>0</v>
      </c>
      <c r="AI54" s="69">
        <f>SUMIFS(Bank_postings[Amount], Bank_postings[Date], "&gt;="&amp;'Cash actuals'!AI$7, Bank_postings[Date], "&lt;="&amp;'Cash actuals'!AI$8, Bank_postings[Sub-category (output)], 'Cash actuals'!$C54)</f>
        <v>0</v>
      </c>
      <c r="AJ54" s="69">
        <f>SUMIFS(Bank_postings[Amount], Bank_postings[Date], "&gt;="&amp;'Cash actuals'!AJ$7, Bank_postings[Date], "&lt;="&amp;'Cash actuals'!AJ$8, Bank_postings[Sub-category (output)], 'Cash actuals'!$C54)</f>
        <v>0</v>
      </c>
      <c r="AK54" s="69">
        <f>SUMIFS(Bank_postings[Amount], Bank_postings[Date], "&gt;="&amp;'Cash actuals'!AK$7, Bank_postings[Date], "&lt;="&amp;'Cash actuals'!AK$8, Bank_postings[Sub-category (output)], 'Cash actuals'!$C54)</f>
        <v>0</v>
      </c>
      <c r="AL54" s="69">
        <f>SUMIFS(Bank_postings[Amount], Bank_postings[Date], "&gt;="&amp;'Cash actuals'!AL$7, Bank_postings[Date], "&lt;="&amp;'Cash actuals'!AL$8, Bank_postings[Sub-category (output)], 'Cash actuals'!$C54)</f>
        <v>0</v>
      </c>
      <c r="AM54" s="69">
        <f>SUMIFS(Bank_postings[Amount], Bank_postings[Date], "&gt;="&amp;'Cash actuals'!AM$7, Bank_postings[Date], "&lt;="&amp;'Cash actuals'!AM$8, Bank_postings[Sub-category (output)], 'Cash actuals'!$C54)</f>
        <v>0</v>
      </c>
      <c r="AN54" s="69">
        <f>SUMIFS(Bank_postings[Amount], Bank_postings[Date], "&gt;="&amp;'Cash actuals'!AN$7, Bank_postings[Date], "&lt;="&amp;'Cash actuals'!AN$8, Bank_postings[Sub-category (output)], 'Cash actuals'!$C54)</f>
        <v>0</v>
      </c>
      <c r="AO54" s="69">
        <f>SUMIFS(Bank_postings[Amount], Bank_postings[Date], "&gt;="&amp;'Cash actuals'!AO$7, Bank_postings[Date], "&lt;="&amp;'Cash actuals'!AO$8, Bank_postings[Sub-category (output)], 'Cash actuals'!$C54)</f>
        <v>0</v>
      </c>
      <c r="AP54" s="69">
        <f>SUMIFS(Bank_postings[Amount], Bank_postings[Date], "&gt;="&amp;'Cash actuals'!AP$7, Bank_postings[Date], "&lt;="&amp;'Cash actuals'!AP$8, Bank_postings[Sub-category (output)], 'Cash actuals'!$C54)</f>
        <v>0</v>
      </c>
      <c r="AQ54" s="69">
        <f>SUMIFS(Bank_postings[Amount], Bank_postings[Date], "&gt;="&amp;'Cash actuals'!AQ$7, Bank_postings[Date], "&lt;="&amp;'Cash actuals'!AQ$8, Bank_postings[Sub-category (output)], 'Cash actuals'!$C54)</f>
        <v>0</v>
      </c>
      <c r="AR54" s="69">
        <f>SUMIFS(Bank_postings[Amount], Bank_postings[Date], "&gt;="&amp;'Cash actuals'!AR$7, Bank_postings[Date], "&lt;="&amp;'Cash actuals'!AR$8, Bank_postings[Sub-category (output)], 'Cash actuals'!$C54)</f>
        <v>0</v>
      </c>
      <c r="AS54" s="69">
        <f>SUMIFS(Bank_postings[Amount], Bank_postings[Date], "&gt;="&amp;'Cash actuals'!AS$7, Bank_postings[Date], "&lt;="&amp;'Cash actuals'!AS$8, Bank_postings[Sub-category (output)], 'Cash actuals'!$C54)</f>
        <v>0</v>
      </c>
      <c r="AT54" s="69">
        <f>SUMIFS(Bank_postings[Amount], Bank_postings[Date], "&gt;="&amp;'Cash actuals'!AT$7, Bank_postings[Date], "&lt;="&amp;'Cash actuals'!AT$8, Bank_postings[Sub-category (output)], 'Cash actuals'!$C54)</f>
        <v>0</v>
      </c>
      <c r="AU54" s="69">
        <f>SUMIFS(Bank_postings[Amount], Bank_postings[Date], "&gt;="&amp;'Cash actuals'!AU$7, Bank_postings[Date], "&lt;="&amp;'Cash actuals'!AU$8, Bank_postings[Sub-category (output)], 'Cash actuals'!$C54)</f>
        <v>0</v>
      </c>
      <c r="AV54" s="69">
        <f>SUMIFS(Bank_postings[Amount], Bank_postings[Date], "&gt;="&amp;'Cash actuals'!AV$7, Bank_postings[Date], "&lt;="&amp;'Cash actuals'!AV$8, Bank_postings[Sub-category (output)], 'Cash actuals'!$C54)</f>
        <v>0</v>
      </c>
      <c r="AW54" s="69">
        <f>SUMIFS(Bank_postings[Amount], Bank_postings[Date], "&gt;="&amp;'Cash actuals'!AW$7, Bank_postings[Date], "&lt;="&amp;'Cash actuals'!AW$8, Bank_postings[Sub-category (output)], 'Cash actuals'!$C54)</f>
        <v>0</v>
      </c>
      <c r="AX54" s="69">
        <f>SUMIFS(Bank_postings[Amount], Bank_postings[Date], "&gt;="&amp;'Cash actuals'!AX$7, Bank_postings[Date], "&lt;="&amp;'Cash actuals'!AX$8, Bank_postings[Sub-category (output)], 'Cash actuals'!$C54)</f>
        <v>0</v>
      </c>
      <c r="AY54" s="69">
        <f>SUMIFS(Bank_postings[Amount], Bank_postings[Date], "&gt;="&amp;'Cash actuals'!AY$7, Bank_postings[Date], "&lt;="&amp;'Cash actuals'!AY$8, Bank_postings[Sub-category (output)], 'Cash actuals'!$C54)</f>
        <v>0</v>
      </c>
      <c r="AZ54" s="69">
        <f>SUMIFS(Bank_postings[Amount], Bank_postings[Date], "&gt;="&amp;'Cash actuals'!AZ$7, Bank_postings[Date], "&lt;="&amp;'Cash actuals'!AZ$8, Bank_postings[Sub-category (output)], 'Cash actuals'!$C54)</f>
        <v>0</v>
      </c>
      <c r="BA54" s="69">
        <f>SUMIFS(Bank_postings[Amount], Bank_postings[Date], "&gt;="&amp;'Cash actuals'!BA$7, Bank_postings[Date], "&lt;="&amp;'Cash actuals'!BA$8, Bank_postings[Sub-category (output)], 'Cash actuals'!$C54)</f>
        <v>0</v>
      </c>
      <c r="BB54" s="69">
        <f>SUMIFS(Bank_postings[Amount], Bank_postings[Date], "&gt;="&amp;'Cash actuals'!BB$7, Bank_postings[Date], "&lt;="&amp;'Cash actuals'!BB$8, Bank_postings[Sub-category (output)], 'Cash actuals'!$C54)</f>
        <v>0</v>
      </c>
      <c r="BC54" s="69">
        <f>SUMIFS(Bank_postings[Amount], Bank_postings[Date], "&gt;="&amp;'Cash actuals'!BC$7, Bank_postings[Date], "&lt;="&amp;'Cash actuals'!BC$8, Bank_postings[Sub-category (output)], 'Cash actuals'!$C54)</f>
        <v>0</v>
      </c>
      <c r="BD54" s="69">
        <f>SUMIFS(Bank_postings[Amount], Bank_postings[Date], "&gt;="&amp;'Cash actuals'!BD$7, Bank_postings[Date], "&lt;="&amp;'Cash actuals'!BD$8, Bank_postings[Sub-category (output)], 'Cash actuals'!$C54)</f>
        <v>0</v>
      </c>
      <c r="BE54" s="69">
        <f>SUMIFS(Bank_postings[Amount], Bank_postings[Date], "&gt;="&amp;'Cash actuals'!BE$7, Bank_postings[Date], "&lt;="&amp;'Cash actuals'!BE$8, Bank_postings[Sub-category (output)], 'Cash actuals'!$C54)</f>
        <v>0</v>
      </c>
    </row>
    <row r="55" spans="3:57" ht="5.0999999999999996" customHeight="1" x14ac:dyDescent="0.25"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</row>
    <row r="56" spans="3:57" x14ac:dyDescent="0.25">
      <c r="C56" s="1">
        <f>Assumptions!$D$36</f>
        <v>0</v>
      </c>
      <c r="F56" s="69">
        <f>SUMIFS(Bank_postings[Amount], Bank_postings[Date], "&gt;="&amp;'Cash actuals'!F$7, Bank_postings[Date], "&lt;="&amp;'Cash actuals'!F$8, Bank_postings[Sub-category (output)], 'Cash actuals'!$C56)</f>
        <v>0</v>
      </c>
      <c r="G56" s="69">
        <f>SUMIFS(Bank_postings[Amount], Bank_postings[Date], "&gt;="&amp;'Cash actuals'!G$7, Bank_postings[Date], "&lt;="&amp;'Cash actuals'!G$8, Bank_postings[Sub-category (output)], 'Cash actuals'!$C56)</f>
        <v>0</v>
      </c>
      <c r="H56" s="69">
        <f>SUMIFS(Bank_postings[Amount], Bank_postings[Date], "&gt;="&amp;'Cash actuals'!H$7, Bank_postings[Date], "&lt;="&amp;'Cash actuals'!H$8, Bank_postings[Sub-category (output)], 'Cash actuals'!$C56)</f>
        <v>0</v>
      </c>
      <c r="I56" s="69">
        <f>SUMIFS(Bank_postings[Amount], Bank_postings[Date], "&gt;="&amp;'Cash actuals'!I$7, Bank_postings[Date], "&lt;="&amp;'Cash actuals'!I$8, Bank_postings[Sub-category (output)], 'Cash actuals'!$C56)</f>
        <v>0</v>
      </c>
      <c r="J56" s="69">
        <f>SUMIFS(Bank_postings[Amount], Bank_postings[Date], "&gt;="&amp;'Cash actuals'!J$7, Bank_postings[Date], "&lt;="&amp;'Cash actuals'!J$8, Bank_postings[Sub-category (output)], 'Cash actuals'!$C56)</f>
        <v>0</v>
      </c>
      <c r="K56" s="69">
        <f>SUMIFS(Bank_postings[Amount], Bank_postings[Date], "&gt;="&amp;'Cash actuals'!K$7, Bank_postings[Date], "&lt;="&amp;'Cash actuals'!K$8, Bank_postings[Sub-category (output)], 'Cash actuals'!$C56)</f>
        <v>0</v>
      </c>
      <c r="L56" s="69">
        <f>SUMIFS(Bank_postings[Amount], Bank_postings[Date], "&gt;="&amp;'Cash actuals'!L$7, Bank_postings[Date], "&lt;="&amp;'Cash actuals'!L$8, Bank_postings[Sub-category (output)], 'Cash actuals'!$C56)</f>
        <v>0</v>
      </c>
      <c r="M56" s="69">
        <f>SUMIFS(Bank_postings[Amount], Bank_postings[Date], "&gt;="&amp;'Cash actuals'!M$7, Bank_postings[Date], "&lt;="&amp;'Cash actuals'!M$8, Bank_postings[Sub-category (output)], 'Cash actuals'!$C56)</f>
        <v>0</v>
      </c>
      <c r="N56" s="69">
        <f>SUMIFS(Bank_postings[Amount], Bank_postings[Date], "&gt;="&amp;'Cash actuals'!N$7, Bank_postings[Date], "&lt;="&amp;'Cash actuals'!N$8, Bank_postings[Sub-category (output)], 'Cash actuals'!$C56)</f>
        <v>0</v>
      </c>
      <c r="O56" s="69">
        <f>SUMIFS(Bank_postings[Amount], Bank_postings[Date], "&gt;="&amp;'Cash actuals'!O$7, Bank_postings[Date], "&lt;="&amp;'Cash actuals'!O$8, Bank_postings[Sub-category (output)], 'Cash actuals'!$C56)</f>
        <v>0</v>
      </c>
      <c r="P56" s="69">
        <f>SUMIFS(Bank_postings[Amount], Bank_postings[Date], "&gt;="&amp;'Cash actuals'!P$7, Bank_postings[Date], "&lt;="&amp;'Cash actuals'!P$8, Bank_postings[Sub-category (output)], 'Cash actuals'!$C56)</f>
        <v>0</v>
      </c>
      <c r="Q56" s="69">
        <f>SUMIFS(Bank_postings[Amount], Bank_postings[Date], "&gt;="&amp;'Cash actuals'!Q$7, Bank_postings[Date], "&lt;="&amp;'Cash actuals'!Q$8, Bank_postings[Sub-category (output)], 'Cash actuals'!$C56)</f>
        <v>0</v>
      </c>
      <c r="R56" s="69">
        <f>SUMIFS(Bank_postings[Amount], Bank_postings[Date], "&gt;="&amp;'Cash actuals'!R$7, Bank_postings[Date], "&lt;="&amp;'Cash actuals'!R$8, Bank_postings[Sub-category (output)], 'Cash actuals'!$C56)</f>
        <v>0</v>
      </c>
      <c r="S56" s="69">
        <f>SUMIFS(Bank_postings[Amount], Bank_postings[Date], "&gt;="&amp;'Cash actuals'!S$7, Bank_postings[Date], "&lt;="&amp;'Cash actuals'!S$8, Bank_postings[Sub-category (output)], 'Cash actuals'!$C56)</f>
        <v>0</v>
      </c>
      <c r="T56" s="69">
        <f>SUMIFS(Bank_postings[Amount], Bank_postings[Date], "&gt;="&amp;'Cash actuals'!T$7, Bank_postings[Date], "&lt;="&amp;'Cash actuals'!T$8, Bank_postings[Sub-category (output)], 'Cash actuals'!$C56)</f>
        <v>0</v>
      </c>
      <c r="U56" s="69">
        <f>SUMIFS(Bank_postings[Amount], Bank_postings[Date], "&gt;="&amp;'Cash actuals'!U$7, Bank_postings[Date], "&lt;="&amp;'Cash actuals'!U$8, Bank_postings[Sub-category (output)], 'Cash actuals'!$C56)</f>
        <v>0</v>
      </c>
      <c r="V56" s="69">
        <f>SUMIFS(Bank_postings[Amount], Bank_postings[Date], "&gt;="&amp;'Cash actuals'!V$7, Bank_postings[Date], "&lt;="&amp;'Cash actuals'!V$8, Bank_postings[Sub-category (output)], 'Cash actuals'!$C56)</f>
        <v>0</v>
      </c>
      <c r="W56" s="69">
        <f>SUMIFS(Bank_postings[Amount], Bank_postings[Date], "&gt;="&amp;'Cash actuals'!W$7, Bank_postings[Date], "&lt;="&amp;'Cash actuals'!W$8, Bank_postings[Sub-category (output)], 'Cash actuals'!$C56)</f>
        <v>0</v>
      </c>
      <c r="X56" s="69">
        <f>SUMIFS(Bank_postings[Amount], Bank_postings[Date], "&gt;="&amp;'Cash actuals'!X$7, Bank_postings[Date], "&lt;="&amp;'Cash actuals'!X$8, Bank_postings[Sub-category (output)], 'Cash actuals'!$C56)</f>
        <v>0</v>
      </c>
      <c r="Y56" s="69">
        <f>SUMIFS(Bank_postings[Amount], Bank_postings[Date], "&gt;="&amp;'Cash actuals'!Y$7, Bank_postings[Date], "&lt;="&amp;'Cash actuals'!Y$8, Bank_postings[Sub-category (output)], 'Cash actuals'!$C56)</f>
        <v>0</v>
      </c>
      <c r="Z56" s="69">
        <f>SUMIFS(Bank_postings[Amount], Bank_postings[Date], "&gt;="&amp;'Cash actuals'!Z$7, Bank_postings[Date], "&lt;="&amp;'Cash actuals'!Z$8, Bank_postings[Sub-category (output)], 'Cash actuals'!$C56)</f>
        <v>0</v>
      </c>
      <c r="AA56" s="69">
        <f>SUMIFS(Bank_postings[Amount], Bank_postings[Date], "&gt;="&amp;'Cash actuals'!AA$7, Bank_postings[Date], "&lt;="&amp;'Cash actuals'!AA$8, Bank_postings[Sub-category (output)], 'Cash actuals'!$C56)</f>
        <v>0</v>
      </c>
      <c r="AB56" s="69">
        <f>SUMIFS(Bank_postings[Amount], Bank_postings[Date], "&gt;="&amp;'Cash actuals'!AB$7, Bank_postings[Date], "&lt;="&amp;'Cash actuals'!AB$8, Bank_postings[Sub-category (output)], 'Cash actuals'!$C56)</f>
        <v>0</v>
      </c>
      <c r="AC56" s="69">
        <f>SUMIFS(Bank_postings[Amount], Bank_postings[Date], "&gt;="&amp;'Cash actuals'!AC$7, Bank_postings[Date], "&lt;="&amp;'Cash actuals'!AC$8, Bank_postings[Sub-category (output)], 'Cash actuals'!$C56)</f>
        <v>0</v>
      </c>
      <c r="AD56" s="69">
        <f>SUMIFS(Bank_postings[Amount], Bank_postings[Date], "&gt;="&amp;'Cash actuals'!AD$7, Bank_postings[Date], "&lt;="&amp;'Cash actuals'!AD$8, Bank_postings[Sub-category (output)], 'Cash actuals'!$C56)</f>
        <v>0</v>
      </c>
      <c r="AE56" s="69">
        <f>SUMIFS(Bank_postings[Amount], Bank_postings[Date], "&gt;="&amp;'Cash actuals'!AE$7, Bank_postings[Date], "&lt;="&amp;'Cash actuals'!AE$8, Bank_postings[Sub-category (output)], 'Cash actuals'!$C56)</f>
        <v>0</v>
      </c>
      <c r="AF56" s="69">
        <f>SUMIFS(Bank_postings[Amount], Bank_postings[Date], "&gt;="&amp;'Cash actuals'!AF$7, Bank_postings[Date], "&lt;="&amp;'Cash actuals'!AF$8, Bank_postings[Sub-category (output)], 'Cash actuals'!$C56)</f>
        <v>0</v>
      </c>
      <c r="AG56" s="69">
        <f>SUMIFS(Bank_postings[Amount], Bank_postings[Date], "&gt;="&amp;'Cash actuals'!AG$7, Bank_postings[Date], "&lt;="&amp;'Cash actuals'!AG$8, Bank_postings[Sub-category (output)], 'Cash actuals'!$C56)</f>
        <v>0</v>
      </c>
      <c r="AH56" s="69">
        <f>SUMIFS(Bank_postings[Amount], Bank_postings[Date], "&gt;="&amp;'Cash actuals'!AH$7, Bank_postings[Date], "&lt;="&amp;'Cash actuals'!AH$8, Bank_postings[Sub-category (output)], 'Cash actuals'!$C56)</f>
        <v>0</v>
      </c>
      <c r="AI56" s="69">
        <f>SUMIFS(Bank_postings[Amount], Bank_postings[Date], "&gt;="&amp;'Cash actuals'!AI$7, Bank_postings[Date], "&lt;="&amp;'Cash actuals'!AI$8, Bank_postings[Sub-category (output)], 'Cash actuals'!$C56)</f>
        <v>0</v>
      </c>
      <c r="AJ56" s="69">
        <f>SUMIFS(Bank_postings[Amount], Bank_postings[Date], "&gt;="&amp;'Cash actuals'!AJ$7, Bank_postings[Date], "&lt;="&amp;'Cash actuals'!AJ$8, Bank_postings[Sub-category (output)], 'Cash actuals'!$C56)</f>
        <v>0</v>
      </c>
      <c r="AK56" s="69">
        <f>SUMIFS(Bank_postings[Amount], Bank_postings[Date], "&gt;="&amp;'Cash actuals'!AK$7, Bank_postings[Date], "&lt;="&amp;'Cash actuals'!AK$8, Bank_postings[Sub-category (output)], 'Cash actuals'!$C56)</f>
        <v>0</v>
      </c>
      <c r="AL56" s="69">
        <f>SUMIFS(Bank_postings[Amount], Bank_postings[Date], "&gt;="&amp;'Cash actuals'!AL$7, Bank_postings[Date], "&lt;="&amp;'Cash actuals'!AL$8, Bank_postings[Sub-category (output)], 'Cash actuals'!$C56)</f>
        <v>0</v>
      </c>
      <c r="AM56" s="69">
        <f>SUMIFS(Bank_postings[Amount], Bank_postings[Date], "&gt;="&amp;'Cash actuals'!AM$7, Bank_postings[Date], "&lt;="&amp;'Cash actuals'!AM$8, Bank_postings[Sub-category (output)], 'Cash actuals'!$C56)</f>
        <v>0</v>
      </c>
      <c r="AN56" s="69">
        <f>SUMIFS(Bank_postings[Amount], Bank_postings[Date], "&gt;="&amp;'Cash actuals'!AN$7, Bank_postings[Date], "&lt;="&amp;'Cash actuals'!AN$8, Bank_postings[Sub-category (output)], 'Cash actuals'!$C56)</f>
        <v>0</v>
      </c>
      <c r="AO56" s="69">
        <f>SUMIFS(Bank_postings[Amount], Bank_postings[Date], "&gt;="&amp;'Cash actuals'!AO$7, Bank_postings[Date], "&lt;="&amp;'Cash actuals'!AO$8, Bank_postings[Sub-category (output)], 'Cash actuals'!$C56)</f>
        <v>0</v>
      </c>
      <c r="AP56" s="69">
        <f>SUMIFS(Bank_postings[Amount], Bank_postings[Date], "&gt;="&amp;'Cash actuals'!AP$7, Bank_postings[Date], "&lt;="&amp;'Cash actuals'!AP$8, Bank_postings[Sub-category (output)], 'Cash actuals'!$C56)</f>
        <v>0</v>
      </c>
      <c r="AQ56" s="69">
        <f>SUMIFS(Bank_postings[Amount], Bank_postings[Date], "&gt;="&amp;'Cash actuals'!AQ$7, Bank_postings[Date], "&lt;="&amp;'Cash actuals'!AQ$8, Bank_postings[Sub-category (output)], 'Cash actuals'!$C56)</f>
        <v>0</v>
      </c>
      <c r="AR56" s="69">
        <f>SUMIFS(Bank_postings[Amount], Bank_postings[Date], "&gt;="&amp;'Cash actuals'!AR$7, Bank_postings[Date], "&lt;="&amp;'Cash actuals'!AR$8, Bank_postings[Sub-category (output)], 'Cash actuals'!$C56)</f>
        <v>0</v>
      </c>
      <c r="AS56" s="69">
        <f>SUMIFS(Bank_postings[Amount], Bank_postings[Date], "&gt;="&amp;'Cash actuals'!AS$7, Bank_postings[Date], "&lt;="&amp;'Cash actuals'!AS$8, Bank_postings[Sub-category (output)], 'Cash actuals'!$C56)</f>
        <v>0</v>
      </c>
      <c r="AT56" s="69">
        <f>SUMIFS(Bank_postings[Amount], Bank_postings[Date], "&gt;="&amp;'Cash actuals'!AT$7, Bank_postings[Date], "&lt;="&amp;'Cash actuals'!AT$8, Bank_postings[Sub-category (output)], 'Cash actuals'!$C56)</f>
        <v>0</v>
      </c>
      <c r="AU56" s="69">
        <f>SUMIFS(Bank_postings[Amount], Bank_postings[Date], "&gt;="&amp;'Cash actuals'!AU$7, Bank_postings[Date], "&lt;="&amp;'Cash actuals'!AU$8, Bank_postings[Sub-category (output)], 'Cash actuals'!$C56)</f>
        <v>0</v>
      </c>
      <c r="AV56" s="69">
        <f>SUMIFS(Bank_postings[Amount], Bank_postings[Date], "&gt;="&amp;'Cash actuals'!AV$7, Bank_postings[Date], "&lt;="&amp;'Cash actuals'!AV$8, Bank_postings[Sub-category (output)], 'Cash actuals'!$C56)</f>
        <v>0</v>
      </c>
      <c r="AW56" s="69">
        <f>SUMIFS(Bank_postings[Amount], Bank_postings[Date], "&gt;="&amp;'Cash actuals'!AW$7, Bank_postings[Date], "&lt;="&amp;'Cash actuals'!AW$8, Bank_postings[Sub-category (output)], 'Cash actuals'!$C56)</f>
        <v>0</v>
      </c>
      <c r="AX56" s="69">
        <f>SUMIFS(Bank_postings[Amount], Bank_postings[Date], "&gt;="&amp;'Cash actuals'!AX$7, Bank_postings[Date], "&lt;="&amp;'Cash actuals'!AX$8, Bank_postings[Sub-category (output)], 'Cash actuals'!$C56)</f>
        <v>0</v>
      </c>
      <c r="AY56" s="69">
        <f>SUMIFS(Bank_postings[Amount], Bank_postings[Date], "&gt;="&amp;'Cash actuals'!AY$7, Bank_postings[Date], "&lt;="&amp;'Cash actuals'!AY$8, Bank_postings[Sub-category (output)], 'Cash actuals'!$C56)</f>
        <v>0</v>
      </c>
      <c r="AZ56" s="69">
        <f>SUMIFS(Bank_postings[Amount], Bank_postings[Date], "&gt;="&amp;'Cash actuals'!AZ$7, Bank_postings[Date], "&lt;="&amp;'Cash actuals'!AZ$8, Bank_postings[Sub-category (output)], 'Cash actuals'!$C56)</f>
        <v>0</v>
      </c>
      <c r="BA56" s="69">
        <f>SUMIFS(Bank_postings[Amount], Bank_postings[Date], "&gt;="&amp;'Cash actuals'!BA$7, Bank_postings[Date], "&lt;="&amp;'Cash actuals'!BA$8, Bank_postings[Sub-category (output)], 'Cash actuals'!$C56)</f>
        <v>0</v>
      </c>
      <c r="BB56" s="69">
        <f>SUMIFS(Bank_postings[Amount], Bank_postings[Date], "&gt;="&amp;'Cash actuals'!BB$7, Bank_postings[Date], "&lt;="&amp;'Cash actuals'!BB$8, Bank_postings[Sub-category (output)], 'Cash actuals'!$C56)</f>
        <v>0</v>
      </c>
      <c r="BC56" s="69">
        <f>SUMIFS(Bank_postings[Amount], Bank_postings[Date], "&gt;="&amp;'Cash actuals'!BC$7, Bank_postings[Date], "&lt;="&amp;'Cash actuals'!BC$8, Bank_postings[Sub-category (output)], 'Cash actuals'!$C56)</f>
        <v>0</v>
      </c>
      <c r="BD56" s="69">
        <f>SUMIFS(Bank_postings[Amount], Bank_postings[Date], "&gt;="&amp;'Cash actuals'!BD$7, Bank_postings[Date], "&lt;="&amp;'Cash actuals'!BD$8, Bank_postings[Sub-category (output)], 'Cash actuals'!$C56)</f>
        <v>0</v>
      </c>
      <c r="BE56" s="69">
        <f>SUMIFS(Bank_postings[Amount], Bank_postings[Date], "&gt;="&amp;'Cash actuals'!BE$7, Bank_postings[Date], "&lt;="&amp;'Cash actuals'!BE$8, Bank_postings[Sub-category (output)], 'Cash actuals'!$C56)</f>
        <v>0</v>
      </c>
    </row>
    <row r="57" spans="3:57" ht="5.0999999999999996" customHeight="1" x14ac:dyDescent="0.25"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</row>
    <row r="58" spans="3:57" x14ac:dyDescent="0.25">
      <c r="C58" s="1">
        <f>Assumptions!$D$37</f>
        <v>0</v>
      </c>
      <c r="F58" s="69">
        <f>SUMIFS(Bank_postings[Amount], Bank_postings[Date], "&gt;="&amp;'Cash actuals'!F$7, Bank_postings[Date], "&lt;="&amp;'Cash actuals'!F$8, Bank_postings[Sub-category (output)], 'Cash actuals'!$C58)</f>
        <v>0</v>
      </c>
      <c r="G58" s="69">
        <f>SUMIFS(Bank_postings[Amount], Bank_postings[Date], "&gt;="&amp;'Cash actuals'!G$7, Bank_postings[Date], "&lt;="&amp;'Cash actuals'!G$8, Bank_postings[Sub-category (output)], 'Cash actuals'!$C58)</f>
        <v>0</v>
      </c>
      <c r="H58" s="69">
        <f>SUMIFS(Bank_postings[Amount], Bank_postings[Date], "&gt;="&amp;'Cash actuals'!H$7, Bank_postings[Date], "&lt;="&amp;'Cash actuals'!H$8, Bank_postings[Sub-category (output)], 'Cash actuals'!$C58)</f>
        <v>0</v>
      </c>
      <c r="I58" s="69">
        <f>SUMIFS(Bank_postings[Amount], Bank_postings[Date], "&gt;="&amp;'Cash actuals'!I$7, Bank_postings[Date], "&lt;="&amp;'Cash actuals'!I$8, Bank_postings[Sub-category (output)], 'Cash actuals'!$C58)</f>
        <v>0</v>
      </c>
      <c r="J58" s="69">
        <f>SUMIFS(Bank_postings[Amount], Bank_postings[Date], "&gt;="&amp;'Cash actuals'!J$7, Bank_postings[Date], "&lt;="&amp;'Cash actuals'!J$8, Bank_postings[Sub-category (output)], 'Cash actuals'!$C58)</f>
        <v>0</v>
      </c>
      <c r="K58" s="69">
        <f>SUMIFS(Bank_postings[Amount], Bank_postings[Date], "&gt;="&amp;'Cash actuals'!K$7, Bank_postings[Date], "&lt;="&amp;'Cash actuals'!K$8, Bank_postings[Sub-category (output)], 'Cash actuals'!$C58)</f>
        <v>0</v>
      </c>
      <c r="L58" s="69">
        <f>SUMIFS(Bank_postings[Amount], Bank_postings[Date], "&gt;="&amp;'Cash actuals'!L$7, Bank_postings[Date], "&lt;="&amp;'Cash actuals'!L$8, Bank_postings[Sub-category (output)], 'Cash actuals'!$C58)</f>
        <v>0</v>
      </c>
      <c r="M58" s="69">
        <f>SUMIFS(Bank_postings[Amount], Bank_postings[Date], "&gt;="&amp;'Cash actuals'!M$7, Bank_postings[Date], "&lt;="&amp;'Cash actuals'!M$8, Bank_postings[Sub-category (output)], 'Cash actuals'!$C58)</f>
        <v>0</v>
      </c>
      <c r="N58" s="69">
        <f>SUMIFS(Bank_postings[Amount], Bank_postings[Date], "&gt;="&amp;'Cash actuals'!N$7, Bank_postings[Date], "&lt;="&amp;'Cash actuals'!N$8, Bank_postings[Sub-category (output)], 'Cash actuals'!$C58)</f>
        <v>0</v>
      </c>
      <c r="O58" s="69">
        <f>SUMIFS(Bank_postings[Amount], Bank_postings[Date], "&gt;="&amp;'Cash actuals'!O$7, Bank_postings[Date], "&lt;="&amp;'Cash actuals'!O$8, Bank_postings[Sub-category (output)], 'Cash actuals'!$C58)</f>
        <v>0</v>
      </c>
      <c r="P58" s="69">
        <f>SUMIFS(Bank_postings[Amount], Bank_postings[Date], "&gt;="&amp;'Cash actuals'!P$7, Bank_postings[Date], "&lt;="&amp;'Cash actuals'!P$8, Bank_postings[Sub-category (output)], 'Cash actuals'!$C58)</f>
        <v>0</v>
      </c>
      <c r="Q58" s="69">
        <f>SUMIFS(Bank_postings[Amount], Bank_postings[Date], "&gt;="&amp;'Cash actuals'!Q$7, Bank_postings[Date], "&lt;="&amp;'Cash actuals'!Q$8, Bank_postings[Sub-category (output)], 'Cash actuals'!$C58)</f>
        <v>0</v>
      </c>
      <c r="R58" s="69">
        <f>SUMIFS(Bank_postings[Amount], Bank_postings[Date], "&gt;="&amp;'Cash actuals'!R$7, Bank_postings[Date], "&lt;="&amp;'Cash actuals'!R$8, Bank_postings[Sub-category (output)], 'Cash actuals'!$C58)</f>
        <v>0</v>
      </c>
      <c r="S58" s="69">
        <f>SUMIFS(Bank_postings[Amount], Bank_postings[Date], "&gt;="&amp;'Cash actuals'!S$7, Bank_postings[Date], "&lt;="&amp;'Cash actuals'!S$8, Bank_postings[Sub-category (output)], 'Cash actuals'!$C58)</f>
        <v>0</v>
      </c>
      <c r="T58" s="69">
        <f>SUMIFS(Bank_postings[Amount], Bank_postings[Date], "&gt;="&amp;'Cash actuals'!T$7, Bank_postings[Date], "&lt;="&amp;'Cash actuals'!T$8, Bank_postings[Sub-category (output)], 'Cash actuals'!$C58)</f>
        <v>0</v>
      </c>
      <c r="U58" s="69">
        <f>SUMIFS(Bank_postings[Amount], Bank_postings[Date], "&gt;="&amp;'Cash actuals'!U$7, Bank_postings[Date], "&lt;="&amp;'Cash actuals'!U$8, Bank_postings[Sub-category (output)], 'Cash actuals'!$C58)</f>
        <v>0</v>
      </c>
      <c r="V58" s="69">
        <f>SUMIFS(Bank_postings[Amount], Bank_postings[Date], "&gt;="&amp;'Cash actuals'!V$7, Bank_postings[Date], "&lt;="&amp;'Cash actuals'!V$8, Bank_postings[Sub-category (output)], 'Cash actuals'!$C58)</f>
        <v>0</v>
      </c>
      <c r="W58" s="69">
        <f>SUMIFS(Bank_postings[Amount], Bank_postings[Date], "&gt;="&amp;'Cash actuals'!W$7, Bank_postings[Date], "&lt;="&amp;'Cash actuals'!W$8, Bank_postings[Sub-category (output)], 'Cash actuals'!$C58)</f>
        <v>0</v>
      </c>
      <c r="X58" s="69">
        <f>SUMIFS(Bank_postings[Amount], Bank_postings[Date], "&gt;="&amp;'Cash actuals'!X$7, Bank_postings[Date], "&lt;="&amp;'Cash actuals'!X$8, Bank_postings[Sub-category (output)], 'Cash actuals'!$C58)</f>
        <v>0</v>
      </c>
      <c r="Y58" s="69">
        <f>SUMIFS(Bank_postings[Amount], Bank_postings[Date], "&gt;="&amp;'Cash actuals'!Y$7, Bank_postings[Date], "&lt;="&amp;'Cash actuals'!Y$8, Bank_postings[Sub-category (output)], 'Cash actuals'!$C58)</f>
        <v>0</v>
      </c>
      <c r="Z58" s="69">
        <f>SUMIFS(Bank_postings[Amount], Bank_postings[Date], "&gt;="&amp;'Cash actuals'!Z$7, Bank_postings[Date], "&lt;="&amp;'Cash actuals'!Z$8, Bank_postings[Sub-category (output)], 'Cash actuals'!$C58)</f>
        <v>0</v>
      </c>
      <c r="AA58" s="69">
        <f>SUMIFS(Bank_postings[Amount], Bank_postings[Date], "&gt;="&amp;'Cash actuals'!AA$7, Bank_postings[Date], "&lt;="&amp;'Cash actuals'!AA$8, Bank_postings[Sub-category (output)], 'Cash actuals'!$C58)</f>
        <v>0</v>
      </c>
      <c r="AB58" s="69">
        <f>SUMIFS(Bank_postings[Amount], Bank_postings[Date], "&gt;="&amp;'Cash actuals'!AB$7, Bank_postings[Date], "&lt;="&amp;'Cash actuals'!AB$8, Bank_postings[Sub-category (output)], 'Cash actuals'!$C58)</f>
        <v>0</v>
      </c>
      <c r="AC58" s="69">
        <f>SUMIFS(Bank_postings[Amount], Bank_postings[Date], "&gt;="&amp;'Cash actuals'!AC$7, Bank_postings[Date], "&lt;="&amp;'Cash actuals'!AC$8, Bank_postings[Sub-category (output)], 'Cash actuals'!$C58)</f>
        <v>0</v>
      </c>
      <c r="AD58" s="69">
        <f>SUMIFS(Bank_postings[Amount], Bank_postings[Date], "&gt;="&amp;'Cash actuals'!AD$7, Bank_postings[Date], "&lt;="&amp;'Cash actuals'!AD$8, Bank_postings[Sub-category (output)], 'Cash actuals'!$C58)</f>
        <v>0</v>
      </c>
      <c r="AE58" s="69">
        <f>SUMIFS(Bank_postings[Amount], Bank_postings[Date], "&gt;="&amp;'Cash actuals'!AE$7, Bank_postings[Date], "&lt;="&amp;'Cash actuals'!AE$8, Bank_postings[Sub-category (output)], 'Cash actuals'!$C58)</f>
        <v>0</v>
      </c>
      <c r="AF58" s="69">
        <f>SUMIFS(Bank_postings[Amount], Bank_postings[Date], "&gt;="&amp;'Cash actuals'!AF$7, Bank_postings[Date], "&lt;="&amp;'Cash actuals'!AF$8, Bank_postings[Sub-category (output)], 'Cash actuals'!$C58)</f>
        <v>0</v>
      </c>
      <c r="AG58" s="69">
        <f>SUMIFS(Bank_postings[Amount], Bank_postings[Date], "&gt;="&amp;'Cash actuals'!AG$7, Bank_postings[Date], "&lt;="&amp;'Cash actuals'!AG$8, Bank_postings[Sub-category (output)], 'Cash actuals'!$C58)</f>
        <v>0</v>
      </c>
      <c r="AH58" s="69">
        <f>SUMIFS(Bank_postings[Amount], Bank_postings[Date], "&gt;="&amp;'Cash actuals'!AH$7, Bank_postings[Date], "&lt;="&amp;'Cash actuals'!AH$8, Bank_postings[Sub-category (output)], 'Cash actuals'!$C58)</f>
        <v>0</v>
      </c>
      <c r="AI58" s="69">
        <f>SUMIFS(Bank_postings[Amount], Bank_postings[Date], "&gt;="&amp;'Cash actuals'!AI$7, Bank_postings[Date], "&lt;="&amp;'Cash actuals'!AI$8, Bank_postings[Sub-category (output)], 'Cash actuals'!$C58)</f>
        <v>0</v>
      </c>
      <c r="AJ58" s="69">
        <f>SUMIFS(Bank_postings[Amount], Bank_postings[Date], "&gt;="&amp;'Cash actuals'!AJ$7, Bank_postings[Date], "&lt;="&amp;'Cash actuals'!AJ$8, Bank_postings[Sub-category (output)], 'Cash actuals'!$C58)</f>
        <v>0</v>
      </c>
      <c r="AK58" s="69">
        <f>SUMIFS(Bank_postings[Amount], Bank_postings[Date], "&gt;="&amp;'Cash actuals'!AK$7, Bank_postings[Date], "&lt;="&amp;'Cash actuals'!AK$8, Bank_postings[Sub-category (output)], 'Cash actuals'!$C58)</f>
        <v>0</v>
      </c>
      <c r="AL58" s="69">
        <f>SUMIFS(Bank_postings[Amount], Bank_postings[Date], "&gt;="&amp;'Cash actuals'!AL$7, Bank_postings[Date], "&lt;="&amp;'Cash actuals'!AL$8, Bank_postings[Sub-category (output)], 'Cash actuals'!$C58)</f>
        <v>0</v>
      </c>
      <c r="AM58" s="69">
        <f>SUMIFS(Bank_postings[Amount], Bank_postings[Date], "&gt;="&amp;'Cash actuals'!AM$7, Bank_postings[Date], "&lt;="&amp;'Cash actuals'!AM$8, Bank_postings[Sub-category (output)], 'Cash actuals'!$C58)</f>
        <v>0</v>
      </c>
      <c r="AN58" s="69">
        <f>SUMIFS(Bank_postings[Amount], Bank_postings[Date], "&gt;="&amp;'Cash actuals'!AN$7, Bank_postings[Date], "&lt;="&amp;'Cash actuals'!AN$8, Bank_postings[Sub-category (output)], 'Cash actuals'!$C58)</f>
        <v>0</v>
      </c>
      <c r="AO58" s="69">
        <f>SUMIFS(Bank_postings[Amount], Bank_postings[Date], "&gt;="&amp;'Cash actuals'!AO$7, Bank_postings[Date], "&lt;="&amp;'Cash actuals'!AO$8, Bank_postings[Sub-category (output)], 'Cash actuals'!$C58)</f>
        <v>0</v>
      </c>
      <c r="AP58" s="69">
        <f>SUMIFS(Bank_postings[Amount], Bank_postings[Date], "&gt;="&amp;'Cash actuals'!AP$7, Bank_postings[Date], "&lt;="&amp;'Cash actuals'!AP$8, Bank_postings[Sub-category (output)], 'Cash actuals'!$C58)</f>
        <v>0</v>
      </c>
      <c r="AQ58" s="69">
        <f>SUMIFS(Bank_postings[Amount], Bank_postings[Date], "&gt;="&amp;'Cash actuals'!AQ$7, Bank_postings[Date], "&lt;="&amp;'Cash actuals'!AQ$8, Bank_postings[Sub-category (output)], 'Cash actuals'!$C58)</f>
        <v>0</v>
      </c>
      <c r="AR58" s="69">
        <f>SUMIFS(Bank_postings[Amount], Bank_postings[Date], "&gt;="&amp;'Cash actuals'!AR$7, Bank_postings[Date], "&lt;="&amp;'Cash actuals'!AR$8, Bank_postings[Sub-category (output)], 'Cash actuals'!$C58)</f>
        <v>0</v>
      </c>
      <c r="AS58" s="69">
        <f>SUMIFS(Bank_postings[Amount], Bank_postings[Date], "&gt;="&amp;'Cash actuals'!AS$7, Bank_postings[Date], "&lt;="&amp;'Cash actuals'!AS$8, Bank_postings[Sub-category (output)], 'Cash actuals'!$C58)</f>
        <v>0</v>
      </c>
      <c r="AT58" s="69">
        <f>SUMIFS(Bank_postings[Amount], Bank_postings[Date], "&gt;="&amp;'Cash actuals'!AT$7, Bank_postings[Date], "&lt;="&amp;'Cash actuals'!AT$8, Bank_postings[Sub-category (output)], 'Cash actuals'!$C58)</f>
        <v>0</v>
      </c>
      <c r="AU58" s="69">
        <f>SUMIFS(Bank_postings[Amount], Bank_postings[Date], "&gt;="&amp;'Cash actuals'!AU$7, Bank_postings[Date], "&lt;="&amp;'Cash actuals'!AU$8, Bank_postings[Sub-category (output)], 'Cash actuals'!$C58)</f>
        <v>0</v>
      </c>
      <c r="AV58" s="69">
        <f>SUMIFS(Bank_postings[Amount], Bank_postings[Date], "&gt;="&amp;'Cash actuals'!AV$7, Bank_postings[Date], "&lt;="&amp;'Cash actuals'!AV$8, Bank_postings[Sub-category (output)], 'Cash actuals'!$C58)</f>
        <v>0</v>
      </c>
      <c r="AW58" s="69">
        <f>SUMIFS(Bank_postings[Amount], Bank_postings[Date], "&gt;="&amp;'Cash actuals'!AW$7, Bank_postings[Date], "&lt;="&amp;'Cash actuals'!AW$8, Bank_postings[Sub-category (output)], 'Cash actuals'!$C58)</f>
        <v>0</v>
      </c>
      <c r="AX58" s="69">
        <f>SUMIFS(Bank_postings[Amount], Bank_postings[Date], "&gt;="&amp;'Cash actuals'!AX$7, Bank_postings[Date], "&lt;="&amp;'Cash actuals'!AX$8, Bank_postings[Sub-category (output)], 'Cash actuals'!$C58)</f>
        <v>0</v>
      </c>
      <c r="AY58" s="69">
        <f>SUMIFS(Bank_postings[Amount], Bank_postings[Date], "&gt;="&amp;'Cash actuals'!AY$7, Bank_postings[Date], "&lt;="&amp;'Cash actuals'!AY$8, Bank_postings[Sub-category (output)], 'Cash actuals'!$C58)</f>
        <v>0</v>
      </c>
      <c r="AZ58" s="69">
        <f>SUMIFS(Bank_postings[Amount], Bank_postings[Date], "&gt;="&amp;'Cash actuals'!AZ$7, Bank_postings[Date], "&lt;="&amp;'Cash actuals'!AZ$8, Bank_postings[Sub-category (output)], 'Cash actuals'!$C58)</f>
        <v>0</v>
      </c>
      <c r="BA58" s="69">
        <f>SUMIFS(Bank_postings[Amount], Bank_postings[Date], "&gt;="&amp;'Cash actuals'!BA$7, Bank_postings[Date], "&lt;="&amp;'Cash actuals'!BA$8, Bank_postings[Sub-category (output)], 'Cash actuals'!$C58)</f>
        <v>0</v>
      </c>
      <c r="BB58" s="69">
        <f>SUMIFS(Bank_postings[Amount], Bank_postings[Date], "&gt;="&amp;'Cash actuals'!BB$7, Bank_postings[Date], "&lt;="&amp;'Cash actuals'!BB$8, Bank_postings[Sub-category (output)], 'Cash actuals'!$C58)</f>
        <v>0</v>
      </c>
      <c r="BC58" s="69">
        <f>SUMIFS(Bank_postings[Amount], Bank_postings[Date], "&gt;="&amp;'Cash actuals'!BC$7, Bank_postings[Date], "&lt;="&amp;'Cash actuals'!BC$8, Bank_postings[Sub-category (output)], 'Cash actuals'!$C58)</f>
        <v>0</v>
      </c>
      <c r="BD58" s="69">
        <f>SUMIFS(Bank_postings[Amount], Bank_postings[Date], "&gt;="&amp;'Cash actuals'!BD$7, Bank_postings[Date], "&lt;="&amp;'Cash actuals'!BD$8, Bank_postings[Sub-category (output)], 'Cash actuals'!$C58)</f>
        <v>0</v>
      </c>
      <c r="BE58" s="69">
        <f>SUMIFS(Bank_postings[Amount], Bank_postings[Date], "&gt;="&amp;'Cash actuals'!BE$7, Bank_postings[Date], "&lt;="&amp;'Cash actuals'!BE$8, Bank_postings[Sub-category (output)], 'Cash actuals'!$C58)</f>
        <v>0</v>
      </c>
    </row>
    <row r="59" spans="3:57" ht="5.0999999999999996" customHeight="1" x14ac:dyDescent="0.25"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</row>
    <row r="60" spans="3:57" x14ac:dyDescent="0.25">
      <c r="C60" s="1">
        <f>Assumptions!$D$38</f>
        <v>0</v>
      </c>
      <c r="F60" s="69">
        <f>SUMIFS(Bank_postings[Amount], Bank_postings[Date], "&gt;="&amp;'Cash actuals'!F$7, Bank_postings[Date], "&lt;="&amp;'Cash actuals'!F$8, Bank_postings[Sub-category (output)], 'Cash actuals'!$C60)</f>
        <v>0</v>
      </c>
      <c r="G60" s="69">
        <f>SUMIFS(Bank_postings[Amount], Bank_postings[Date], "&gt;="&amp;'Cash actuals'!G$7, Bank_postings[Date], "&lt;="&amp;'Cash actuals'!G$8, Bank_postings[Sub-category (output)], 'Cash actuals'!$C60)</f>
        <v>0</v>
      </c>
      <c r="H60" s="69">
        <f>SUMIFS(Bank_postings[Amount], Bank_postings[Date], "&gt;="&amp;'Cash actuals'!H$7, Bank_postings[Date], "&lt;="&amp;'Cash actuals'!H$8, Bank_postings[Sub-category (output)], 'Cash actuals'!$C60)</f>
        <v>0</v>
      </c>
      <c r="I60" s="69">
        <f>SUMIFS(Bank_postings[Amount], Bank_postings[Date], "&gt;="&amp;'Cash actuals'!I$7, Bank_postings[Date], "&lt;="&amp;'Cash actuals'!I$8, Bank_postings[Sub-category (output)], 'Cash actuals'!$C60)</f>
        <v>0</v>
      </c>
      <c r="J60" s="69">
        <f>SUMIFS(Bank_postings[Amount], Bank_postings[Date], "&gt;="&amp;'Cash actuals'!J$7, Bank_postings[Date], "&lt;="&amp;'Cash actuals'!J$8, Bank_postings[Sub-category (output)], 'Cash actuals'!$C60)</f>
        <v>0</v>
      </c>
      <c r="K60" s="69">
        <f>SUMIFS(Bank_postings[Amount], Bank_postings[Date], "&gt;="&amp;'Cash actuals'!K$7, Bank_postings[Date], "&lt;="&amp;'Cash actuals'!K$8, Bank_postings[Sub-category (output)], 'Cash actuals'!$C60)</f>
        <v>0</v>
      </c>
      <c r="L60" s="69">
        <f>SUMIFS(Bank_postings[Amount], Bank_postings[Date], "&gt;="&amp;'Cash actuals'!L$7, Bank_postings[Date], "&lt;="&amp;'Cash actuals'!L$8, Bank_postings[Sub-category (output)], 'Cash actuals'!$C60)</f>
        <v>0</v>
      </c>
      <c r="M60" s="69">
        <f>SUMIFS(Bank_postings[Amount], Bank_postings[Date], "&gt;="&amp;'Cash actuals'!M$7, Bank_postings[Date], "&lt;="&amp;'Cash actuals'!M$8, Bank_postings[Sub-category (output)], 'Cash actuals'!$C60)</f>
        <v>0</v>
      </c>
      <c r="N60" s="69">
        <f>SUMIFS(Bank_postings[Amount], Bank_postings[Date], "&gt;="&amp;'Cash actuals'!N$7, Bank_postings[Date], "&lt;="&amp;'Cash actuals'!N$8, Bank_postings[Sub-category (output)], 'Cash actuals'!$C60)</f>
        <v>0</v>
      </c>
      <c r="O60" s="69">
        <f>SUMIFS(Bank_postings[Amount], Bank_postings[Date], "&gt;="&amp;'Cash actuals'!O$7, Bank_postings[Date], "&lt;="&amp;'Cash actuals'!O$8, Bank_postings[Sub-category (output)], 'Cash actuals'!$C60)</f>
        <v>0</v>
      </c>
      <c r="P60" s="69">
        <f>SUMIFS(Bank_postings[Amount], Bank_postings[Date], "&gt;="&amp;'Cash actuals'!P$7, Bank_postings[Date], "&lt;="&amp;'Cash actuals'!P$8, Bank_postings[Sub-category (output)], 'Cash actuals'!$C60)</f>
        <v>0</v>
      </c>
      <c r="Q60" s="69">
        <f>SUMIFS(Bank_postings[Amount], Bank_postings[Date], "&gt;="&amp;'Cash actuals'!Q$7, Bank_postings[Date], "&lt;="&amp;'Cash actuals'!Q$8, Bank_postings[Sub-category (output)], 'Cash actuals'!$C60)</f>
        <v>0</v>
      </c>
      <c r="R60" s="69">
        <f>SUMIFS(Bank_postings[Amount], Bank_postings[Date], "&gt;="&amp;'Cash actuals'!R$7, Bank_postings[Date], "&lt;="&amp;'Cash actuals'!R$8, Bank_postings[Sub-category (output)], 'Cash actuals'!$C60)</f>
        <v>0</v>
      </c>
      <c r="S60" s="69">
        <f>SUMIFS(Bank_postings[Amount], Bank_postings[Date], "&gt;="&amp;'Cash actuals'!S$7, Bank_postings[Date], "&lt;="&amp;'Cash actuals'!S$8, Bank_postings[Sub-category (output)], 'Cash actuals'!$C60)</f>
        <v>0</v>
      </c>
      <c r="T60" s="69">
        <f>SUMIFS(Bank_postings[Amount], Bank_postings[Date], "&gt;="&amp;'Cash actuals'!T$7, Bank_postings[Date], "&lt;="&amp;'Cash actuals'!T$8, Bank_postings[Sub-category (output)], 'Cash actuals'!$C60)</f>
        <v>0</v>
      </c>
      <c r="U60" s="69">
        <f>SUMIFS(Bank_postings[Amount], Bank_postings[Date], "&gt;="&amp;'Cash actuals'!U$7, Bank_postings[Date], "&lt;="&amp;'Cash actuals'!U$8, Bank_postings[Sub-category (output)], 'Cash actuals'!$C60)</f>
        <v>0</v>
      </c>
      <c r="V60" s="69">
        <f>SUMIFS(Bank_postings[Amount], Bank_postings[Date], "&gt;="&amp;'Cash actuals'!V$7, Bank_postings[Date], "&lt;="&amp;'Cash actuals'!V$8, Bank_postings[Sub-category (output)], 'Cash actuals'!$C60)</f>
        <v>0</v>
      </c>
      <c r="W60" s="69">
        <f>SUMIFS(Bank_postings[Amount], Bank_postings[Date], "&gt;="&amp;'Cash actuals'!W$7, Bank_postings[Date], "&lt;="&amp;'Cash actuals'!W$8, Bank_postings[Sub-category (output)], 'Cash actuals'!$C60)</f>
        <v>0</v>
      </c>
      <c r="X60" s="69">
        <f>SUMIFS(Bank_postings[Amount], Bank_postings[Date], "&gt;="&amp;'Cash actuals'!X$7, Bank_postings[Date], "&lt;="&amp;'Cash actuals'!X$8, Bank_postings[Sub-category (output)], 'Cash actuals'!$C60)</f>
        <v>0</v>
      </c>
      <c r="Y60" s="69">
        <f>SUMIFS(Bank_postings[Amount], Bank_postings[Date], "&gt;="&amp;'Cash actuals'!Y$7, Bank_postings[Date], "&lt;="&amp;'Cash actuals'!Y$8, Bank_postings[Sub-category (output)], 'Cash actuals'!$C60)</f>
        <v>0</v>
      </c>
      <c r="Z60" s="69">
        <f>SUMIFS(Bank_postings[Amount], Bank_postings[Date], "&gt;="&amp;'Cash actuals'!Z$7, Bank_postings[Date], "&lt;="&amp;'Cash actuals'!Z$8, Bank_postings[Sub-category (output)], 'Cash actuals'!$C60)</f>
        <v>0</v>
      </c>
      <c r="AA60" s="69">
        <f>SUMIFS(Bank_postings[Amount], Bank_postings[Date], "&gt;="&amp;'Cash actuals'!AA$7, Bank_postings[Date], "&lt;="&amp;'Cash actuals'!AA$8, Bank_postings[Sub-category (output)], 'Cash actuals'!$C60)</f>
        <v>0</v>
      </c>
      <c r="AB60" s="69">
        <f>SUMIFS(Bank_postings[Amount], Bank_postings[Date], "&gt;="&amp;'Cash actuals'!AB$7, Bank_postings[Date], "&lt;="&amp;'Cash actuals'!AB$8, Bank_postings[Sub-category (output)], 'Cash actuals'!$C60)</f>
        <v>0</v>
      </c>
      <c r="AC60" s="69">
        <f>SUMIFS(Bank_postings[Amount], Bank_postings[Date], "&gt;="&amp;'Cash actuals'!AC$7, Bank_postings[Date], "&lt;="&amp;'Cash actuals'!AC$8, Bank_postings[Sub-category (output)], 'Cash actuals'!$C60)</f>
        <v>0</v>
      </c>
      <c r="AD60" s="69">
        <f>SUMIFS(Bank_postings[Amount], Bank_postings[Date], "&gt;="&amp;'Cash actuals'!AD$7, Bank_postings[Date], "&lt;="&amp;'Cash actuals'!AD$8, Bank_postings[Sub-category (output)], 'Cash actuals'!$C60)</f>
        <v>0</v>
      </c>
      <c r="AE60" s="69">
        <f>SUMIFS(Bank_postings[Amount], Bank_postings[Date], "&gt;="&amp;'Cash actuals'!AE$7, Bank_postings[Date], "&lt;="&amp;'Cash actuals'!AE$8, Bank_postings[Sub-category (output)], 'Cash actuals'!$C60)</f>
        <v>0</v>
      </c>
      <c r="AF60" s="69">
        <f>SUMIFS(Bank_postings[Amount], Bank_postings[Date], "&gt;="&amp;'Cash actuals'!AF$7, Bank_postings[Date], "&lt;="&amp;'Cash actuals'!AF$8, Bank_postings[Sub-category (output)], 'Cash actuals'!$C60)</f>
        <v>0</v>
      </c>
      <c r="AG60" s="69">
        <f>SUMIFS(Bank_postings[Amount], Bank_postings[Date], "&gt;="&amp;'Cash actuals'!AG$7, Bank_postings[Date], "&lt;="&amp;'Cash actuals'!AG$8, Bank_postings[Sub-category (output)], 'Cash actuals'!$C60)</f>
        <v>0</v>
      </c>
      <c r="AH60" s="69">
        <f>SUMIFS(Bank_postings[Amount], Bank_postings[Date], "&gt;="&amp;'Cash actuals'!AH$7, Bank_postings[Date], "&lt;="&amp;'Cash actuals'!AH$8, Bank_postings[Sub-category (output)], 'Cash actuals'!$C60)</f>
        <v>0</v>
      </c>
      <c r="AI60" s="69">
        <f>SUMIFS(Bank_postings[Amount], Bank_postings[Date], "&gt;="&amp;'Cash actuals'!AI$7, Bank_postings[Date], "&lt;="&amp;'Cash actuals'!AI$8, Bank_postings[Sub-category (output)], 'Cash actuals'!$C60)</f>
        <v>0</v>
      </c>
      <c r="AJ60" s="69">
        <f>SUMIFS(Bank_postings[Amount], Bank_postings[Date], "&gt;="&amp;'Cash actuals'!AJ$7, Bank_postings[Date], "&lt;="&amp;'Cash actuals'!AJ$8, Bank_postings[Sub-category (output)], 'Cash actuals'!$C60)</f>
        <v>0</v>
      </c>
      <c r="AK60" s="69">
        <f>SUMIFS(Bank_postings[Amount], Bank_postings[Date], "&gt;="&amp;'Cash actuals'!AK$7, Bank_postings[Date], "&lt;="&amp;'Cash actuals'!AK$8, Bank_postings[Sub-category (output)], 'Cash actuals'!$C60)</f>
        <v>0</v>
      </c>
      <c r="AL60" s="69">
        <f>SUMIFS(Bank_postings[Amount], Bank_postings[Date], "&gt;="&amp;'Cash actuals'!AL$7, Bank_postings[Date], "&lt;="&amp;'Cash actuals'!AL$8, Bank_postings[Sub-category (output)], 'Cash actuals'!$C60)</f>
        <v>0</v>
      </c>
      <c r="AM60" s="69">
        <f>SUMIFS(Bank_postings[Amount], Bank_postings[Date], "&gt;="&amp;'Cash actuals'!AM$7, Bank_postings[Date], "&lt;="&amp;'Cash actuals'!AM$8, Bank_postings[Sub-category (output)], 'Cash actuals'!$C60)</f>
        <v>0</v>
      </c>
      <c r="AN60" s="69">
        <f>SUMIFS(Bank_postings[Amount], Bank_postings[Date], "&gt;="&amp;'Cash actuals'!AN$7, Bank_postings[Date], "&lt;="&amp;'Cash actuals'!AN$8, Bank_postings[Sub-category (output)], 'Cash actuals'!$C60)</f>
        <v>0</v>
      </c>
      <c r="AO60" s="69">
        <f>SUMIFS(Bank_postings[Amount], Bank_postings[Date], "&gt;="&amp;'Cash actuals'!AO$7, Bank_postings[Date], "&lt;="&amp;'Cash actuals'!AO$8, Bank_postings[Sub-category (output)], 'Cash actuals'!$C60)</f>
        <v>0</v>
      </c>
      <c r="AP60" s="69">
        <f>SUMIFS(Bank_postings[Amount], Bank_postings[Date], "&gt;="&amp;'Cash actuals'!AP$7, Bank_postings[Date], "&lt;="&amp;'Cash actuals'!AP$8, Bank_postings[Sub-category (output)], 'Cash actuals'!$C60)</f>
        <v>0</v>
      </c>
      <c r="AQ60" s="69">
        <f>SUMIFS(Bank_postings[Amount], Bank_postings[Date], "&gt;="&amp;'Cash actuals'!AQ$7, Bank_postings[Date], "&lt;="&amp;'Cash actuals'!AQ$8, Bank_postings[Sub-category (output)], 'Cash actuals'!$C60)</f>
        <v>0</v>
      </c>
      <c r="AR60" s="69">
        <f>SUMIFS(Bank_postings[Amount], Bank_postings[Date], "&gt;="&amp;'Cash actuals'!AR$7, Bank_postings[Date], "&lt;="&amp;'Cash actuals'!AR$8, Bank_postings[Sub-category (output)], 'Cash actuals'!$C60)</f>
        <v>0</v>
      </c>
      <c r="AS60" s="69">
        <f>SUMIFS(Bank_postings[Amount], Bank_postings[Date], "&gt;="&amp;'Cash actuals'!AS$7, Bank_postings[Date], "&lt;="&amp;'Cash actuals'!AS$8, Bank_postings[Sub-category (output)], 'Cash actuals'!$C60)</f>
        <v>0</v>
      </c>
      <c r="AT60" s="69">
        <f>SUMIFS(Bank_postings[Amount], Bank_postings[Date], "&gt;="&amp;'Cash actuals'!AT$7, Bank_postings[Date], "&lt;="&amp;'Cash actuals'!AT$8, Bank_postings[Sub-category (output)], 'Cash actuals'!$C60)</f>
        <v>0</v>
      </c>
      <c r="AU60" s="69">
        <f>SUMIFS(Bank_postings[Amount], Bank_postings[Date], "&gt;="&amp;'Cash actuals'!AU$7, Bank_postings[Date], "&lt;="&amp;'Cash actuals'!AU$8, Bank_postings[Sub-category (output)], 'Cash actuals'!$C60)</f>
        <v>0</v>
      </c>
      <c r="AV60" s="69">
        <f>SUMIFS(Bank_postings[Amount], Bank_postings[Date], "&gt;="&amp;'Cash actuals'!AV$7, Bank_postings[Date], "&lt;="&amp;'Cash actuals'!AV$8, Bank_postings[Sub-category (output)], 'Cash actuals'!$C60)</f>
        <v>0</v>
      </c>
      <c r="AW60" s="69">
        <f>SUMIFS(Bank_postings[Amount], Bank_postings[Date], "&gt;="&amp;'Cash actuals'!AW$7, Bank_postings[Date], "&lt;="&amp;'Cash actuals'!AW$8, Bank_postings[Sub-category (output)], 'Cash actuals'!$C60)</f>
        <v>0</v>
      </c>
      <c r="AX60" s="69">
        <f>SUMIFS(Bank_postings[Amount], Bank_postings[Date], "&gt;="&amp;'Cash actuals'!AX$7, Bank_postings[Date], "&lt;="&amp;'Cash actuals'!AX$8, Bank_postings[Sub-category (output)], 'Cash actuals'!$C60)</f>
        <v>0</v>
      </c>
      <c r="AY60" s="69">
        <f>SUMIFS(Bank_postings[Amount], Bank_postings[Date], "&gt;="&amp;'Cash actuals'!AY$7, Bank_postings[Date], "&lt;="&amp;'Cash actuals'!AY$8, Bank_postings[Sub-category (output)], 'Cash actuals'!$C60)</f>
        <v>0</v>
      </c>
      <c r="AZ60" s="69">
        <f>SUMIFS(Bank_postings[Amount], Bank_postings[Date], "&gt;="&amp;'Cash actuals'!AZ$7, Bank_postings[Date], "&lt;="&amp;'Cash actuals'!AZ$8, Bank_postings[Sub-category (output)], 'Cash actuals'!$C60)</f>
        <v>0</v>
      </c>
      <c r="BA60" s="69">
        <f>SUMIFS(Bank_postings[Amount], Bank_postings[Date], "&gt;="&amp;'Cash actuals'!BA$7, Bank_postings[Date], "&lt;="&amp;'Cash actuals'!BA$8, Bank_postings[Sub-category (output)], 'Cash actuals'!$C60)</f>
        <v>0</v>
      </c>
      <c r="BB60" s="69">
        <f>SUMIFS(Bank_postings[Amount], Bank_postings[Date], "&gt;="&amp;'Cash actuals'!BB$7, Bank_postings[Date], "&lt;="&amp;'Cash actuals'!BB$8, Bank_postings[Sub-category (output)], 'Cash actuals'!$C60)</f>
        <v>0</v>
      </c>
      <c r="BC60" s="69">
        <f>SUMIFS(Bank_postings[Amount], Bank_postings[Date], "&gt;="&amp;'Cash actuals'!BC$7, Bank_postings[Date], "&lt;="&amp;'Cash actuals'!BC$8, Bank_postings[Sub-category (output)], 'Cash actuals'!$C60)</f>
        <v>0</v>
      </c>
      <c r="BD60" s="69">
        <f>SUMIFS(Bank_postings[Amount], Bank_postings[Date], "&gt;="&amp;'Cash actuals'!BD$7, Bank_postings[Date], "&lt;="&amp;'Cash actuals'!BD$8, Bank_postings[Sub-category (output)], 'Cash actuals'!$C60)</f>
        <v>0</v>
      </c>
      <c r="BE60" s="69">
        <f>SUMIFS(Bank_postings[Amount], Bank_postings[Date], "&gt;="&amp;'Cash actuals'!BE$7, Bank_postings[Date], "&lt;="&amp;'Cash actuals'!BE$8, Bank_postings[Sub-category (output)], 'Cash actuals'!$C60)</f>
        <v>0</v>
      </c>
    </row>
    <row r="61" spans="3:57" ht="5.0999999999999996" customHeight="1" x14ac:dyDescent="0.25"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</row>
    <row r="62" spans="3:57" x14ac:dyDescent="0.25">
      <c r="C62" s="1">
        <f>Assumptions!$D$39</f>
        <v>0</v>
      </c>
      <c r="F62" s="69">
        <f>SUMIFS(Bank_postings[Amount], Bank_postings[Date], "&gt;="&amp;'Cash actuals'!F$7, Bank_postings[Date], "&lt;="&amp;'Cash actuals'!F$8, Bank_postings[Sub-category (output)], 'Cash actuals'!$C62)</f>
        <v>0</v>
      </c>
      <c r="G62" s="69">
        <f>SUMIFS(Bank_postings[Amount], Bank_postings[Date], "&gt;="&amp;'Cash actuals'!G$7, Bank_postings[Date], "&lt;="&amp;'Cash actuals'!G$8, Bank_postings[Sub-category (output)], 'Cash actuals'!$C62)</f>
        <v>0</v>
      </c>
      <c r="H62" s="69">
        <f>SUMIFS(Bank_postings[Amount], Bank_postings[Date], "&gt;="&amp;'Cash actuals'!H$7, Bank_postings[Date], "&lt;="&amp;'Cash actuals'!H$8, Bank_postings[Sub-category (output)], 'Cash actuals'!$C62)</f>
        <v>0</v>
      </c>
      <c r="I62" s="69">
        <f>SUMIFS(Bank_postings[Amount], Bank_postings[Date], "&gt;="&amp;'Cash actuals'!I$7, Bank_postings[Date], "&lt;="&amp;'Cash actuals'!I$8, Bank_postings[Sub-category (output)], 'Cash actuals'!$C62)</f>
        <v>0</v>
      </c>
      <c r="J62" s="69">
        <f>SUMIFS(Bank_postings[Amount], Bank_postings[Date], "&gt;="&amp;'Cash actuals'!J$7, Bank_postings[Date], "&lt;="&amp;'Cash actuals'!J$8, Bank_postings[Sub-category (output)], 'Cash actuals'!$C62)</f>
        <v>0</v>
      </c>
      <c r="K62" s="69">
        <f>SUMIFS(Bank_postings[Amount], Bank_postings[Date], "&gt;="&amp;'Cash actuals'!K$7, Bank_postings[Date], "&lt;="&amp;'Cash actuals'!K$8, Bank_postings[Sub-category (output)], 'Cash actuals'!$C62)</f>
        <v>0</v>
      </c>
      <c r="L62" s="69">
        <f>SUMIFS(Bank_postings[Amount], Bank_postings[Date], "&gt;="&amp;'Cash actuals'!L$7, Bank_postings[Date], "&lt;="&amp;'Cash actuals'!L$8, Bank_postings[Sub-category (output)], 'Cash actuals'!$C62)</f>
        <v>0</v>
      </c>
      <c r="M62" s="69">
        <f>SUMIFS(Bank_postings[Amount], Bank_postings[Date], "&gt;="&amp;'Cash actuals'!M$7, Bank_postings[Date], "&lt;="&amp;'Cash actuals'!M$8, Bank_postings[Sub-category (output)], 'Cash actuals'!$C62)</f>
        <v>0</v>
      </c>
      <c r="N62" s="69">
        <f>SUMIFS(Bank_postings[Amount], Bank_postings[Date], "&gt;="&amp;'Cash actuals'!N$7, Bank_postings[Date], "&lt;="&amp;'Cash actuals'!N$8, Bank_postings[Sub-category (output)], 'Cash actuals'!$C62)</f>
        <v>0</v>
      </c>
      <c r="O62" s="69">
        <f>SUMIFS(Bank_postings[Amount], Bank_postings[Date], "&gt;="&amp;'Cash actuals'!O$7, Bank_postings[Date], "&lt;="&amp;'Cash actuals'!O$8, Bank_postings[Sub-category (output)], 'Cash actuals'!$C62)</f>
        <v>0</v>
      </c>
      <c r="P62" s="69">
        <f>SUMIFS(Bank_postings[Amount], Bank_postings[Date], "&gt;="&amp;'Cash actuals'!P$7, Bank_postings[Date], "&lt;="&amp;'Cash actuals'!P$8, Bank_postings[Sub-category (output)], 'Cash actuals'!$C62)</f>
        <v>0</v>
      </c>
      <c r="Q62" s="69">
        <f>SUMIFS(Bank_postings[Amount], Bank_postings[Date], "&gt;="&amp;'Cash actuals'!Q$7, Bank_postings[Date], "&lt;="&amp;'Cash actuals'!Q$8, Bank_postings[Sub-category (output)], 'Cash actuals'!$C62)</f>
        <v>0</v>
      </c>
      <c r="R62" s="69">
        <f>SUMIFS(Bank_postings[Amount], Bank_postings[Date], "&gt;="&amp;'Cash actuals'!R$7, Bank_postings[Date], "&lt;="&amp;'Cash actuals'!R$8, Bank_postings[Sub-category (output)], 'Cash actuals'!$C62)</f>
        <v>0</v>
      </c>
      <c r="S62" s="69">
        <f>SUMIFS(Bank_postings[Amount], Bank_postings[Date], "&gt;="&amp;'Cash actuals'!S$7, Bank_postings[Date], "&lt;="&amp;'Cash actuals'!S$8, Bank_postings[Sub-category (output)], 'Cash actuals'!$C62)</f>
        <v>0</v>
      </c>
      <c r="T62" s="69">
        <f>SUMIFS(Bank_postings[Amount], Bank_postings[Date], "&gt;="&amp;'Cash actuals'!T$7, Bank_postings[Date], "&lt;="&amp;'Cash actuals'!T$8, Bank_postings[Sub-category (output)], 'Cash actuals'!$C62)</f>
        <v>0</v>
      </c>
      <c r="U62" s="69">
        <f>SUMIFS(Bank_postings[Amount], Bank_postings[Date], "&gt;="&amp;'Cash actuals'!U$7, Bank_postings[Date], "&lt;="&amp;'Cash actuals'!U$8, Bank_postings[Sub-category (output)], 'Cash actuals'!$C62)</f>
        <v>0</v>
      </c>
      <c r="V62" s="69">
        <f>SUMIFS(Bank_postings[Amount], Bank_postings[Date], "&gt;="&amp;'Cash actuals'!V$7, Bank_postings[Date], "&lt;="&amp;'Cash actuals'!V$8, Bank_postings[Sub-category (output)], 'Cash actuals'!$C62)</f>
        <v>0</v>
      </c>
      <c r="W62" s="69">
        <f>SUMIFS(Bank_postings[Amount], Bank_postings[Date], "&gt;="&amp;'Cash actuals'!W$7, Bank_postings[Date], "&lt;="&amp;'Cash actuals'!W$8, Bank_postings[Sub-category (output)], 'Cash actuals'!$C62)</f>
        <v>0</v>
      </c>
      <c r="X62" s="69">
        <f>SUMIFS(Bank_postings[Amount], Bank_postings[Date], "&gt;="&amp;'Cash actuals'!X$7, Bank_postings[Date], "&lt;="&amp;'Cash actuals'!X$8, Bank_postings[Sub-category (output)], 'Cash actuals'!$C62)</f>
        <v>0</v>
      </c>
      <c r="Y62" s="69">
        <f>SUMIFS(Bank_postings[Amount], Bank_postings[Date], "&gt;="&amp;'Cash actuals'!Y$7, Bank_postings[Date], "&lt;="&amp;'Cash actuals'!Y$8, Bank_postings[Sub-category (output)], 'Cash actuals'!$C62)</f>
        <v>0</v>
      </c>
      <c r="Z62" s="69">
        <f>SUMIFS(Bank_postings[Amount], Bank_postings[Date], "&gt;="&amp;'Cash actuals'!Z$7, Bank_postings[Date], "&lt;="&amp;'Cash actuals'!Z$8, Bank_postings[Sub-category (output)], 'Cash actuals'!$C62)</f>
        <v>0</v>
      </c>
      <c r="AA62" s="69">
        <f>SUMIFS(Bank_postings[Amount], Bank_postings[Date], "&gt;="&amp;'Cash actuals'!AA$7, Bank_postings[Date], "&lt;="&amp;'Cash actuals'!AA$8, Bank_postings[Sub-category (output)], 'Cash actuals'!$C62)</f>
        <v>0</v>
      </c>
      <c r="AB62" s="69">
        <f>SUMIFS(Bank_postings[Amount], Bank_postings[Date], "&gt;="&amp;'Cash actuals'!AB$7, Bank_postings[Date], "&lt;="&amp;'Cash actuals'!AB$8, Bank_postings[Sub-category (output)], 'Cash actuals'!$C62)</f>
        <v>0</v>
      </c>
      <c r="AC62" s="69">
        <f>SUMIFS(Bank_postings[Amount], Bank_postings[Date], "&gt;="&amp;'Cash actuals'!AC$7, Bank_postings[Date], "&lt;="&amp;'Cash actuals'!AC$8, Bank_postings[Sub-category (output)], 'Cash actuals'!$C62)</f>
        <v>0</v>
      </c>
      <c r="AD62" s="69">
        <f>SUMIFS(Bank_postings[Amount], Bank_postings[Date], "&gt;="&amp;'Cash actuals'!AD$7, Bank_postings[Date], "&lt;="&amp;'Cash actuals'!AD$8, Bank_postings[Sub-category (output)], 'Cash actuals'!$C62)</f>
        <v>0</v>
      </c>
      <c r="AE62" s="69">
        <f>SUMIFS(Bank_postings[Amount], Bank_postings[Date], "&gt;="&amp;'Cash actuals'!AE$7, Bank_postings[Date], "&lt;="&amp;'Cash actuals'!AE$8, Bank_postings[Sub-category (output)], 'Cash actuals'!$C62)</f>
        <v>0</v>
      </c>
      <c r="AF62" s="69">
        <f>SUMIFS(Bank_postings[Amount], Bank_postings[Date], "&gt;="&amp;'Cash actuals'!AF$7, Bank_postings[Date], "&lt;="&amp;'Cash actuals'!AF$8, Bank_postings[Sub-category (output)], 'Cash actuals'!$C62)</f>
        <v>0</v>
      </c>
      <c r="AG62" s="69">
        <f>SUMIFS(Bank_postings[Amount], Bank_postings[Date], "&gt;="&amp;'Cash actuals'!AG$7, Bank_postings[Date], "&lt;="&amp;'Cash actuals'!AG$8, Bank_postings[Sub-category (output)], 'Cash actuals'!$C62)</f>
        <v>0</v>
      </c>
      <c r="AH62" s="69">
        <f>SUMIFS(Bank_postings[Amount], Bank_postings[Date], "&gt;="&amp;'Cash actuals'!AH$7, Bank_postings[Date], "&lt;="&amp;'Cash actuals'!AH$8, Bank_postings[Sub-category (output)], 'Cash actuals'!$C62)</f>
        <v>0</v>
      </c>
      <c r="AI62" s="69">
        <f>SUMIFS(Bank_postings[Amount], Bank_postings[Date], "&gt;="&amp;'Cash actuals'!AI$7, Bank_postings[Date], "&lt;="&amp;'Cash actuals'!AI$8, Bank_postings[Sub-category (output)], 'Cash actuals'!$C62)</f>
        <v>0</v>
      </c>
      <c r="AJ62" s="69">
        <f>SUMIFS(Bank_postings[Amount], Bank_postings[Date], "&gt;="&amp;'Cash actuals'!AJ$7, Bank_postings[Date], "&lt;="&amp;'Cash actuals'!AJ$8, Bank_postings[Sub-category (output)], 'Cash actuals'!$C62)</f>
        <v>0</v>
      </c>
      <c r="AK62" s="69">
        <f>SUMIFS(Bank_postings[Amount], Bank_postings[Date], "&gt;="&amp;'Cash actuals'!AK$7, Bank_postings[Date], "&lt;="&amp;'Cash actuals'!AK$8, Bank_postings[Sub-category (output)], 'Cash actuals'!$C62)</f>
        <v>0</v>
      </c>
      <c r="AL62" s="69">
        <f>SUMIFS(Bank_postings[Amount], Bank_postings[Date], "&gt;="&amp;'Cash actuals'!AL$7, Bank_postings[Date], "&lt;="&amp;'Cash actuals'!AL$8, Bank_postings[Sub-category (output)], 'Cash actuals'!$C62)</f>
        <v>0</v>
      </c>
      <c r="AM62" s="69">
        <f>SUMIFS(Bank_postings[Amount], Bank_postings[Date], "&gt;="&amp;'Cash actuals'!AM$7, Bank_postings[Date], "&lt;="&amp;'Cash actuals'!AM$8, Bank_postings[Sub-category (output)], 'Cash actuals'!$C62)</f>
        <v>0</v>
      </c>
      <c r="AN62" s="69">
        <f>SUMIFS(Bank_postings[Amount], Bank_postings[Date], "&gt;="&amp;'Cash actuals'!AN$7, Bank_postings[Date], "&lt;="&amp;'Cash actuals'!AN$8, Bank_postings[Sub-category (output)], 'Cash actuals'!$C62)</f>
        <v>0</v>
      </c>
      <c r="AO62" s="69">
        <f>SUMIFS(Bank_postings[Amount], Bank_postings[Date], "&gt;="&amp;'Cash actuals'!AO$7, Bank_postings[Date], "&lt;="&amp;'Cash actuals'!AO$8, Bank_postings[Sub-category (output)], 'Cash actuals'!$C62)</f>
        <v>0</v>
      </c>
      <c r="AP62" s="69">
        <f>SUMIFS(Bank_postings[Amount], Bank_postings[Date], "&gt;="&amp;'Cash actuals'!AP$7, Bank_postings[Date], "&lt;="&amp;'Cash actuals'!AP$8, Bank_postings[Sub-category (output)], 'Cash actuals'!$C62)</f>
        <v>0</v>
      </c>
      <c r="AQ62" s="69">
        <f>SUMIFS(Bank_postings[Amount], Bank_postings[Date], "&gt;="&amp;'Cash actuals'!AQ$7, Bank_postings[Date], "&lt;="&amp;'Cash actuals'!AQ$8, Bank_postings[Sub-category (output)], 'Cash actuals'!$C62)</f>
        <v>0</v>
      </c>
      <c r="AR62" s="69">
        <f>SUMIFS(Bank_postings[Amount], Bank_postings[Date], "&gt;="&amp;'Cash actuals'!AR$7, Bank_postings[Date], "&lt;="&amp;'Cash actuals'!AR$8, Bank_postings[Sub-category (output)], 'Cash actuals'!$C62)</f>
        <v>0</v>
      </c>
      <c r="AS62" s="69">
        <f>SUMIFS(Bank_postings[Amount], Bank_postings[Date], "&gt;="&amp;'Cash actuals'!AS$7, Bank_postings[Date], "&lt;="&amp;'Cash actuals'!AS$8, Bank_postings[Sub-category (output)], 'Cash actuals'!$C62)</f>
        <v>0</v>
      </c>
      <c r="AT62" s="69">
        <f>SUMIFS(Bank_postings[Amount], Bank_postings[Date], "&gt;="&amp;'Cash actuals'!AT$7, Bank_postings[Date], "&lt;="&amp;'Cash actuals'!AT$8, Bank_postings[Sub-category (output)], 'Cash actuals'!$C62)</f>
        <v>0</v>
      </c>
      <c r="AU62" s="69">
        <f>SUMIFS(Bank_postings[Amount], Bank_postings[Date], "&gt;="&amp;'Cash actuals'!AU$7, Bank_postings[Date], "&lt;="&amp;'Cash actuals'!AU$8, Bank_postings[Sub-category (output)], 'Cash actuals'!$C62)</f>
        <v>0</v>
      </c>
      <c r="AV62" s="69">
        <f>SUMIFS(Bank_postings[Amount], Bank_postings[Date], "&gt;="&amp;'Cash actuals'!AV$7, Bank_postings[Date], "&lt;="&amp;'Cash actuals'!AV$8, Bank_postings[Sub-category (output)], 'Cash actuals'!$C62)</f>
        <v>0</v>
      </c>
      <c r="AW62" s="69">
        <f>SUMIFS(Bank_postings[Amount], Bank_postings[Date], "&gt;="&amp;'Cash actuals'!AW$7, Bank_postings[Date], "&lt;="&amp;'Cash actuals'!AW$8, Bank_postings[Sub-category (output)], 'Cash actuals'!$C62)</f>
        <v>0</v>
      </c>
      <c r="AX62" s="69">
        <f>SUMIFS(Bank_postings[Amount], Bank_postings[Date], "&gt;="&amp;'Cash actuals'!AX$7, Bank_postings[Date], "&lt;="&amp;'Cash actuals'!AX$8, Bank_postings[Sub-category (output)], 'Cash actuals'!$C62)</f>
        <v>0</v>
      </c>
      <c r="AY62" s="69">
        <f>SUMIFS(Bank_postings[Amount], Bank_postings[Date], "&gt;="&amp;'Cash actuals'!AY$7, Bank_postings[Date], "&lt;="&amp;'Cash actuals'!AY$8, Bank_postings[Sub-category (output)], 'Cash actuals'!$C62)</f>
        <v>0</v>
      </c>
      <c r="AZ62" s="69">
        <f>SUMIFS(Bank_postings[Amount], Bank_postings[Date], "&gt;="&amp;'Cash actuals'!AZ$7, Bank_postings[Date], "&lt;="&amp;'Cash actuals'!AZ$8, Bank_postings[Sub-category (output)], 'Cash actuals'!$C62)</f>
        <v>0</v>
      </c>
      <c r="BA62" s="69">
        <f>SUMIFS(Bank_postings[Amount], Bank_postings[Date], "&gt;="&amp;'Cash actuals'!BA$7, Bank_postings[Date], "&lt;="&amp;'Cash actuals'!BA$8, Bank_postings[Sub-category (output)], 'Cash actuals'!$C62)</f>
        <v>0</v>
      </c>
      <c r="BB62" s="69">
        <f>SUMIFS(Bank_postings[Amount], Bank_postings[Date], "&gt;="&amp;'Cash actuals'!BB$7, Bank_postings[Date], "&lt;="&amp;'Cash actuals'!BB$8, Bank_postings[Sub-category (output)], 'Cash actuals'!$C62)</f>
        <v>0</v>
      </c>
      <c r="BC62" s="69">
        <f>SUMIFS(Bank_postings[Amount], Bank_postings[Date], "&gt;="&amp;'Cash actuals'!BC$7, Bank_postings[Date], "&lt;="&amp;'Cash actuals'!BC$8, Bank_postings[Sub-category (output)], 'Cash actuals'!$C62)</f>
        <v>0</v>
      </c>
      <c r="BD62" s="69">
        <f>SUMIFS(Bank_postings[Amount], Bank_postings[Date], "&gt;="&amp;'Cash actuals'!BD$7, Bank_postings[Date], "&lt;="&amp;'Cash actuals'!BD$8, Bank_postings[Sub-category (output)], 'Cash actuals'!$C62)</f>
        <v>0</v>
      </c>
      <c r="BE62" s="69">
        <f>SUMIFS(Bank_postings[Amount], Bank_postings[Date], "&gt;="&amp;'Cash actuals'!BE$7, Bank_postings[Date], "&lt;="&amp;'Cash actuals'!BE$8, Bank_postings[Sub-category (output)], 'Cash actuals'!$C62)</f>
        <v>0</v>
      </c>
    </row>
    <row r="63" spans="3:57" ht="5.0999999999999996" customHeight="1" x14ac:dyDescent="0.25"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</row>
    <row r="64" spans="3:57" x14ac:dyDescent="0.25">
      <c r="C64" s="1">
        <f>Assumptions!$D$40</f>
        <v>0</v>
      </c>
      <c r="F64" s="69">
        <f>SUMIFS(Bank_postings[Amount], Bank_postings[Date], "&gt;="&amp;'Cash actuals'!F$7, Bank_postings[Date], "&lt;="&amp;'Cash actuals'!F$8, Bank_postings[Sub-category (output)], 'Cash actuals'!$C64)</f>
        <v>0</v>
      </c>
      <c r="G64" s="69">
        <f>SUMIFS(Bank_postings[Amount], Bank_postings[Date], "&gt;="&amp;'Cash actuals'!G$7, Bank_postings[Date], "&lt;="&amp;'Cash actuals'!G$8, Bank_postings[Sub-category (output)], 'Cash actuals'!$C64)</f>
        <v>0</v>
      </c>
      <c r="H64" s="69">
        <f>SUMIFS(Bank_postings[Amount], Bank_postings[Date], "&gt;="&amp;'Cash actuals'!H$7, Bank_postings[Date], "&lt;="&amp;'Cash actuals'!H$8, Bank_postings[Sub-category (output)], 'Cash actuals'!$C64)</f>
        <v>0</v>
      </c>
      <c r="I64" s="69">
        <f>SUMIFS(Bank_postings[Amount], Bank_postings[Date], "&gt;="&amp;'Cash actuals'!I$7, Bank_postings[Date], "&lt;="&amp;'Cash actuals'!I$8, Bank_postings[Sub-category (output)], 'Cash actuals'!$C64)</f>
        <v>0</v>
      </c>
      <c r="J64" s="69">
        <f>SUMIFS(Bank_postings[Amount], Bank_postings[Date], "&gt;="&amp;'Cash actuals'!J$7, Bank_postings[Date], "&lt;="&amp;'Cash actuals'!J$8, Bank_postings[Sub-category (output)], 'Cash actuals'!$C64)</f>
        <v>0</v>
      </c>
      <c r="K64" s="69">
        <f>SUMIFS(Bank_postings[Amount], Bank_postings[Date], "&gt;="&amp;'Cash actuals'!K$7, Bank_postings[Date], "&lt;="&amp;'Cash actuals'!K$8, Bank_postings[Sub-category (output)], 'Cash actuals'!$C64)</f>
        <v>0</v>
      </c>
      <c r="L64" s="69">
        <f>SUMIFS(Bank_postings[Amount], Bank_postings[Date], "&gt;="&amp;'Cash actuals'!L$7, Bank_postings[Date], "&lt;="&amp;'Cash actuals'!L$8, Bank_postings[Sub-category (output)], 'Cash actuals'!$C64)</f>
        <v>0</v>
      </c>
      <c r="M64" s="69">
        <f>SUMIFS(Bank_postings[Amount], Bank_postings[Date], "&gt;="&amp;'Cash actuals'!M$7, Bank_postings[Date], "&lt;="&amp;'Cash actuals'!M$8, Bank_postings[Sub-category (output)], 'Cash actuals'!$C64)</f>
        <v>0</v>
      </c>
      <c r="N64" s="69">
        <f>SUMIFS(Bank_postings[Amount], Bank_postings[Date], "&gt;="&amp;'Cash actuals'!N$7, Bank_postings[Date], "&lt;="&amp;'Cash actuals'!N$8, Bank_postings[Sub-category (output)], 'Cash actuals'!$C64)</f>
        <v>0</v>
      </c>
      <c r="O64" s="69">
        <f>SUMIFS(Bank_postings[Amount], Bank_postings[Date], "&gt;="&amp;'Cash actuals'!O$7, Bank_postings[Date], "&lt;="&amp;'Cash actuals'!O$8, Bank_postings[Sub-category (output)], 'Cash actuals'!$C64)</f>
        <v>0</v>
      </c>
      <c r="P64" s="69">
        <f>SUMIFS(Bank_postings[Amount], Bank_postings[Date], "&gt;="&amp;'Cash actuals'!P$7, Bank_postings[Date], "&lt;="&amp;'Cash actuals'!P$8, Bank_postings[Sub-category (output)], 'Cash actuals'!$C64)</f>
        <v>0</v>
      </c>
      <c r="Q64" s="69">
        <f>SUMIFS(Bank_postings[Amount], Bank_postings[Date], "&gt;="&amp;'Cash actuals'!Q$7, Bank_postings[Date], "&lt;="&amp;'Cash actuals'!Q$8, Bank_postings[Sub-category (output)], 'Cash actuals'!$C64)</f>
        <v>0</v>
      </c>
      <c r="R64" s="69">
        <f>SUMIFS(Bank_postings[Amount], Bank_postings[Date], "&gt;="&amp;'Cash actuals'!R$7, Bank_postings[Date], "&lt;="&amp;'Cash actuals'!R$8, Bank_postings[Sub-category (output)], 'Cash actuals'!$C64)</f>
        <v>0</v>
      </c>
      <c r="S64" s="69">
        <f>SUMIFS(Bank_postings[Amount], Bank_postings[Date], "&gt;="&amp;'Cash actuals'!S$7, Bank_postings[Date], "&lt;="&amp;'Cash actuals'!S$8, Bank_postings[Sub-category (output)], 'Cash actuals'!$C64)</f>
        <v>0</v>
      </c>
      <c r="T64" s="69">
        <f>SUMIFS(Bank_postings[Amount], Bank_postings[Date], "&gt;="&amp;'Cash actuals'!T$7, Bank_postings[Date], "&lt;="&amp;'Cash actuals'!T$8, Bank_postings[Sub-category (output)], 'Cash actuals'!$C64)</f>
        <v>0</v>
      </c>
      <c r="U64" s="69">
        <f>SUMIFS(Bank_postings[Amount], Bank_postings[Date], "&gt;="&amp;'Cash actuals'!U$7, Bank_postings[Date], "&lt;="&amp;'Cash actuals'!U$8, Bank_postings[Sub-category (output)], 'Cash actuals'!$C64)</f>
        <v>0</v>
      </c>
      <c r="V64" s="69">
        <f>SUMIFS(Bank_postings[Amount], Bank_postings[Date], "&gt;="&amp;'Cash actuals'!V$7, Bank_postings[Date], "&lt;="&amp;'Cash actuals'!V$8, Bank_postings[Sub-category (output)], 'Cash actuals'!$C64)</f>
        <v>0</v>
      </c>
      <c r="W64" s="69">
        <f>SUMIFS(Bank_postings[Amount], Bank_postings[Date], "&gt;="&amp;'Cash actuals'!W$7, Bank_postings[Date], "&lt;="&amp;'Cash actuals'!W$8, Bank_postings[Sub-category (output)], 'Cash actuals'!$C64)</f>
        <v>0</v>
      </c>
      <c r="X64" s="69">
        <f>SUMIFS(Bank_postings[Amount], Bank_postings[Date], "&gt;="&amp;'Cash actuals'!X$7, Bank_postings[Date], "&lt;="&amp;'Cash actuals'!X$8, Bank_postings[Sub-category (output)], 'Cash actuals'!$C64)</f>
        <v>0</v>
      </c>
      <c r="Y64" s="69">
        <f>SUMIFS(Bank_postings[Amount], Bank_postings[Date], "&gt;="&amp;'Cash actuals'!Y$7, Bank_postings[Date], "&lt;="&amp;'Cash actuals'!Y$8, Bank_postings[Sub-category (output)], 'Cash actuals'!$C64)</f>
        <v>0</v>
      </c>
      <c r="Z64" s="69">
        <f>SUMIFS(Bank_postings[Amount], Bank_postings[Date], "&gt;="&amp;'Cash actuals'!Z$7, Bank_postings[Date], "&lt;="&amp;'Cash actuals'!Z$8, Bank_postings[Sub-category (output)], 'Cash actuals'!$C64)</f>
        <v>0</v>
      </c>
      <c r="AA64" s="69">
        <f>SUMIFS(Bank_postings[Amount], Bank_postings[Date], "&gt;="&amp;'Cash actuals'!AA$7, Bank_postings[Date], "&lt;="&amp;'Cash actuals'!AA$8, Bank_postings[Sub-category (output)], 'Cash actuals'!$C64)</f>
        <v>0</v>
      </c>
      <c r="AB64" s="69">
        <f>SUMIFS(Bank_postings[Amount], Bank_postings[Date], "&gt;="&amp;'Cash actuals'!AB$7, Bank_postings[Date], "&lt;="&amp;'Cash actuals'!AB$8, Bank_postings[Sub-category (output)], 'Cash actuals'!$C64)</f>
        <v>0</v>
      </c>
      <c r="AC64" s="69">
        <f>SUMIFS(Bank_postings[Amount], Bank_postings[Date], "&gt;="&amp;'Cash actuals'!AC$7, Bank_postings[Date], "&lt;="&amp;'Cash actuals'!AC$8, Bank_postings[Sub-category (output)], 'Cash actuals'!$C64)</f>
        <v>0</v>
      </c>
      <c r="AD64" s="69">
        <f>SUMIFS(Bank_postings[Amount], Bank_postings[Date], "&gt;="&amp;'Cash actuals'!AD$7, Bank_postings[Date], "&lt;="&amp;'Cash actuals'!AD$8, Bank_postings[Sub-category (output)], 'Cash actuals'!$C64)</f>
        <v>0</v>
      </c>
      <c r="AE64" s="69">
        <f>SUMIFS(Bank_postings[Amount], Bank_postings[Date], "&gt;="&amp;'Cash actuals'!AE$7, Bank_postings[Date], "&lt;="&amp;'Cash actuals'!AE$8, Bank_postings[Sub-category (output)], 'Cash actuals'!$C64)</f>
        <v>0</v>
      </c>
      <c r="AF64" s="69">
        <f>SUMIFS(Bank_postings[Amount], Bank_postings[Date], "&gt;="&amp;'Cash actuals'!AF$7, Bank_postings[Date], "&lt;="&amp;'Cash actuals'!AF$8, Bank_postings[Sub-category (output)], 'Cash actuals'!$C64)</f>
        <v>0</v>
      </c>
      <c r="AG64" s="69">
        <f>SUMIFS(Bank_postings[Amount], Bank_postings[Date], "&gt;="&amp;'Cash actuals'!AG$7, Bank_postings[Date], "&lt;="&amp;'Cash actuals'!AG$8, Bank_postings[Sub-category (output)], 'Cash actuals'!$C64)</f>
        <v>0</v>
      </c>
      <c r="AH64" s="69">
        <f>SUMIFS(Bank_postings[Amount], Bank_postings[Date], "&gt;="&amp;'Cash actuals'!AH$7, Bank_postings[Date], "&lt;="&amp;'Cash actuals'!AH$8, Bank_postings[Sub-category (output)], 'Cash actuals'!$C64)</f>
        <v>0</v>
      </c>
      <c r="AI64" s="69">
        <f>SUMIFS(Bank_postings[Amount], Bank_postings[Date], "&gt;="&amp;'Cash actuals'!AI$7, Bank_postings[Date], "&lt;="&amp;'Cash actuals'!AI$8, Bank_postings[Sub-category (output)], 'Cash actuals'!$C64)</f>
        <v>0</v>
      </c>
      <c r="AJ64" s="69">
        <f>SUMIFS(Bank_postings[Amount], Bank_postings[Date], "&gt;="&amp;'Cash actuals'!AJ$7, Bank_postings[Date], "&lt;="&amp;'Cash actuals'!AJ$8, Bank_postings[Sub-category (output)], 'Cash actuals'!$C64)</f>
        <v>0</v>
      </c>
      <c r="AK64" s="69">
        <f>SUMIFS(Bank_postings[Amount], Bank_postings[Date], "&gt;="&amp;'Cash actuals'!AK$7, Bank_postings[Date], "&lt;="&amp;'Cash actuals'!AK$8, Bank_postings[Sub-category (output)], 'Cash actuals'!$C64)</f>
        <v>0</v>
      </c>
      <c r="AL64" s="69">
        <f>SUMIFS(Bank_postings[Amount], Bank_postings[Date], "&gt;="&amp;'Cash actuals'!AL$7, Bank_postings[Date], "&lt;="&amp;'Cash actuals'!AL$8, Bank_postings[Sub-category (output)], 'Cash actuals'!$C64)</f>
        <v>0</v>
      </c>
      <c r="AM64" s="69">
        <f>SUMIFS(Bank_postings[Amount], Bank_postings[Date], "&gt;="&amp;'Cash actuals'!AM$7, Bank_postings[Date], "&lt;="&amp;'Cash actuals'!AM$8, Bank_postings[Sub-category (output)], 'Cash actuals'!$C64)</f>
        <v>0</v>
      </c>
      <c r="AN64" s="69">
        <f>SUMIFS(Bank_postings[Amount], Bank_postings[Date], "&gt;="&amp;'Cash actuals'!AN$7, Bank_postings[Date], "&lt;="&amp;'Cash actuals'!AN$8, Bank_postings[Sub-category (output)], 'Cash actuals'!$C64)</f>
        <v>0</v>
      </c>
      <c r="AO64" s="69">
        <f>SUMIFS(Bank_postings[Amount], Bank_postings[Date], "&gt;="&amp;'Cash actuals'!AO$7, Bank_postings[Date], "&lt;="&amp;'Cash actuals'!AO$8, Bank_postings[Sub-category (output)], 'Cash actuals'!$C64)</f>
        <v>0</v>
      </c>
      <c r="AP64" s="69">
        <f>SUMIFS(Bank_postings[Amount], Bank_postings[Date], "&gt;="&amp;'Cash actuals'!AP$7, Bank_postings[Date], "&lt;="&amp;'Cash actuals'!AP$8, Bank_postings[Sub-category (output)], 'Cash actuals'!$C64)</f>
        <v>0</v>
      </c>
      <c r="AQ64" s="69">
        <f>SUMIFS(Bank_postings[Amount], Bank_postings[Date], "&gt;="&amp;'Cash actuals'!AQ$7, Bank_postings[Date], "&lt;="&amp;'Cash actuals'!AQ$8, Bank_postings[Sub-category (output)], 'Cash actuals'!$C64)</f>
        <v>0</v>
      </c>
      <c r="AR64" s="69">
        <f>SUMIFS(Bank_postings[Amount], Bank_postings[Date], "&gt;="&amp;'Cash actuals'!AR$7, Bank_postings[Date], "&lt;="&amp;'Cash actuals'!AR$8, Bank_postings[Sub-category (output)], 'Cash actuals'!$C64)</f>
        <v>0</v>
      </c>
      <c r="AS64" s="69">
        <f>SUMIFS(Bank_postings[Amount], Bank_postings[Date], "&gt;="&amp;'Cash actuals'!AS$7, Bank_postings[Date], "&lt;="&amp;'Cash actuals'!AS$8, Bank_postings[Sub-category (output)], 'Cash actuals'!$C64)</f>
        <v>0</v>
      </c>
      <c r="AT64" s="69">
        <f>SUMIFS(Bank_postings[Amount], Bank_postings[Date], "&gt;="&amp;'Cash actuals'!AT$7, Bank_postings[Date], "&lt;="&amp;'Cash actuals'!AT$8, Bank_postings[Sub-category (output)], 'Cash actuals'!$C64)</f>
        <v>0</v>
      </c>
      <c r="AU64" s="69">
        <f>SUMIFS(Bank_postings[Amount], Bank_postings[Date], "&gt;="&amp;'Cash actuals'!AU$7, Bank_postings[Date], "&lt;="&amp;'Cash actuals'!AU$8, Bank_postings[Sub-category (output)], 'Cash actuals'!$C64)</f>
        <v>0</v>
      </c>
      <c r="AV64" s="69">
        <f>SUMIFS(Bank_postings[Amount], Bank_postings[Date], "&gt;="&amp;'Cash actuals'!AV$7, Bank_postings[Date], "&lt;="&amp;'Cash actuals'!AV$8, Bank_postings[Sub-category (output)], 'Cash actuals'!$C64)</f>
        <v>0</v>
      </c>
      <c r="AW64" s="69">
        <f>SUMIFS(Bank_postings[Amount], Bank_postings[Date], "&gt;="&amp;'Cash actuals'!AW$7, Bank_postings[Date], "&lt;="&amp;'Cash actuals'!AW$8, Bank_postings[Sub-category (output)], 'Cash actuals'!$C64)</f>
        <v>0</v>
      </c>
      <c r="AX64" s="69">
        <f>SUMIFS(Bank_postings[Amount], Bank_postings[Date], "&gt;="&amp;'Cash actuals'!AX$7, Bank_postings[Date], "&lt;="&amp;'Cash actuals'!AX$8, Bank_postings[Sub-category (output)], 'Cash actuals'!$C64)</f>
        <v>0</v>
      </c>
      <c r="AY64" s="69">
        <f>SUMIFS(Bank_postings[Amount], Bank_postings[Date], "&gt;="&amp;'Cash actuals'!AY$7, Bank_postings[Date], "&lt;="&amp;'Cash actuals'!AY$8, Bank_postings[Sub-category (output)], 'Cash actuals'!$C64)</f>
        <v>0</v>
      </c>
      <c r="AZ64" s="69">
        <f>SUMIFS(Bank_postings[Amount], Bank_postings[Date], "&gt;="&amp;'Cash actuals'!AZ$7, Bank_postings[Date], "&lt;="&amp;'Cash actuals'!AZ$8, Bank_postings[Sub-category (output)], 'Cash actuals'!$C64)</f>
        <v>0</v>
      </c>
      <c r="BA64" s="69">
        <f>SUMIFS(Bank_postings[Amount], Bank_postings[Date], "&gt;="&amp;'Cash actuals'!BA$7, Bank_postings[Date], "&lt;="&amp;'Cash actuals'!BA$8, Bank_postings[Sub-category (output)], 'Cash actuals'!$C64)</f>
        <v>0</v>
      </c>
      <c r="BB64" s="69">
        <f>SUMIFS(Bank_postings[Amount], Bank_postings[Date], "&gt;="&amp;'Cash actuals'!BB$7, Bank_postings[Date], "&lt;="&amp;'Cash actuals'!BB$8, Bank_postings[Sub-category (output)], 'Cash actuals'!$C64)</f>
        <v>0</v>
      </c>
      <c r="BC64" s="69">
        <f>SUMIFS(Bank_postings[Amount], Bank_postings[Date], "&gt;="&amp;'Cash actuals'!BC$7, Bank_postings[Date], "&lt;="&amp;'Cash actuals'!BC$8, Bank_postings[Sub-category (output)], 'Cash actuals'!$C64)</f>
        <v>0</v>
      </c>
      <c r="BD64" s="69">
        <f>SUMIFS(Bank_postings[Amount], Bank_postings[Date], "&gt;="&amp;'Cash actuals'!BD$7, Bank_postings[Date], "&lt;="&amp;'Cash actuals'!BD$8, Bank_postings[Sub-category (output)], 'Cash actuals'!$C64)</f>
        <v>0</v>
      </c>
      <c r="BE64" s="69">
        <f>SUMIFS(Bank_postings[Amount], Bank_postings[Date], "&gt;="&amp;'Cash actuals'!BE$7, Bank_postings[Date], "&lt;="&amp;'Cash actuals'!BE$8, Bank_postings[Sub-category (output)], 'Cash actuals'!$C64)</f>
        <v>0</v>
      </c>
    </row>
    <row r="65" spans="3:57" ht="5.0999999999999996" customHeight="1" x14ac:dyDescent="0.25"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</row>
    <row r="66" spans="3:57" x14ac:dyDescent="0.25">
      <c r="C66" s="1">
        <f>Assumptions!$D$41</f>
        <v>0</v>
      </c>
      <c r="F66" s="69">
        <f>SUMIFS(Bank_postings[Amount], Bank_postings[Date], "&gt;="&amp;'Cash actuals'!F$7, Bank_postings[Date], "&lt;="&amp;'Cash actuals'!F$8, Bank_postings[Sub-category (output)], 'Cash actuals'!$C66)</f>
        <v>0</v>
      </c>
      <c r="G66" s="69">
        <f>SUMIFS(Bank_postings[Amount], Bank_postings[Date], "&gt;="&amp;'Cash actuals'!G$7, Bank_postings[Date], "&lt;="&amp;'Cash actuals'!G$8, Bank_postings[Sub-category (output)], 'Cash actuals'!$C66)</f>
        <v>0</v>
      </c>
      <c r="H66" s="69">
        <f>SUMIFS(Bank_postings[Amount], Bank_postings[Date], "&gt;="&amp;'Cash actuals'!H$7, Bank_postings[Date], "&lt;="&amp;'Cash actuals'!H$8, Bank_postings[Sub-category (output)], 'Cash actuals'!$C66)</f>
        <v>0</v>
      </c>
      <c r="I66" s="69">
        <f>SUMIFS(Bank_postings[Amount], Bank_postings[Date], "&gt;="&amp;'Cash actuals'!I$7, Bank_postings[Date], "&lt;="&amp;'Cash actuals'!I$8, Bank_postings[Sub-category (output)], 'Cash actuals'!$C66)</f>
        <v>0</v>
      </c>
      <c r="J66" s="69">
        <f>SUMIFS(Bank_postings[Amount], Bank_postings[Date], "&gt;="&amp;'Cash actuals'!J$7, Bank_postings[Date], "&lt;="&amp;'Cash actuals'!J$8, Bank_postings[Sub-category (output)], 'Cash actuals'!$C66)</f>
        <v>0</v>
      </c>
      <c r="K66" s="69">
        <f>SUMIFS(Bank_postings[Amount], Bank_postings[Date], "&gt;="&amp;'Cash actuals'!K$7, Bank_postings[Date], "&lt;="&amp;'Cash actuals'!K$8, Bank_postings[Sub-category (output)], 'Cash actuals'!$C66)</f>
        <v>0</v>
      </c>
      <c r="L66" s="69">
        <f>SUMIFS(Bank_postings[Amount], Bank_postings[Date], "&gt;="&amp;'Cash actuals'!L$7, Bank_postings[Date], "&lt;="&amp;'Cash actuals'!L$8, Bank_postings[Sub-category (output)], 'Cash actuals'!$C66)</f>
        <v>0</v>
      </c>
      <c r="M66" s="69">
        <f>SUMIFS(Bank_postings[Amount], Bank_postings[Date], "&gt;="&amp;'Cash actuals'!M$7, Bank_postings[Date], "&lt;="&amp;'Cash actuals'!M$8, Bank_postings[Sub-category (output)], 'Cash actuals'!$C66)</f>
        <v>0</v>
      </c>
      <c r="N66" s="69">
        <f>SUMIFS(Bank_postings[Amount], Bank_postings[Date], "&gt;="&amp;'Cash actuals'!N$7, Bank_postings[Date], "&lt;="&amp;'Cash actuals'!N$8, Bank_postings[Sub-category (output)], 'Cash actuals'!$C66)</f>
        <v>0</v>
      </c>
      <c r="O66" s="69">
        <f>SUMIFS(Bank_postings[Amount], Bank_postings[Date], "&gt;="&amp;'Cash actuals'!O$7, Bank_postings[Date], "&lt;="&amp;'Cash actuals'!O$8, Bank_postings[Sub-category (output)], 'Cash actuals'!$C66)</f>
        <v>0</v>
      </c>
      <c r="P66" s="69">
        <f>SUMIFS(Bank_postings[Amount], Bank_postings[Date], "&gt;="&amp;'Cash actuals'!P$7, Bank_postings[Date], "&lt;="&amp;'Cash actuals'!P$8, Bank_postings[Sub-category (output)], 'Cash actuals'!$C66)</f>
        <v>0</v>
      </c>
      <c r="Q66" s="69">
        <f>SUMIFS(Bank_postings[Amount], Bank_postings[Date], "&gt;="&amp;'Cash actuals'!Q$7, Bank_postings[Date], "&lt;="&amp;'Cash actuals'!Q$8, Bank_postings[Sub-category (output)], 'Cash actuals'!$C66)</f>
        <v>0</v>
      </c>
      <c r="R66" s="69">
        <f>SUMIFS(Bank_postings[Amount], Bank_postings[Date], "&gt;="&amp;'Cash actuals'!R$7, Bank_postings[Date], "&lt;="&amp;'Cash actuals'!R$8, Bank_postings[Sub-category (output)], 'Cash actuals'!$C66)</f>
        <v>0</v>
      </c>
      <c r="S66" s="69">
        <f>SUMIFS(Bank_postings[Amount], Bank_postings[Date], "&gt;="&amp;'Cash actuals'!S$7, Bank_postings[Date], "&lt;="&amp;'Cash actuals'!S$8, Bank_postings[Sub-category (output)], 'Cash actuals'!$C66)</f>
        <v>0</v>
      </c>
      <c r="T66" s="69">
        <f>SUMIFS(Bank_postings[Amount], Bank_postings[Date], "&gt;="&amp;'Cash actuals'!T$7, Bank_postings[Date], "&lt;="&amp;'Cash actuals'!T$8, Bank_postings[Sub-category (output)], 'Cash actuals'!$C66)</f>
        <v>0</v>
      </c>
      <c r="U66" s="69">
        <f>SUMIFS(Bank_postings[Amount], Bank_postings[Date], "&gt;="&amp;'Cash actuals'!U$7, Bank_postings[Date], "&lt;="&amp;'Cash actuals'!U$8, Bank_postings[Sub-category (output)], 'Cash actuals'!$C66)</f>
        <v>0</v>
      </c>
      <c r="V66" s="69">
        <f>SUMIFS(Bank_postings[Amount], Bank_postings[Date], "&gt;="&amp;'Cash actuals'!V$7, Bank_postings[Date], "&lt;="&amp;'Cash actuals'!V$8, Bank_postings[Sub-category (output)], 'Cash actuals'!$C66)</f>
        <v>0</v>
      </c>
      <c r="W66" s="69">
        <f>SUMIFS(Bank_postings[Amount], Bank_postings[Date], "&gt;="&amp;'Cash actuals'!W$7, Bank_postings[Date], "&lt;="&amp;'Cash actuals'!W$8, Bank_postings[Sub-category (output)], 'Cash actuals'!$C66)</f>
        <v>0</v>
      </c>
      <c r="X66" s="69">
        <f>SUMIFS(Bank_postings[Amount], Bank_postings[Date], "&gt;="&amp;'Cash actuals'!X$7, Bank_postings[Date], "&lt;="&amp;'Cash actuals'!X$8, Bank_postings[Sub-category (output)], 'Cash actuals'!$C66)</f>
        <v>0</v>
      </c>
      <c r="Y66" s="69">
        <f>SUMIFS(Bank_postings[Amount], Bank_postings[Date], "&gt;="&amp;'Cash actuals'!Y$7, Bank_postings[Date], "&lt;="&amp;'Cash actuals'!Y$8, Bank_postings[Sub-category (output)], 'Cash actuals'!$C66)</f>
        <v>0</v>
      </c>
      <c r="Z66" s="69">
        <f>SUMIFS(Bank_postings[Amount], Bank_postings[Date], "&gt;="&amp;'Cash actuals'!Z$7, Bank_postings[Date], "&lt;="&amp;'Cash actuals'!Z$8, Bank_postings[Sub-category (output)], 'Cash actuals'!$C66)</f>
        <v>0</v>
      </c>
      <c r="AA66" s="69">
        <f>SUMIFS(Bank_postings[Amount], Bank_postings[Date], "&gt;="&amp;'Cash actuals'!AA$7, Bank_postings[Date], "&lt;="&amp;'Cash actuals'!AA$8, Bank_postings[Sub-category (output)], 'Cash actuals'!$C66)</f>
        <v>0</v>
      </c>
      <c r="AB66" s="69">
        <f>SUMIFS(Bank_postings[Amount], Bank_postings[Date], "&gt;="&amp;'Cash actuals'!AB$7, Bank_postings[Date], "&lt;="&amp;'Cash actuals'!AB$8, Bank_postings[Sub-category (output)], 'Cash actuals'!$C66)</f>
        <v>0</v>
      </c>
      <c r="AC66" s="69">
        <f>SUMIFS(Bank_postings[Amount], Bank_postings[Date], "&gt;="&amp;'Cash actuals'!AC$7, Bank_postings[Date], "&lt;="&amp;'Cash actuals'!AC$8, Bank_postings[Sub-category (output)], 'Cash actuals'!$C66)</f>
        <v>0</v>
      </c>
      <c r="AD66" s="69">
        <f>SUMIFS(Bank_postings[Amount], Bank_postings[Date], "&gt;="&amp;'Cash actuals'!AD$7, Bank_postings[Date], "&lt;="&amp;'Cash actuals'!AD$8, Bank_postings[Sub-category (output)], 'Cash actuals'!$C66)</f>
        <v>0</v>
      </c>
      <c r="AE66" s="69">
        <f>SUMIFS(Bank_postings[Amount], Bank_postings[Date], "&gt;="&amp;'Cash actuals'!AE$7, Bank_postings[Date], "&lt;="&amp;'Cash actuals'!AE$8, Bank_postings[Sub-category (output)], 'Cash actuals'!$C66)</f>
        <v>0</v>
      </c>
      <c r="AF66" s="69">
        <f>SUMIFS(Bank_postings[Amount], Bank_postings[Date], "&gt;="&amp;'Cash actuals'!AF$7, Bank_postings[Date], "&lt;="&amp;'Cash actuals'!AF$8, Bank_postings[Sub-category (output)], 'Cash actuals'!$C66)</f>
        <v>0</v>
      </c>
      <c r="AG66" s="69">
        <f>SUMIFS(Bank_postings[Amount], Bank_postings[Date], "&gt;="&amp;'Cash actuals'!AG$7, Bank_postings[Date], "&lt;="&amp;'Cash actuals'!AG$8, Bank_postings[Sub-category (output)], 'Cash actuals'!$C66)</f>
        <v>0</v>
      </c>
      <c r="AH66" s="69">
        <f>SUMIFS(Bank_postings[Amount], Bank_postings[Date], "&gt;="&amp;'Cash actuals'!AH$7, Bank_postings[Date], "&lt;="&amp;'Cash actuals'!AH$8, Bank_postings[Sub-category (output)], 'Cash actuals'!$C66)</f>
        <v>0</v>
      </c>
      <c r="AI66" s="69">
        <f>SUMIFS(Bank_postings[Amount], Bank_postings[Date], "&gt;="&amp;'Cash actuals'!AI$7, Bank_postings[Date], "&lt;="&amp;'Cash actuals'!AI$8, Bank_postings[Sub-category (output)], 'Cash actuals'!$C66)</f>
        <v>0</v>
      </c>
      <c r="AJ66" s="69">
        <f>SUMIFS(Bank_postings[Amount], Bank_postings[Date], "&gt;="&amp;'Cash actuals'!AJ$7, Bank_postings[Date], "&lt;="&amp;'Cash actuals'!AJ$8, Bank_postings[Sub-category (output)], 'Cash actuals'!$C66)</f>
        <v>0</v>
      </c>
      <c r="AK66" s="69">
        <f>SUMIFS(Bank_postings[Amount], Bank_postings[Date], "&gt;="&amp;'Cash actuals'!AK$7, Bank_postings[Date], "&lt;="&amp;'Cash actuals'!AK$8, Bank_postings[Sub-category (output)], 'Cash actuals'!$C66)</f>
        <v>0</v>
      </c>
      <c r="AL66" s="69">
        <f>SUMIFS(Bank_postings[Amount], Bank_postings[Date], "&gt;="&amp;'Cash actuals'!AL$7, Bank_postings[Date], "&lt;="&amp;'Cash actuals'!AL$8, Bank_postings[Sub-category (output)], 'Cash actuals'!$C66)</f>
        <v>0</v>
      </c>
      <c r="AM66" s="69">
        <f>SUMIFS(Bank_postings[Amount], Bank_postings[Date], "&gt;="&amp;'Cash actuals'!AM$7, Bank_postings[Date], "&lt;="&amp;'Cash actuals'!AM$8, Bank_postings[Sub-category (output)], 'Cash actuals'!$C66)</f>
        <v>0</v>
      </c>
      <c r="AN66" s="69">
        <f>SUMIFS(Bank_postings[Amount], Bank_postings[Date], "&gt;="&amp;'Cash actuals'!AN$7, Bank_postings[Date], "&lt;="&amp;'Cash actuals'!AN$8, Bank_postings[Sub-category (output)], 'Cash actuals'!$C66)</f>
        <v>0</v>
      </c>
      <c r="AO66" s="69">
        <f>SUMIFS(Bank_postings[Amount], Bank_postings[Date], "&gt;="&amp;'Cash actuals'!AO$7, Bank_postings[Date], "&lt;="&amp;'Cash actuals'!AO$8, Bank_postings[Sub-category (output)], 'Cash actuals'!$C66)</f>
        <v>0</v>
      </c>
      <c r="AP66" s="69">
        <f>SUMIFS(Bank_postings[Amount], Bank_postings[Date], "&gt;="&amp;'Cash actuals'!AP$7, Bank_postings[Date], "&lt;="&amp;'Cash actuals'!AP$8, Bank_postings[Sub-category (output)], 'Cash actuals'!$C66)</f>
        <v>0</v>
      </c>
      <c r="AQ66" s="69">
        <f>SUMIFS(Bank_postings[Amount], Bank_postings[Date], "&gt;="&amp;'Cash actuals'!AQ$7, Bank_postings[Date], "&lt;="&amp;'Cash actuals'!AQ$8, Bank_postings[Sub-category (output)], 'Cash actuals'!$C66)</f>
        <v>0</v>
      </c>
      <c r="AR66" s="69">
        <f>SUMIFS(Bank_postings[Amount], Bank_postings[Date], "&gt;="&amp;'Cash actuals'!AR$7, Bank_postings[Date], "&lt;="&amp;'Cash actuals'!AR$8, Bank_postings[Sub-category (output)], 'Cash actuals'!$C66)</f>
        <v>0</v>
      </c>
      <c r="AS66" s="69">
        <f>SUMIFS(Bank_postings[Amount], Bank_postings[Date], "&gt;="&amp;'Cash actuals'!AS$7, Bank_postings[Date], "&lt;="&amp;'Cash actuals'!AS$8, Bank_postings[Sub-category (output)], 'Cash actuals'!$C66)</f>
        <v>0</v>
      </c>
      <c r="AT66" s="69">
        <f>SUMIFS(Bank_postings[Amount], Bank_postings[Date], "&gt;="&amp;'Cash actuals'!AT$7, Bank_postings[Date], "&lt;="&amp;'Cash actuals'!AT$8, Bank_postings[Sub-category (output)], 'Cash actuals'!$C66)</f>
        <v>0</v>
      </c>
      <c r="AU66" s="69">
        <f>SUMIFS(Bank_postings[Amount], Bank_postings[Date], "&gt;="&amp;'Cash actuals'!AU$7, Bank_postings[Date], "&lt;="&amp;'Cash actuals'!AU$8, Bank_postings[Sub-category (output)], 'Cash actuals'!$C66)</f>
        <v>0</v>
      </c>
      <c r="AV66" s="69">
        <f>SUMIFS(Bank_postings[Amount], Bank_postings[Date], "&gt;="&amp;'Cash actuals'!AV$7, Bank_postings[Date], "&lt;="&amp;'Cash actuals'!AV$8, Bank_postings[Sub-category (output)], 'Cash actuals'!$C66)</f>
        <v>0</v>
      </c>
      <c r="AW66" s="69">
        <f>SUMIFS(Bank_postings[Amount], Bank_postings[Date], "&gt;="&amp;'Cash actuals'!AW$7, Bank_postings[Date], "&lt;="&amp;'Cash actuals'!AW$8, Bank_postings[Sub-category (output)], 'Cash actuals'!$C66)</f>
        <v>0</v>
      </c>
      <c r="AX66" s="69">
        <f>SUMIFS(Bank_postings[Amount], Bank_postings[Date], "&gt;="&amp;'Cash actuals'!AX$7, Bank_postings[Date], "&lt;="&amp;'Cash actuals'!AX$8, Bank_postings[Sub-category (output)], 'Cash actuals'!$C66)</f>
        <v>0</v>
      </c>
      <c r="AY66" s="69">
        <f>SUMIFS(Bank_postings[Amount], Bank_postings[Date], "&gt;="&amp;'Cash actuals'!AY$7, Bank_postings[Date], "&lt;="&amp;'Cash actuals'!AY$8, Bank_postings[Sub-category (output)], 'Cash actuals'!$C66)</f>
        <v>0</v>
      </c>
      <c r="AZ66" s="69">
        <f>SUMIFS(Bank_postings[Amount], Bank_postings[Date], "&gt;="&amp;'Cash actuals'!AZ$7, Bank_postings[Date], "&lt;="&amp;'Cash actuals'!AZ$8, Bank_postings[Sub-category (output)], 'Cash actuals'!$C66)</f>
        <v>0</v>
      </c>
      <c r="BA66" s="69">
        <f>SUMIFS(Bank_postings[Amount], Bank_postings[Date], "&gt;="&amp;'Cash actuals'!BA$7, Bank_postings[Date], "&lt;="&amp;'Cash actuals'!BA$8, Bank_postings[Sub-category (output)], 'Cash actuals'!$C66)</f>
        <v>0</v>
      </c>
      <c r="BB66" s="69">
        <f>SUMIFS(Bank_postings[Amount], Bank_postings[Date], "&gt;="&amp;'Cash actuals'!BB$7, Bank_postings[Date], "&lt;="&amp;'Cash actuals'!BB$8, Bank_postings[Sub-category (output)], 'Cash actuals'!$C66)</f>
        <v>0</v>
      </c>
      <c r="BC66" s="69">
        <f>SUMIFS(Bank_postings[Amount], Bank_postings[Date], "&gt;="&amp;'Cash actuals'!BC$7, Bank_postings[Date], "&lt;="&amp;'Cash actuals'!BC$8, Bank_postings[Sub-category (output)], 'Cash actuals'!$C66)</f>
        <v>0</v>
      </c>
      <c r="BD66" s="69">
        <f>SUMIFS(Bank_postings[Amount], Bank_postings[Date], "&gt;="&amp;'Cash actuals'!BD$7, Bank_postings[Date], "&lt;="&amp;'Cash actuals'!BD$8, Bank_postings[Sub-category (output)], 'Cash actuals'!$C66)</f>
        <v>0</v>
      </c>
      <c r="BE66" s="69">
        <f>SUMIFS(Bank_postings[Amount], Bank_postings[Date], "&gt;="&amp;'Cash actuals'!BE$7, Bank_postings[Date], "&lt;="&amp;'Cash actuals'!BE$8, Bank_postings[Sub-category (output)], 'Cash actuals'!$C66)</f>
        <v>0</v>
      </c>
    </row>
    <row r="67" spans="3:57" ht="5.0999999999999996" customHeight="1" x14ac:dyDescent="0.25"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</row>
    <row r="68" spans="3:57" x14ac:dyDescent="0.25">
      <c r="C68" s="1">
        <f>Assumptions!$D$42</f>
        <v>0</v>
      </c>
      <c r="F68" s="69">
        <f>SUMIFS(Bank_postings[Amount], Bank_postings[Date], "&gt;="&amp;'Cash actuals'!F$7, Bank_postings[Date], "&lt;="&amp;'Cash actuals'!F$8, Bank_postings[Sub-category (output)], 'Cash actuals'!$C68)</f>
        <v>0</v>
      </c>
      <c r="G68" s="69">
        <f>SUMIFS(Bank_postings[Amount], Bank_postings[Date], "&gt;="&amp;'Cash actuals'!G$7, Bank_postings[Date], "&lt;="&amp;'Cash actuals'!G$8, Bank_postings[Sub-category (output)], 'Cash actuals'!$C68)</f>
        <v>0</v>
      </c>
      <c r="H68" s="69">
        <f>SUMIFS(Bank_postings[Amount], Bank_postings[Date], "&gt;="&amp;'Cash actuals'!H$7, Bank_postings[Date], "&lt;="&amp;'Cash actuals'!H$8, Bank_postings[Sub-category (output)], 'Cash actuals'!$C68)</f>
        <v>0</v>
      </c>
      <c r="I68" s="69">
        <f>SUMIFS(Bank_postings[Amount], Bank_postings[Date], "&gt;="&amp;'Cash actuals'!I$7, Bank_postings[Date], "&lt;="&amp;'Cash actuals'!I$8, Bank_postings[Sub-category (output)], 'Cash actuals'!$C68)</f>
        <v>0</v>
      </c>
      <c r="J68" s="69">
        <f>SUMIFS(Bank_postings[Amount], Bank_postings[Date], "&gt;="&amp;'Cash actuals'!J$7, Bank_postings[Date], "&lt;="&amp;'Cash actuals'!J$8, Bank_postings[Sub-category (output)], 'Cash actuals'!$C68)</f>
        <v>0</v>
      </c>
      <c r="K68" s="69">
        <f>SUMIFS(Bank_postings[Amount], Bank_postings[Date], "&gt;="&amp;'Cash actuals'!K$7, Bank_postings[Date], "&lt;="&amp;'Cash actuals'!K$8, Bank_postings[Sub-category (output)], 'Cash actuals'!$C68)</f>
        <v>0</v>
      </c>
      <c r="L68" s="69">
        <f>SUMIFS(Bank_postings[Amount], Bank_postings[Date], "&gt;="&amp;'Cash actuals'!L$7, Bank_postings[Date], "&lt;="&amp;'Cash actuals'!L$8, Bank_postings[Sub-category (output)], 'Cash actuals'!$C68)</f>
        <v>0</v>
      </c>
      <c r="M68" s="69">
        <f>SUMIFS(Bank_postings[Amount], Bank_postings[Date], "&gt;="&amp;'Cash actuals'!M$7, Bank_postings[Date], "&lt;="&amp;'Cash actuals'!M$8, Bank_postings[Sub-category (output)], 'Cash actuals'!$C68)</f>
        <v>0</v>
      </c>
      <c r="N68" s="69">
        <f>SUMIFS(Bank_postings[Amount], Bank_postings[Date], "&gt;="&amp;'Cash actuals'!N$7, Bank_postings[Date], "&lt;="&amp;'Cash actuals'!N$8, Bank_postings[Sub-category (output)], 'Cash actuals'!$C68)</f>
        <v>0</v>
      </c>
      <c r="O68" s="69">
        <f>SUMIFS(Bank_postings[Amount], Bank_postings[Date], "&gt;="&amp;'Cash actuals'!O$7, Bank_postings[Date], "&lt;="&amp;'Cash actuals'!O$8, Bank_postings[Sub-category (output)], 'Cash actuals'!$C68)</f>
        <v>0</v>
      </c>
      <c r="P68" s="69">
        <f>SUMIFS(Bank_postings[Amount], Bank_postings[Date], "&gt;="&amp;'Cash actuals'!P$7, Bank_postings[Date], "&lt;="&amp;'Cash actuals'!P$8, Bank_postings[Sub-category (output)], 'Cash actuals'!$C68)</f>
        <v>0</v>
      </c>
      <c r="Q68" s="69">
        <f>SUMIFS(Bank_postings[Amount], Bank_postings[Date], "&gt;="&amp;'Cash actuals'!Q$7, Bank_postings[Date], "&lt;="&amp;'Cash actuals'!Q$8, Bank_postings[Sub-category (output)], 'Cash actuals'!$C68)</f>
        <v>0</v>
      </c>
      <c r="R68" s="69">
        <f>SUMIFS(Bank_postings[Amount], Bank_postings[Date], "&gt;="&amp;'Cash actuals'!R$7, Bank_postings[Date], "&lt;="&amp;'Cash actuals'!R$8, Bank_postings[Sub-category (output)], 'Cash actuals'!$C68)</f>
        <v>0</v>
      </c>
      <c r="S68" s="69">
        <f>SUMIFS(Bank_postings[Amount], Bank_postings[Date], "&gt;="&amp;'Cash actuals'!S$7, Bank_postings[Date], "&lt;="&amp;'Cash actuals'!S$8, Bank_postings[Sub-category (output)], 'Cash actuals'!$C68)</f>
        <v>0</v>
      </c>
      <c r="T68" s="69">
        <f>SUMIFS(Bank_postings[Amount], Bank_postings[Date], "&gt;="&amp;'Cash actuals'!T$7, Bank_postings[Date], "&lt;="&amp;'Cash actuals'!T$8, Bank_postings[Sub-category (output)], 'Cash actuals'!$C68)</f>
        <v>0</v>
      </c>
      <c r="U68" s="69">
        <f>SUMIFS(Bank_postings[Amount], Bank_postings[Date], "&gt;="&amp;'Cash actuals'!U$7, Bank_postings[Date], "&lt;="&amp;'Cash actuals'!U$8, Bank_postings[Sub-category (output)], 'Cash actuals'!$C68)</f>
        <v>0</v>
      </c>
      <c r="V68" s="69">
        <f>SUMIFS(Bank_postings[Amount], Bank_postings[Date], "&gt;="&amp;'Cash actuals'!V$7, Bank_postings[Date], "&lt;="&amp;'Cash actuals'!V$8, Bank_postings[Sub-category (output)], 'Cash actuals'!$C68)</f>
        <v>0</v>
      </c>
      <c r="W68" s="69">
        <f>SUMIFS(Bank_postings[Amount], Bank_postings[Date], "&gt;="&amp;'Cash actuals'!W$7, Bank_postings[Date], "&lt;="&amp;'Cash actuals'!W$8, Bank_postings[Sub-category (output)], 'Cash actuals'!$C68)</f>
        <v>0</v>
      </c>
      <c r="X68" s="69">
        <f>SUMIFS(Bank_postings[Amount], Bank_postings[Date], "&gt;="&amp;'Cash actuals'!X$7, Bank_postings[Date], "&lt;="&amp;'Cash actuals'!X$8, Bank_postings[Sub-category (output)], 'Cash actuals'!$C68)</f>
        <v>0</v>
      </c>
      <c r="Y68" s="69">
        <f>SUMIFS(Bank_postings[Amount], Bank_postings[Date], "&gt;="&amp;'Cash actuals'!Y$7, Bank_postings[Date], "&lt;="&amp;'Cash actuals'!Y$8, Bank_postings[Sub-category (output)], 'Cash actuals'!$C68)</f>
        <v>0</v>
      </c>
      <c r="Z68" s="69">
        <f>SUMIFS(Bank_postings[Amount], Bank_postings[Date], "&gt;="&amp;'Cash actuals'!Z$7, Bank_postings[Date], "&lt;="&amp;'Cash actuals'!Z$8, Bank_postings[Sub-category (output)], 'Cash actuals'!$C68)</f>
        <v>0</v>
      </c>
      <c r="AA68" s="69">
        <f>SUMIFS(Bank_postings[Amount], Bank_postings[Date], "&gt;="&amp;'Cash actuals'!AA$7, Bank_postings[Date], "&lt;="&amp;'Cash actuals'!AA$8, Bank_postings[Sub-category (output)], 'Cash actuals'!$C68)</f>
        <v>0</v>
      </c>
      <c r="AB68" s="69">
        <f>SUMIFS(Bank_postings[Amount], Bank_postings[Date], "&gt;="&amp;'Cash actuals'!AB$7, Bank_postings[Date], "&lt;="&amp;'Cash actuals'!AB$8, Bank_postings[Sub-category (output)], 'Cash actuals'!$C68)</f>
        <v>0</v>
      </c>
      <c r="AC68" s="69">
        <f>SUMIFS(Bank_postings[Amount], Bank_postings[Date], "&gt;="&amp;'Cash actuals'!AC$7, Bank_postings[Date], "&lt;="&amp;'Cash actuals'!AC$8, Bank_postings[Sub-category (output)], 'Cash actuals'!$C68)</f>
        <v>0</v>
      </c>
      <c r="AD68" s="69">
        <f>SUMIFS(Bank_postings[Amount], Bank_postings[Date], "&gt;="&amp;'Cash actuals'!AD$7, Bank_postings[Date], "&lt;="&amp;'Cash actuals'!AD$8, Bank_postings[Sub-category (output)], 'Cash actuals'!$C68)</f>
        <v>0</v>
      </c>
      <c r="AE68" s="69">
        <f>SUMIFS(Bank_postings[Amount], Bank_postings[Date], "&gt;="&amp;'Cash actuals'!AE$7, Bank_postings[Date], "&lt;="&amp;'Cash actuals'!AE$8, Bank_postings[Sub-category (output)], 'Cash actuals'!$C68)</f>
        <v>0</v>
      </c>
      <c r="AF68" s="69">
        <f>SUMIFS(Bank_postings[Amount], Bank_postings[Date], "&gt;="&amp;'Cash actuals'!AF$7, Bank_postings[Date], "&lt;="&amp;'Cash actuals'!AF$8, Bank_postings[Sub-category (output)], 'Cash actuals'!$C68)</f>
        <v>0</v>
      </c>
      <c r="AG68" s="69">
        <f>SUMIFS(Bank_postings[Amount], Bank_postings[Date], "&gt;="&amp;'Cash actuals'!AG$7, Bank_postings[Date], "&lt;="&amp;'Cash actuals'!AG$8, Bank_postings[Sub-category (output)], 'Cash actuals'!$C68)</f>
        <v>0</v>
      </c>
      <c r="AH68" s="69">
        <f>SUMIFS(Bank_postings[Amount], Bank_postings[Date], "&gt;="&amp;'Cash actuals'!AH$7, Bank_postings[Date], "&lt;="&amp;'Cash actuals'!AH$8, Bank_postings[Sub-category (output)], 'Cash actuals'!$C68)</f>
        <v>0</v>
      </c>
      <c r="AI68" s="69">
        <f>SUMIFS(Bank_postings[Amount], Bank_postings[Date], "&gt;="&amp;'Cash actuals'!AI$7, Bank_postings[Date], "&lt;="&amp;'Cash actuals'!AI$8, Bank_postings[Sub-category (output)], 'Cash actuals'!$C68)</f>
        <v>0</v>
      </c>
      <c r="AJ68" s="69">
        <f>SUMIFS(Bank_postings[Amount], Bank_postings[Date], "&gt;="&amp;'Cash actuals'!AJ$7, Bank_postings[Date], "&lt;="&amp;'Cash actuals'!AJ$8, Bank_postings[Sub-category (output)], 'Cash actuals'!$C68)</f>
        <v>0</v>
      </c>
      <c r="AK68" s="69">
        <f>SUMIFS(Bank_postings[Amount], Bank_postings[Date], "&gt;="&amp;'Cash actuals'!AK$7, Bank_postings[Date], "&lt;="&amp;'Cash actuals'!AK$8, Bank_postings[Sub-category (output)], 'Cash actuals'!$C68)</f>
        <v>0</v>
      </c>
      <c r="AL68" s="69">
        <f>SUMIFS(Bank_postings[Amount], Bank_postings[Date], "&gt;="&amp;'Cash actuals'!AL$7, Bank_postings[Date], "&lt;="&amp;'Cash actuals'!AL$8, Bank_postings[Sub-category (output)], 'Cash actuals'!$C68)</f>
        <v>0</v>
      </c>
      <c r="AM68" s="69">
        <f>SUMIFS(Bank_postings[Amount], Bank_postings[Date], "&gt;="&amp;'Cash actuals'!AM$7, Bank_postings[Date], "&lt;="&amp;'Cash actuals'!AM$8, Bank_postings[Sub-category (output)], 'Cash actuals'!$C68)</f>
        <v>0</v>
      </c>
      <c r="AN68" s="69">
        <f>SUMIFS(Bank_postings[Amount], Bank_postings[Date], "&gt;="&amp;'Cash actuals'!AN$7, Bank_postings[Date], "&lt;="&amp;'Cash actuals'!AN$8, Bank_postings[Sub-category (output)], 'Cash actuals'!$C68)</f>
        <v>0</v>
      </c>
      <c r="AO68" s="69">
        <f>SUMIFS(Bank_postings[Amount], Bank_postings[Date], "&gt;="&amp;'Cash actuals'!AO$7, Bank_postings[Date], "&lt;="&amp;'Cash actuals'!AO$8, Bank_postings[Sub-category (output)], 'Cash actuals'!$C68)</f>
        <v>0</v>
      </c>
      <c r="AP68" s="69">
        <f>SUMIFS(Bank_postings[Amount], Bank_postings[Date], "&gt;="&amp;'Cash actuals'!AP$7, Bank_postings[Date], "&lt;="&amp;'Cash actuals'!AP$8, Bank_postings[Sub-category (output)], 'Cash actuals'!$C68)</f>
        <v>0</v>
      </c>
      <c r="AQ68" s="69">
        <f>SUMIFS(Bank_postings[Amount], Bank_postings[Date], "&gt;="&amp;'Cash actuals'!AQ$7, Bank_postings[Date], "&lt;="&amp;'Cash actuals'!AQ$8, Bank_postings[Sub-category (output)], 'Cash actuals'!$C68)</f>
        <v>0</v>
      </c>
      <c r="AR68" s="69">
        <f>SUMIFS(Bank_postings[Amount], Bank_postings[Date], "&gt;="&amp;'Cash actuals'!AR$7, Bank_postings[Date], "&lt;="&amp;'Cash actuals'!AR$8, Bank_postings[Sub-category (output)], 'Cash actuals'!$C68)</f>
        <v>0</v>
      </c>
      <c r="AS68" s="69">
        <f>SUMIFS(Bank_postings[Amount], Bank_postings[Date], "&gt;="&amp;'Cash actuals'!AS$7, Bank_postings[Date], "&lt;="&amp;'Cash actuals'!AS$8, Bank_postings[Sub-category (output)], 'Cash actuals'!$C68)</f>
        <v>0</v>
      </c>
      <c r="AT68" s="69">
        <f>SUMIFS(Bank_postings[Amount], Bank_postings[Date], "&gt;="&amp;'Cash actuals'!AT$7, Bank_postings[Date], "&lt;="&amp;'Cash actuals'!AT$8, Bank_postings[Sub-category (output)], 'Cash actuals'!$C68)</f>
        <v>0</v>
      </c>
      <c r="AU68" s="69">
        <f>SUMIFS(Bank_postings[Amount], Bank_postings[Date], "&gt;="&amp;'Cash actuals'!AU$7, Bank_postings[Date], "&lt;="&amp;'Cash actuals'!AU$8, Bank_postings[Sub-category (output)], 'Cash actuals'!$C68)</f>
        <v>0</v>
      </c>
      <c r="AV68" s="69">
        <f>SUMIFS(Bank_postings[Amount], Bank_postings[Date], "&gt;="&amp;'Cash actuals'!AV$7, Bank_postings[Date], "&lt;="&amp;'Cash actuals'!AV$8, Bank_postings[Sub-category (output)], 'Cash actuals'!$C68)</f>
        <v>0</v>
      </c>
      <c r="AW68" s="69">
        <f>SUMIFS(Bank_postings[Amount], Bank_postings[Date], "&gt;="&amp;'Cash actuals'!AW$7, Bank_postings[Date], "&lt;="&amp;'Cash actuals'!AW$8, Bank_postings[Sub-category (output)], 'Cash actuals'!$C68)</f>
        <v>0</v>
      </c>
      <c r="AX68" s="69">
        <f>SUMIFS(Bank_postings[Amount], Bank_postings[Date], "&gt;="&amp;'Cash actuals'!AX$7, Bank_postings[Date], "&lt;="&amp;'Cash actuals'!AX$8, Bank_postings[Sub-category (output)], 'Cash actuals'!$C68)</f>
        <v>0</v>
      </c>
      <c r="AY68" s="69">
        <f>SUMIFS(Bank_postings[Amount], Bank_postings[Date], "&gt;="&amp;'Cash actuals'!AY$7, Bank_postings[Date], "&lt;="&amp;'Cash actuals'!AY$8, Bank_postings[Sub-category (output)], 'Cash actuals'!$C68)</f>
        <v>0</v>
      </c>
      <c r="AZ68" s="69">
        <f>SUMIFS(Bank_postings[Amount], Bank_postings[Date], "&gt;="&amp;'Cash actuals'!AZ$7, Bank_postings[Date], "&lt;="&amp;'Cash actuals'!AZ$8, Bank_postings[Sub-category (output)], 'Cash actuals'!$C68)</f>
        <v>0</v>
      </c>
      <c r="BA68" s="69">
        <f>SUMIFS(Bank_postings[Amount], Bank_postings[Date], "&gt;="&amp;'Cash actuals'!BA$7, Bank_postings[Date], "&lt;="&amp;'Cash actuals'!BA$8, Bank_postings[Sub-category (output)], 'Cash actuals'!$C68)</f>
        <v>0</v>
      </c>
      <c r="BB68" s="69">
        <f>SUMIFS(Bank_postings[Amount], Bank_postings[Date], "&gt;="&amp;'Cash actuals'!BB$7, Bank_postings[Date], "&lt;="&amp;'Cash actuals'!BB$8, Bank_postings[Sub-category (output)], 'Cash actuals'!$C68)</f>
        <v>0</v>
      </c>
      <c r="BC68" s="69">
        <f>SUMIFS(Bank_postings[Amount], Bank_postings[Date], "&gt;="&amp;'Cash actuals'!BC$7, Bank_postings[Date], "&lt;="&amp;'Cash actuals'!BC$8, Bank_postings[Sub-category (output)], 'Cash actuals'!$C68)</f>
        <v>0</v>
      </c>
      <c r="BD68" s="69">
        <f>SUMIFS(Bank_postings[Amount], Bank_postings[Date], "&gt;="&amp;'Cash actuals'!BD$7, Bank_postings[Date], "&lt;="&amp;'Cash actuals'!BD$8, Bank_postings[Sub-category (output)], 'Cash actuals'!$C68)</f>
        <v>0</v>
      </c>
      <c r="BE68" s="69">
        <f>SUMIFS(Bank_postings[Amount], Bank_postings[Date], "&gt;="&amp;'Cash actuals'!BE$7, Bank_postings[Date], "&lt;="&amp;'Cash actuals'!BE$8, Bank_postings[Sub-category (output)], 'Cash actuals'!$C68)</f>
        <v>0</v>
      </c>
    </row>
    <row r="69" spans="3:57" ht="5.0999999999999996" customHeight="1" x14ac:dyDescent="0.25"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</row>
    <row r="70" spans="3:57" x14ac:dyDescent="0.25">
      <c r="C70" s="1">
        <f>Assumptions!$D$43</f>
        <v>0</v>
      </c>
      <c r="F70" s="69">
        <f>SUMIFS(Bank_postings[Amount], Bank_postings[Date], "&gt;="&amp;'Cash actuals'!F$7, Bank_postings[Date], "&lt;="&amp;'Cash actuals'!F$8, Bank_postings[Sub-category (output)], 'Cash actuals'!$C70)</f>
        <v>0</v>
      </c>
      <c r="G70" s="69">
        <f>SUMIFS(Bank_postings[Amount], Bank_postings[Date], "&gt;="&amp;'Cash actuals'!G$7, Bank_postings[Date], "&lt;="&amp;'Cash actuals'!G$8, Bank_postings[Sub-category (output)], 'Cash actuals'!$C70)</f>
        <v>0</v>
      </c>
      <c r="H70" s="69">
        <f>SUMIFS(Bank_postings[Amount], Bank_postings[Date], "&gt;="&amp;'Cash actuals'!H$7, Bank_postings[Date], "&lt;="&amp;'Cash actuals'!H$8, Bank_postings[Sub-category (output)], 'Cash actuals'!$C70)</f>
        <v>0</v>
      </c>
      <c r="I70" s="69">
        <f>SUMIFS(Bank_postings[Amount], Bank_postings[Date], "&gt;="&amp;'Cash actuals'!I$7, Bank_postings[Date], "&lt;="&amp;'Cash actuals'!I$8, Bank_postings[Sub-category (output)], 'Cash actuals'!$C70)</f>
        <v>0</v>
      </c>
      <c r="J70" s="69">
        <f>SUMIFS(Bank_postings[Amount], Bank_postings[Date], "&gt;="&amp;'Cash actuals'!J$7, Bank_postings[Date], "&lt;="&amp;'Cash actuals'!J$8, Bank_postings[Sub-category (output)], 'Cash actuals'!$C70)</f>
        <v>0</v>
      </c>
      <c r="K70" s="69">
        <f>SUMIFS(Bank_postings[Amount], Bank_postings[Date], "&gt;="&amp;'Cash actuals'!K$7, Bank_postings[Date], "&lt;="&amp;'Cash actuals'!K$8, Bank_postings[Sub-category (output)], 'Cash actuals'!$C70)</f>
        <v>0</v>
      </c>
      <c r="L70" s="69">
        <f>SUMIFS(Bank_postings[Amount], Bank_postings[Date], "&gt;="&amp;'Cash actuals'!L$7, Bank_postings[Date], "&lt;="&amp;'Cash actuals'!L$8, Bank_postings[Sub-category (output)], 'Cash actuals'!$C70)</f>
        <v>0</v>
      </c>
      <c r="M70" s="69">
        <f>SUMIFS(Bank_postings[Amount], Bank_postings[Date], "&gt;="&amp;'Cash actuals'!M$7, Bank_postings[Date], "&lt;="&amp;'Cash actuals'!M$8, Bank_postings[Sub-category (output)], 'Cash actuals'!$C70)</f>
        <v>0</v>
      </c>
      <c r="N70" s="69">
        <f>SUMIFS(Bank_postings[Amount], Bank_postings[Date], "&gt;="&amp;'Cash actuals'!N$7, Bank_postings[Date], "&lt;="&amp;'Cash actuals'!N$8, Bank_postings[Sub-category (output)], 'Cash actuals'!$C70)</f>
        <v>0</v>
      </c>
      <c r="O70" s="69">
        <f>SUMIFS(Bank_postings[Amount], Bank_postings[Date], "&gt;="&amp;'Cash actuals'!O$7, Bank_postings[Date], "&lt;="&amp;'Cash actuals'!O$8, Bank_postings[Sub-category (output)], 'Cash actuals'!$C70)</f>
        <v>0</v>
      </c>
      <c r="P70" s="69">
        <f>SUMIFS(Bank_postings[Amount], Bank_postings[Date], "&gt;="&amp;'Cash actuals'!P$7, Bank_postings[Date], "&lt;="&amp;'Cash actuals'!P$8, Bank_postings[Sub-category (output)], 'Cash actuals'!$C70)</f>
        <v>0</v>
      </c>
      <c r="Q70" s="69">
        <f>SUMIFS(Bank_postings[Amount], Bank_postings[Date], "&gt;="&amp;'Cash actuals'!Q$7, Bank_postings[Date], "&lt;="&amp;'Cash actuals'!Q$8, Bank_postings[Sub-category (output)], 'Cash actuals'!$C70)</f>
        <v>0</v>
      </c>
      <c r="R70" s="69">
        <f>SUMIFS(Bank_postings[Amount], Bank_postings[Date], "&gt;="&amp;'Cash actuals'!R$7, Bank_postings[Date], "&lt;="&amp;'Cash actuals'!R$8, Bank_postings[Sub-category (output)], 'Cash actuals'!$C70)</f>
        <v>0</v>
      </c>
      <c r="S70" s="69">
        <f>SUMIFS(Bank_postings[Amount], Bank_postings[Date], "&gt;="&amp;'Cash actuals'!S$7, Bank_postings[Date], "&lt;="&amp;'Cash actuals'!S$8, Bank_postings[Sub-category (output)], 'Cash actuals'!$C70)</f>
        <v>0</v>
      </c>
      <c r="T70" s="69">
        <f>SUMIFS(Bank_postings[Amount], Bank_postings[Date], "&gt;="&amp;'Cash actuals'!T$7, Bank_postings[Date], "&lt;="&amp;'Cash actuals'!T$8, Bank_postings[Sub-category (output)], 'Cash actuals'!$C70)</f>
        <v>0</v>
      </c>
      <c r="U70" s="69">
        <f>SUMIFS(Bank_postings[Amount], Bank_postings[Date], "&gt;="&amp;'Cash actuals'!U$7, Bank_postings[Date], "&lt;="&amp;'Cash actuals'!U$8, Bank_postings[Sub-category (output)], 'Cash actuals'!$C70)</f>
        <v>0</v>
      </c>
      <c r="V70" s="69">
        <f>SUMIFS(Bank_postings[Amount], Bank_postings[Date], "&gt;="&amp;'Cash actuals'!V$7, Bank_postings[Date], "&lt;="&amp;'Cash actuals'!V$8, Bank_postings[Sub-category (output)], 'Cash actuals'!$C70)</f>
        <v>0</v>
      </c>
      <c r="W70" s="69">
        <f>SUMIFS(Bank_postings[Amount], Bank_postings[Date], "&gt;="&amp;'Cash actuals'!W$7, Bank_postings[Date], "&lt;="&amp;'Cash actuals'!W$8, Bank_postings[Sub-category (output)], 'Cash actuals'!$C70)</f>
        <v>0</v>
      </c>
      <c r="X70" s="69">
        <f>SUMIFS(Bank_postings[Amount], Bank_postings[Date], "&gt;="&amp;'Cash actuals'!X$7, Bank_postings[Date], "&lt;="&amp;'Cash actuals'!X$8, Bank_postings[Sub-category (output)], 'Cash actuals'!$C70)</f>
        <v>0</v>
      </c>
      <c r="Y70" s="69">
        <f>SUMIFS(Bank_postings[Amount], Bank_postings[Date], "&gt;="&amp;'Cash actuals'!Y$7, Bank_postings[Date], "&lt;="&amp;'Cash actuals'!Y$8, Bank_postings[Sub-category (output)], 'Cash actuals'!$C70)</f>
        <v>0</v>
      </c>
      <c r="Z70" s="69">
        <f>SUMIFS(Bank_postings[Amount], Bank_postings[Date], "&gt;="&amp;'Cash actuals'!Z$7, Bank_postings[Date], "&lt;="&amp;'Cash actuals'!Z$8, Bank_postings[Sub-category (output)], 'Cash actuals'!$C70)</f>
        <v>0</v>
      </c>
      <c r="AA70" s="69">
        <f>SUMIFS(Bank_postings[Amount], Bank_postings[Date], "&gt;="&amp;'Cash actuals'!AA$7, Bank_postings[Date], "&lt;="&amp;'Cash actuals'!AA$8, Bank_postings[Sub-category (output)], 'Cash actuals'!$C70)</f>
        <v>0</v>
      </c>
      <c r="AB70" s="69">
        <f>SUMIFS(Bank_postings[Amount], Bank_postings[Date], "&gt;="&amp;'Cash actuals'!AB$7, Bank_postings[Date], "&lt;="&amp;'Cash actuals'!AB$8, Bank_postings[Sub-category (output)], 'Cash actuals'!$C70)</f>
        <v>0</v>
      </c>
      <c r="AC70" s="69">
        <f>SUMIFS(Bank_postings[Amount], Bank_postings[Date], "&gt;="&amp;'Cash actuals'!AC$7, Bank_postings[Date], "&lt;="&amp;'Cash actuals'!AC$8, Bank_postings[Sub-category (output)], 'Cash actuals'!$C70)</f>
        <v>0</v>
      </c>
      <c r="AD70" s="69">
        <f>SUMIFS(Bank_postings[Amount], Bank_postings[Date], "&gt;="&amp;'Cash actuals'!AD$7, Bank_postings[Date], "&lt;="&amp;'Cash actuals'!AD$8, Bank_postings[Sub-category (output)], 'Cash actuals'!$C70)</f>
        <v>0</v>
      </c>
      <c r="AE70" s="69">
        <f>SUMIFS(Bank_postings[Amount], Bank_postings[Date], "&gt;="&amp;'Cash actuals'!AE$7, Bank_postings[Date], "&lt;="&amp;'Cash actuals'!AE$8, Bank_postings[Sub-category (output)], 'Cash actuals'!$C70)</f>
        <v>0</v>
      </c>
      <c r="AF70" s="69">
        <f>SUMIFS(Bank_postings[Amount], Bank_postings[Date], "&gt;="&amp;'Cash actuals'!AF$7, Bank_postings[Date], "&lt;="&amp;'Cash actuals'!AF$8, Bank_postings[Sub-category (output)], 'Cash actuals'!$C70)</f>
        <v>0</v>
      </c>
      <c r="AG70" s="69">
        <f>SUMIFS(Bank_postings[Amount], Bank_postings[Date], "&gt;="&amp;'Cash actuals'!AG$7, Bank_postings[Date], "&lt;="&amp;'Cash actuals'!AG$8, Bank_postings[Sub-category (output)], 'Cash actuals'!$C70)</f>
        <v>0</v>
      </c>
      <c r="AH70" s="69">
        <f>SUMIFS(Bank_postings[Amount], Bank_postings[Date], "&gt;="&amp;'Cash actuals'!AH$7, Bank_postings[Date], "&lt;="&amp;'Cash actuals'!AH$8, Bank_postings[Sub-category (output)], 'Cash actuals'!$C70)</f>
        <v>0</v>
      </c>
      <c r="AI70" s="69">
        <f>SUMIFS(Bank_postings[Amount], Bank_postings[Date], "&gt;="&amp;'Cash actuals'!AI$7, Bank_postings[Date], "&lt;="&amp;'Cash actuals'!AI$8, Bank_postings[Sub-category (output)], 'Cash actuals'!$C70)</f>
        <v>0</v>
      </c>
      <c r="AJ70" s="69">
        <f>SUMIFS(Bank_postings[Amount], Bank_postings[Date], "&gt;="&amp;'Cash actuals'!AJ$7, Bank_postings[Date], "&lt;="&amp;'Cash actuals'!AJ$8, Bank_postings[Sub-category (output)], 'Cash actuals'!$C70)</f>
        <v>0</v>
      </c>
      <c r="AK70" s="69">
        <f>SUMIFS(Bank_postings[Amount], Bank_postings[Date], "&gt;="&amp;'Cash actuals'!AK$7, Bank_postings[Date], "&lt;="&amp;'Cash actuals'!AK$8, Bank_postings[Sub-category (output)], 'Cash actuals'!$C70)</f>
        <v>0</v>
      </c>
      <c r="AL70" s="69">
        <f>SUMIFS(Bank_postings[Amount], Bank_postings[Date], "&gt;="&amp;'Cash actuals'!AL$7, Bank_postings[Date], "&lt;="&amp;'Cash actuals'!AL$8, Bank_postings[Sub-category (output)], 'Cash actuals'!$C70)</f>
        <v>0</v>
      </c>
      <c r="AM70" s="69">
        <f>SUMIFS(Bank_postings[Amount], Bank_postings[Date], "&gt;="&amp;'Cash actuals'!AM$7, Bank_postings[Date], "&lt;="&amp;'Cash actuals'!AM$8, Bank_postings[Sub-category (output)], 'Cash actuals'!$C70)</f>
        <v>0</v>
      </c>
      <c r="AN70" s="69">
        <f>SUMIFS(Bank_postings[Amount], Bank_postings[Date], "&gt;="&amp;'Cash actuals'!AN$7, Bank_postings[Date], "&lt;="&amp;'Cash actuals'!AN$8, Bank_postings[Sub-category (output)], 'Cash actuals'!$C70)</f>
        <v>0</v>
      </c>
      <c r="AO70" s="69">
        <f>SUMIFS(Bank_postings[Amount], Bank_postings[Date], "&gt;="&amp;'Cash actuals'!AO$7, Bank_postings[Date], "&lt;="&amp;'Cash actuals'!AO$8, Bank_postings[Sub-category (output)], 'Cash actuals'!$C70)</f>
        <v>0</v>
      </c>
      <c r="AP70" s="69">
        <f>SUMIFS(Bank_postings[Amount], Bank_postings[Date], "&gt;="&amp;'Cash actuals'!AP$7, Bank_postings[Date], "&lt;="&amp;'Cash actuals'!AP$8, Bank_postings[Sub-category (output)], 'Cash actuals'!$C70)</f>
        <v>0</v>
      </c>
      <c r="AQ70" s="69">
        <f>SUMIFS(Bank_postings[Amount], Bank_postings[Date], "&gt;="&amp;'Cash actuals'!AQ$7, Bank_postings[Date], "&lt;="&amp;'Cash actuals'!AQ$8, Bank_postings[Sub-category (output)], 'Cash actuals'!$C70)</f>
        <v>0</v>
      </c>
      <c r="AR70" s="69">
        <f>SUMIFS(Bank_postings[Amount], Bank_postings[Date], "&gt;="&amp;'Cash actuals'!AR$7, Bank_postings[Date], "&lt;="&amp;'Cash actuals'!AR$8, Bank_postings[Sub-category (output)], 'Cash actuals'!$C70)</f>
        <v>0</v>
      </c>
      <c r="AS70" s="69">
        <f>SUMIFS(Bank_postings[Amount], Bank_postings[Date], "&gt;="&amp;'Cash actuals'!AS$7, Bank_postings[Date], "&lt;="&amp;'Cash actuals'!AS$8, Bank_postings[Sub-category (output)], 'Cash actuals'!$C70)</f>
        <v>0</v>
      </c>
      <c r="AT70" s="69">
        <f>SUMIFS(Bank_postings[Amount], Bank_postings[Date], "&gt;="&amp;'Cash actuals'!AT$7, Bank_postings[Date], "&lt;="&amp;'Cash actuals'!AT$8, Bank_postings[Sub-category (output)], 'Cash actuals'!$C70)</f>
        <v>0</v>
      </c>
      <c r="AU70" s="69">
        <f>SUMIFS(Bank_postings[Amount], Bank_postings[Date], "&gt;="&amp;'Cash actuals'!AU$7, Bank_postings[Date], "&lt;="&amp;'Cash actuals'!AU$8, Bank_postings[Sub-category (output)], 'Cash actuals'!$C70)</f>
        <v>0</v>
      </c>
      <c r="AV70" s="69">
        <f>SUMIFS(Bank_postings[Amount], Bank_postings[Date], "&gt;="&amp;'Cash actuals'!AV$7, Bank_postings[Date], "&lt;="&amp;'Cash actuals'!AV$8, Bank_postings[Sub-category (output)], 'Cash actuals'!$C70)</f>
        <v>0</v>
      </c>
      <c r="AW70" s="69">
        <f>SUMIFS(Bank_postings[Amount], Bank_postings[Date], "&gt;="&amp;'Cash actuals'!AW$7, Bank_postings[Date], "&lt;="&amp;'Cash actuals'!AW$8, Bank_postings[Sub-category (output)], 'Cash actuals'!$C70)</f>
        <v>0</v>
      </c>
      <c r="AX70" s="69">
        <f>SUMIFS(Bank_postings[Amount], Bank_postings[Date], "&gt;="&amp;'Cash actuals'!AX$7, Bank_postings[Date], "&lt;="&amp;'Cash actuals'!AX$8, Bank_postings[Sub-category (output)], 'Cash actuals'!$C70)</f>
        <v>0</v>
      </c>
      <c r="AY70" s="69">
        <f>SUMIFS(Bank_postings[Amount], Bank_postings[Date], "&gt;="&amp;'Cash actuals'!AY$7, Bank_postings[Date], "&lt;="&amp;'Cash actuals'!AY$8, Bank_postings[Sub-category (output)], 'Cash actuals'!$C70)</f>
        <v>0</v>
      </c>
      <c r="AZ70" s="69">
        <f>SUMIFS(Bank_postings[Amount], Bank_postings[Date], "&gt;="&amp;'Cash actuals'!AZ$7, Bank_postings[Date], "&lt;="&amp;'Cash actuals'!AZ$8, Bank_postings[Sub-category (output)], 'Cash actuals'!$C70)</f>
        <v>0</v>
      </c>
      <c r="BA70" s="69">
        <f>SUMIFS(Bank_postings[Amount], Bank_postings[Date], "&gt;="&amp;'Cash actuals'!BA$7, Bank_postings[Date], "&lt;="&amp;'Cash actuals'!BA$8, Bank_postings[Sub-category (output)], 'Cash actuals'!$C70)</f>
        <v>0</v>
      </c>
      <c r="BB70" s="69">
        <f>SUMIFS(Bank_postings[Amount], Bank_postings[Date], "&gt;="&amp;'Cash actuals'!BB$7, Bank_postings[Date], "&lt;="&amp;'Cash actuals'!BB$8, Bank_postings[Sub-category (output)], 'Cash actuals'!$C70)</f>
        <v>0</v>
      </c>
      <c r="BC70" s="69">
        <f>SUMIFS(Bank_postings[Amount], Bank_postings[Date], "&gt;="&amp;'Cash actuals'!BC$7, Bank_postings[Date], "&lt;="&amp;'Cash actuals'!BC$8, Bank_postings[Sub-category (output)], 'Cash actuals'!$C70)</f>
        <v>0</v>
      </c>
      <c r="BD70" s="69">
        <f>SUMIFS(Bank_postings[Amount], Bank_postings[Date], "&gt;="&amp;'Cash actuals'!BD$7, Bank_postings[Date], "&lt;="&amp;'Cash actuals'!BD$8, Bank_postings[Sub-category (output)], 'Cash actuals'!$C70)</f>
        <v>0</v>
      </c>
      <c r="BE70" s="69">
        <f>SUMIFS(Bank_postings[Amount], Bank_postings[Date], "&gt;="&amp;'Cash actuals'!BE$7, Bank_postings[Date], "&lt;="&amp;'Cash actuals'!BE$8, Bank_postings[Sub-category (output)], 'Cash actuals'!$C70)</f>
        <v>0</v>
      </c>
    </row>
    <row r="71" spans="3:57" ht="5.0999999999999996" customHeight="1" x14ac:dyDescent="0.25"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</row>
    <row r="72" spans="3:57" x14ac:dyDescent="0.25">
      <c r="C72" s="1" t="s">
        <v>238</v>
      </c>
      <c r="F72" s="69">
        <f>SUMIFS(Bank_postings[Amount], Bank_postings[Date], "&gt;="&amp;'Cash actuals'!F$7, Bank_postings[Date], "&lt;="&amp;'Cash actuals'!F$8, Bank_postings[Sub-category (output)], 'Cash actuals'!$C72)</f>
        <v>0</v>
      </c>
      <c r="G72" s="69">
        <f>SUMIFS(Bank_postings[Amount], Bank_postings[Date], "&gt;="&amp;'Cash actuals'!G$7, Bank_postings[Date], "&lt;="&amp;'Cash actuals'!G$8, Bank_postings[Sub-category (output)], 'Cash actuals'!$C72)</f>
        <v>0</v>
      </c>
      <c r="H72" s="69">
        <f>SUMIFS(Bank_postings[Amount], Bank_postings[Date], "&gt;="&amp;'Cash actuals'!H$7, Bank_postings[Date], "&lt;="&amp;'Cash actuals'!H$8, Bank_postings[Sub-category (output)], 'Cash actuals'!$C72)</f>
        <v>0</v>
      </c>
      <c r="I72" s="69">
        <f>SUMIFS(Bank_postings[Amount], Bank_postings[Date], "&gt;="&amp;'Cash actuals'!I$7, Bank_postings[Date], "&lt;="&amp;'Cash actuals'!I$8, Bank_postings[Sub-category (output)], 'Cash actuals'!$C72)</f>
        <v>0</v>
      </c>
      <c r="J72" s="69">
        <f>SUMIFS(Bank_postings[Amount], Bank_postings[Date], "&gt;="&amp;'Cash actuals'!J$7, Bank_postings[Date], "&lt;="&amp;'Cash actuals'!J$8, Bank_postings[Sub-category (output)], 'Cash actuals'!$C72)</f>
        <v>0</v>
      </c>
      <c r="K72" s="69">
        <f>SUMIFS(Bank_postings[Amount], Bank_postings[Date], "&gt;="&amp;'Cash actuals'!K$7, Bank_postings[Date], "&lt;="&amp;'Cash actuals'!K$8, Bank_postings[Sub-category (output)], 'Cash actuals'!$C72)</f>
        <v>0</v>
      </c>
      <c r="L72" s="69">
        <f>SUMIFS(Bank_postings[Amount], Bank_postings[Date], "&gt;="&amp;'Cash actuals'!L$7, Bank_postings[Date], "&lt;="&amp;'Cash actuals'!L$8, Bank_postings[Sub-category (output)], 'Cash actuals'!$C72)</f>
        <v>0</v>
      </c>
      <c r="M72" s="69">
        <f>SUMIFS(Bank_postings[Amount], Bank_postings[Date], "&gt;="&amp;'Cash actuals'!M$7, Bank_postings[Date], "&lt;="&amp;'Cash actuals'!M$8, Bank_postings[Sub-category (output)], 'Cash actuals'!$C72)</f>
        <v>0</v>
      </c>
      <c r="N72" s="69">
        <f>SUMIFS(Bank_postings[Amount], Bank_postings[Date], "&gt;="&amp;'Cash actuals'!N$7, Bank_postings[Date], "&lt;="&amp;'Cash actuals'!N$8, Bank_postings[Sub-category (output)], 'Cash actuals'!$C72)</f>
        <v>0</v>
      </c>
      <c r="O72" s="69">
        <f>SUMIFS(Bank_postings[Amount], Bank_postings[Date], "&gt;="&amp;'Cash actuals'!O$7, Bank_postings[Date], "&lt;="&amp;'Cash actuals'!O$8, Bank_postings[Sub-category (output)], 'Cash actuals'!$C72)</f>
        <v>0</v>
      </c>
      <c r="P72" s="69">
        <f>SUMIFS(Bank_postings[Amount], Bank_postings[Date], "&gt;="&amp;'Cash actuals'!P$7, Bank_postings[Date], "&lt;="&amp;'Cash actuals'!P$8, Bank_postings[Sub-category (output)], 'Cash actuals'!$C72)</f>
        <v>0</v>
      </c>
      <c r="Q72" s="69">
        <f>SUMIFS(Bank_postings[Amount], Bank_postings[Date], "&gt;="&amp;'Cash actuals'!Q$7, Bank_postings[Date], "&lt;="&amp;'Cash actuals'!Q$8, Bank_postings[Sub-category (output)], 'Cash actuals'!$C72)</f>
        <v>0</v>
      </c>
      <c r="R72" s="69">
        <f>SUMIFS(Bank_postings[Amount], Bank_postings[Date], "&gt;="&amp;'Cash actuals'!R$7, Bank_postings[Date], "&lt;="&amp;'Cash actuals'!R$8, Bank_postings[Sub-category (output)], 'Cash actuals'!$C72)</f>
        <v>0</v>
      </c>
      <c r="S72" s="69">
        <f>SUMIFS(Bank_postings[Amount], Bank_postings[Date], "&gt;="&amp;'Cash actuals'!S$7, Bank_postings[Date], "&lt;="&amp;'Cash actuals'!S$8, Bank_postings[Sub-category (output)], 'Cash actuals'!$C72)</f>
        <v>0</v>
      </c>
      <c r="T72" s="69">
        <f>SUMIFS(Bank_postings[Amount], Bank_postings[Date], "&gt;="&amp;'Cash actuals'!T$7, Bank_postings[Date], "&lt;="&amp;'Cash actuals'!T$8, Bank_postings[Sub-category (output)], 'Cash actuals'!$C72)</f>
        <v>0</v>
      </c>
      <c r="U72" s="69">
        <f>SUMIFS(Bank_postings[Amount], Bank_postings[Date], "&gt;="&amp;'Cash actuals'!U$7, Bank_postings[Date], "&lt;="&amp;'Cash actuals'!U$8, Bank_postings[Sub-category (output)], 'Cash actuals'!$C72)</f>
        <v>0</v>
      </c>
      <c r="V72" s="69">
        <f>SUMIFS(Bank_postings[Amount], Bank_postings[Date], "&gt;="&amp;'Cash actuals'!V$7, Bank_postings[Date], "&lt;="&amp;'Cash actuals'!V$8, Bank_postings[Sub-category (output)], 'Cash actuals'!$C72)</f>
        <v>0</v>
      </c>
      <c r="W72" s="69">
        <f>SUMIFS(Bank_postings[Amount], Bank_postings[Date], "&gt;="&amp;'Cash actuals'!W$7, Bank_postings[Date], "&lt;="&amp;'Cash actuals'!W$8, Bank_postings[Sub-category (output)], 'Cash actuals'!$C72)</f>
        <v>0</v>
      </c>
      <c r="X72" s="69">
        <f>SUMIFS(Bank_postings[Amount], Bank_postings[Date], "&gt;="&amp;'Cash actuals'!X$7, Bank_postings[Date], "&lt;="&amp;'Cash actuals'!X$8, Bank_postings[Sub-category (output)], 'Cash actuals'!$C72)</f>
        <v>0</v>
      </c>
      <c r="Y72" s="69">
        <f>SUMIFS(Bank_postings[Amount], Bank_postings[Date], "&gt;="&amp;'Cash actuals'!Y$7, Bank_postings[Date], "&lt;="&amp;'Cash actuals'!Y$8, Bank_postings[Sub-category (output)], 'Cash actuals'!$C72)</f>
        <v>0</v>
      </c>
      <c r="Z72" s="69">
        <f>SUMIFS(Bank_postings[Amount], Bank_postings[Date], "&gt;="&amp;'Cash actuals'!Z$7, Bank_postings[Date], "&lt;="&amp;'Cash actuals'!Z$8, Bank_postings[Sub-category (output)], 'Cash actuals'!$C72)</f>
        <v>0</v>
      </c>
      <c r="AA72" s="69">
        <f>SUMIFS(Bank_postings[Amount], Bank_postings[Date], "&gt;="&amp;'Cash actuals'!AA$7, Bank_postings[Date], "&lt;="&amp;'Cash actuals'!AA$8, Bank_postings[Sub-category (output)], 'Cash actuals'!$C72)</f>
        <v>0</v>
      </c>
      <c r="AB72" s="69">
        <f>SUMIFS(Bank_postings[Amount], Bank_postings[Date], "&gt;="&amp;'Cash actuals'!AB$7, Bank_postings[Date], "&lt;="&amp;'Cash actuals'!AB$8, Bank_postings[Sub-category (output)], 'Cash actuals'!$C72)</f>
        <v>0</v>
      </c>
      <c r="AC72" s="69">
        <f>SUMIFS(Bank_postings[Amount], Bank_postings[Date], "&gt;="&amp;'Cash actuals'!AC$7, Bank_postings[Date], "&lt;="&amp;'Cash actuals'!AC$8, Bank_postings[Sub-category (output)], 'Cash actuals'!$C72)</f>
        <v>0</v>
      </c>
      <c r="AD72" s="69">
        <f>SUMIFS(Bank_postings[Amount], Bank_postings[Date], "&gt;="&amp;'Cash actuals'!AD$7, Bank_postings[Date], "&lt;="&amp;'Cash actuals'!AD$8, Bank_postings[Sub-category (output)], 'Cash actuals'!$C72)</f>
        <v>0</v>
      </c>
      <c r="AE72" s="69">
        <f>SUMIFS(Bank_postings[Amount], Bank_postings[Date], "&gt;="&amp;'Cash actuals'!AE$7, Bank_postings[Date], "&lt;="&amp;'Cash actuals'!AE$8, Bank_postings[Sub-category (output)], 'Cash actuals'!$C72)</f>
        <v>0</v>
      </c>
      <c r="AF72" s="69">
        <f>SUMIFS(Bank_postings[Amount], Bank_postings[Date], "&gt;="&amp;'Cash actuals'!AF$7, Bank_postings[Date], "&lt;="&amp;'Cash actuals'!AF$8, Bank_postings[Sub-category (output)], 'Cash actuals'!$C72)</f>
        <v>0</v>
      </c>
      <c r="AG72" s="69">
        <f>SUMIFS(Bank_postings[Amount], Bank_postings[Date], "&gt;="&amp;'Cash actuals'!AG$7, Bank_postings[Date], "&lt;="&amp;'Cash actuals'!AG$8, Bank_postings[Sub-category (output)], 'Cash actuals'!$C72)</f>
        <v>0</v>
      </c>
      <c r="AH72" s="69">
        <f>SUMIFS(Bank_postings[Amount], Bank_postings[Date], "&gt;="&amp;'Cash actuals'!AH$7, Bank_postings[Date], "&lt;="&amp;'Cash actuals'!AH$8, Bank_postings[Sub-category (output)], 'Cash actuals'!$C72)</f>
        <v>0</v>
      </c>
      <c r="AI72" s="69">
        <f>SUMIFS(Bank_postings[Amount], Bank_postings[Date], "&gt;="&amp;'Cash actuals'!AI$7, Bank_postings[Date], "&lt;="&amp;'Cash actuals'!AI$8, Bank_postings[Sub-category (output)], 'Cash actuals'!$C72)</f>
        <v>0</v>
      </c>
      <c r="AJ72" s="69">
        <f>SUMIFS(Bank_postings[Amount], Bank_postings[Date], "&gt;="&amp;'Cash actuals'!AJ$7, Bank_postings[Date], "&lt;="&amp;'Cash actuals'!AJ$8, Bank_postings[Sub-category (output)], 'Cash actuals'!$C72)</f>
        <v>0</v>
      </c>
      <c r="AK72" s="69">
        <f>SUMIFS(Bank_postings[Amount], Bank_postings[Date], "&gt;="&amp;'Cash actuals'!AK$7, Bank_postings[Date], "&lt;="&amp;'Cash actuals'!AK$8, Bank_postings[Sub-category (output)], 'Cash actuals'!$C72)</f>
        <v>0</v>
      </c>
      <c r="AL72" s="69">
        <f>SUMIFS(Bank_postings[Amount], Bank_postings[Date], "&gt;="&amp;'Cash actuals'!AL$7, Bank_postings[Date], "&lt;="&amp;'Cash actuals'!AL$8, Bank_postings[Sub-category (output)], 'Cash actuals'!$C72)</f>
        <v>0</v>
      </c>
      <c r="AM72" s="69">
        <f>SUMIFS(Bank_postings[Amount], Bank_postings[Date], "&gt;="&amp;'Cash actuals'!AM$7, Bank_postings[Date], "&lt;="&amp;'Cash actuals'!AM$8, Bank_postings[Sub-category (output)], 'Cash actuals'!$C72)</f>
        <v>0</v>
      </c>
      <c r="AN72" s="69">
        <f>SUMIFS(Bank_postings[Amount], Bank_postings[Date], "&gt;="&amp;'Cash actuals'!AN$7, Bank_postings[Date], "&lt;="&amp;'Cash actuals'!AN$8, Bank_postings[Sub-category (output)], 'Cash actuals'!$C72)</f>
        <v>0</v>
      </c>
      <c r="AO72" s="69">
        <f>SUMIFS(Bank_postings[Amount], Bank_postings[Date], "&gt;="&amp;'Cash actuals'!AO$7, Bank_postings[Date], "&lt;="&amp;'Cash actuals'!AO$8, Bank_postings[Sub-category (output)], 'Cash actuals'!$C72)</f>
        <v>0</v>
      </c>
      <c r="AP72" s="69">
        <f>SUMIFS(Bank_postings[Amount], Bank_postings[Date], "&gt;="&amp;'Cash actuals'!AP$7, Bank_postings[Date], "&lt;="&amp;'Cash actuals'!AP$8, Bank_postings[Sub-category (output)], 'Cash actuals'!$C72)</f>
        <v>0</v>
      </c>
      <c r="AQ72" s="69">
        <f>SUMIFS(Bank_postings[Amount], Bank_postings[Date], "&gt;="&amp;'Cash actuals'!AQ$7, Bank_postings[Date], "&lt;="&amp;'Cash actuals'!AQ$8, Bank_postings[Sub-category (output)], 'Cash actuals'!$C72)</f>
        <v>0</v>
      </c>
      <c r="AR72" s="69">
        <f>SUMIFS(Bank_postings[Amount], Bank_postings[Date], "&gt;="&amp;'Cash actuals'!AR$7, Bank_postings[Date], "&lt;="&amp;'Cash actuals'!AR$8, Bank_postings[Sub-category (output)], 'Cash actuals'!$C72)</f>
        <v>0</v>
      </c>
      <c r="AS72" s="69">
        <f>SUMIFS(Bank_postings[Amount], Bank_postings[Date], "&gt;="&amp;'Cash actuals'!AS$7, Bank_postings[Date], "&lt;="&amp;'Cash actuals'!AS$8, Bank_postings[Sub-category (output)], 'Cash actuals'!$C72)</f>
        <v>0</v>
      </c>
      <c r="AT72" s="69">
        <f>SUMIFS(Bank_postings[Amount], Bank_postings[Date], "&gt;="&amp;'Cash actuals'!AT$7, Bank_postings[Date], "&lt;="&amp;'Cash actuals'!AT$8, Bank_postings[Sub-category (output)], 'Cash actuals'!$C72)</f>
        <v>0</v>
      </c>
      <c r="AU72" s="69">
        <f>SUMIFS(Bank_postings[Amount], Bank_postings[Date], "&gt;="&amp;'Cash actuals'!AU$7, Bank_postings[Date], "&lt;="&amp;'Cash actuals'!AU$8, Bank_postings[Sub-category (output)], 'Cash actuals'!$C72)</f>
        <v>0</v>
      </c>
      <c r="AV72" s="69">
        <f>SUMIFS(Bank_postings[Amount], Bank_postings[Date], "&gt;="&amp;'Cash actuals'!AV$7, Bank_postings[Date], "&lt;="&amp;'Cash actuals'!AV$8, Bank_postings[Sub-category (output)], 'Cash actuals'!$C72)</f>
        <v>0</v>
      </c>
      <c r="AW72" s="69">
        <f>SUMIFS(Bank_postings[Amount], Bank_postings[Date], "&gt;="&amp;'Cash actuals'!AW$7, Bank_postings[Date], "&lt;="&amp;'Cash actuals'!AW$8, Bank_postings[Sub-category (output)], 'Cash actuals'!$C72)</f>
        <v>0</v>
      </c>
      <c r="AX72" s="69">
        <f>SUMIFS(Bank_postings[Amount], Bank_postings[Date], "&gt;="&amp;'Cash actuals'!AX$7, Bank_postings[Date], "&lt;="&amp;'Cash actuals'!AX$8, Bank_postings[Sub-category (output)], 'Cash actuals'!$C72)</f>
        <v>0</v>
      </c>
      <c r="AY72" s="69">
        <f>SUMIFS(Bank_postings[Amount], Bank_postings[Date], "&gt;="&amp;'Cash actuals'!AY$7, Bank_postings[Date], "&lt;="&amp;'Cash actuals'!AY$8, Bank_postings[Sub-category (output)], 'Cash actuals'!$C72)</f>
        <v>0</v>
      </c>
      <c r="AZ72" s="69">
        <f>SUMIFS(Bank_postings[Amount], Bank_postings[Date], "&gt;="&amp;'Cash actuals'!AZ$7, Bank_postings[Date], "&lt;="&amp;'Cash actuals'!AZ$8, Bank_postings[Sub-category (output)], 'Cash actuals'!$C72)</f>
        <v>0</v>
      </c>
      <c r="BA72" s="69">
        <f>SUMIFS(Bank_postings[Amount], Bank_postings[Date], "&gt;="&amp;'Cash actuals'!BA$7, Bank_postings[Date], "&lt;="&amp;'Cash actuals'!BA$8, Bank_postings[Sub-category (output)], 'Cash actuals'!$C72)</f>
        <v>0</v>
      </c>
      <c r="BB72" s="69">
        <f>SUMIFS(Bank_postings[Amount], Bank_postings[Date], "&gt;="&amp;'Cash actuals'!BB$7, Bank_postings[Date], "&lt;="&amp;'Cash actuals'!BB$8, Bank_postings[Sub-category (output)], 'Cash actuals'!$C72)</f>
        <v>0</v>
      </c>
      <c r="BC72" s="69">
        <f>SUMIFS(Bank_postings[Amount], Bank_postings[Date], "&gt;="&amp;'Cash actuals'!BC$7, Bank_postings[Date], "&lt;="&amp;'Cash actuals'!BC$8, Bank_postings[Sub-category (output)], 'Cash actuals'!$C72)</f>
        <v>0</v>
      </c>
      <c r="BD72" s="69">
        <f>SUMIFS(Bank_postings[Amount], Bank_postings[Date], "&gt;="&amp;'Cash actuals'!BD$7, Bank_postings[Date], "&lt;="&amp;'Cash actuals'!BD$8, Bank_postings[Sub-category (output)], 'Cash actuals'!$C72)</f>
        <v>0</v>
      </c>
      <c r="BE72" s="69">
        <f>SUMIFS(Bank_postings[Amount], Bank_postings[Date], "&gt;="&amp;'Cash actuals'!BE$7, Bank_postings[Date], "&lt;="&amp;'Cash actuals'!BE$8, Bank_postings[Sub-category (output)], 'Cash actuals'!$C72)</f>
        <v>0</v>
      </c>
    </row>
    <row r="73" spans="3:57" ht="5.0999999999999996" customHeight="1" x14ac:dyDescent="0.25"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</row>
    <row r="74" spans="3:57" x14ac:dyDescent="0.25">
      <c r="C74" s="14" t="s">
        <v>129</v>
      </c>
      <c r="F74" s="73">
        <f>F46 + F48 + F50 + F52 + F54 + F56 + F58 + F60 + F62 + F64 + F66 + F68 + F70 + F72</f>
        <v>0</v>
      </c>
      <c r="G74" s="73">
        <f t="shared" ref="G74:BE74" si="51">G46 + G48 + G50 + G52 + G54 + G56 + G58 + G60 + G62 + G64 + G66 + G68 + G70 + G72</f>
        <v>0</v>
      </c>
      <c r="H74" s="73">
        <f t="shared" si="51"/>
        <v>0</v>
      </c>
      <c r="I74" s="73">
        <f t="shared" si="51"/>
        <v>0</v>
      </c>
      <c r="J74" s="73">
        <f t="shared" si="51"/>
        <v>0</v>
      </c>
      <c r="K74" s="73">
        <f t="shared" si="51"/>
        <v>0</v>
      </c>
      <c r="L74" s="73">
        <f t="shared" si="51"/>
        <v>0</v>
      </c>
      <c r="M74" s="73">
        <f t="shared" si="51"/>
        <v>0</v>
      </c>
      <c r="N74" s="73">
        <f t="shared" si="51"/>
        <v>0</v>
      </c>
      <c r="O74" s="73">
        <f t="shared" si="51"/>
        <v>0</v>
      </c>
      <c r="P74" s="73">
        <f t="shared" si="51"/>
        <v>0</v>
      </c>
      <c r="Q74" s="73">
        <f t="shared" si="51"/>
        <v>0</v>
      </c>
      <c r="R74" s="73">
        <f t="shared" si="51"/>
        <v>0</v>
      </c>
      <c r="S74" s="73">
        <f t="shared" si="51"/>
        <v>0</v>
      </c>
      <c r="T74" s="73">
        <f t="shared" si="51"/>
        <v>0</v>
      </c>
      <c r="U74" s="73">
        <f t="shared" si="51"/>
        <v>0</v>
      </c>
      <c r="V74" s="73">
        <f t="shared" si="51"/>
        <v>0</v>
      </c>
      <c r="W74" s="73">
        <f t="shared" si="51"/>
        <v>0</v>
      </c>
      <c r="X74" s="73">
        <f t="shared" si="51"/>
        <v>0</v>
      </c>
      <c r="Y74" s="73">
        <f t="shared" si="51"/>
        <v>0</v>
      </c>
      <c r="Z74" s="73">
        <f t="shared" si="51"/>
        <v>0</v>
      </c>
      <c r="AA74" s="73">
        <f t="shared" si="51"/>
        <v>0</v>
      </c>
      <c r="AB74" s="73">
        <f t="shared" si="51"/>
        <v>0</v>
      </c>
      <c r="AC74" s="73">
        <f t="shared" si="51"/>
        <v>0</v>
      </c>
      <c r="AD74" s="73">
        <f t="shared" si="51"/>
        <v>0</v>
      </c>
      <c r="AE74" s="73">
        <f t="shared" si="51"/>
        <v>0</v>
      </c>
      <c r="AF74" s="73">
        <f t="shared" si="51"/>
        <v>0</v>
      </c>
      <c r="AG74" s="73">
        <f t="shared" si="51"/>
        <v>0</v>
      </c>
      <c r="AH74" s="73">
        <f t="shared" si="51"/>
        <v>0</v>
      </c>
      <c r="AI74" s="73">
        <f t="shared" si="51"/>
        <v>0</v>
      </c>
      <c r="AJ74" s="73">
        <f t="shared" si="51"/>
        <v>0</v>
      </c>
      <c r="AK74" s="73">
        <f t="shared" si="51"/>
        <v>0</v>
      </c>
      <c r="AL74" s="73">
        <f t="shared" si="51"/>
        <v>0</v>
      </c>
      <c r="AM74" s="73">
        <f t="shared" si="51"/>
        <v>0</v>
      </c>
      <c r="AN74" s="73">
        <f t="shared" si="51"/>
        <v>0</v>
      </c>
      <c r="AO74" s="73">
        <f t="shared" si="51"/>
        <v>0</v>
      </c>
      <c r="AP74" s="73">
        <f t="shared" si="51"/>
        <v>0</v>
      </c>
      <c r="AQ74" s="73">
        <f t="shared" si="51"/>
        <v>0</v>
      </c>
      <c r="AR74" s="73">
        <f t="shared" si="51"/>
        <v>0</v>
      </c>
      <c r="AS74" s="73">
        <f t="shared" si="51"/>
        <v>0</v>
      </c>
      <c r="AT74" s="73">
        <f t="shared" si="51"/>
        <v>0</v>
      </c>
      <c r="AU74" s="73">
        <f t="shared" si="51"/>
        <v>0</v>
      </c>
      <c r="AV74" s="73">
        <f t="shared" si="51"/>
        <v>0</v>
      </c>
      <c r="AW74" s="73">
        <f t="shared" si="51"/>
        <v>0</v>
      </c>
      <c r="AX74" s="73">
        <f t="shared" si="51"/>
        <v>0</v>
      </c>
      <c r="AY74" s="73">
        <f t="shared" si="51"/>
        <v>0</v>
      </c>
      <c r="AZ74" s="73">
        <f t="shared" si="51"/>
        <v>0</v>
      </c>
      <c r="BA74" s="73">
        <f t="shared" si="51"/>
        <v>0</v>
      </c>
      <c r="BB74" s="73">
        <f t="shared" si="51"/>
        <v>0</v>
      </c>
      <c r="BC74" s="73">
        <f t="shared" si="51"/>
        <v>0</v>
      </c>
      <c r="BD74" s="73">
        <f t="shared" si="51"/>
        <v>0</v>
      </c>
      <c r="BE74" s="73">
        <f t="shared" si="51"/>
        <v>0</v>
      </c>
    </row>
    <row r="75" spans="3:57" x14ac:dyDescent="0.25"/>
    <row r="76" spans="3:57" x14ac:dyDescent="0.25">
      <c r="C76" s="12" t="s">
        <v>21</v>
      </c>
      <c r="D76" s="13"/>
      <c r="E76" s="13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3:57" ht="5.0999999999999996" customHeight="1" x14ac:dyDescent="0.25"/>
    <row r="78" spans="3:57" x14ac:dyDescent="0.25">
      <c r="C78" s="1">
        <f>Assumptions!$D$44</f>
        <v>0</v>
      </c>
      <c r="F78" s="69">
        <f>SUMIFS(Bank_postings[Amount], Bank_postings[Date], "&gt;="&amp;'Cash actuals'!F$7, Bank_postings[Date], "&lt;="&amp;'Cash actuals'!F$8, Bank_postings[Sub-category (output)], 'Cash actuals'!$C78)</f>
        <v>0</v>
      </c>
      <c r="G78" s="69">
        <f>SUMIFS(Bank_postings[Amount], Bank_postings[Date], "&gt;="&amp;'Cash actuals'!G$7, Bank_postings[Date], "&lt;="&amp;'Cash actuals'!G$8, Bank_postings[Sub-category (output)], 'Cash actuals'!$C78)</f>
        <v>0</v>
      </c>
      <c r="H78" s="69">
        <f>SUMIFS(Bank_postings[Amount], Bank_postings[Date], "&gt;="&amp;'Cash actuals'!H$7, Bank_postings[Date], "&lt;="&amp;'Cash actuals'!H$8, Bank_postings[Sub-category (output)], 'Cash actuals'!$C78)</f>
        <v>0</v>
      </c>
      <c r="I78" s="69">
        <f>SUMIFS(Bank_postings[Amount], Bank_postings[Date], "&gt;="&amp;'Cash actuals'!I$7, Bank_postings[Date], "&lt;="&amp;'Cash actuals'!I$8, Bank_postings[Sub-category (output)], 'Cash actuals'!$C78)</f>
        <v>0</v>
      </c>
      <c r="J78" s="69">
        <f>SUMIFS(Bank_postings[Amount], Bank_postings[Date], "&gt;="&amp;'Cash actuals'!J$7, Bank_postings[Date], "&lt;="&amp;'Cash actuals'!J$8, Bank_postings[Sub-category (output)], 'Cash actuals'!$C78)</f>
        <v>0</v>
      </c>
      <c r="K78" s="69">
        <f>SUMIFS(Bank_postings[Amount], Bank_postings[Date], "&gt;="&amp;'Cash actuals'!K$7, Bank_postings[Date], "&lt;="&amp;'Cash actuals'!K$8, Bank_postings[Sub-category (output)], 'Cash actuals'!$C78)</f>
        <v>0</v>
      </c>
      <c r="L78" s="69">
        <f>SUMIFS(Bank_postings[Amount], Bank_postings[Date], "&gt;="&amp;'Cash actuals'!L$7, Bank_postings[Date], "&lt;="&amp;'Cash actuals'!L$8, Bank_postings[Sub-category (output)], 'Cash actuals'!$C78)</f>
        <v>0</v>
      </c>
      <c r="M78" s="69">
        <f>SUMIFS(Bank_postings[Amount], Bank_postings[Date], "&gt;="&amp;'Cash actuals'!M$7, Bank_postings[Date], "&lt;="&amp;'Cash actuals'!M$8, Bank_postings[Sub-category (output)], 'Cash actuals'!$C78)</f>
        <v>0</v>
      </c>
      <c r="N78" s="69">
        <f>SUMIFS(Bank_postings[Amount], Bank_postings[Date], "&gt;="&amp;'Cash actuals'!N$7, Bank_postings[Date], "&lt;="&amp;'Cash actuals'!N$8, Bank_postings[Sub-category (output)], 'Cash actuals'!$C78)</f>
        <v>0</v>
      </c>
      <c r="O78" s="69">
        <f>SUMIFS(Bank_postings[Amount], Bank_postings[Date], "&gt;="&amp;'Cash actuals'!O$7, Bank_postings[Date], "&lt;="&amp;'Cash actuals'!O$8, Bank_postings[Sub-category (output)], 'Cash actuals'!$C78)</f>
        <v>0</v>
      </c>
      <c r="P78" s="69">
        <f>SUMIFS(Bank_postings[Amount], Bank_postings[Date], "&gt;="&amp;'Cash actuals'!P$7, Bank_postings[Date], "&lt;="&amp;'Cash actuals'!P$8, Bank_postings[Sub-category (output)], 'Cash actuals'!$C78)</f>
        <v>0</v>
      </c>
      <c r="Q78" s="69">
        <f>SUMIFS(Bank_postings[Amount], Bank_postings[Date], "&gt;="&amp;'Cash actuals'!Q$7, Bank_postings[Date], "&lt;="&amp;'Cash actuals'!Q$8, Bank_postings[Sub-category (output)], 'Cash actuals'!$C78)</f>
        <v>0</v>
      </c>
      <c r="R78" s="69">
        <f>SUMIFS(Bank_postings[Amount], Bank_postings[Date], "&gt;="&amp;'Cash actuals'!R$7, Bank_postings[Date], "&lt;="&amp;'Cash actuals'!R$8, Bank_postings[Sub-category (output)], 'Cash actuals'!$C78)</f>
        <v>0</v>
      </c>
      <c r="S78" s="69">
        <f>SUMIFS(Bank_postings[Amount], Bank_postings[Date], "&gt;="&amp;'Cash actuals'!S$7, Bank_postings[Date], "&lt;="&amp;'Cash actuals'!S$8, Bank_postings[Sub-category (output)], 'Cash actuals'!$C78)</f>
        <v>0</v>
      </c>
      <c r="T78" s="69">
        <f>SUMIFS(Bank_postings[Amount], Bank_postings[Date], "&gt;="&amp;'Cash actuals'!T$7, Bank_postings[Date], "&lt;="&amp;'Cash actuals'!T$8, Bank_postings[Sub-category (output)], 'Cash actuals'!$C78)</f>
        <v>0</v>
      </c>
      <c r="U78" s="69">
        <f>SUMIFS(Bank_postings[Amount], Bank_postings[Date], "&gt;="&amp;'Cash actuals'!U$7, Bank_postings[Date], "&lt;="&amp;'Cash actuals'!U$8, Bank_postings[Sub-category (output)], 'Cash actuals'!$C78)</f>
        <v>0</v>
      </c>
      <c r="V78" s="69">
        <f>SUMIFS(Bank_postings[Amount], Bank_postings[Date], "&gt;="&amp;'Cash actuals'!V$7, Bank_postings[Date], "&lt;="&amp;'Cash actuals'!V$8, Bank_postings[Sub-category (output)], 'Cash actuals'!$C78)</f>
        <v>0</v>
      </c>
      <c r="W78" s="69">
        <f>SUMIFS(Bank_postings[Amount], Bank_postings[Date], "&gt;="&amp;'Cash actuals'!W$7, Bank_postings[Date], "&lt;="&amp;'Cash actuals'!W$8, Bank_postings[Sub-category (output)], 'Cash actuals'!$C78)</f>
        <v>0</v>
      </c>
      <c r="X78" s="69">
        <f>SUMIFS(Bank_postings[Amount], Bank_postings[Date], "&gt;="&amp;'Cash actuals'!X$7, Bank_postings[Date], "&lt;="&amp;'Cash actuals'!X$8, Bank_postings[Sub-category (output)], 'Cash actuals'!$C78)</f>
        <v>0</v>
      </c>
      <c r="Y78" s="69">
        <f>SUMIFS(Bank_postings[Amount], Bank_postings[Date], "&gt;="&amp;'Cash actuals'!Y$7, Bank_postings[Date], "&lt;="&amp;'Cash actuals'!Y$8, Bank_postings[Sub-category (output)], 'Cash actuals'!$C78)</f>
        <v>0</v>
      </c>
      <c r="Z78" s="69">
        <f>SUMIFS(Bank_postings[Amount], Bank_postings[Date], "&gt;="&amp;'Cash actuals'!Z$7, Bank_postings[Date], "&lt;="&amp;'Cash actuals'!Z$8, Bank_postings[Sub-category (output)], 'Cash actuals'!$C78)</f>
        <v>0</v>
      </c>
      <c r="AA78" s="69">
        <f>SUMIFS(Bank_postings[Amount], Bank_postings[Date], "&gt;="&amp;'Cash actuals'!AA$7, Bank_postings[Date], "&lt;="&amp;'Cash actuals'!AA$8, Bank_postings[Sub-category (output)], 'Cash actuals'!$C78)</f>
        <v>0</v>
      </c>
      <c r="AB78" s="69">
        <f>SUMIFS(Bank_postings[Amount], Bank_postings[Date], "&gt;="&amp;'Cash actuals'!AB$7, Bank_postings[Date], "&lt;="&amp;'Cash actuals'!AB$8, Bank_postings[Sub-category (output)], 'Cash actuals'!$C78)</f>
        <v>0</v>
      </c>
      <c r="AC78" s="69">
        <f>SUMIFS(Bank_postings[Amount], Bank_postings[Date], "&gt;="&amp;'Cash actuals'!AC$7, Bank_postings[Date], "&lt;="&amp;'Cash actuals'!AC$8, Bank_postings[Sub-category (output)], 'Cash actuals'!$C78)</f>
        <v>0</v>
      </c>
      <c r="AD78" s="69">
        <f>SUMIFS(Bank_postings[Amount], Bank_postings[Date], "&gt;="&amp;'Cash actuals'!AD$7, Bank_postings[Date], "&lt;="&amp;'Cash actuals'!AD$8, Bank_postings[Sub-category (output)], 'Cash actuals'!$C78)</f>
        <v>0</v>
      </c>
      <c r="AE78" s="69">
        <f>SUMIFS(Bank_postings[Amount], Bank_postings[Date], "&gt;="&amp;'Cash actuals'!AE$7, Bank_postings[Date], "&lt;="&amp;'Cash actuals'!AE$8, Bank_postings[Sub-category (output)], 'Cash actuals'!$C78)</f>
        <v>0</v>
      </c>
      <c r="AF78" s="69">
        <f>SUMIFS(Bank_postings[Amount], Bank_postings[Date], "&gt;="&amp;'Cash actuals'!AF$7, Bank_postings[Date], "&lt;="&amp;'Cash actuals'!AF$8, Bank_postings[Sub-category (output)], 'Cash actuals'!$C78)</f>
        <v>0</v>
      </c>
      <c r="AG78" s="69">
        <f>SUMIFS(Bank_postings[Amount], Bank_postings[Date], "&gt;="&amp;'Cash actuals'!AG$7, Bank_postings[Date], "&lt;="&amp;'Cash actuals'!AG$8, Bank_postings[Sub-category (output)], 'Cash actuals'!$C78)</f>
        <v>0</v>
      </c>
      <c r="AH78" s="69">
        <f>SUMIFS(Bank_postings[Amount], Bank_postings[Date], "&gt;="&amp;'Cash actuals'!AH$7, Bank_postings[Date], "&lt;="&amp;'Cash actuals'!AH$8, Bank_postings[Sub-category (output)], 'Cash actuals'!$C78)</f>
        <v>0</v>
      </c>
      <c r="AI78" s="69">
        <f>SUMIFS(Bank_postings[Amount], Bank_postings[Date], "&gt;="&amp;'Cash actuals'!AI$7, Bank_postings[Date], "&lt;="&amp;'Cash actuals'!AI$8, Bank_postings[Sub-category (output)], 'Cash actuals'!$C78)</f>
        <v>0</v>
      </c>
      <c r="AJ78" s="69">
        <f>SUMIFS(Bank_postings[Amount], Bank_postings[Date], "&gt;="&amp;'Cash actuals'!AJ$7, Bank_postings[Date], "&lt;="&amp;'Cash actuals'!AJ$8, Bank_postings[Sub-category (output)], 'Cash actuals'!$C78)</f>
        <v>0</v>
      </c>
      <c r="AK78" s="69">
        <f>SUMIFS(Bank_postings[Amount], Bank_postings[Date], "&gt;="&amp;'Cash actuals'!AK$7, Bank_postings[Date], "&lt;="&amp;'Cash actuals'!AK$8, Bank_postings[Sub-category (output)], 'Cash actuals'!$C78)</f>
        <v>0</v>
      </c>
      <c r="AL78" s="69">
        <f>SUMIFS(Bank_postings[Amount], Bank_postings[Date], "&gt;="&amp;'Cash actuals'!AL$7, Bank_postings[Date], "&lt;="&amp;'Cash actuals'!AL$8, Bank_postings[Sub-category (output)], 'Cash actuals'!$C78)</f>
        <v>0</v>
      </c>
      <c r="AM78" s="69">
        <f>SUMIFS(Bank_postings[Amount], Bank_postings[Date], "&gt;="&amp;'Cash actuals'!AM$7, Bank_postings[Date], "&lt;="&amp;'Cash actuals'!AM$8, Bank_postings[Sub-category (output)], 'Cash actuals'!$C78)</f>
        <v>0</v>
      </c>
      <c r="AN78" s="69">
        <f>SUMIFS(Bank_postings[Amount], Bank_postings[Date], "&gt;="&amp;'Cash actuals'!AN$7, Bank_postings[Date], "&lt;="&amp;'Cash actuals'!AN$8, Bank_postings[Sub-category (output)], 'Cash actuals'!$C78)</f>
        <v>0</v>
      </c>
      <c r="AO78" s="69">
        <f>SUMIFS(Bank_postings[Amount], Bank_postings[Date], "&gt;="&amp;'Cash actuals'!AO$7, Bank_postings[Date], "&lt;="&amp;'Cash actuals'!AO$8, Bank_postings[Sub-category (output)], 'Cash actuals'!$C78)</f>
        <v>0</v>
      </c>
      <c r="AP78" s="69">
        <f>SUMIFS(Bank_postings[Amount], Bank_postings[Date], "&gt;="&amp;'Cash actuals'!AP$7, Bank_postings[Date], "&lt;="&amp;'Cash actuals'!AP$8, Bank_postings[Sub-category (output)], 'Cash actuals'!$C78)</f>
        <v>0</v>
      </c>
      <c r="AQ78" s="69">
        <f>SUMIFS(Bank_postings[Amount], Bank_postings[Date], "&gt;="&amp;'Cash actuals'!AQ$7, Bank_postings[Date], "&lt;="&amp;'Cash actuals'!AQ$8, Bank_postings[Sub-category (output)], 'Cash actuals'!$C78)</f>
        <v>0</v>
      </c>
      <c r="AR78" s="69">
        <f>SUMIFS(Bank_postings[Amount], Bank_postings[Date], "&gt;="&amp;'Cash actuals'!AR$7, Bank_postings[Date], "&lt;="&amp;'Cash actuals'!AR$8, Bank_postings[Sub-category (output)], 'Cash actuals'!$C78)</f>
        <v>0</v>
      </c>
      <c r="AS78" s="69">
        <f>SUMIFS(Bank_postings[Amount], Bank_postings[Date], "&gt;="&amp;'Cash actuals'!AS$7, Bank_postings[Date], "&lt;="&amp;'Cash actuals'!AS$8, Bank_postings[Sub-category (output)], 'Cash actuals'!$C78)</f>
        <v>0</v>
      </c>
      <c r="AT78" s="69">
        <f>SUMIFS(Bank_postings[Amount], Bank_postings[Date], "&gt;="&amp;'Cash actuals'!AT$7, Bank_postings[Date], "&lt;="&amp;'Cash actuals'!AT$8, Bank_postings[Sub-category (output)], 'Cash actuals'!$C78)</f>
        <v>0</v>
      </c>
      <c r="AU78" s="69">
        <f>SUMIFS(Bank_postings[Amount], Bank_postings[Date], "&gt;="&amp;'Cash actuals'!AU$7, Bank_postings[Date], "&lt;="&amp;'Cash actuals'!AU$8, Bank_postings[Sub-category (output)], 'Cash actuals'!$C78)</f>
        <v>0</v>
      </c>
      <c r="AV78" s="69">
        <f>SUMIFS(Bank_postings[Amount], Bank_postings[Date], "&gt;="&amp;'Cash actuals'!AV$7, Bank_postings[Date], "&lt;="&amp;'Cash actuals'!AV$8, Bank_postings[Sub-category (output)], 'Cash actuals'!$C78)</f>
        <v>0</v>
      </c>
      <c r="AW78" s="69">
        <f>SUMIFS(Bank_postings[Amount], Bank_postings[Date], "&gt;="&amp;'Cash actuals'!AW$7, Bank_postings[Date], "&lt;="&amp;'Cash actuals'!AW$8, Bank_postings[Sub-category (output)], 'Cash actuals'!$C78)</f>
        <v>0</v>
      </c>
      <c r="AX78" s="69">
        <f>SUMIFS(Bank_postings[Amount], Bank_postings[Date], "&gt;="&amp;'Cash actuals'!AX$7, Bank_postings[Date], "&lt;="&amp;'Cash actuals'!AX$8, Bank_postings[Sub-category (output)], 'Cash actuals'!$C78)</f>
        <v>0</v>
      </c>
      <c r="AY78" s="69">
        <f>SUMIFS(Bank_postings[Amount], Bank_postings[Date], "&gt;="&amp;'Cash actuals'!AY$7, Bank_postings[Date], "&lt;="&amp;'Cash actuals'!AY$8, Bank_postings[Sub-category (output)], 'Cash actuals'!$C78)</f>
        <v>0</v>
      </c>
      <c r="AZ78" s="69">
        <f>SUMIFS(Bank_postings[Amount], Bank_postings[Date], "&gt;="&amp;'Cash actuals'!AZ$7, Bank_postings[Date], "&lt;="&amp;'Cash actuals'!AZ$8, Bank_postings[Sub-category (output)], 'Cash actuals'!$C78)</f>
        <v>0</v>
      </c>
      <c r="BA78" s="69">
        <f>SUMIFS(Bank_postings[Amount], Bank_postings[Date], "&gt;="&amp;'Cash actuals'!BA$7, Bank_postings[Date], "&lt;="&amp;'Cash actuals'!BA$8, Bank_postings[Sub-category (output)], 'Cash actuals'!$C78)</f>
        <v>0</v>
      </c>
      <c r="BB78" s="69">
        <f>SUMIFS(Bank_postings[Amount], Bank_postings[Date], "&gt;="&amp;'Cash actuals'!BB$7, Bank_postings[Date], "&lt;="&amp;'Cash actuals'!BB$8, Bank_postings[Sub-category (output)], 'Cash actuals'!$C78)</f>
        <v>0</v>
      </c>
      <c r="BC78" s="69">
        <f>SUMIFS(Bank_postings[Amount], Bank_postings[Date], "&gt;="&amp;'Cash actuals'!BC$7, Bank_postings[Date], "&lt;="&amp;'Cash actuals'!BC$8, Bank_postings[Sub-category (output)], 'Cash actuals'!$C78)</f>
        <v>0</v>
      </c>
      <c r="BD78" s="69">
        <f>SUMIFS(Bank_postings[Amount], Bank_postings[Date], "&gt;="&amp;'Cash actuals'!BD$7, Bank_postings[Date], "&lt;="&amp;'Cash actuals'!BD$8, Bank_postings[Sub-category (output)], 'Cash actuals'!$C78)</f>
        <v>0</v>
      </c>
      <c r="BE78" s="69">
        <f>SUMIFS(Bank_postings[Amount], Bank_postings[Date], "&gt;="&amp;'Cash actuals'!BE$7, Bank_postings[Date], "&lt;="&amp;'Cash actuals'!BE$8, Bank_postings[Sub-category (output)], 'Cash actuals'!$C78)</f>
        <v>0</v>
      </c>
    </row>
    <row r="79" spans="3:57" ht="5.0999999999999996" customHeight="1" x14ac:dyDescent="0.25"/>
    <row r="80" spans="3:57" x14ac:dyDescent="0.25">
      <c r="C80" s="1">
        <f>Assumptions!$D$45</f>
        <v>0</v>
      </c>
      <c r="F80" s="69">
        <f>SUMIFS(Bank_postings[Amount], Bank_postings[Date], "&gt;="&amp;'Cash actuals'!F$7, Bank_postings[Date], "&lt;="&amp;'Cash actuals'!F$8, Bank_postings[Sub-category (output)], 'Cash actuals'!$C80)</f>
        <v>0</v>
      </c>
      <c r="G80" s="69">
        <f>SUMIFS(Bank_postings[Amount], Bank_postings[Date], "&gt;="&amp;'Cash actuals'!G$7, Bank_postings[Date], "&lt;="&amp;'Cash actuals'!G$8, Bank_postings[Sub-category (output)], 'Cash actuals'!$C80)</f>
        <v>0</v>
      </c>
      <c r="H80" s="69">
        <f>SUMIFS(Bank_postings[Amount], Bank_postings[Date], "&gt;="&amp;'Cash actuals'!H$7, Bank_postings[Date], "&lt;="&amp;'Cash actuals'!H$8, Bank_postings[Sub-category (output)], 'Cash actuals'!$C80)</f>
        <v>0</v>
      </c>
      <c r="I80" s="69">
        <f>SUMIFS(Bank_postings[Amount], Bank_postings[Date], "&gt;="&amp;'Cash actuals'!I$7, Bank_postings[Date], "&lt;="&amp;'Cash actuals'!I$8, Bank_postings[Sub-category (output)], 'Cash actuals'!$C80)</f>
        <v>0</v>
      </c>
      <c r="J80" s="69">
        <f>SUMIFS(Bank_postings[Amount], Bank_postings[Date], "&gt;="&amp;'Cash actuals'!J$7, Bank_postings[Date], "&lt;="&amp;'Cash actuals'!J$8, Bank_postings[Sub-category (output)], 'Cash actuals'!$C80)</f>
        <v>0</v>
      </c>
      <c r="K80" s="69">
        <f>SUMIFS(Bank_postings[Amount], Bank_postings[Date], "&gt;="&amp;'Cash actuals'!K$7, Bank_postings[Date], "&lt;="&amp;'Cash actuals'!K$8, Bank_postings[Sub-category (output)], 'Cash actuals'!$C80)</f>
        <v>0</v>
      </c>
      <c r="L80" s="69">
        <f>SUMIFS(Bank_postings[Amount], Bank_postings[Date], "&gt;="&amp;'Cash actuals'!L$7, Bank_postings[Date], "&lt;="&amp;'Cash actuals'!L$8, Bank_postings[Sub-category (output)], 'Cash actuals'!$C80)</f>
        <v>0</v>
      </c>
      <c r="M80" s="69">
        <f>SUMIFS(Bank_postings[Amount], Bank_postings[Date], "&gt;="&amp;'Cash actuals'!M$7, Bank_postings[Date], "&lt;="&amp;'Cash actuals'!M$8, Bank_postings[Sub-category (output)], 'Cash actuals'!$C80)</f>
        <v>0</v>
      </c>
      <c r="N80" s="69">
        <f>SUMIFS(Bank_postings[Amount], Bank_postings[Date], "&gt;="&amp;'Cash actuals'!N$7, Bank_postings[Date], "&lt;="&amp;'Cash actuals'!N$8, Bank_postings[Sub-category (output)], 'Cash actuals'!$C80)</f>
        <v>0</v>
      </c>
      <c r="O80" s="69">
        <f>SUMIFS(Bank_postings[Amount], Bank_postings[Date], "&gt;="&amp;'Cash actuals'!O$7, Bank_postings[Date], "&lt;="&amp;'Cash actuals'!O$8, Bank_postings[Sub-category (output)], 'Cash actuals'!$C80)</f>
        <v>0</v>
      </c>
      <c r="P80" s="69">
        <f>SUMIFS(Bank_postings[Amount], Bank_postings[Date], "&gt;="&amp;'Cash actuals'!P$7, Bank_postings[Date], "&lt;="&amp;'Cash actuals'!P$8, Bank_postings[Sub-category (output)], 'Cash actuals'!$C80)</f>
        <v>0</v>
      </c>
      <c r="Q80" s="69">
        <f>SUMIFS(Bank_postings[Amount], Bank_postings[Date], "&gt;="&amp;'Cash actuals'!Q$7, Bank_postings[Date], "&lt;="&amp;'Cash actuals'!Q$8, Bank_postings[Sub-category (output)], 'Cash actuals'!$C80)</f>
        <v>0</v>
      </c>
      <c r="R80" s="69">
        <f>SUMIFS(Bank_postings[Amount], Bank_postings[Date], "&gt;="&amp;'Cash actuals'!R$7, Bank_postings[Date], "&lt;="&amp;'Cash actuals'!R$8, Bank_postings[Sub-category (output)], 'Cash actuals'!$C80)</f>
        <v>0</v>
      </c>
      <c r="S80" s="69">
        <f>SUMIFS(Bank_postings[Amount], Bank_postings[Date], "&gt;="&amp;'Cash actuals'!S$7, Bank_postings[Date], "&lt;="&amp;'Cash actuals'!S$8, Bank_postings[Sub-category (output)], 'Cash actuals'!$C80)</f>
        <v>0</v>
      </c>
      <c r="T80" s="69">
        <f>SUMIFS(Bank_postings[Amount], Bank_postings[Date], "&gt;="&amp;'Cash actuals'!T$7, Bank_postings[Date], "&lt;="&amp;'Cash actuals'!T$8, Bank_postings[Sub-category (output)], 'Cash actuals'!$C80)</f>
        <v>0</v>
      </c>
      <c r="U80" s="69">
        <f>SUMIFS(Bank_postings[Amount], Bank_postings[Date], "&gt;="&amp;'Cash actuals'!U$7, Bank_postings[Date], "&lt;="&amp;'Cash actuals'!U$8, Bank_postings[Sub-category (output)], 'Cash actuals'!$C80)</f>
        <v>0</v>
      </c>
      <c r="V80" s="69">
        <f>SUMIFS(Bank_postings[Amount], Bank_postings[Date], "&gt;="&amp;'Cash actuals'!V$7, Bank_postings[Date], "&lt;="&amp;'Cash actuals'!V$8, Bank_postings[Sub-category (output)], 'Cash actuals'!$C80)</f>
        <v>0</v>
      </c>
      <c r="W80" s="69">
        <f>SUMIFS(Bank_postings[Amount], Bank_postings[Date], "&gt;="&amp;'Cash actuals'!W$7, Bank_postings[Date], "&lt;="&amp;'Cash actuals'!W$8, Bank_postings[Sub-category (output)], 'Cash actuals'!$C80)</f>
        <v>0</v>
      </c>
      <c r="X80" s="69">
        <f>SUMIFS(Bank_postings[Amount], Bank_postings[Date], "&gt;="&amp;'Cash actuals'!X$7, Bank_postings[Date], "&lt;="&amp;'Cash actuals'!X$8, Bank_postings[Sub-category (output)], 'Cash actuals'!$C80)</f>
        <v>0</v>
      </c>
      <c r="Y80" s="69">
        <f>SUMIFS(Bank_postings[Amount], Bank_postings[Date], "&gt;="&amp;'Cash actuals'!Y$7, Bank_postings[Date], "&lt;="&amp;'Cash actuals'!Y$8, Bank_postings[Sub-category (output)], 'Cash actuals'!$C80)</f>
        <v>0</v>
      </c>
      <c r="Z80" s="69">
        <f>SUMIFS(Bank_postings[Amount], Bank_postings[Date], "&gt;="&amp;'Cash actuals'!Z$7, Bank_postings[Date], "&lt;="&amp;'Cash actuals'!Z$8, Bank_postings[Sub-category (output)], 'Cash actuals'!$C80)</f>
        <v>0</v>
      </c>
      <c r="AA80" s="69">
        <f>SUMIFS(Bank_postings[Amount], Bank_postings[Date], "&gt;="&amp;'Cash actuals'!AA$7, Bank_postings[Date], "&lt;="&amp;'Cash actuals'!AA$8, Bank_postings[Sub-category (output)], 'Cash actuals'!$C80)</f>
        <v>0</v>
      </c>
      <c r="AB80" s="69">
        <f>SUMIFS(Bank_postings[Amount], Bank_postings[Date], "&gt;="&amp;'Cash actuals'!AB$7, Bank_postings[Date], "&lt;="&amp;'Cash actuals'!AB$8, Bank_postings[Sub-category (output)], 'Cash actuals'!$C80)</f>
        <v>0</v>
      </c>
      <c r="AC80" s="69">
        <f>SUMIFS(Bank_postings[Amount], Bank_postings[Date], "&gt;="&amp;'Cash actuals'!AC$7, Bank_postings[Date], "&lt;="&amp;'Cash actuals'!AC$8, Bank_postings[Sub-category (output)], 'Cash actuals'!$C80)</f>
        <v>0</v>
      </c>
      <c r="AD80" s="69">
        <f>SUMIFS(Bank_postings[Amount], Bank_postings[Date], "&gt;="&amp;'Cash actuals'!AD$7, Bank_postings[Date], "&lt;="&amp;'Cash actuals'!AD$8, Bank_postings[Sub-category (output)], 'Cash actuals'!$C80)</f>
        <v>0</v>
      </c>
      <c r="AE80" s="69">
        <f>SUMIFS(Bank_postings[Amount], Bank_postings[Date], "&gt;="&amp;'Cash actuals'!AE$7, Bank_postings[Date], "&lt;="&amp;'Cash actuals'!AE$8, Bank_postings[Sub-category (output)], 'Cash actuals'!$C80)</f>
        <v>0</v>
      </c>
      <c r="AF80" s="69">
        <f>SUMIFS(Bank_postings[Amount], Bank_postings[Date], "&gt;="&amp;'Cash actuals'!AF$7, Bank_postings[Date], "&lt;="&amp;'Cash actuals'!AF$8, Bank_postings[Sub-category (output)], 'Cash actuals'!$C80)</f>
        <v>0</v>
      </c>
      <c r="AG80" s="69">
        <f>SUMIFS(Bank_postings[Amount], Bank_postings[Date], "&gt;="&amp;'Cash actuals'!AG$7, Bank_postings[Date], "&lt;="&amp;'Cash actuals'!AG$8, Bank_postings[Sub-category (output)], 'Cash actuals'!$C80)</f>
        <v>0</v>
      </c>
      <c r="AH80" s="69">
        <f>SUMIFS(Bank_postings[Amount], Bank_postings[Date], "&gt;="&amp;'Cash actuals'!AH$7, Bank_postings[Date], "&lt;="&amp;'Cash actuals'!AH$8, Bank_postings[Sub-category (output)], 'Cash actuals'!$C80)</f>
        <v>0</v>
      </c>
      <c r="AI80" s="69">
        <f>SUMIFS(Bank_postings[Amount], Bank_postings[Date], "&gt;="&amp;'Cash actuals'!AI$7, Bank_postings[Date], "&lt;="&amp;'Cash actuals'!AI$8, Bank_postings[Sub-category (output)], 'Cash actuals'!$C80)</f>
        <v>0</v>
      </c>
      <c r="AJ80" s="69">
        <f>SUMIFS(Bank_postings[Amount], Bank_postings[Date], "&gt;="&amp;'Cash actuals'!AJ$7, Bank_postings[Date], "&lt;="&amp;'Cash actuals'!AJ$8, Bank_postings[Sub-category (output)], 'Cash actuals'!$C80)</f>
        <v>0</v>
      </c>
      <c r="AK80" s="69">
        <f>SUMIFS(Bank_postings[Amount], Bank_postings[Date], "&gt;="&amp;'Cash actuals'!AK$7, Bank_postings[Date], "&lt;="&amp;'Cash actuals'!AK$8, Bank_postings[Sub-category (output)], 'Cash actuals'!$C80)</f>
        <v>0</v>
      </c>
      <c r="AL80" s="69">
        <f>SUMIFS(Bank_postings[Amount], Bank_postings[Date], "&gt;="&amp;'Cash actuals'!AL$7, Bank_postings[Date], "&lt;="&amp;'Cash actuals'!AL$8, Bank_postings[Sub-category (output)], 'Cash actuals'!$C80)</f>
        <v>0</v>
      </c>
      <c r="AM80" s="69">
        <f>SUMIFS(Bank_postings[Amount], Bank_postings[Date], "&gt;="&amp;'Cash actuals'!AM$7, Bank_postings[Date], "&lt;="&amp;'Cash actuals'!AM$8, Bank_postings[Sub-category (output)], 'Cash actuals'!$C80)</f>
        <v>0</v>
      </c>
      <c r="AN80" s="69">
        <f>SUMIFS(Bank_postings[Amount], Bank_postings[Date], "&gt;="&amp;'Cash actuals'!AN$7, Bank_postings[Date], "&lt;="&amp;'Cash actuals'!AN$8, Bank_postings[Sub-category (output)], 'Cash actuals'!$C80)</f>
        <v>0</v>
      </c>
      <c r="AO80" s="69">
        <f>SUMIFS(Bank_postings[Amount], Bank_postings[Date], "&gt;="&amp;'Cash actuals'!AO$7, Bank_postings[Date], "&lt;="&amp;'Cash actuals'!AO$8, Bank_postings[Sub-category (output)], 'Cash actuals'!$C80)</f>
        <v>0</v>
      </c>
      <c r="AP80" s="69">
        <f>SUMIFS(Bank_postings[Amount], Bank_postings[Date], "&gt;="&amp;'Cash actuals'!AP$7, Bank_postings[Date], "&lt;="&amp;'Cash actuals'!AP$8, Bank_postings[Sub-category (output)], 'Cash actuals'!$C80)</f>
        <v>0</v>
      </c>
      <c r="AQ80" s="69">
        <f>SUMIFS(Bank_postings[Amount], Bank_postings[Date], "&gt;="&amp;'Cash actuals'!AQ$7, Bank_postings[Date], "&lt;="&amp;'Cash actuals'!AQ$8, Bank_postings[Sub-category (output)], 'Cash actuals'!$C80)</f>
        <v>0</v>
      </c>
      <c r="AR80" s="69">
        <f>SUMIFS(Bank_postings[Amount], Bank_postings[Date], "&gt;="&amp;'Cash actuals'!AR$7, Bank_postings[Date], "&lt;="&amp;'Cash actuals'!AR$8, Bank_postings[Sub-category (output)], 'Cash actuals'!$C80)</f>
        <v>0</v>
      </c>
      <c r="AS80" s="69">
        <f>SUMIFS(Bank_postings[Amount], Bank_postings[Date], "&gt;="&amp;'Cash actuals'!AS$7, Bank_postings[Date], "&lt;="&amp;'Cash actuals'!AS$8, Bank_postings[Sub-category (output)], 'Cash actuals'!$C80)</f>
        <v>0</v>
      </c>
      <c r="AT80" s="69">
        <f>SUMIFS(Bank_postings[Amount], Bank_postings[Date], "&gt;="&amp;'Cash actuals'!AT$7, Bank_postings[Date], "&lt;="&amp;'Cash actuals'!AT$8, Bank_postings[Sub-category (output)], 'Cash actuals'!$C80)</f>
        <v>0</v>
      </c>
      <c r="AU80" s="69">
        <f>SUMIFS(Bank_postings[Amount], Bank_postings[Date], "&gt;="&amp;'Cash actuals'!AU$7, Bank_postings[Date], "&lt;="&amp;'Cash actuals'!AU$8, Bank_postings[Sub-category (output)], 'Cash actuals'!$C80)</f>
        <v>0</v>
      </c>
      <c r="AV80" s="69">
        <f>SUMIFS(Bank_postings[Amount], Bank_postings[Date], "&gt;="&amp;'Cash actuals'!AV$7, Bank_postings[Date], "&lt;="&amp;'Cash actuals'!AV$8, Bank_postings[Sub-category (output)], 'Cash actuals'!$C80)</f>
        <v>0</v>
      </c>
      <c r="AW80" s="69">
        <f>SUMIFS(Bank_postings[Amount], Bank_postings[Date], "&gt;="&amp;'Cash actuals'!AW$7, Bank_postings[Date], "&lt;="&amp;'Cash actuals'!AW$8, Bank_postings[Sub-category (output)], 'Cash actuals'!$C80)</f>
        <v>0</v>
      </c>
      <c r="AX80" s="69">
        <f>SUMIFS(Bank_postings[Amount], Bank_postings[Date], "&gt;="&amp;'Cash actuals'!AX$7, Bank_postings[Date], "&lt;="&amp;'Cash actuals'!AX$8, Bank_postings[Sub-category (output)], 'Cash actuals'!$C80)</f>
        <v>0</v>
      </c>
      <c r="AY80" s="69">
        <f>SUMIFS(Bank_postings[Amount], Bank_postings[Date], "&gt;="&amp;'Cash actuals'!AY$7, Bank_postings[Date], "&lt;="&amp;'Cash actuals'!AY$8, Bank_postings[Sub-category (output)], 'Cash actuals'!$C80)</f>
        <v>0</v>
      </c>
      <c r="AZ80" s="69">
        <f>SUMIFS(Bank_postings[Amount], Bank_postings[Date], "&gt;="&amp;'Cash actuals'!AZ$7, Bank_postings[Date], "&lt;="&amp;'Cash actuals'!AZ$8, Bank_postings[Sub-category (output)], 'Cash actuals'!$C80)</f>
        <v>0</v>
      </c>
      <c r="BA80" s="69">
        <f>SUMIFS(Bank_postings[Amount], Bank_postings[Date], "&gt;="&amp;'Cash actuals'!BA$7, Bank_postings[Date], "&lt;="&amp;'Cash actuals'!BA$8, Bank_postings[Sub-category (output)], 'Cash actuals'!$C80)</f>
        <v>0</v>
      </c>
      <c r="BB80" s="69">
        <f>SUMIFS(Bank_postings[Amount], Bank_postings[Date], "&gt;="&amp;'Cash actuals'!BB$7, Bank_postings[Date], "&lt;="&amp;'Cash actuals'!BB$8, Bank_postings[Sub-category (output)], 'Cash actuals'!$C80)</f>
        <v>0</v>
      </c>
      <c r="BC80" s="69">
        <f>SUMIFS(Bank_postings[Amount], Bank_postings[Date], "&gt;="&amp;'Cash actuals'!BC$7, Bank_postings[Date], "&lt;="&amp;'Cash actuals'!BC$8, Bank_postings[Sub-category (output)], 'Cash actuals'!$C80)</f>
        <v>0</v>
      </c>
      <c r="BD80" s="69">
        <f>SUMIFS(Bank_postings[Amount], Bank_postings[Date], "&gt;="&amp;'Cash actuals'!BD$7, Bank_postings[Date], "&lt;="&amp;'Cash actuals'!BD$8, Bank_postings[Sub-category (output)], 'Cash actuals'!$C80)</f>
        <v>0</v>
      </c>
      <c r="BE80" s="69">
        <f>SUMIFS(Bank_postings[Amount], Bank_postings[Date], "&gt;="&amp;'Cash actuals'!BE$7, Bank_postings[Date], "&lt;="&amp;'Cash actuals'!BE$8, Bank_postings[Sub-category (output)], 'Cash actuals'!$C80)</f>
        <v>0</v>
      </c>
    </row>
    <row r="81" spans="3:57" ht="5.0999999999999996" customHeight="1" x14ac:dyDescent="0.25"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</row>
    <row r="82" spans="3:57" x14ac:dyDescent="0.25">
      <c r="C82" s="1">
        <f>Assumptions!$D$46</f>
        <v>0</v>
      </c>
      <c r="F82" s="69">
        <f>SUMIFS(Bank_postings[Amount], Bank_postings[Date], "&gt;="&amp;'Cash actuals'!F$7, Bank_postings[Date], "&lt;="&amp;'Cash actuals'!F$8, Bank_postings[Sub-category (output)], 'Cash actuals'!$C82)</f>
        <v>0</v>
      </c>
      <c r="G82" s="69">
        <f>SUMIFS(Bank_postings[Amount], Bank_postings[Date], "&gt;="&amp;'Cash actuals'!G$7, Bank_postings[Date], "&lt;="&amp;'Cash actuals'!G$8, Bank_postings[Sub-category (output)], 'Cash actuals'!$C82)</f>
        <v>0</v>
      </c>
      <c r="H82" s="69">
        <f>SUMIFS(Bank_postings[Amount], Bank_postings[Date], "&gt;="&amp;'Cash actuals'!H$7, Bank_postings[Date], "&lt;="&amp;'Cash actuals'!H$8, Bank_postings[Sub-category (output)], 'Cash actuals'!$C82)</f>
        <v>0</v>
      </c>
      <c r="I82" s="69">
        <f>SUMIFS(Bank_postings[Amount], Bank_postings[Date], "&gt;="&amp;'Cash actuals'!I$7, Bank_postings[Date], "&lt;="&amp;'Cash actuals'!I$8, Bank_postings[Sub-category (output)], 'Cash actuals'!$C82)</f>
        <v>0</v>
      </c>
      <c r="J82" s="69">
        <f>SUMIFS(Bank_postings[Amount], Bank_postings[Date], "&gt;="&amp;'Cash actuals'!J$7, Bank_postings[Date], "&lt;="&amp;'Cash actuals'!J$8, Bank_postings[Sub-category (output)], 'Cash actuals'!$C82)</f>
        <v>0</v>
      </c>
      <c r="K82" s="69">
        <f>SUMIFS(Bank_postings[Amount], Bank_postings[Date], "&gt;="&amp;'Cash actuals'!K$7, Bank_postings[Date], "&lt;="&amp;'Cash actuals'!K$8, Bank_postings[Sub-category (output)], 'Cash actuals'!$C82)</f>
        <v>0</v>
      </c>
      <c r="L82" s="69">
        <f>SUMIFS(Bank_postings[Amount], Bank_postings[Date], "&gt;="&amp;'Cash actuals'!L$7, Bank_postings[Date], "&lt;="&amp;'Cash actuals'!L$8, Bank_postings[Sub-category (output)], 'Cash actuals'!$C82)</f>
        <v>0</v>
      </c>
      <c r="M82" s="69">
        <f>SUMIFS(Bank_postings[Amount], Bank_postings[Date], "&gt;="&amp;'Cash actuals'!M$7, Bank_postings[Date], "&lt;="&amp;'Cash actuals'!M$8, Bank_postings[Sub-category (output)], 'Cash actuals'!$C82)</f>
        <v>0</v>
      </c>
      <c r="N82" s="69">
        <f>SUMIFS(Bank_postings[Amount], Bank_postings[Date], "&gt;="&amp;'Cash actuals'!N$7, Bank_postings[Date], "&lt;="&amp;'Cash actuals'!N$8, Bank_postings[Sub-category (output)], 'Cash actuals'!$C82)</f>
        <v>0</v>
      </c>
      <c r="O82" s="69">
        <f>SUMIFS(Bank_postings[Amount], Bank_postings[Date], "&gt;="&amp;'Cash actuals'!O$7, Bank_postings[Date], "&lt;="&amp;'Cash actuals'!O$8, Bank_postings[Sub-category (output)], 'Cash actuals'!$C82)</f>
        <v>0</v>
      </c>
      <c r="P82" s="69">
        <f>SUMIFS(Bank_postings[Amount], Bank_postings[Date], "&gt;="&amp;'Cash actuals'!P$7, Bank_postings[Date], "&lt;="&amp;'Cash actuals'!P$8, Bank_postings[Sub-category (output)], 'Cash actuals'!$C82)</f>
        <v>0</v>
      </c>
      <c r="Q82" s="69">
        <f>SUMIFS(Bank_postings[Amount], Bank_postings[Date], "&gt;="&amp;'Cash actuals'!Q$7, Bank_postings[Date], "&lt;="&amp;'Cash actuals'!Q$8, Bank_postings[Sub-category (output)], 'Cash actuals'!$C82)</f>
        <v>0</v>
      </c>
      <c r="R82" s="69">
        <f>SUMIFS(Bank_postings[Amount], Bank_postings[Date], "&gt;="&amp;'Cash actuals'!R$7, Bank_postings[Date], "&lt;="&amp;'Cash actuals'!R$8, Bank_postings[Sub-category (output)], 'Cash actuals'!$C82)</f>
        <v>0</v>
      </c>
      <c r="S82" s="69">
        <f>SUMIFS(Bank_postings[Amount], Bank_postings[Date], "&gt;="&amp;'Cash actuals'!S$7, Bank_postings[Date], "&lt;="&amp;'Cash actuals'!S$8, Bank_postings[Sub-category (output)], 'Cash actuals'!$C82)</f>
        <v>0</v>
      </c>
      <c r="T82" s="69">
        <f>SUMIFS(Bank_postings[Amount], Bank_postings[Date], "&gt;="&amp;'Cash actuals'!T$7, Bank_postings[Date], "&lt;="&amp;'Cash actuals'!T$8, Bank_postings[Sub-category (output)], 'Cash actuals'!$C82)</f>
        <v>0</v>
      </c>
      <c r="U82" s="69">
        <f>SUMIFS(Bank_postings[Amount], Bank_postings[Date], "&gt;="&amp;'Cash actuals'!U$7, Bank_postings[Date], "&lt;="&amp;'Cash actuals'!U$8, Bank_postings[Sub-category (output)], 'Cash actuals'!$C82)</f>
        <v>0</v>
      </c>
      <c r="V82" s="69">
        <f>SUMIFS(Bank_postings[Amount], Bank_postings[Date], "&gt;="&amp;'Cash actuals'!V$7, Bank_postings[Date], "&lt;="&amp;'Cash actuals'!V$8, Bank_postings[Sub-category (output)], 'Cash actuals'!$C82)</f>
        <v>0</v>
      </c>
      <c r="W82" s="69">
        <f>SUMIFS(Bank_postings[Amount], Bank_postings[Date], "&gt;="&amp;'Cash actuals'!W$7, Bank_postings[Date], "&lt;="&amp;'Cash actuals'!W$8, Bank_postings[Sub-category (output)], 'Cash actuals'!$C82)</f>
        <v>0</v>
      </c>
      <c r="X82" s="69">
        <f>SUMIFS(Bank_postings[Amount], Bank_postings[Date], "&gt;="&amp;'Cash actuals'!X$7, Bank_postings[Date], "&lt;="&amp;'Cash actuals'!X$8, Bank_postings[Sub-category (output)], 'Cash actuals'!$C82)</f>
        <v>0</v>
      </c>
      <c r="Y82" s="69">
        <f>SUMIFS(Bank_postings[Amount], Bank_postings[Date], "&gt;="&amp;'Cash actuals'!Y$7, Bank_postings[Date], "&lt;="&amp;'Cash actuals'!Y$8, Bank_postings[Sub-category (output)], 'Cash actuals'!$C82)</f>
        <v>0</v>
      </c>
      <c r="Z82" s="69">
        <f>SUMIFS(Bank_postings[Amount], Bank_postings[Date], "&gt;="&amp;'Cash actuals'!Z$7, Bank_postings[Date], "&lt;="&amp;'Cash actuals'!Z$8, Bank_postings[Sub-category (output)], 'Cash actuals'!$C82)</f>
        <v>0</v>
      </c>
      <c r="AA82" s="69">
        <f>SUMIFS(Bank_postings[Amount], Bank_postings[Date], "&gt;="&amp;'Cash actuals'!AA$7, Bank_postings[Date], "&lt;="&amp;'Cash actuals'!AA$8, Bank_postings[Sub-category (output)], 'Cash actuals'!$C82)</f>
        <v>0</v>
      </c>
      <c r="AB82" s="69">
        <f>SUMIFS(Bank_postings[Amount], Bank_postings[Date], "&gt;="&amp;'Cash actuals'!AB$7, Bank_postings[Date], "&lt;="&amp;'Cash actuals'!AB$8, Bank_postings[Sub-category (output)], 'Cash actuals'!$C82)</f>
        <v>0</v>
      </c>
      <c r="AC82" s="69">
        <f>SUMIFS(Bank_postings[Amount], Bank_postings[Date], "&gt;="&amp;'Cash actuals'!AC$7, Bank_postings[Date], "&lt;="&amp;'Cash actuals'!AC$8, Bank_postings[Sub-category (output)], 'Cash actuals'!$C82)</f>
        <v>0</v>
      </c>
      <c r="AD82" s="69">
        <f>SUMIFS(Bank_postings[Amount], Bank_postings[Date], "&gt;="&amp;'Cash actuals'!AD$7, Bank_postings[Date], "&lt;="&amp;'Cash actuals'!AD$8, Bank_postings[Sub-category (output)], 'Cash actuals'!$C82)</f>
        <v>0</v>
      </c>
      <c r="AE82" s="69">
        <f>SUMIFS(Bank_postings[Amount], Bank_postings[Date], "&gt;="&amp;'Cash actuals'!AE$7, Bank_postings[Date], "&lt;="&amp;'Cash actuals'!AE$8, Bank_postings[Sub-category (output)], 'Cash actuals'!$C82)</f>
        <v>0</v>
      </c>
      <c r="AF82" s="69">
        <f>SUMIFS(Bank_postings[Amount], Bank_postings[Date], "&gt;="&amp;'Cash actuals'!AF$7, Bank_postings[Date], "&lt;="&amp;'Cash actuals'!AF$8, Bank_postings[Sub-category (output)], 'Cash actuals'!$C82)</f>
        <v>0</v>
      </c>
      <c r="AG82" s="69">
        <f>SUMIFS(Bank_postings[Amount], Bank_postings[Date], "&gt;="&amp;'Cash actuals'!AG$7, Bank_postings[Date], "&lt;="&amp;'Cash actuals'!AG$8, Bank_postings[Sub-category (output)], 'Cash actuals'!$C82)</f>
        <v>0</v>
      </c>
      <c r="AH82" s="69">
        <f>SUMIFS(Bank_postings[Amount], Bank_postings[Date], "&gt;="&amp;'Cash actuals'!AH$7, Bank_postings[Date], "&lt;="&amp;'Cash actuals'!AH$8, Bank_postings[Sub-category (output)], 'Cash actuals'!$C82)</f>
        <v>0</v>
      </c>
      <c r="AI82" s="69">
        <f>SUMIFS(Bank_postings[Amount], Bank_postings[Date], "&gt;="&amp;'Cash actuals'!AI$7, Bank_postings[Date], "&lt;="&amp;'Cash actuals'!AI$8, Bank_postings[Sub-category (output)], 'Cash actuals'!$C82)</f>
        <v>0</v>
      </c>
      <c r="AJ82" s="69">
        <f>SUMIFS(Bank_postings[Amount], Bank_postings[Date], "&gt;="&amp;'Cash actuals'!AJ$7, Bank_postings[Date], "&lt;="&amp;'Cash actuals'!AJ$8, Bank_postings[Sub-category (output)], 'Cash actuals'!$C82)</f>
        <v>0</v>
      </c>
      <c r="AK82" s="69">
        <f>SUMIFS(Bank_postings[Amount], Bank_postings[Date], "&gt;="&amp;'Cash actuals'!AK$7, Bank_postings[Date], "&lt;="&amp;'Cash actuals'!AK$8, Bank_postings[Sub-category (output)], 'Cash actuals'!$C82)</f>
        <v>0</v>
      </c>
      <c r="AL82" s="69">
        <f>SUMIFS(Bank_postings[Amount], Bank_postings[Date], "&gt;="&amp;'Cash actuals'!AL$7, Bank_postings[Date], "&lt;="&amp;'Cash actuals'!AL$8, Bank_postings[Sub-category (output)], 'Cash actuals'!$C82)</f>
        <v>0</v>
      </c>
      <c r="AM82" s="69">
        <f>SUMIFS(Bank_postings[Amount], Bank_postings[Date], "&gt;="&amp;'Cash actuals'!AM$7, Bank_postings[Date], "&lt;="&amp;'Cash actuals'!AM$8, Bank_postings[Sub-category (output)], 'Cash actuals'!$C82)</f>
        <v>0</v>
      </c>
      <c r="AN82" s="69">
        <f>SUMIFS(Bank_postings[Amount], Bank_postings[Date], "&gt;="&amp;'Cash actuals'!AN$7, Bank_postings[Date], "&lt;="&amp;'Cash actuals'!AN$8, Bank_postings[Sub-category (output)], 'Cash actuals'!$C82)</f>
        <v>0</v>
      </c>
      <c r="AO82" s="69">
        <f>SUMIFS(Bank_postings[Amount], Bank_postings[Date], "&gt;="&amp;'Cash actuals'!AO$7, Bank_postings[Date], "&lt;="&amp;'Cash actuals'!AO$8, Bank_postings[Sub-category (output)], 'Cash actuals'!$C82)</f>
        <v>0</v>
      </c>
      <c r="AP82" s="69">
        <f>SUMIFS(Bank_postings[Amount], Bank_postings[Date], "&gt;="&amp;'Cash actuals'!AP$7, Bank_postings[Date], "&lt;="&amp;'Cash actuals'!AP$8, Bank_postings[Sub-category (output)], 'Cash actuals'!$C82)</f>
        <v>0</v>
      </c>
      <c r="AQ82" s="69">
        <f>SUMIFS(Bank_postings[Amount], Bank_postings[Date], "&gt;="&amp;'Cash actuals'!AQ$7, Bank_postings[Date], "&lt;="&amp;'Cash actuals'!AQ$8, Bank_postings[Sub-category (output)], 'Cash actuals'!$C82)</f>
        <v>0</v>
      </c>
      <c r="AR82" s="69">
        <f>SUMIFS(Bank_postings[Amount], Bank_postings[Date], "&gt;="&amp;'Cash actuals'!AR$7, Bank_postings[Date], "&lt;="&amp;'Cash actuals'!AR$8, Bank_postings[Sub-category (output)], 'Cash actuals'!$C82)</f>
        <v>0</v>
      </c>
      <c r="AS82" s="69">
        <f>SUMIFS(Bank_postings[Amount], Bank_postings[Date], "&gt;="&amp;'Cash actuals'!AS$7, Bank_postings[Date], "&lt;="&amp;'Cash actuals'!AS$8, Bank_postings[Sub-category (output)], 'Cash actuals'!$C82)</f>
        <v>0</v>
      </c>
      <c r="AT82" s="69">
        <f>SUMIFS(Bank_postings[Amount], Bank_postings[Date], "&gt;="&amp;'Cash actuals'!AT$7, Bank_postings[Date], "&lt;="&amp;'Cash actuals'!AT$8, Bank_postings[Sub-category (output)], 'Cash actuals'!$C82)</f>
        <v>0</v>
      </c>
      <c r="AU82" s="69">
        <f>SUMIFS(Bank_postings[Amount], Bank_postings[Date], "&gt;="&amp;'Cash actuals'!AU$7, Bank_postings[Date], "&lt;="&amp;'Cash actuals'!AU$8, Bank_postings[Sub-category (output)], 'Cash actuals'!$C82)</f>
        <v>0</v>
      </c>
      <c r="AV82" s="69">
        <f>SUMIFS(Bank_postings[Amount], Bank_postings[Date], "&gt;="&amp;'Cash actuals'!AV$7, Bank_postings[Date], "&lt;="&amp;'Cash actuals'!AV$8, Bank_postings[Sub-category (output)], 'Cash actuals'!$C82)</f>
        <v>0</v>
      </c>
      <c r="AW82" s="69">
        <f>SUMIFS(Bank_postings[Amount], Bank_postings[Date], "&gt;="&amp;'Cash actuals'!AW$7, Bank_postings[Date], "&lt;="&amp;'Cash actuals'!AW$8, Bank_postings[Sub-category (output)], 'Cash actuals'!$C82)</f>
        <v>0</v>
      </c>
      <c r="AX82" s="69">
        <f>SUMIFS(Bank_postings[Amount], Bank_postings[Date], "&gt;="&amp;'Cash actuals'!AX$7, Bank_postings[Date], "&lt;="&amp;'Cash actuals'!AX$8, Bank_postings[Sub-category (output)], 'Cash actuals'!$C82)</f>
        <v>0</v>
      </c>
      <c r="AY82" s="69">
        <f>SUMIFS(Bank_postings[Amount], Bank_postings[Date], "&gt;="&amp;'Cash actuals'!AY$7, Bank_postings[Date], "&lt;="&amp;'Cash actuals'!AY$8, Bank_postings[Sub-category (output)], 'Cash actuals'!$C82)</f>
        <v>0</v>
      </c>
      <c r="AZ82" s="69">
        <f>SUMIFS(Bank_postings[Amount], Bank_postings[Date], "&gt;="&amp;'Cash actuals'!AZ$7, Bank_postings[Date], "&lt;="&amp;'Cash actuals'!AZ$8, Bank_postings[Sub-category (output)], 'Cash actuals'!$C82)</f>
        <v>0</v>
      </c>
      <c r="BA82" s="69">
        <f>SUMIFS(Bank_postings[Amount], Bank_postings[Date], "&gt;="&amp;'Cash actuals'!BA$7, Bank_postings[Date], "&lt;="&amp;'Cash actuals'!BA$8, Bank_postings[Sub-category (output)], 'Cash actuals'!$C82)</f>
        <v>0</v>
      </c>
      <c r="BB82" s="69">
        <f>SUMIFS(Bank_postings[Amount], Bank_postings[Date], "&gt;="&amp;'Cash actuals'!BB$7, Bank_postings[Date], "&lt;="&amp;'Cash actuals'!BB$8, Bank_postings[Sub-category (output)], 'Cash actuals'!$C82)</f>
        <v>0</v>
      </c>
      <c r="BC82" s="69">
        <f>SUMIFS(Bank_postings[Amount], Bank_postings[Date], "&gt;="&amp;'Cash actuals'!BC$7, Bank_postings[Date], "&lt;="&amp;'Cash actuals'!BC$8, Bank_postings[Sub-category (output)], 'Cash actuals'!$C82)</f>
        <v>0</v>
      </c>
      <c r="BD82" s="69">
        <f>SUMIFS(Bank_postings[Amount], Bank_postings[Date], "&gt;="&amp;'Cash actuals'!BD$7, Bank_postings[Date], "&lt;="&amp;'Cash actuals'!BD$8, Bank_postings[Sub-category (output)], 'Cash actuals'!$C82)</f>
        <v>0</v>
      </c>
      <c r="BE82" s="69">
        <f>SUMIFS(Bank_postings[Amount], Bank_postings[Date], "&gt;="&amp;'Cash actuals'!BE$7, Bank_postings[Date], "&lt;="&amp;'Cash actuals'!BE$8, Bank_postings[Sub-category (output)], 'Cash actuals'!$C82)</f>
        <v>0</v>
      </c>
    </row>
    <row r="83" spans="3:57" ht="5.0999999999999996" customHeight="1" x14ac:dyDescent="0.25"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</row>
    <row r="84" spans="3:57" x14ac:dyDescent="0.25">
      <c r="C84" s="14" t="s">
        <v>130</v>
      </c>
      <c r="F84" s="73">
        <f t="shared" ref="F84:R84" si="52">F78 + F80 + F82</f>
        <v>0</v>
      </c>
      <c r="G84" s="73">
        <f t="shared" si="52"/>
        <v>0</v>
      </c>
      <c r="H84" s="73">
        <f t="shared" si="52"/>
        <v>0</v>
      </c>
      <c r="I84" s="73">
        <f t="shared" si="52"/>
        <v>0</v>
      </c>
      <c r="J84" s="73">
        <f t="shared" si="52"/>
        <v>0</v>
      </c>
      <c r="K84" s="73">
        <f t="shared" si="52"/>
        <v>0</v>
      </c>
      <c r="L84" s="73">
        <f t="shared" si="52"/>
        <v>0</v>
      </c>
      <c r="M84" s="73">
        <f t="shared" si="52"/>
        <v>0</v>
      </c>
      <c r="N84" s="73">
        <f t="shared" si="52"/>
        <v>0</v>
      </c>
      <c r="O84" s="73">
        <f t="shared" si="52"/>
        <v>0</v>
      </c>
      <c r="P84" s="73">
        <f t="shared" si="52"/>
        <v>0</v>
      </c>
      <c r="Q84" s="73">
        <f t="shared" si="52"/>
        <v>0</v>
      </c>
      <c r="R84" s="73">
        <f t="shared" si="52"/>
        <v>0</v>
      </c>
      <c r="S84" s="73">
        <f t="shared" ref="S84:BE84" si="53">S78 + S80 + S82</f>
        <v>0</v>
      </c>
      <c r="T84" s="73">
        <f t="shared" si="53"/>
        <v>0</v>
      </c>
      <c r="U84" s="73">
        <f t="shared" si="53"/>
        <v>0</v>
      </c>
      <c r="V84" s="73">
        <f t="shared" si="53"/>
        <v>0</v>
      </c>
      <c r="W84" s="73">
        <f t="shared" si="53"/>
        <v>0</v>
      </c>
      <c r="X84" s="73">
        <f t="shared" si="53"/>
        <v>0</v>
      </c>
      <c r="Y84" s="73">
        <f t="shared" si="53"/>
        <v>0</v>
      </c>
      <c r="Z84" s="73">
        <f t="shared" si="53"/>
        <v>0</v>
      </c>
      <c r="AA84" s="73">
        <f t="shared" si="53"/>
        <v>0</v>
      </c>
      <c r="AB84" s="73">
        <f t="shared" si="53"/>
        <v>0</v>
      </c>
      <c r="AC84" s="73">
        <f t="shared" si="53"/>
        <v>0</v>
      </c>
      <c r="AD84" s="73">
        <f t="shared" si="53"/>
        <v>0</v>
      </c>
      <c r="AE84" s="73">
        <f t="shared" si="53"/>
        <v>0</v>
      </c>
      <c r="AF84" s="73">
        <f t="shared" si="53"/>
        <v>0</v>
      </c>
      <c r="AG84" s="73">
        <f t="shared" si="53"/>
        <v>0</v>
      </c>
      <c r="AH84" s="73">
        <f t="shared" si="53"/>
        <v>0</v>
      </c>
      <c r="AI84" s="73">
        <f t="shared" si="53"/>
        <v>0</v>
      </c>
      <c r="AJ84" s="73">
        <f t="shared" si="53"/>
        <v>0</v>
      </c>
      <c r="AK84" s="73">
        <f t="shared" si="53"/>
        <v>0</v>
      </c>
      <c r="AL84" s="73">
        <f t="shared" si="53"/>
        <v>0</v>
      </c>
      <c r="AM84" s="73">
        <f t="shared" si="53"/>
        <v>0</v>
      </c>
      <c r="AN84" s="73">
        <f t="shared" si="53"/>
        <v>0</v>
      </c>
      <c r="AO84" s="73">
        <f t="shared" si="53"/>
        <v>0</v>
      </c>
      <c r="AP84" s="73">
        <f t="shared" si="53"/>
        <v>0</v>
      </c>
      <c r="AQ84" s="73">
        <f t="shared" si="53"/>
        <v>0</v>
      </c>
      <c r="AR84" s="73">
        <f t="shared" si="53"/>
        <v>0</v>
      </c>
      <c r="AS84" s="73">
        <f t="shared" si="53"/>
        <v>0</v>
      </c>
      <c r="AT84" s="73">
        <f t="shared" si="53"/>
        <v>0</v>
      </c>
      <c r="AU84" s="73">
        <f t="shared" si="53"/>
        <v>0</v>
      </c>
      <c r="AV84" s="73">
        <f t="shared" si="53"/>
        <v>0</v>
      </c>
      <c r="AW84" s="73">
        <f t="shared" si="53"/>
        <v>0</v>
      </c>
      <c r="AX84" s="73">
        <f t="shared" si="53"/>
        <v>0</v>
      </c>
      <c r="AY84" s="73">
        <f t="shared" si="53"/>
        <v>0</v>
      </c>
      <c r="AZ84" s="73">
        <f t="shared" si="53"/>
        <v>0</v>
      </c>
      <c r="BA84" s="73">
        <f t="shared" si="53"/>
        <v>0</v>
      </c>
      <c r="BB84" s="73">
        <f t="shared" si="53"/>
        <v>0</v>
      </c>
      <c r="BC84" s="73">
        <f t="shared" si="53"/>
        <v>0</v>
      </c>
      <c r="BD84" s="73">
        <f t="shared" si="53"/>
        <v>0</v>
      </c>
      <c r="BE84" s="73">
        <f t="shared" si="53"/>
        <v>0</v>
      </c>
    </row>
    <row r="85" spans="3:57" x14ac:dyDescent="0.25"/>
    <row r="86" spans="3:57" x14ac:dyDescent="0.25">
      <c r="C86" s="12" t="s">
        <v>140</v>
      </c>
      <c r="D86" s="13"/>
      <c r="E86" s="13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3:57" ht="5.0999999999999996" customHeight="1" x14ac:dyDescent="0.25"/>
    <row r="88" spans="3:57" x14ac:dyDescent="0.25">
      <c r="C88" s="1">
        <f>Assumptions!$D$47</f>
        <v>0</v>
      </c>
      <c r="F88" s="69">
        <f>SUMIFS(Bank_postings[Amount], Bank_postings[Date], "&gt;="&amp;'Cash actuals'!F$7, Bank_postings[Date], "&lt;="&amp;'Cash actuals'!F$8, Bank_postings[Sub-category (output)], 'Cash actuals'!$C88)</f>
        <v>0</v>
      </c>
      <c r="G88" s="69">
        <f>SUMIFS(Bank_postings[Amount], Bank_postings[Date], "&gt;="&amp;'Cash actuals'!G$7, Bank_postings[Date], "&lt;="&amp;'Cash actuals'!G$8, Bank_postings[Sub-category (output)], 'Cash actuals'!$C88)</f>
        <v>0</v>
      </c>
      <c r="H88" s="69">
        <f>SUMIFS(Bank_postings[Amount], Bank_postings[Date], "&gt;="&amp;'Cash actuals'!H$7, Bank_postings[Date], "&lt;="&amp;'Cash actuals'!H$8, Bank_postings[Sub-category (output)], 'Cash actuals'!$C88)</f>
        <v>0</v>
      </c>
      <c r="I88" s="69">
        <f>SUMIFS(Bank_postings[Amount], Bank_postings[Date], "&gt;="&amp;'Cash actuals'!I$7, Bank_postings[Date], "&lt;="&amp;'Cash actuals'!I$8, Bank_postings[Sub-category (output)], 'Cash actuals'!$C88)</f>
        <v>0</v>
      </c>
      <c r="J88" s="69">
        <f>SUMIFS(Bank_postings[Amount], Bank_postings[Date], "&gt;="&amp;'Cash actuals'!J$7, Bank_postings[Date], "&lt;="&amp;'Cash actuals'!J$8, Bank_postings[Sub-category (output)], 'Cash actuals'!$C88)</f>
        <v>0</v>
      </c>
      <c r="K88" s="69">
        <f>SUMIFS(Bank_postings[Amount], Bank_postings[Date], "&gt;="&amp;'Cash actuals'!K$7, Bank_postings[Date], "&lt;="&amp;'Cash actuals'!K$8, Bank_postings[Sub-category (output)], 'Cash actuals'!$C88)</f>
        <v>0</v>
      </c>
      <c r="L88" s="69">
        <f>SUMIFS(Bank_postings[Amount], Bank_postings[Date], "&gt;="&amp;'Cash actuals'!L$7, Bank_postings[Date], "&lt;="&amp;'Cash actuals'!L$8, Bank_postings[Sub-category (output)], 'Cash actuals'!$C88)</f>
        <v>0</v>
      </c>
      <c r="M88" s="69">
        <f>SUMIFS(Bank_postings[Amount], Bank_postings[Date], "&gt;="&amp;'Cash actuals'!M$7, Bank_postings[Date], "&lt;="&amp;'Cash actuals'!M$8, Bank_postings[Sub-category (output)], 'Cash actuals'!$C88)</f>
        <v>0</v>
      </c>
      <c r="N88" s="69">
        <f>SUMIFS(Bank_postings[Amount], Bank_postings[Date], "&gt;="&amp;'Cash actuals'!N$7, Bank_postings[Date], "&lt;="&amp;'Cash actuals'!N$8, Bank_postings[Sub-category (output)], 'Cash actuals'!$C88)</f>
        <v>0</v>
      </c>
      <c r="O88" s="69">
        <f>SUMIFS(Bank_postings[Amount], Bank_postings[Date], "&gt;="&amp;'Cash actuals'!O$7, Bank_postings[Date], "&lt;="&amp;'Cash actuals'!O$8, Bank_postings[Sub-category (output)], 'Cash actuals'!$C88)</f>
        <v>0</v>
      </c>
      <c r="P88" s="69">
        <f>SUMIFS(Bank_postings[Amount], Bank_postings[Date], "&gt;="&amp;'Cash actuals'!P$7, Bank_postings[Date], "&lt;="&amp;'Cash actuals'!P$8, Bank_postings[Sub-category (output)], 'Cash actuals'!$C88)</f>
        <v>0</v>
      </c>
      <c r="Q88" s="69">
        <f>SUMIFS(Bank_postings[Amount], Bank_postings[Date], "&gt;="&amp;'Cash actuals'!Q$7, Bank_postings[Date], "&lt;="&amp;'Cash actuals'!Q$8, Bank_postings[Sub-category (output)], 'Cash actuals'!$C88)</f>
        <v>0</v>
      </c>
      <c r="R88" s="69">
        <f>SUMIFS(Bank_postings[Amount], Bank_postings[Date], "&gt;="&amp;'Cash actuals'!R$7, Bank_postings[Date], "&lt;="&amp;'Cash actuals'!R$8, Bank_postings[Sub-category (output)], 'Cash actuals'!$C88)</f>
        <v>0</v>
      </c>
      <c r="S88" s="69">
        <f>SUMIFS(Bank_postings[Amount], Bank_postings[Date], "&gt;="&amp;'Cash actuals'!S$7, Bank_postings[Date], "&lt;="&amp;'Cash actuals'!S$8, Bank_postings[Sub-category (output)], 'Cash actuals'!$C88)</f>
        <v>0</v>
      </c>
      <c r="T88" s="69">
        <f>SUMIFS(Bank_postings[Amount], Bank_postings[Date], "&gt;="&amp;'Cash actuals'!T$7, Bank_postings[Date], "&lt;="&amp;'Cash actuals'!T$8, Bank_postings[Sub-category (output)], 'Cash actuals'!$C88)</f>
        <v>0</v>
      </c>
      <c r="U88" s="69">
        <f>SUMIFS(Bank_postings[Amount], Bank_postings[Date], "&gt;="&amp;'Cash actuals'!U$7, Bank_postings[Date], "&lt;="&amp;'Cash actuals'!U$8, Bank_postings[Sub-category (output)], 'Cash actuals'!$C88)</f>
        <v>0</v>
      </c>
      <c r="V88" s="69">
        <f>SUMIFS(Bank_postings[Amount], Bank_postings[Date], "&gt;="&amp;'Cash actuals'!V$7, Bank_postings[Date], "&lt;="&amp;'Cash actuals'!V$8, Bank_postings[Sub-category (output)], 'Cash actuals'!$C88)</f>
        <v>0</v>
      </c>
      <c r="W88" s="69">
        <f>SUMIFS(Bank_postings[Amount], Bank_postings[Date], "&gt;="&amp;'Cash actuals'!W$7, Bank_postings[Date], "&lt;="&amp;'Cash actuals'!W$8, Bank_postings[Sub-category (output)], 'Cash actuals'!$C88)</f>
        <v>0</v>
      </c>
      <c r="X88" s="69">
        <f>SUMIFS(Bank_postings[Amount], Bank_postings[Date], "&gt;="&amp;'Cash actuals'!X$7, Bank_postings[Date], "&lt;="&amp;'Cash actuals'!X$8, Bank_postings[Sub-category (output)], 'Cash actuals'!$C88)</f>
        <v>0</v>
      </c>
      <c r="Y88" s="69">
        <f>SUMIFS(Bank_postings[Amount], Bank_postings[Date], "&gt;="&amp;'Cash actuals'!Y$7, Bank_postings[Date], "&lt;="&amp;'Cash actuals'!Y$8, Bank_postings[Sub-category (output)], 'Cash actuals'!$C88)</f>
        <v>0</v>
      </c>
      <c r="Z88" s="69">
        <f>SUMIFS(Bank_postings[Amount], Bank_postings[Date], "&gt;="&amp;'Cash actuals'!Z$7, Bank_postings[Date], "&lt;="&amp;'Cash actuals'!Z$8, Bank_postings[Sub-category (output)], 'Cash actuals'!$C88)</f>
        <v>0</v>
      </c>
      <c r="AA88" s="69">
        <f>SUMIFS(Bank_postings[Amount], Bank_postings[Date], "&gt;="&amp;'Cash actuals'!AA$7, Bank_postings[Date], "&lt;="&amp;'Cash actuals'!AA$8, Bank_postings[Sub-category (output)], 'Cash actuals'!$C88)</f>
        <v>0</v>
      </c>
      <c r="AB88" s="69">
        <f>SUMIFS(Bank_postings[Amount], Bank_postings[Date], "&gt;="&amp;'Cash actuals'!AB$7, Bank_postings[Date], "&lt;="&amp;'Cash actuals'!AB$8, Bank_postings[Sub-category (output)], 'Cash actuals'!$C88)</f>
        <v>0</v>
      </c>
      <c r="AC88" s="69">
        <f>SUMIFS(Bank_postings[Amount], Bank_postings[Date], "&gt;="&amp;'Cash actuals'!AC$7, Bank_postings[Date], "&lt;="&amp;'Cash actuals'!AC$8, Bank_postings[Sub-category (output)], 'Cash actuals'!$C88)</f>
        <v>0</v>
      </c>
      <c r="AD88" s="69">
        <f>SUMIFS(Bank_postings[Amount], Bank_postings[Date], "&gt;="&amp;'Cash actuals'!AD$7, Bank_postings[Date], "&lt;="&amp;'Cash actuals'!AD$8, Bank_postings[Sub-category (output)], 'Cash actuals'!$C88)</f>
        <v>0</v>
      </c>
      <c r="AE88" s="69">
        <f>SUMIFS(Bank_postings[Amount], Bank_postings[Date], "&gt;="&amp;'Cash actuals'!AE$7, Bank_postings[Date], "&lt;="&amp;'Cash actuals'!AE$8, Bank_postings[Sub-category (output)], 'Cash actuals'!$C88)</f>
        <v>0</v>
      </c>
      <c r="AF88" s="69">
        <f>SUMIFS(Bank_postings[Amount], Bank_postings[Date], "&gt;="&amp;'Cash actuals'!AF$7, Bank_postings[Date], "&lt;="&amp;'Cash actuals'!AF$8, Bank_postings[Sub-category (output)], 'Cash actuals'!$C88)</f>
        <v>0</v>
      </c>
      <c r="AG88" s="69">
        <f>SUMIFS(Bank_postings[Amount], Bank_postings[Date], "&gt;="&amp;'Cash actuals'!AG$7, Bank_postings[Date], "&lt;="&amp;'Cash actuals'!AG$8, Bank_postings[Sub-category (output)], 'Cash actuals'!$C88)</f>
        <v>0</v>
      </c>
      <c r="AH88" s="69">
        <f>SUMIFS(Bank_postings[Amount], Bank_postings[Date], "&gt;="&amp;'Cash actuals'!AH$7, Bank_postings[Date], "&lt;="&amp;'Cash actuals'!AH$8, Bank_postings[Sub-category (output)], 'Cash actuals'!$C88)</f>
        <v>0</v>
      </c>
      <c r="AI88" s="69">
        <f>SUMIFS(Bank_postings[Amount], Bank_postings[Date], "&gt;="&amp;'Cash actuals'!AI$7, Bank_postings[Date], "&lt;="&amp;'Cash actuals'!AI$8, Bank_postings[Sub-category (output)], 'Cash actuals'!$C88)</f>
        <v>0</v>
      </c>
      <c r="AJ88" s="69">
        <f>SUMIFS(Bank_postings[Amount], Bank_postings[Date], "&gt;="&amp;'Cash actuals'!AJ$7, Bank_postings[Date], "&lt;="&amp;'Cash actuals'!AJ$8, Bank_postings[Sub-category (output)], 'Cash actuals'!$C88)</f>
        <v>0</v>
      </c>
      <c r="AK88" s="69">
        <f>SUMIFS(Bank_postings[Amount], Bank_postings[Date], "&gt;="&amp;'Cash actuals'!AK$7, Bank_postings[Date], "&lt;="&amp;'Cash actuals'!AK$8, Bank_postings[Sub-category (output)], 'Cash actuals'!$C88)</f>
        <v>0</v>
      </c>
      <c r="AL88" s="69">
        <f>SUMIFS(Bank_postings[Amount], Bank_postings[Date], "&gt;="&amp;'Cash actuals'!AL$7, Bank_postings[Date], "&lt;="&amp;'Cash actuals'!AL$8, Bank_postings[Sub-category (output)], 'Cash actuals'!$C88)</f>
        <v>0</v>
      </c>
      <c r="AM88" s="69">
        <f>SUMIFS(Bank_postings[Amount], Bank_postings[Date], "&gt;="&amp;'Cash actuals'!AM$7, Bank_postings[Date], "&lt;="&amp;'Cash actuals'!AM$8, Bank_postings[Sub-category (output)], 'Cash actuals'!$C88)</f>
        <v>0</v>
      </c>
      <c r="AN88" s="69">
        <f>SUMIFS(Bank_postings[Amount], Bank_postings[Date], "&gt;="&amp;'Cash actuals'!AN$7, Bank_postings[Date], "&lt;="&amp;'Cash actuals'!AN$8, Bank_postings[Sub-category (output)], 'Cash actuals'!$C88)</f>
        <v>0</v>
      </c>
      <c r="AO88" s="69">
        <f>SUMIFS(Bank_postings[Amount], Bank_postings[Date], "&gt;="&amp;'Cash actuals'!AO$7, Bank_postings[Date], "&lt;="&amp;'Cash actuals'!AO$8, Bank_postings[Sub-category (output)], 'Cash actuals'!$C88)</f>
        <v>0</v>
      </c>
      <c r="AP88" s="69">
        <f>SUMIFS(Bank_postings[Amount], Bank_postings[Date], "&gt;="&amp;'Cash actuals'!AP$7, Bank_postings[Date], "&lt;="&amp;'Cash actuals'!AP$8, Bank_postings[Sub-category (output)], 'Cash actuals'!$C88)</f>
        <v>0</v>
      </c>
      <c r="AQ88" s="69">
        <f>SUMIFS(Bank_postings[Amount], Bank_postings[Date], "&gt;="&amp;'Cash actuals'!AQ$7, Bank_postings[Date], "&lt;="&amp;'Cash actuals'!AQ$8, Bank_postings[Sub-category (output)], 'Cash actuals'!$C88)</f>
        <v>0</v>
      </c>
      <c r="AR88" s="69">
        <f>SUMIFS(Bank_postings[Amount], Bank_postings[Date], "&gt;="&amp;'Cash actuals'!AR$7, Bank_postings[Date], "&lt;="&amp;'Cash actuals'!AR$8, Bank_postings[Sub-category (output)], 'Cash actuals'!$C88)</f>
        <v>0</v>
      </c>
      <c r="AS88" s="69">
        <f>SUMIFS(Bank_postings[Amount], Bank_postings[Date], "&gt;="&amp;'Cash actuals'!AS$7, Bank_postings[Date], "&lt;="&amp;'Cash actuals'!AS$8, Bank_postings[Sub-category (output)], 'Cash actuals'!$C88)</f>
        <v>0</v>
      </c>
      <c r="AT88" s="69">
        <f>SUMIFS(Bank_postings[Amount], Bank_postings[Date], "&gt;="&amp;'Cash actuals'!AT$7, Bank_postings[Date], "&lt;="&amp;'Cash actuals'!AT$8, Bank_postings[Sub-category (output)], 'Cash actuals'!$C88)</f>
        <v>0</v>
      </c>
      <c r="AU88" s="69">
        <f>SUMIFS(Bank_postings[Amount], Bank_postings[Date], "&gt;="&amp;'Cash actuals'!AU$7, Bank_postings[Date], "&lt;="&amp;'Cash actuals'!AU$8, Bank_postings[Sub-category (output)], 'Cash actuals'!$C88)</f>
        <v>0</v>
      </c>
      <c r="AV88" s="69">
        <f>SUMIFS(Bank_postings[Amount], Bank_postings[Date], "&gt;="&amp;'Cash actuals'!AV$7, Bank_postings[Date], "&lt;="&amp;'Cash actuals'!AV$8, Bank_postings[Sub-category (output)], 'Cash actuals'!$C88)</f>
        <v>0</v>
      </c>
      <c r="AW88" s="69">
        <f>SUMIFS(Bank_postings[Amount], Bank_postings[Date], "&gt;="&amp;'Cash actuals'!AW$7, Bank_postings[Date], "&lt;="&amp;'Cash actuals'!AW$8, Bank_postings[Sub-category (output)], 'Cash actuals'!$C88)</f>
        <v>0</v>
      </c>
      <c r="AX88" s="69">
        <f>SUMIFS(Bank_postings[Amount], Bank_postings[Date], "&gt;="&amp;'Cash actuals'!AX$7, Bank_postings[Date], "&lt;="&amp;'Cash actuals'!AX$8, Bank_postings[Sub-category (output)], 'Cash actuals'!$C88)</f>
        <v>0</v>
      </c>
      <c r="AY88" s="69">
        <f>SUMIFS(Bank_postings[Amount], Bank_postings[Date], "&gt;="&amp;'Cash actuals'!AY$7, Bank_postings[Date], "&lt;="&amp;'Cash actuals'!AY$8, Bank_postings[Sub-category (output)], 'Cash actuals'!$C88)</f>
        <v>0</v>
      </c>
      <c r="AZ88" s="69">
        <f>SUMIFS(Bank_postings[Amount], Bank_postings[Date], "&gt;="&amp;'Cash actuals'!AZ$7, Bank_postings[Date], "&lt;="&amp;'Cash actuals'!AZ$8, Bank_postings[Sub-category (output)], 'Cash actuals'!$C88)</f>
        <v>0</v>
      </c>
      <c r="BA88" s="69">
        <f>SUMIFS(Bank_postings[Amount], Bank_postings[Date], "&gt;="&amp;'Cash actuals'!BA$7, Bank_postings[Date], "&lt;="&amp;'Cash actuals'!BA$8, Bank_postings[Sub-category (output)], 'Cash actuals'!$C88)</f>
        <v>0</v>
      </c>
      <c r="BB88" s="69">
        <f>SUMIFS(Bank_postings[Amount], Bank_postings[Date], "&gt;="&amp;'Cash actuals'!BB$7, Bank_postings[Date], "&lt;="&amp;'Cash actuals'!BB$8, Bank_postings[Sub-category (output)], 'Cash actuals'!$C88)</f>
        <v>0</v>
      </c>
      <c r="BC88" s="69">
        <f>SUMIFS(Bank_postings[Amount], Bank_postings[Date], "&gt;="&amp;'Cash actuals'!BC$7, Bank_postings[Date], "&lt;="&amp;'Cash actuals'!BC$8, Bank_postings[Sub-category (output)], 'Cash actuals'!$C88)</f>
        <v>0</v>
      </c>
      <c r="BD88" s="69">
        <f>SUMIFS(Bank_postings[Amount], Bank_postings[Date], "&gt;="&amp;'Cash actuals'!BD$7, Bank_postings[Date], "&lt;="&amp;'Cash actuals'!BD$8, Bank_postings[Sub-category (output)], 'Cash actuals'!$C88)</f>
        <v>0</v>
      </c>
      <c r="BE88" s="69">
        <f>SUMIFS(Bank_postings[Amount], Bank_postings[Date], "&gt;="&amp;'Cash actuals'!BE$7, Bank_postings[Date], "&lt;="&amp;'Cash actuals'!BE$8, Bank_postings[Sub-category (output)], 'Cash actuals'!$C88)</f>
        <v>0</v>
      </c>
    </row>
    <row r="89" spans="3:57" ht="5.0999999999999996" customHeight="1" x14ac:dyDescent="0.25"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</row>
    <row r="90" spans="3:57" x14ac:dyDescent="0.25">
      <c r="C90" s="1">
        <f>Assumptions!$D$48</f>
        <v>0</v>
      </c>
      <c r="F90" s="69">
        <f>SUMIFS(Bank_postings[Amount], Bank_postings[Date], "&gt;="&amp;'Cash actuals'!F$7, Bank_postings[Date], "&lt;="&amp;'Cash actuals'!F$8, Bank_postings[Sub-category (output)], 'Cash actuals'!$C90)</f>
        <v>0</v>
      </c>
      <c r="G90" s="69">
        <f>SUMIFS(Bank_postings[Amount], Bank_postings[Date], "&gt;="&amp;'Cash actuals'!G$7, Bank_postings[Date], "&lt;="&amp;'Cash actuals'!G$8, Bank_postings[Sub-category (output)], 'Cash actuals'!$C90)</f>
        <v>0</v>
      </c>
      <c r="H90" s="69">
        <f>SUMIFS(Bank_postings[Amount], Bank_postings[Date], "&gt;="&amp;'Cash actuals'!H$7, Bank_postings[Date], "&lt;="&amp;'Cash actuals'!H$8, Bank_postings[Sub-category (output)], 'Cash actuals'!$C90)</f>
        <v>0</v>
      </c>
      <c r="I90" s="69">
        <f>SUMIFS(Bank_postings[Amount], Bank_postings[Date], "&gt;="&amp;'Cash actuals'!I$7, Bank_postings[Date], "&lt;="&amp;'Cash actuals'!I$8, Bank_postings[Sub-category (output)], 'Cash actuals'!$C90)</f>
        <v>0</v>
      </c>
      <c r="J90" s="69">
        <f>SUMIFS(Bank_postings[Amount], Bank_postings[Date], "&gt;="&amp;'Cash actuals'!J$7, Bank_postings[Date], "&lt;="&amp;'Cash actuals'!J$8, Bank_postings[Sub-category (output)], 'Cash actuals'!$C90)</f>
        <v>0</v>
      </c>
      <c r="K90" s="69">
        <f>SUMIFS(Bank_postings[Amount], Bank_postings[Date], "&gt;="&amp;'Cash actuals'!K$7, Bank_postings[Date], "&lt;="&amp;'Cash actuals'!K$8, Bank_postings[Sub-category (output)], 'Cash actuals'!$C90)</f>
        <v>0</v>
      </c>
      <c r="L90" s="69">
        <f>SUMIFS(Bank_postings[Amount], Bank_postings[Date], "&gt;="&amp;'Cash actuals'!L$7, Bank_postings[Date], "&lt;="&amp;'Cash actuals'!L$8, Bank_postings[Sub-category (output)], 'Cash actuals'!$C90)</f>
        <v>0</v>
      </c>
      <c r="M90" s="69">
        <f>SUMIFS(Bank_postings[Amount], Bank_postings[Date], "&gt;="&amp;'Cash actuals'!M$7, Bank_postings[Date], "&lt;="&amp;'Cash actuals'!M$8, Bank_postings[Sub-category (output)], 'Cash actuals'!$C90)</f>
        <v>0</v>
      </c>
      <c r="N90" s="69">
        <f>SUMIFS(Bank_postings[Amount], Bank_postings[Date], "&gt;="&amp;'Cash actuals'!N$7, Bank_postings[Date], "&lt;="&amp;'Cash actuals'!N$8, Bank_postings[Sub-category (output)], 'Cash actuals'!$C90)</f>
        <v>0</v>
      </c>
      <c r="O90" s="69">
        <f>SUMIFS(Bank_postings[Amount], Bank_postings[Date], "&gt;="&amp;'Cash actuals'!O$7, Bank_postings[Date], "&lt;="&amp;'Cash actuals'!O$8, Bank_postings[Sub-category (output)], 'Cash actuals'!$C90)</f>
        <v>0</v>
      </c>
      <c r="P90" s="69">
        <f>SUMIFS(Bank_postings[Amount], Bank_postings[Date], "&gt;="&amp;'Cash actuals'!P$7, Bank_postings[Date], "&lt;="&amp;'Cash actuals'!P$8, Bank_postings[Sub-category (output)], 'Cash actuals'!$C90)</f>
        <v>0</v>
      </c>
      <c r="Q90" s="69">
        <f>SUMIFS(Bank_postings[Amount], Bank_postings[Date], "&gt;="&amp;'Cash actuals'!Q$7, Bank_postings[Date], "&lt;="&amp;'Cash actuals'!Q$8, Bank_postings[Sub-category (output)], 'Cash actuals'!$C90)</f>
        <v>0</v>
      </c>
      <c r="R90" s="69">
        <f>SUMIFS(Bank_postings[Amount], Bank_postings[Date], "&gt;="&amp;'Cash actuals'!R$7, Bank_postings[Date], "&lt;="&amp;'Cash actuals'!R$8, Bank_postings[Sub-category (output)], 'Cash actuals'!$C90)</f>
        <v>0</v>
      </c>
      <c r="S90" s="69">
        <f>SUMIFS(Bank_postings[Amount], Bank_postings[Date], "&gt;="&amp;'Cash actuals'!S$7, Bank_postings[Date], "&lt;="&amp;'Cash actuals'!S$8, Bank_postings[Sub-category (output)], 'Cash actuals'!$C90)</f>
        <v>0</v>
      </c>
      <c r="T90" s="69">
        <f>SUMIFS(Bank_postings[Amount], Bank_postings[Date], "&gt;="&amp;'Cash actuals'!T$7, Bank_postings[Date], "&lt;="&amp;'Cash actuals'!T$8, Bank_postings[Sub-category (output)], 'Cash actuals'!$C90)</f>
        <v>0</v>
      </c>
      <c r="U90" s="69">
        <f>SUMIFS(Bank_postings[Amount], Bank_postings[Date], "&gt;="&amp;'Cash actuals'!U$7, Bank_postings[Date], "&lt;="&amp;'Cash actuals'!U$8, Bank_postings[Sub-category (output)], 'Cash actuals'!$C90)</f>
        <v>0</v>
      </c>
      <c r="V90" s="69">
        <f>SUMIFS(Bank_postings[Amount], Bank_postings[Date], "&gt;="&amp;'Cash actuals'!V$7, Bank_postings[Date], "&lt;="&amp;'Cash actuals'!V$8, Bank_postings[Sub-category (output)], 'Cash actuals'!$C90)</f>
        <v>0</v>
      </c>
      <c r="W90" s="69">
        <f>SUMIFS(Bank_postings[Amount], Bank_postings[Date], "&gt;="&amp;'Cash actuals'!W$7, Bank_postings[Date], "&lt;="&amp;'Cash actuals'!W$8, Bank_postings[Sub-category (output)], 'Cash actuals'!$C90)</f>
        <v>0</v>
      </c>
      <c r="X90" s="69">
        <f>SUMIFS(Bank_postings[Amount], Bank_postings[Date], "&gt;="&amp;'Cash actuals'!X$7, Bank_postings[Date], "&lt;="&amp;'Cash actuals'!X$8, Bank_postings[Sub-category (output)], 'Cash actuals'!$C90)</f>
        <v>0</v>
      </c>
      <c r="Y90" s="69">
        <f>SUMIFS(Bank_postings[Amount], Bank_postings[Date], "&gt;="&amp;'Cash actuals'!Y$7, Bank_postings[Date], "&lt;="&amp;'Cash actuals'!Y$8, Bank_postings[Sub-category (output)], 'Cash actuals'!$C90)</f>
        <v>0</v>
      </c>
      <c r="Z90" s="69">
        <f>SUMIFS(Bank_postings[Amount], Bank_postings[Date], "&gt;="&amp;'Cash actuals'!Z$7, Bank_postings[Date], "&lt;="&amp;'Cash actuals'!Z$8, Bank_postings[Sub-category (output)], 'Cash actuals'!$C90)</f>
        <v>0</v>
      </c>
      <c r="AA90" s="69">
        <f>SUMIFS(Bank_postings[Amount], Bank_postings[Date], "&gt;="&amp;'Cash actuals'!AA$7, Bank_postings[Date], "&lt;="&amp;'Cash actuals'!AA$8, Bank_postings[Sub-category (output)], 'Cash actuals'!$C90)</f>
        <v>0</v>
      </c>
      <c r="AB90" s="69">
        <f>SUMIFS(Bank_postings[Amount], Bank_postings[Date], "&gt;="&amp;'Cash actuals'!AB$7, Bank_postings[Date], "&lt;="&amp;'Cash actuals'!AB$8, Bank_postings[Sub-category (output)], 'Cash actuals'!$C90)</f>
        <v>0</v>
      </c>
      <c r="AC90" s="69">
        <f>SUMIFS(Bank_postings[Amount], Bank_postings[Date], "&gt;="&amp;'Cash actuals'!AC$7, Bank_postings[Date], "&lt;="&amp;'Cash actuals'!AC$8, Bank_postings[Sub-category (output)], 'Cash actuals'!$C90)</f>
        <v>0</v>
      </c>
      <c r="AD90" s="69">
        <f>SUMIFS(Bank_postings[Amount], Bank_postings[Date], "&gt;="&amp;'Cash actuals'!AD$7, Bank_postings[Date], "&lt;="&amp;'Cash actuals'!AD$8, Bank_postings[Sub-category (output)], 'Cash actuals'!$C90)</f>
        <v>0</v>
      </c>
      <c r="AE90" s="69">
        <f>SUMIFS(Bank_postings[Amount], Bank_postings[Date], "&gt;="&amp;'Cash actuals'!AE$7, Bank_postings[Date], "&lt;="&amp;'Cash actuals'!AE$8, Bank_postings[Sub-category (output)], 'Cash actuals'!$C90)</f>
        <v>0</v>
      </c>
      <c r="AF90" s="69">
        <f>SUMIFS(Bank_postings[Amount], Bank_postings[Date], "&gt;="&amp;'Cash actuals'!AF$7, Bank_postings[Date], "&lt;="&amp;'Cash actuals'!AF$8, Bank_postings[Sub-category (output)], 'Cash actuals'!$C90)</f>
        <v>0</v>
      </c>
      <c r="AG90" s="69">
        <f>SUMIFS(Bank_postings[Amount], Bank_postings[Date], "&gt;="&amp;'Cash actuals'!AG$7, Bank_postings[Date], "&lt;="&amp;'Cash actuals'!AG$8, Bank_postings[Sub-category (output)], 'Cash actuals'!$C90)</f>
        <v>0</v>
      </c>
      <c r="AH90" s="69">
        <f>SUMIFS(Bank_postings[Amount], Bank_postings[Date], "&gt;="&amp;'Cash actuals'!AH$7, Bank_postings[Date], "&lt;="&amp;'Cash actuals'!AH$8, Bank_postings[Sub-category (output)], 'Cash actuals'!$C90)</f>
        <v>0</v>
      </c>
      <c r="AI90" s="69">
        <f>SUMIFS(Bank_postings[Amount], Bank_postings[Date], "&gt;="&amp;'Cash actuals'!AI$7, Bank_postings[Date], "&lt;="&amp;'Cash actuals'!AI$8, Bank_postings[Sub-category (output)], 'Cash actuals'!$C90)</f>
        <v>0</v>
      </c>
      <c r="AJ90" s="69">
        <f>SUMIFS(Bank_postings[Amount], Bank_postings[Date], "&gt;="&amp;'Cash actuals'!AJ$7, Bank_postings[Date], "&lt;="&amp;'Cash actuals'!AJ$8, Bank_postings[Sub-category (output)], 'Cash actuals'!$C90)</f>
        <v>0</v>
      </c>
      <c r="AK90" s="69">
        <f>SUMIFS(Bank_postings[Amount], Bank_postings[Date], "&gt;="&amp;'Cash actuals'!AK$7, Bank_postings[Date], "&lt;="&amp;'Cash actuals'!AK$8, Bank_postings[Sub-category (output)], 'Cash actuals'!$C90)</f>
        <v>0</v>
      </c>
      <c r="AL90" s="69">
        <f>SUMIFS(Bank_postings[Amount], Bank_postings[Date], "&gt;="&amp;'Cash actuals'!AL$7, Bank_postings[Date], "&lt;="&amp;'Cash actuals'!AL$8, Bank_postings[Sub-category (output)], 'Cash actuals'!$C90)</f>
        <v>0</v>
      </c>
      <c r="AM90" s="69">
        <f>SUMIFS(Bank_postings[Amount], Bank_postings[Date], "&gt;="&amp;'Cash actuals'!AM$7, Bank_postings[Date], "&lt;="&amp;'Cash actuals'!AM$8, Bank_postings[Sub-category (output)], 'Cash actuals'!$C90)</f>
        <v>0</v>
      </c>
      <c r="AN90" s="69">
        <f>SUMIFS(Bank_postings[Amount], Bank_postings[Date], "&gt;="&amp;'Cash actuals'!AN$7, Bank_postings[Date], "&lt;="&amp;'Cash actuals'!AN$8, Bank_postings[Sub-category (output)], 'Cash actuals'!$C90)</f>
        <v>0</v>
      </c>
      <c r="AO90" s="69">
        <f>SUMIFS(Bank_postings[Amount], Bank_postings[Date], "&gt;="&amp;'Cash actuals'!AO$7, Bank_postings[Date], "&lt;="&amp;'Cash actuals'!AO$8, Bank_postings[Sub-category (output)], 'Cash actuals'!$C90)</f>
        <v>0</v>
      </c>
      <c r="AP90" s="69">
        <f>SUMIFS(Bank_postings[Amount], Bank_postings[Date], "&gt;="&amp;'Cash actuals'!AP$7, Bank_postings[Date], "&lt;="&amp;'Cash actuals'!AP$8, Bank_postings[Sub-category (output)], 'Cash actuals'!$C90)</f>
        <v>0</v>
      </c>
      <c r="AQ90" s="69">
        <f>SUMIFS(Bank_postings[Amount], Bank_postings[Date], "&gt;="&amp;'Cash actuals'!AQ$7, Bank_postings[Date], "&lt;="&amp;'Cash actuals'!AQ$8, Bank_postings[Sub-category (output)], 'Cash actuals'!$C90)</f>
        <v>0</v>
      </c>
      <c r="AR90" s="69">
        <f>SUMIFS(Bank_postings[Amount], Bank_postings[Date], "&gt;="&amp;'Cash actuals'!AR$7, Bank_postings[Date], "&lt;="&amp;'Cash actuals'!AR$8, Bank_postings[Sub-category (output)], 'Cash actuals'!$C90)</f>
        <v>0</v>
      </c>
      <c r="AS90" s="69">
        <f>SUMIFS(Bank_postings[Amount], Bank_postings[Date], "&gt;="&amp;'Cash actuals'!AS$7, Bank_postings[Date], "&lt;="&amp;'Cash actuals'!AS$8, Bank_postings[Sub-category (output)], 'Cash actuals'!$C90)</f>
        <v>0</v>
      </c>
      <c r="AT90" s="69">
        <f>SUMIFS(Bank_postings[Amount], Bank_postings[Date], "&gt;="&amp;'Cash actuals'!AT$7, Bank_postings[Date], "&lt;="&amp;'Cash actuals'!AT$8, Bank_postings[Sub-category (output)], 'Cash actuals'!$C90)</f>
        <v>0</v>
      </c>
      <c r="AU90" s="69">
        <f>SUMIFS(Bank_postings[Amount], Bank_postings[Date], "&gt;="&amp;'Cash actuals'!AU$7, Bank_postings[Date], "&lt;="&amp;'Cash actuals'!AU$8, Bank_postings[Sub-category (output)], 'Cash actuals'!$C90)</f>
        <v>0</v>
      </c>
      <c r="AV90" s="69">
        <f>SUMIFS(Bank_postings[Amount], Bank_postings[Date], "&gt;="&amp;'Cash actuals'!AV$7, Bank_postings[Date], "&lt;="&amp;'Cash actuals'!AV$8, Bank_postings[Sub-category (output)], 'Cash actuals'!$C90)</f>
        <v>0</v>
      </c>
      <c r="AW90" s="69">
        <f>SUMIFS(Bank_postings[Amount], Bank_postings[Date], "&gt;="&amp;'Cash actuals'!AW$7, Bank_postings[Date], "&lt;="&amp;'Cash actuals'!AW$8, Bank_postings[Sub-category (output)], 'Cash actuals'!$C90)</f>
        <v>0</v>
      </c>
      <c r="AX90" s="69">
        <f>SUMIFS(Bank_postings[Amount], Bank_postings[Date], "&gt;="&amp;'Cash actuals'!AX$7, Bank_postings[Date], "&lt;="&amp;'Cash actuals'!AX$8, Bank_postings[Sub-category (output)], 'Cash actuals'!$C90)</f>
        <v>0</v>
      </c>
      <c r="AY90" s="69">
        <f>SUMIFS(Bank_postings[Amount], Bank_postings[Date], "&gt;="&amp;'Cash actuals'!AY$7, Bank_postings[Date], "&lt;="&amp;'Cash actuals'!AY$8, Bank_postings[Sub-category (output)], 'Cash actuals'!$C90)</f>
        <v>0</v>
      </c>
      <c r="AZ90" s="69">
        <f>SUMIFS(Bank_postings[Amount], Bank_postings[Date], "&gt;="&amp;'Cash actuals'!AZ$7, Bank_postings[Date], "&lt;="&amp;'Cash actuals'!AZ$8, Bank_postings[Sub-category (output)], 'Cash actuals'!$C90)</f>
        <v>0</v>
      </c>
      <c r="BA90" s="69">
        <f>SUMIFS(Bank_postings[Amount], Bank_postings[Date], "&gt;="&amp;'Cash actuals'!BA$7, Bank_postings[Date], "&lt;="&amp;'Cash actuals'!BA$8, Bank_postings[Sub-category (output)], 'Cash actuals'!$C90)</f>
        <v>0</v>
      </c>
      <c r="BB90" s="69">
        <f>SUMIFS(Bank_postings[Amount], Bank_postings[Date], "&gt;="&amp;'Cash actuals'!BB$7, Bank_postings[Date], "&lt;="&amp;'Cash actuals'!BB$8, Bank_postings[Sub-category (output)], 'Cash actuals'!$C90)</f>
        <v>0</v>
      </c>
      <c r="BC90" s="69">
        <f>SUMIFS(Bank_postings[Amount], Bank_postings[Date], "&gt;="&amp;'Cash actuals'!BC$7, Bank_postings[Date], "&lt;="&amp;'Cash actuals'!BC$8, Bank_postings[Sub-category (output)], 'Cash actuals'!$C90)</f>
        <v>0</v>
      </c>
      <c r="BD90" s="69">
        <f>SUMIFS(Bank_postings[Amount], Bank_postings[Date], "&gt;="&amp;'Cash actuals'!BD$7, Bank_postings[Date], "&lt;="&amp;'Cash actuals'!BD$8, Bank_postings[Sub-category (output)], 'Cash actuals'!$C90)</f>
        <v>0</v>
      </c>
      <c r="BE90" s="69">
        <f>SUMIFS(Bank_postings[Amount], Bank_postings[Date], "&gt;="&amp;'Cash actuals'!BE$7, Bank_postings[Date], "&lt;="&amp;'Cash actuals'!BE$8, Bank_postings[Sub-category (output)], 'Cash actuals'!$C90)</f>
        <v>0</v>
      </c>
    </row>
    <row r="91" spans="3:57" ht="5.0999999999999996" customHeight="1" x14ac:dyDescent="0.25"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</row>
    <row r="92" spans="3:57" x14ac:dyDescent="0.25">
      <c r="C92" s="1">
        <f>Assumptions!$D$49</f>
        <v>0</v>
      </c>
      <c r="F92" s="69">
        <f>SUMIFS(Bank_postings[Amount], Bank_postings[Date], "&gt;="&amp;'Cash actuals'!F$7, Bank_postings[Date], "&lt;="&amp;'Cash actuals'!F$8, Bank_postings[Sub-category (output)], 'Cash actuals'!$C92)</f>
        <v>0</v>
      </c>
      <c r="G92" s="69">
        <f>SUMIFS(Bank_postings[Amount], Bank_postings[Date], "&gt;="&amp;'Cash actuals'!G$7, Bank_postings[Date], "&lt;="&amp;'Cash actuals'!G$8, Bank_postings[Sub-category (output)], 'Cash actuals'!$C92)</f>
        <v>0</v>
      </c>
      <c r="H92" s="69">
        <f>SUMIFS(Bank_postings[Amount], Bank_postings[Date], "&gt;="&amp;'Cash actuals'!H$7, Bank_postings[Date], "&lt;="&amp;'Cash actuals'!H$8, Bank_postings[Sub-category (output)], 'Cash actuals'!$C92)</f>
        <v>0</v>
      </c>
      <c r="I92" s="69">
        <f>SUMIFS(Bank_postings[Amount], Bank_postings[Date], "&gt;="&amp;'Cash actuals'!I$7, Bank_postings[Date], "&lt;="&amp;'Cash actuals'!I$8, Bank_postings[Sub-category (output)], 'Cash actuals'!$C92)</f>
        <v>0</v>
      </c>
      <c r="J92" s="69">
        <f>SUMIFS(Bank_postings[Amount], Bank_postings[Date], "&gt;="&amp;'Cash actuals'!J$7, Bank_postings[Date], "&lt;="&amp;'Cash actuals'!J$8, Bank_postings[Sub-category (output)], 'Cash actuals'!$C92)</f>
        <v>0</v>
      </c>
      <c r="K92" s="69">
        <f>SUMIFS(Bank_postings[Amount], Bank_postings[Date], "&gt;="&amp;'Cash actuals'!K$7, Bank_postings[Date], "&lt;="&amp;'Cash actuals'!K$8, Bank_postings[Sub-category (output)], 'Cash actuals'!$C92)</f>
        <v>0</v>
      </c>
      <c r="L92" s="69">
        <f>SUMIFS(Bank_postings[Amount], Bank_postings[Date], "&gt;="&amp;'Cash actuals'!L$7, Bank_postings[Date], "&lt;="&amp;'Cash actuals'!L$8, Bank_postings[Sub-category (output)], 'Cash actuals'!$C92)</f>
        <v>0</v>
      </c>
      <c r="M92" s="69">
        <f>SUMIFS(Bank_postings[Amount], Bank_postings[Date], "&gt;="&amp;'Cash actuals'!M$7, Bank_postings[Date], "&lt;="&amp;'Cash actuals'!M$8, Bank_postings[Sub-category (output)], 'Cash actuals'!$C92)</f>
        <v>0</v>
      </c>
      <c r="N92" s="69">
        <f>SUMIFS(Bank_postings[Amount], Bank_postings[Date], "&gt;="&amp;'Cash actuals'!N$7, Bank_postings[Date], "&lt;="&amp;'Cash actuals'!N$8, Bank_postings[Sub-category (output)], 'Cash actuals'!$C92)</f>
        <v>0</v>
      </c>
      <c r="O92" s="69">
        <f>SUMIFS(Bank_postings[Amount], Bank_postings[Date], "&gt;="&amp;'Cash actuals'!O$7, Bank_postings[Date], "&lt;="&amp;'Cash actuals'!O$8, Bank_postings[Sub-category (output)], 'Cash actuals'!$C92)</f>
        <v>0</v>
      </c>
      <c r="P92" s="69">
        <f>SUMIFS(Bank_postings[Amount], Bank_postings[Date], "&gt;="&amp;'Cash actuals'!P$7, Bank_postings[Date], "&lt;="&amp;'Cash actuals'!P$8, Bank_postings[Sub-category (output)], 'Cash actuals'!$C92)</f>
        <v>0</v>
      </c>
      <c r="Q92" s="69">
        <f>SUMIFS(Bank_postings[Amount], Bank_postings[Date], "&gt;="&amp;'Cash actuals'!Q$7, Bank_postings[Date], "&lt;="&amp;'Cash actuals'!Q$8, Bank_postings[Sub-category (output)], 'Cash actuals'!$C92)</f>
        <v>0</v>
      </c>
      <c r="R92" s="69">
        <f>SUMIFS(Bank_postings[Amount], Bank_postings[Date], "&gt;="&amp;'Cash actuals'!R$7, Bank_postings[Date], "&lt;="&amp;'Cash actuals'!R$8, Bank_postings[Sub-category (output)], 'Cash actuals'!$C92)</f>
        <v>0</v>
      </c>
      <c r="S92" s="69">
        <f>SUMIFS(Bank_postings[Amount], Bank_postings[Date], "&gt;="&amp;'Cash actuals'!S$7, Bank_postings[Date], "&lt;="&amp;'Cash actuals'!S$8, Bank_postings[Sub-category (output)], 'Cash actuals'!$C92)</f>
        <v>0</v>
      </c>
      <c r="T92" s="69">
        <f>SUMIFS(Bank_postings[Amount], Bank_postings[Date], "&gt;="&amp;'Cash actuals'!T$7, Bank_postings[Date], "&lt;="&amp;'Cash actuals'!T$8, Bank_postings[Sub-category (output)], 'Cash actuals'!$C92)</f>
        <v>0</v>
      </c>
      <c r="U92" s="69">
        <f>SUMIFS(Bank_postings[Amount], Bank_postings[Date], "&gt;="&amp;'Cash actuals'!U$7, Bank_postings[Date], "&lt;="&amp;'Cash actuals'!U$8, Bank_postings[Sub-category (output)], 'Cash actuals'!$C92)</f>
        <v>0</v>
      </c>
      <c r="V92" s="69">
        <f>SUMIFS(Bank_postings[Amount], Bank_postings[Date], "&gt;="&amp;'Cash actuals'!V$7, Bank_postings[Date], "&lt;="&amp;'Cash actuals'!V$8, Bank_postings[Sub-category (output)], 'Cash actuals'!$C92)</f>
        <v>0</v>
      </c>
      <c r="W92" s="69">
        <f>SUMIFS(Bank_postings[Amount], Bank_postings[Date], "&gt;="&amp;'Cash actuals'!W$7, Bank_postings[Date], "&lt;="&amp;'Cash actuals'!W$8, Bank_postings[Sub-category (output)], 'Cash actuals'!$C92)</f>
        <v>0</v>
      </c>
      <c r="X92" s="69">
        <f>SUMIFS(Bank_postings[Amount], Bank_postings[Date], "&gt;="&amp;'Cash actuals'!X$7, Bank_postings[Date], "&lt;="&amp;'Cash actuals'!X$8, Bank_postings[Sub-category (output)], 'Cash actuals'!$C92)</f>
        <v>0</v>
      </c>
      <c r="Y92" s="69">
        <f>SUMIFS(Bank_postings[Amount], Bank_postings[Date], "&gt;="&amp;'Cash actuals'!Y$7, Bank_postings[Date], "&lt;="&amp;'Cash actuals'!Y$8, Bank_postings[Sub-category (output)], 'Cash actuals'!$C92)</f>
        <v>0</v>
      </c>
      <c r="Z92" s="69">
        <f>SUMIFS(Bank_postings[Amount], Bank_postings[Date], "&gt;="&amp;'Cash actuals'!Z$7, Bank_postings[Date], "&lt;="&amp;'Cash actuals'!Z$8, Bank_postings[Sub-category (output)], 'Cash actuals'!$C92)</f>
        <v>0</v>
      </c>
      <c r="AA92" s="69">
        <f>SUMIFS(Bank_postings[Amount], Bank_postings[Date], "&gt;="&amp;'Cash actuals'!AA$7, Bank_postings[Date], "&lt;="&amp;'Cash actuals'!AA$8, Bank_postings[Sub-category (output)], 'Cash actuals'!$C92)</f>
        <v>0</v>
      </c>
      <c r="AB92" s="69">
        <f>SUMIFS(Bank_postings[Amount], Bank_postings[Date], "&gt;="&amp;'Cash actuals'!AB$7, Bank_postings[Date], "&lt;="&amp;'Cash actuals'!AB$8, Bank_postings[Sub-category (output)], 'Cash actuals'!$C92)</f>
        <v>0</v>
      </c>
      <c r="AC92" s="69">
        <f>SUMIFS(Bank_postings[Amount], Bank_postings[Date], "&gt;="&amp;'Cash actuals'!AC$7, Bank_postings[Date], "&lt;="&amp;'Cash actuals'!AC$8, Bank_postings[Sub-category (output)], 'Cash actuals'!$C92)</f>
        <v>0</v>
      </c>
      <c r="AD92" s="69">
        <f>SUMIFS(Bank_postings[Amount], Bank_postings[Date], "&gt;="&amp;'Cash actuals'!AD$7, Bank_postings[Date], "&lt;="&amp;'Cash actuals'!AD$8, Bank_postings[Sub-category (output)], 'Cash actuals'!$C92)</f>
        <v>0</v>
      </c>
      <c r="AE92" s="69">
        <f>SUMIFS(Bank_postings[Amount], Bank_postings[Date], "&gt;="&amp;'Cash actuals'!AE$7, Bank_postings[Date], "&lt;="&amp;'Cash actuals'!AE$8, Bank_postings[Sub-category (output)], 'Cash actuals'!$C92)</f>
        <v>0</v>
      </c>
      <c r="AF92" s="69">
        <f>SUMIFS(Bank_postings[Amount], Bank_postings[Date], "&gt;="&amp;'Cash actuals'!AF$7, Bank_postings[Date], "&lt;="&amp;'Cash actuals'!AF$8, Bank_postings[Sub-category (output)], 'Cash actuals'!$C92)</f>
        <v>0</v>
      </c>
      <c r="AG92" s="69">
        <f>SUMIFS(Bank_postings[Amount], Bank_postings[Date], "&gt;="&amp;'Cash actuals'!AG$7, Bank_postings[Date], "&lt;="&amp;'Cash actuals'!AG$8, Bank_postings[Sub-category (output)], 'Cash actuals'!$C92)</f>
        <v>0</v>
      </c>
      <c r="AH92" s="69">
        <f>SUMIFS(Bank_postings[Amount], Bank_postings[Date], "&gt;="&amp;'Cash actuals'!AH$7, Bank_postings[Date], "&lt;="&amp;'Cash actuals'!AH$8, Bank_postings[Sub-category (output)], 'Cash actuals'!$C92)</f>
        <v>0</v>
      </c>
      <c r="AI92" s="69">
        <f>SUMIFS(Bank_postings[Amount], Bank_postings[Date], "&gt;="&amp;'Cash actuals'!AI$7, Bank_postings[Date], "&lt;="&amp;'Cash actuals'!AI$8, Bank_postings[Sub-category (output)], 'Cash actuals'!$C92)</f>
        <v>0</v>
      </c>
      <c r="AJ92" s="69">
        <f>SUMIFS(Bank_postings[Amount], Bank_postings[Date], "&gt;="&amp;'Cash actuals'!AJ$7, Bank_postings[Date], "&lt;="&amp;'Cash actuals'!AJ$8, Bank_postings[Sub-category (output)], 'Cash actuals'!$C92)</f>
        <v>0</v>
      </c>
      <c r="AK92" s="69">
        <f>SUMIFS(Bank_postings[Amount], Bank_postings[Date], "&gt;="&amp;'Cash actuals'!AK$7, Bank_postings[Date], "&lt;="&amp;'Cash actuals'!AK$8, Bank_postings[Sub-category (output)], 'Cash actuals'!$C92)</f>
        <v>0</v>
      </c>
      <c r="AL92" s="69">
        <f>SUMIFS(Bank_postings[Amount], Bank_postings[Date], "&gt;="&amp;'Cash actuals'!AL$7, Bank_postings[Date], "&lt;="&amp;'Cash actuals'!AL$8, Bank_postings[Sub-category (output)], 'Cash actuals'!$C92)</f>
        <v>0</v>
      </c>
      <c r="AM92" s="69">
        <f>SUMIFS(Bank_postings[Amount], Bank_postings[Date], "&gt;="&amp;'Cash actuals'!AM$7, Bank_postings[Date], "&lt;="&amp;'Cash actuals'!AM$8, Bank_postings[Sub-category (output)], 'Cash actuals'!$C92)</f>
        <v>0</v>
      </c>
      <c r="AN92" s="69">
        <f>SUMIFS(Bank_postings[Amount], Bank_postings[Date], "&gt;="&amp;'Cash actuals'!AN$7, Bank_postings[Date], "&lt;="&amp;'Cash actuals'!AN$8, Bank_postings[Sub-category (output)], 'Cash actuals'!$C92)</f>
        <v>0</v>
      </c>
      <c r="AO92" s="69">
        <f>SUMIFS(Bank_postings[Amount], Bank_postings[Date], "&gt;="&amp;'Cash actuals'!AO$7, Bank_postings[Date], "&lt;="&amp;'Cash actuals'!AO$8, Bank_postings[Sub-category (output)], 'Cash actuals'!$C92)</f>
        <v>0</v>
      </c>
      <c r="AP92" s="69">
        <f>SUMIFS(Bank_postings[Amount], Bank_postings[Date], "&gt;="&amp;'Cash actuals'!AP$7, Bank_postings[Date], "&lt;="&amp;'Cash actuals'!AP$8, Bank_postings[Sub-category (output)], 'Cash actuals'!$C92)</f>
        <v>0</v>
      </c>
      <c r="AQ92" s="69">
        <f>SUMIFS(Bank_postings[Amount], Bank_postings[Date], "&gt;="&amp;'Cash actuals'!AQ$7, Bank_postings[Date], "&lt;="&amp;'Cash actuals'!AQ$8, Bank_postings[Sub-category (output)], 'Cash actuals'!$C92)</f>
        <v>0</v>
      </c>
      <c r="AR92" s="69">
        <f>SUMIFS(Bank_postings[Amount], Bank_postings[Date], "&gt;="&amp;'Cash actuals'!AR$7, Bank_postings[Date], "&lt;="&amp;'Cash actuals'!AR$8, Bank_postings[Sub-category (output)], 'Cash actuals'!$C92)</f>
        <v>0</v>
      </c>
      <c r="AS92" s="69">
        <f>SUMIFS(Bank_postings[Amount], Bank_postings[Date], "&gt;="&amp;'Cash actuals'!AS$7, Bank_postings[Date], "&lt;="&amp;'Cash actuals'!AS$8, Bank_postings[Sub-category (output)], 'Cash actuals'!$C92)</f>
        <v>0</v>
      </c>
      <c r="AT92" s="69">
        <f>SUMIFS(Bank_postings[Amount], Bank_postings[Date], "&gt;="&amp;'Cash actuals'!AT$7, Bank_postings[Date], "&lt;="&amp;'Cash actuals'!AT$8, Bank_postings[Sub-category (output)], 'Cash actuals'!$C92)</f>
        <v>0</v>
      </c>
      <c r="AU92" s="69">
        <f>SUMIFS(Bank_postings[Amount], Bank_postings[Date], "&gt;="&amp;'Cash actuals'!AU$7, Bank_postings[Date], "&lt;="&amp;'Cash actuals'!AU$8, Bank_postings[Sub-category (output)], 'Cash actuals'!$C92)</f>
        <v>0</v>
      </c>
      <c r="AV92" s="69">
        <f>SUMIFS(Bank_postings[Amount], Bank_postings[Date], "&gt;="&amp;'Cash actuals'!AV$7, Bank_postings[Date], "&lt;="&amp;'Cash actuals'!AV$8, Bank_postings[Sub-category (output)], 'Cash actuals'!$C92)</f>
        <v>0</v>
      </c>
      <c r="AW92" s="69">
        <f>SUMIFS(Bank_postings[Amount], Bank_postings[Date], "&gt;="&amp;'Cash actuals'!AW$7, Bank_postings[Date], "&lt;="&amp;'Cash actuals'!AW$8, Bank_postings[Sub-category (output)], 'Cash actuals'!$C92)</f>
        <v>0</v>
      </c>
      <c r="AX92" s="69">
        <f>SUMIFS(Bank_postings[Amount], Bank_postings[Date], "&gt;="&amp;'Cash actuals'!AX$7, Bank_postings[Date], "&lt;="&amp;'Cash actuals'!AX$8, Bank_postings[Sub-category (output)], 'Cash actuals'!$C92)</f>
        <v>0</v>
      </c>
      <c r="AY92" s="69">
        <f>SUMIFS(Bank_postings[Amount], Bank_postings[Date], "&gt;="&amp;'Cash actuals'!AY$7, Bank_postings[Date], "&lt;="&amp;'Cash actuals'!AY$8, Bank_postings[Sub-category (output)], 'Cash actuals'!$C92)</f>
        <v>0</v>
      </c>
      <c r="AZ92" s="69">
        <f>SUMIFS(Bank_postings[Amount], Bank_postings[Date], "&gt;="&amp;'Cash actuals'!AZ$7, Bank_postings[Date], "&lt;="&amp;'Cash actuals'!AZ$8, Bank_postings[Sub-category (output)], 'Cash actuals'!$C92)</f>
        <v>0</v>
      </c>
      <c r="BA92" s="69">
        <f>SUMIFS(Bank_postings[Amount], Bank_postings[Date], "&gt;="&amp;'Cash actuals'!BA$7, Bank_postings[Date], "&lt;="&amp;'Cash actuals'!BA$8, Bank_postings[Sub-category (output)], 'Cash actuals'!$C92)</f>
        <v>0</v>
      </c>
      <c r="BB92" s="69">
        <f>SUMIFS(Bank_postings[Amount], Bank_postings[Date], "&gt;="&amp;'Cash actuals'!BB$7, Bank_postings[Date], "&lt;="&amp;'Cash actuals'!BB$8, Bank_postings[Sub-category (output)], 'Cash actuals'!$C92)</f>
        <v>0</v>
      </c>
      <c r="BC92" s="69">
        <f>SUMIFS(Bank_postings[Amount], Bank_postings[Date], "&gt;="&amp;'Cash actuals'!BC$7, Bank_postings[Date], "&lt;="&amp;'Cash actuals'!BC$8, Bank_postings[Sub-category (output)], 'Cash actuals'!$C92)</f>
        <v>0</v>
      </c>
      <c r="BD92" s="69">
        <f>SUMIFS(Bank_postings[Amount], Bank_postings[Date], "&gt;="&amp;'Cash actuals'!BD$7, Bank_postings[Date], "&lt;="&amp;'Cash actuals'!BD$8, Bank_postings[Sub-category (output)], 'Cash actuals'!$C92)</f>
        <v>0</v>
      </c>
      <c r="BE92" s="69">
        <f>SUMIFS(Bank_postings[Amount], Bank_postings[Date], "&gt;="&amp;'Cash actuals'!BE$7, Bank_postings[Date], "&lt;="&amp;'Cash actuals'!BE$8, Bank_postings[Sub-category (output)], 'Cash actuals'!$C92)</f>
        <v>0</v>
      </c>
    </row>
    <row r="93" spans="3:57" ht="5.0999999999999996" customHeight="1" x14ac:dyDescent="0.25"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</row>
    <row r="94" spans="3:57" x14ac:dyDescent="0.25">
      <c r="C94" s="14" t="s">
        <v>139</v>
      </c>
      <c r="F94" s="73">
        <f t="shared" ref="F94:R94" si="54">F88 + F90 + F92</f>
        <v>0</v>
      </c>
      <c r="G94" s="73">
        <f t="shared" si="54"/>
        <v>0</v>
      </c>
      <c r="H94" s="73">
        <f t="shared" si="54"/>
        <v>0</v>
      </c>
      <c r="I94" s="73">
        <f t="shared" si="54"/>
        <v>0</v>
      </c>
      <c r="J94" s="73">
        <f t="shared" si="54"/>
        <v>0</v>
      </c>
      <c r="K94" s="73">
        <f t="shared" si="54"/>
        <v>0</v>
      </c>
      <c r="L94" s="73">
        <f t="shared" si="54"/>
        <v>0</v>
      </c>
      <c r="M94" s="73">
        <f t="shared" si="54"/>
        <v>0</v>
      </c>
      <c r="N94" s="73">
        <f t="shared" si="54"/>
        <v>0</v>
      </c>
      <c r="O94" s="73">
        <f t="shared" si="54"/>
        <v>0</v>
      </c>
      <c r="P94" s="73">
        <f t="shared" si="54"/>
        <v>0</v>
      </c>
      <c r="Q94" s="73">
        <f t="shared" si="54"/>
        <v>0</v>
      </c>
      <c r="R94" s="73">
        <f t="shared" si="54"/>
        <v>0</v>
      </c>
      <c r="S94" s="73">
        <f t="shared" ref="S94:BE94" si="55">S88 + S90 + S92</f>
        <v>0</v>
      </c>
      <c r="T94" s="73">
        <f t="shared" si="55"/>
        <v>0</v>
      </c>
      <c r="U94" s="73">
        <f t="shared" si="55"/>
        <v>0</v>
      </c>
      <c r="V94" s="73">
        <f t="shared" si="55"/>
        <v>0</v>
      </c>
      <c r="W94" s="73">
        <f t="shared" si="55"/>
        <v>0</v>
      </c>
      <c r="X94" s="73">
        <f t="shared" si="55"/>
        <v>0</v>
      </c>
      <c r="Y94" s="73">
        <f t="shared" si="55"/>
        <v>0</v>
      </c>
      <c r="Z94" s="73">
        <f t="shared" si="55"/>
        <v>0</v>
      </c>
      <c r="AA94" s="73">
        <f t="shared" si="55"/>
        <v>0</v>
      </c>
      <c r="AB94" s="73">
        <f t="shared" si="55"/>
        <v>0</v>
      </c>
      <c r="AC94" s="73">
        <f t="shared" si="55"/>
        <v>0</v>
      </c>
      <c r="AD94" s="73">
        <f t="shared" si="55"/>
        <v>0</v>
      </c>
      <c r="AE94" s="73">
        <f t="shared" si="55"/>
        <v>0</v>
      </c>
      <c r="AF94" s="73">
        <f t="shared" si="55"/>
        <v>0</v>
      </c>
      <c r="AG94" s="73">
        <f t="shared" si="55"/>
        <v>0</v>
      </c>
      <c r="AH94" s="73">
        <f t="shared" si="55"/>
        <v>0</v>
      </c>
      <c r="AI94" s="73">
        <f t="shared" si="55"/>
        <v>0</v>
      </c>
      <c r="AJ94" s="73">
        <f t="shared" si="55"/>
        <v>0</v>
      </c>
      <c r="AK94" s="73">
        <f t="shared" si="55"/>
        <v>0</v>
      </c>
      <c r="AL94" s="73">
        <f t="shared" si="55"/>
        <v>0</v>
      </c>
      <c r="AM94" s="73">
        <f t="shared" si="55"/>
        <v>0</v>
      </c>
      <c r="AN94" s="73">
        <f t="shared" si="55"/>
        <v>0</v>
      </c>
      <c r="AO94" s="73">
        <f t="shared" si="55"/>
        <v>0</v>
      </c>
      <c r="AP94" s="73">
        <f t="shared" si="55"/>
        <v>0</v>
      </c>
      <c r="AQ94" s="73">
        <f t="shared" si="55"/>
        <v>0</v>
      </c>
      <c r="AR94" s="73">
        <f t="shared" si="55"/>
        <v>0</v>
      </c>
      <c r="AS94" s="73">
        <f t="shared" si="55"/>
        <v>0</v>
      </c>
      <c r="AT94" s="73">
        <f t="shared" si="55"/>
        <v>0</v>
      </c>
      <c r="AU94" s="73">
        <f t="shared" si="55"/>
        <v>0</v>
      </c>
      <c r="AV94" s="73">
        <f t="shared" si="55"/>
        <v>0</v>
      </c>
      <c r="AW94" s="73">
        <f t="shared" si="55"/>
        <v>0</v>
      </c>
      <c r="AX94" s="73">
        <f t="shared" si="55"/>
        <v>0</v>
      </c>
      <c r="AY94" s="73">
        <f t="shared" si="55"/>
        <v>0</v>
      </c>
      <c r="AZ94" s="73">
        <f t="shared" si="55"/>
        <v>0</v>
      </c>
      <c r="BA94" s="73">
        <f t="shared" si="55"/>
        <v>0</v>
      </c>
      <c r="BB94" s="73">
        <f t="shared" si="55"/>
        <v>0</v>
      </c>
      <c r="BC94" s="73">
        <f t="shared" si="55"/>
        <v>0</v>
      </c>
      <c r="BD94" s="73">
        <f t="shared" si="55"/>
        <v>0</v>
      </c>
      <c r="BE94" s="73">
        <f t="shared" si="55"/>
        <v>0</v>
      </c>
    </row>
    <row r="95" spans="3:57" x14ac:dyDescent="0.25"/>
    <row r="96" spans="3:57" x14ac:dyDescent="0.25">
      <c r="C96" s="12" t="s">
        <v>138</v>
      </c>
      <c r="D96" s="13"/>
      <c r="E96" s="13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3:57" ht="5.0999999999999996" customHeight="1" x14ac:dyDescent="0.25"/>
    <row r="98" spans="3:57" x14ac:dyDescent="0.25">
      <c r="C98" s="1" t="s">
        <v>72</v>
      </c>
      <c r="F98" s="69">
        <f>SUMIFS(Bank_postings[Amount], Bank_postings[Date], "&gt;="&amp;'Cash actuals'!F$7, Bank_postings[Date], "&lt;="&amp;'Cash actuals'!F$8, Bank_postings[Sub-category (output)], 'Cash actuals'!$C98)</f>
        <v>0</v>
      </c>
      <c r="G98" s="69">
        <f>SUMIFS(Bank_postings[Amount], Bank_postings[Date], "&gt;="&amp;'Cash actuals'!G$7, Bank_postings[Date], "&lt;="&amp;'Cash actuals'!G$8, Bank_postings[Sub-category (output)], 'Cash actuals'!$C98)</f>
        <v>0</v>
      </c>
      <c r="H98" s="69">
        <f>SUMIFS(Bank_postings[Amount], Bank_postings[Date], "&gt;="&amp;'Cash actuals'!H$7, Bank_postings[Date], "&lt;="&amp;'Cash actuals'!H$8, Bank_postings[Sub-category (output)], 'Cash actuals'!$C98)</f>
        <v>0</v>
      </c>
      <c r="I98" s="69">
        <f>SUMIFS(Bank_postings[Amount], Bank_postings[Date], "&gt;="&amp;'Cash actuals'!I$7, Bank_postings[Date], "&lt;="&amp;'Cash actuals'!I$8, Bank_postings[Sub-category (output)], 'Cash actuals'!$C98)</f>
        <v>0</v>
      </c>
      <c r="J98" s="69">
        <f>SUMIFS(Bank_postings[Amount], Bank_postings[Date], "&gt;="&amp;'Cash actuals'!J$7, Bank_postings[Date], "&lt;="&amp;'Cash actuals'!J$8, Bank_postings[Sub-category (output)], 'Cash actuals'!$C98)</f>
        <v>0</v>
      </c>
      <c r="K98" s="69">
        <f>SUMIFS(Bank_postings[Amount], Bank_postings[Date], "&gt;="&amp;'Cash actuals'!K$7, Bank_postings[Date], "&lt;="&amp;'Cash actuals'!K$8, Bank_postings[Sub-category (output)], 'Cash actuals'!$C98)</f>
        <v>0</v>
      </c>
      <c r="L98" s="69">
        <f>SUMIFS(Bank_postings[Amount], Bank_postings[Date], "&gt;="&amp;'Cash actuals'!L$7, Bank_postings[Date], "&lt;="&amp;'Cash actuals'!L$8, Bank_postings[Sub-category (output)], 'Cash actuals'!$C98)</f>
        <v>0</v>
      </c>
      <c r="M98" s="69">
        <f>SUMIFS(Bank_postings[Amount], Bank_postings[Date], "&gt;="&amp;'Cash actuals'!M$7, Bank_postings[Date], "&lt;="&amp;'Cash actuals'!M$8, Bank_postings[Sub-category (output)], 'Cash actuals'!$C98)</f>
        <v>0</v>
      </c>
      <c r="N98" s="69">
        <f>SUMIFS(Bank_postings[Amount], Bank_postings[Date], "&gt;="&amp;'Cash actuals'!N$7, Bank_postings[Date], "&lt;="&amp;'Cash actuals'!N$8, Bank_postings[Sub-category (output)], 'Cash actuals'!$C98)</f>
        <v>0</v>
      </c>
      <c r="O98" s="69">
        <f>SUMIFS(Bank_postings[Amount], Bank_postings[Date], "&gt;="&amp;'Cash actuals'!O$7, Bank_postings[Date], "&lt;="&amp;'Cash actuals'!O$8, Bank_postings[Sub-category (output)], 'Cash actuals'!$C98)</f>
        <v>0</v>
      </c>
      <c r="P98" s="69">
        <f>SUMIFS(Bank_postings[Amount], Bank_postings[Date], "&gt;="&amp;'Cash actuals'!P$7, Bank_postings[Date], "&lt;="&amp;'Cash actuals'!P$8, Bank_postings[Sub-category (output)], 'Cash actuals'!$C98)</f>
        <v>0</v>
      </c>
      <c r="Q98" s="69">
        <f>SUMIFS(Bank_postings[Amount], Bank_postings[Date], "&gt;="&amp;'Cash actuals'!Q$7, Bank_postings[Date], "&lt;="&amp;'Cash actuals'!Q$8, Bank_postings[Sub-category (output)], 'Cash actuals'!$C98)</f>
        <v>0</v>
      </c>
      <c r="R98" s="69">
        <f>SUMIFS(Bank_postings[Amount], Bank_postings[Date], "&gt;="&amp;'Cash actuals'!R$7, Bank_postings[Date], "&lt;="&amp;'Cash actuals'!R$8, Bank_postings[Sub-category (output)], 'Cash actuals'!$C98)</f>
        <v>0</v>
      </c>
      <c r="S98" s="69">
        <f>SUMIFS(Bank_postings[Amount], Bank_postings[Date], "&gt;="&amp;'Cash actuals'!S$7, Bank_postings[Date], "&lt;="&amp;'Cash actuals'!S$8, Bank_postings[Sub-category (output)], 'Cash actuals'!$C98)</f>
        <v>0</v>
      </c>
      <c r="T98" s="69">
        <f>SUMIFS(Bank_postings[Amount], Bank_postings[Date], "&gt;="&amp;'Cash actuals'!T$7, Bank_postings[Date], "&lt;="&amp;'Cash actuals'!T$8, Bank_postings[Sub-category (output)], 'Cash actuals'!$C98)</f>
        <v>0</v>
      </c>
      <c r="U98" s="69">
        <f>SUMIFS(Bank_postings[Amount], Bank_postings[Date], "&gt;="&amp;'Cash actuals'!U$7, Bank_postings[Date], "&lt;="&amp;'Cash actuals'!U$8, Bank_postings[Sub-category (output)], 'Cash actuals'!$C98)</f>
        <v>0</v>
      </c>
      <c r="V98" s="69">
        <f>SUMIFS(Bank_postings[Amount], Bank_postings[Date], "&gt;="&amp;'Cash actuals'!V$7, Bank_postings[Date], "&lt;="&amp;'Cash actuals'!V$8, Bank_postings[Sub-category (output)], 'Cash actuals'!$C98)</f>
        <v>0</v>
      </c>
      <c r="W98" s="69">
        <f>SUMIFS(Bank_postings[Amount], Bank_postings[Date], "&gt;="&amp;'Cash actuals'!W$7, Bank_postings[Date], "&lt;="&amp;'Cash actuals'!W$8, Bank_postings[Sub-category (output)], 'Cash actuals'!$C98)</f>
        <v>0</v>
      </c>
      <c r="X98" s="69">
        <f>SUMIFS(Bank_postings[Amount], Bank_postings[Date], "&gt;="&amp;'Cash actuals'!X$7, Bank_postings[Date], "&lt;="&amp;'Cash actuals'!X$8, Bank_postings[Sub-category (output)], 'Cash actuals'!$C98)</f>
        <v>0</v>
      </c>
      <c r="Y98" s="69">
        <f>SUMIFS(Bank_postings[Amount], Bank_postings[Date], "&gt;="&amp;'Cash actuals'!Y$7, Bank_postings[Date], "&lt;="&amp;'Cash actuals'!Y$8, Bank_postings[Sub-category (output)], 'Cash actuals'!$C98)</f>
        <v>0</v>
      </c>
      <c r="Z98" s="69">
        <f>SUMIFS(Bank_postings[Amount], Bank_postings[Date], "&gt;="&amp;'Cash actuals'!Z$7, Bank_postings[Date], "&lt;="&amp;'Cash actuals'!Z$8, Bank_postings[Sub-category (output)], 'Cash actuals'!$C98)</f>
        <v>0</v>
      </c>
      <c r="AA98" s="69">
        <f>SUMIFS(Bank_postings[Amount], Bank_postings[Date], "&gt;="&amp;'Cash actuals'!AA$7, Bank_postings[Date], "&lt;="&amp;'Cash actuals'!AA$8, Bank_postings[Sub-category (output)], 'Cash actuals'!$C98)</f>
        <v>0</v>
      </c>
      <c r="AB98" s="69">
        <f>SUMIFS(Bank_postings[Amount], Bank_postings[Date], "&gt;="&amp;'Cash actuals'!AB$7, Bank_postings[Date], "&lt;="&amp;'Cash actuals'!AB$8, Bank_postings[Sub-category (output)], 'Cash actuals'!$C98)</f>
        <v>0</v>
      </c>
      <c r="AC98" s="69">
        <f>SUMIFS(Bank_postings[Amount], Bank_postings[Date], "&gt;="&amp;'Cash actuals'!AC$7, Bank_postings[Date], "&lt;="&amp;'Cash actuals'!AC$8, Bank_postings[Sub-category (output)], 'Cash actuals'!$C98)</f>
        <v>0</v>
      </c>
      <c r="AD98" s="69">
        <f>SUMIFS(Bank_postings[Amount], Bank_postings[Date], "&gt;="&amp;'Cash actuals'!AD$7, Bank_postings[Date], "&lt;="&amp;'Cash actuals'!AD$8, Bank_postings[Sub-category (output)], 'Cash actuals'!$C98)</f>
        <v>0</v>
      </c>
      <c r="AE98" s="69">
        <f>SUMIFS(Bank_postings[Amount], Bank_postings[Date], "&gt;="&amp;'Cash actuals'!AE$7, Bank_postings[Date], "&lt;="&amp;'Cash actuals'!AE$8, Bank_postings[Sub-category (output)], 'Cash actuals'!$C98)</f>
        <v>0</v>
      </c>
      <c r="AF98" s="69">
        <f>SUMIFS(Bank_postings[Amount], Bank_postings[Date], "&gt;="&amp;'Cash actuals'!AF$7, Bank_postings[Date], "&lt;="&amp;'Cash actuals'!AF$8, Bank_postings[Sub-category (output)], 'Cash actuals'!$C98)</f>
        <v>0</v>
      </c>
      <c r="AG98" s="69">
        <f>SUMIFS(Bank_postings[Amount], Bank_postings[Date], "&gt;="&amp;'Cash actuals'!AG$7, Bank_postings[Date], "&lt;="&amp;'Cash actuals'!AG$8, Bank_postings[Sub-category (output)], 'Cash actuals'!$C98)</f>
        <v>0</v>
      </c>
      <c r="AH98" s="69">
        <f>SUMIFS(Bank_postings[Amount], Bank_postings[Date], "&gt;="&amp;'Cash actuals'!AH$7, Bank_postings[Date], "&lt;="&amp;'Cash actuals'!AH$8, Bank_postings[Sub-category (output)], 'Cash actuals'!$C98)</f>
        <v>0</v>
      </c>
      <c r="AI98" s="69">
        <f>SUMIFS(Bank_postings[Amount], Bank_postings[Date], "&gt;="&amp;'Cash actuals'!AI$7, Bank_postings[Date], "&lt;="&amp;'Cash actuals'!AI$8, Bank_postings[Sub-category (output)], 'Cash actuals'!$C98)</f>
        <v>0</v>
      </c>
      <c r="AJ98" s="69">
        <f>SUMIFS(Bank_postings[Amount], Bank_postings[Date], "&gt;="&amp;'Cash actuals'!AJ$7, Bank_postings[Date], "&lt;="&amp;'Cash actuals'!AJ$8, Bank_postings[Sub-category (output)], 'Cash actuals'!$C98)</f>
        <v>0</v>
      </c>
      <c r="AK98" s="69">
        <f>SUMIFS(Bank_postings[Amount], Bank_postings[Date], "&gt;="&amp;'Cash actuals'!AK$7, Bank_postings[Date], "&lt;="&amp;'Cash actuals'!AK$8, Bank_postings[Sub-category (output)], 'Cash actuals'!$C98)</f>
        <v>0</v>
      </c>
      <c r="AL98" s="69">
        <f>SUMIFS(Bank_postings[Amount], Bank_postings[Date], "&gt;="&amp;'Cash actuals'!AL$7, Bank_postings[Date], "&lt;="&amp;'Cash actuals'!AL$8, Bank_postings[Sub-category (output)], 'Cash actuals'!$C98)</f>
        <v>0</v>
      </c>
      <c r="AM98" s="69">
        <f>SUMIFS(Bank_postings[Amount], Bank_postings[Date], "&gt;="&amp;'Cash actuals'!AM$7, Bank_postings[Date], "&lt;="&amp;'Cash actuals'!AM$8, Bank_postings[Sub-category (output)], 'Cash actuals'!$C98)</f>
        <v>0</v>
      </c>
      <c r="AN98" s="69">
        <f>SUMIFS(Bank_postings[Amount], Bank_postings[Date], "&gt;="&amp;'Cash actuals'!AN$7, Bank_postings[Date], "&lt;="&amp;'Cash actuals'!AN$8, Bank_postings[Sub-category (output)], 'Cash actuals'!$C98)</f>
        <v>0</v>
      </c>
      <c r="AO98" s="69">
        <f>SUMIFS(Bank_postings[Amount], Bank_postings[Date], "&gt;="&amp;'Cash actuals'!AO$7, Bank_postings[Date], "&lt;="&amp;'Cash actuals'!AO$8, Bank_postings[Sub-category (output)], 'Cash actuals'!$C98)</f>
        <v>0</v>
      </c>
      <c r="AP98" s="69">
        <f>SUMIFS(Bank_postings[Amount], Bank_postings[Date], "&gt;="&amp;'Cash actuals'!AP$7, Bank_postings[Date], "&lt;="&amp;'Cash actuals'!AP$8, Bank_postings[Sub-category (output)], 'Cash actuals'!$C98)</f>
        <v>0</v>
      </c>
      <c r="AQ98" s="69">
        <f>SUMIFS(Bank_postings[Amount], Bank_postings[Date], "&gt;="&amp;'Cash actuals'!AQ$7, Bank_postings[Date], "&lt;="&amp;'Cash actuals'!AQ$8, Bank_postings[Sub-category (output)], 'Cash actuals'!$C98)</f>
        <v>0</v>
      </c>
      <c r="AR98" s="69">
        <f>SUMIFS(Bank_postings[Amount], Bank_postings[Date], "&gt;="&amp;'Cash actuals'!AR$7, Bank_postings[Date], "&lt;="&amp;'Cash actuals'!AR$8, Bank_postings[Sub-category (output)], 'Cash actuals'!$C98)</f>
        <v>0</v>
      </c>
      <c r="AS98" s="69">
        <f>SUMIFS(Bank_postings[Amount], Bank_postings[Date], "&gt;="&amp;'Cash actuals'!AS$7, Bank_postings[Date], "&lt;="&amp;'Cash actuals'!AS$8, Bank_postings[Sub-category (output)], 'Cash actuals'!$C98)</f>
        <v>0</v>
      </c>
      <c r="AT98" s="69">
        <f>SUMIFS(Bank_postings[Amount], Bank_postings[Date], "&gt;="&amp;'Cash actuals'!AT$7, Bank_postings[Date], "&lt;="&amp;'Cash actuals'!AT$8, Bank_postings[Sub-category (output)], 'Cash actuals'!$C98)</f>
        <v>0</v>
      </c>
      <c r="AU98" s="69">
        <f>SUMIFS(Bank_postings[Amount], Bank_postings[Date], "&gt;="&amp;'Cash actuals'!AU$7, Bank_postings[Date], "&lt;="&amp;'Cash actuals'!AU$8, Bank_postings[Sub-category (output)], 'Cash actuals'!$C98)</f>
        <v>0</v>
      </c>
      <c r="AV98" s="69">
        <f>SUMIFS(Bank_postings[Amount], Bank_postings[Date], "&gt;="&amp;'Cash actuals'!AV$7, Bank_postings[Date], "&lt;="&amp;'Cash actuals'!AV$8, Bank_postings[Sub-category (output)], 'Cash actuals'!$C98)</f>
        <v>0</v>
      </c>
      <c r="AW98" s="69">
        <f>SUMIFS(Bank_postings[Amount], Bank_postings[Date], "&gt;="&amp;'Cash actuals'!AW$7, Bank_postings[Date], "&lt;="&amp;'Cash actuals'!AW$8, Bank_postings[Sub-category (output)], 'Cash actuals'!$C98)</f>
        <v>0</v>
      </c>
      <c r="AX98" s="69">
        <f>SUMIFS(Bank_postings[Amount], Bank_postings[Date], "&gt;="&amp;'Cash actuals'!AX$7, Bank_postings[Date], "&lt;="&amp;'Cash actuals'!AX$8, Bank_postings[Sub-category (output)], 'Cash actuals'!$C98)</f>
        <v>0</v>
      </c>
      <c r="AY98" s="69">
        <f>SUMIFS(Bank_postings[Amount], Bank_postings[Date], "&gt;="&amp;'Cash actuals'!AY$7, Bank_postings[Date], "&lt;="&amp;'Cash actuals'!AY$8, Bank_postings[Sub-category (output)], 'Cash actuals'!$C98)</f>
        <v>0</v>
      </c>
      <c r="AZ98" s="69">
        <f>SUMIFS(Bank_postings[Amount], Bank_postings[Date], "&gt;="&amp;'Cash actuals'!AZ$7, Bank_postings[Date], "&lt;="&amp;'Cash actuals'!AZ$8, Bank_postings[Sub-category (output)], 'Cash actuals'!$C98)</f>
        <v>0</v>
      </c>
      <c r="BA98" s="69">
        <f>SUMIFS(Bank_postings[Amount], Bank_postings[Date], "&gt;="&amp;'Cash actuals'!BA$7, Bank_postings[Date], "&lt;="&amp;'Cash actuals'!BA$8, Bank_postings[Sub-category (output)], 'Cash actuals'!$C98)</f>
        <v>0</v>
      </c>
      <c r="BB98" s="69">
        <f>SUMIFS(Bank_postings[Amount], Bank_postings[Date], "&gt;="&amp;'Cash actuals'!BB$7, Bank_postings[Date], "&lt;="&amp;'Cash actuals'!BB$8, Bank_postings[Sub-category (output)], 'Cash actuals'!$C98)</f>
        <v>0</v>
      </c>
      <c r="BC98" s="69">
        <f>SUMIFS(Bank_postings[Amount], Bank_postings[Date], "&gt;="&amp;'Cash actuals'!BC$7, Bank_postings[Date], "&lt;="&amp;'Cash actuals'!BC$8, Bank_postings[Sub-category (output)], 'Cash actuals'!$C98)</f>
        <v>0</v>
      </c>
      <c r="BD98" s="69">
        <f>SUMIFS(Bank_postings[Amount], Bank_postings[Date], "&gt;="&amp;'Cash actuals'!BD$7, Bank_postings[Date], "&lt;="&amp;'Cash actuals'!BD$8, Bank_postings[Sub-category (output)], 'Cash actuals'!$C98)</f>
        <v>0</v>
      </c>
      <c r="BE98" s="69">
        <f>SUMIFS(Bank_postings[Amount], Bank_postings[Date], "&gt;="&amp;'Cash actuals'!BE$7, Bank_postings[Date], "&lt;="&amp;'Cash actuals'!BE$8, Bank_postings[Sub-category (output)], 'Cash actuals'!$C98)</f>
        <v>0</v>
      </c>
    </row>
    <row r="99" spans="3:57" ht="5.0999999999999996" customHeight="1" x14ac:dyDescent="0.25"/>
    <row r="100" spans="3:57" x14ac:dyDescent="0.25">
      <c r="C100" s="1" t="s">
        <v>73</v>
      </c>
      <c r="F100" s="69">
        <f>SUMIFS(Bank_postings[Amount], Bank_postings[Date], "&gt;="&amp;'Cash actuals'!F$7, Bank_postings[Date], "&lt;="&amp;'Cash actuals'!F$8, Bank_postings[Sub-category (output)], 'Cash actuals'!$C100)</f>
        <v>0</v>
      </c>
      <c r="G100" s="69">
        <f>SUMIFS(Bank_postings[Amount], Bank_postings[Date], "&gt;="&amp;'Cash actuals'!G$7, Bank_postings[Date], "&lt;="&amp;'Cash actuals'!G$8, Bank_postings[Sub-category (output)], 'Cash actuals'!$C100)</f>
        <v>0</v>
      </c>
      <c r="H100" s="69">
        <f>SUMIFS(Bank_postings[Amount], Bank_postings[Date], "&gt;="&amp;'Cash actuals'!H$7, Bank_postings[Date], "&lt;="&amp;'Cash actuals'!H$8, Bank_postings[Sub-category (output)], 'Cash actuals'!$C100)</f>
        <v>0</v>
      </c>
      <c r="I100" s="69">
        <f>SUMIFS(Bank_postings[Amount], Bank_postings[Date], "&gt;="&amp;'Cash actuals'!I$7, Bank_postings[Date], "&lt;="&amp;'Cash actuals'!I$8, Bank_postings[Sub-category (output)], 'Cash actuals'!$C100)</f>
        <v>0</v>
      </c>
      <c r="J100" s="69">
        <f>SUMIFS(Bank_postings[Amount], Bank_postings[Date], "&gt;="&amp;'Cash actuals'!J$7, Bank_postings[Date], "&lt;="&amp;'Cash actuals'!J$8, Bank_postings[Sub-category (output)], 'Cash actuals'!$C100)</f>
        <v>0</v>
      </c>
      <c r="K100" s="69">
        <f>SUMIFS(Bank_postings[Amount], Bank_postings[Date], "&gt;="&amp;'Cash actuals'!K$7, Bank_postings[Date], "&lt;="&amp;'Cash actuals'!K$8, Bank_postings[Sub-category (output)], 'Cash actuals'!$C100)</f>
        <v>0</v>
      </c>
      <c r="L100" s="69">
        <f>SUMIFS(Bank_postings[Amount], Bank_postings[Date], "&gt;="&amp;'Cash actuals'!L$7, Bank_postings[Date], "&lt;="&amp;'Cash actuals'!L$8, Bank_postings[Sub-category (output)], 'Cash actuals'!$C100)</f>
        <v>0</v>
      </c>
      <c r="M100" s="69">
        <f>SUMIFS(Bank_postings[Amount], Bank_postings[Date], "&gt;="&amp;'Cash actuals'!M$7, Bank_postings[Date], "&lt;="&amp;'Cash actuals'!M$8, Bank_postings[Sub-category (output)], 'Cash actuals'!$C100)</f>
        <v>0</v>
      </c>
      <c r="N100" s="69">
        <f>SUMIFS(Bank_postings[Amount], Bank_postings[Date], "&gt;="&amp;'Cash actuals'!N$7, Bank_postings[Date], "&lt;="&amp;'Cash actuals'!N$8, Bank_postings[Sub-category (output)], 'Cash actuals'!$C100)</f>
        <v>0</v>
      </c>
      <c r="O100" s="69">
        <f>SUMIFS(Bank_postings[Amount], Bank_postings[Date], "&gt;="&amp;'Cash actuals'!O$7, Bank_postings[Date], "&lt;="&amp;'Cash actuals'!O$8, Bank_postings[Sub-category (output)], 'Cash actuals'!$C100)</f>
        <v>0</v>
      </c>
      <c r="P100" s="69">
        <f>SUMIFS(Bank_postings[Amount], Bank_postings[Date], "&gt;="&amp;'Cash actuals'!P$7, Bank_postings[Date], "&lt;="&amp;'Cash actuals'!P$8, Bank_postings[Sub-category (output)], 'Cash actuals'!$C100)</f>
        <v>0</v>
      </c>
      <c r="Q100" s="69">
        <f>SUMIFS(Bank_postings[Amount], Bank_postings[Date], "&gt;="&amp;'Cash actuals'!Q$7, Bank_postings[Date], "&lt;="&amp;'Cash actuals'!Q$8, Bank_postings[Sub-category (output)], 'Cash actuals'!$C100)</f>
        <v>0</v>
      </c>
      <c r="R100" s="69">
        <f>SUMIFS(Bank_postings[Amount], Bank_postings[Date], "&gt;="&amp;'Cash actuals'!R$7, Bank_postings[Date], "&lt;="&amp;'Cash actuals'!R$8, Bank_postings[Sub-category (output)], 'Cash actuals'!$C100)</f>
        <v>0</v>
      </c>
      <c r="S100" s="69">
        <f>SUMIFS(Bank_postings[Amount], Bank_postings[Date], "&gt;="&amp;'Cash actuals'!S$7, Bank_postings[Date], "&lt;="&amp;'Cash actuals'!S$8, Bank_postings[Sub-category (output)], 'Cash actuals'!$C100)</f>
        <v>0</v>
      </c>
      <c r="T100" s="69">
        <f>SUMIFS(Bank_postings[Amount], Bank_postings[Date], "&gt;="&amp;'Cash actuals'!T$7, Bank_postings[Date], "&lt;="&amp;'Cash actuals'!T$8, Bank_postings[Sub-category (output)], 'Cash actuals'!$C100)</f>
        <v>0</v>
      </c>
      <c r="U100" s="69">
        <f>SUMIFS(Bank_postings[Amount], Bank_postings[Date], "&gt;="&amp;'Cash actuals'!U$7, Bank_postings[Date], "&lt;="&amp;'Cash actuals'!U$8, Bank_postings[Sub-category (output)], 'Cash actuals'!$C100)</f>
        <v>0</v>
      </c>
      <c r="V100" s="69">
        <f>SUMIFS(Bank_postings[Amount], Bank_postings[Date], "&gt;="&amp;'Cash actuals'!V$7, Bank_postings[Date], "&lt;="&amp;'Cash actuals'!V$8, Bank_postings[Sub-category (output)], 'Cash actuals'!$C100)</f>
        <v>0</v>
      </c>
      <c r="W100" s="69">
        <f>SUMIFS(Bank_postings[Amount], Bank_postings[Date], "&gt;="&amp;'Cash actuals'!W$7, Bank_postings[Date], "&lt;="&amp;'Cash actuals'!W$8, Bank_postings[Sub-category (output)], 'Cash actuals'!$C100)</f>
        <v>0</v>
      </c>
      <c r="X100" s="69">
        <f>SUMIFS(Bank_postings[Amount], Bank_postings[Date], "&gt;="&amp;'Cash actuals'!X$7, Bank_postings[Date], "&lt;="&amp;'Cash actuals'!X$8, Bank_postings[Sub-category (output)], 'Cash actuals'!$C100)</f>
        <v>0</v>
      </c>
      <c r="Y100" s="69">
        <f>SUMIFS(Bank_postings[Amount], Bank_postings[Date], "&gt;="&amp;'Cash actuals'!Y$7, Bank_postings[Date], "&lt;="&amp;'Cash actuals'!Y$8, Bank_postings[Sub-category (output)], 'Cash actuals'!$C100)</f>
        <v>0</v>
      </c>
      <c r="Z100" s="69">
        <f>SUMIFS(Bank_postings[Amount], Bank_postings[Date], "&gt;="&amp;'Cash actuals'!Z$7, Bank_postings[Date], "&lt;="&amp;'Cash actuals'!Z$8, Bank_postings[Sub-category (output)], 'Cash actuals'!$C100)</f>
        <v>0</v>
      </c>
      <c r="AA100" s="69">
        <f>SUMIFS(Bank_postings[Amount], Bank_postings[Date], "&gt;="&amp;'Cash actuals'!AA$7, Bank_postings[Date], "&lt;="&amp;'Cash actuals'!AA$8, Bank_postings[Sub-category (output)], 'Cash actuals'!$C100)</f>
        <v>0</v>
      </c>
      <c r="AB100" s="69">
        <f>SUMIFS(Bank_postings[Amount], Bank_postings[Date], "&gt;="&amp;'Cash actuals'!AB$7, Bank_postings[Date], "&lt;="&amp;'Cash actuals'!AB$8, Bank_postings[Sub-category (output)], 'Cash actuals'!$C100)</f>
        <v>0</v>
      </c>
      <c r="AC100" s="69">
        <f>SUMIFS(Bank_postings[Amount], Bank_postings[Date], "&gt;="&amp;'Cash actuals'!AC$7, Bank_postings[Date], "&lt;="&amp;'Cash actuals'!AC$8, Bank_postings[Sub-category (output)], 'Cash actuals'!$C100)</f>
        <v>0</v>
      </c>
      <c r="AD100" s="69">
        <f>SUMIFS(Bank_postings[Amount], Bank_postings[Date], "&gt;="&amp;'Cash actuals'!AD$7, Bank_postings[Date], "&lt;="&amp;'Cash actuals'!AD$8, Bank_postings[Sub-category (output)], 'Cash actuals'!$C100)</f>
        <v>0</v>
      </c>
      <c r="AE100" s="69">
        <f>SUMIFS(Bank_postings[Amount], Bank_postings[Date], "&gt;="&amp;'Cash actuals'!AE$7, Bank_postings[Date], "&lt;="&amp;'Cash actuals'!AE$8, Bank_postings[Sub-category (output)], 'Cash actuals'!$C100)</f>
        <v>0</v>
      </c>
      <c r="AF100" s="69">
        <f>SUMIFS(Bank_postings[Amount], Bank_postings[Date], "&gt;="&amp;'Cash actuals'!AF$7, Bank_postings[Date], "&lt;="&amp;'Cash actuals'!AF$8, Bank_postings[Sub-category (output)], 'Cash actuals'!$C100)</f>
        <v>0</v>
      </c>
      <c r="AG100" s="69">
        <f>SUMIFS(Bank_postings[Amount], Bank_postings[Date], "&gt;="&amp;'Cash actuals'!AG$7, Bank_postings[Date], "&lt;="&amp;'Cash actuals'!AG$8, Bank_postings[Sub-category (output)], 'Cash actuals'!$C100)</f>
        <v>0</v>
      </c>
      <c r="AH100" s="69">
        <f>SUMIFS(Bank_postings[Amount], Bank_postings[Date], "&gt;="&amp;'Cash actuals'!AH$7, Bank_postings[Date], "&lt;="&amp;'Cash actuals'!AH$8, Bank_postings[Sub-category (output)], 'Cash actuals'!$C100)</f>
        <v>0</v>
      </c>
      <c r="AI100" s="69">
        <f>SUMIFS(Bank_postings[Amount], Bank_postings[Date], "&gt;="&amp;'Cash actuals'!AI$7, Bank_postings[Date], "&lt;="&amp;'Cash actuals'!AI$8, Bank_postings[Sub-category (output)], 'Cash actuals'!$C100)</f>
        <v>0</v>
      </c>
      <c r="AJ100" s="69">
        <f>SUMIFS(Bank_postings[Amount], Bank_postings[Date], "&gt;="&amp;'Cash actuals'!AJ$7, Bank_postings[Date], "&lt;="&amp;'Cash actuals'!AJ$8, Bank_postings[Sub-category (output)], 'Cash actuals'!$C100)</f>
        <v>0</v>
      </c>
      <c r="AK100" s="69">
        <f>SUMIFS(Bank_postings[Amount], Bank_postings[Date], "&gt;="&amp;'Cash actuals'!AK$7, Bank_postings[Date], "&lt;="&amp;'Cash actuals'!AK$8, Bank_postings[Sub-category (output)], 'Cash actuals'!$C100)</f>
        <v>0</v>
      </c>
      <c r="AL100" s="69">
        <f>SUMIFS(Bank_postings[Amount], Bank_postings[Date], "&gt;="&amp;'Cash actuals'!AL$7, Bank_postings[Date], "&lt;="&amp;'Cash actuals'!AL$8, Bank_postings[Sub-category (output)], 'Cash actuals'!$C100)</f>
        <v>0</v>
      </c>
      <c r="AM100" s="69">
        <f>SUMIFS(Bank_postings[Amount], Bank_postings[Date], "&gt;="&amp;'Cash actuals'!AM$7, Bank_postings[Date], "&lt;="&amp;'Cash actuals'!AM$8, Bank_postings[Sub-category (output)], 'Cash actuals'!$C100)</f>
        <v>0</v>
      </c>
      <c r="AN100" s="69">
        <f>SUMIFS(Bank_postings[Amount], Bank_postings[Date], "&gt;="&amp;'Cash actuals'!AN$7, Bank_postings[Date], "&lt;="&amp;'Cash actuals'!AN$8, Bank_postings[Sub-category (output)], 'Cash actuals'!$C100)</f>
        <v>0</v>
      </c>
      <c r="AO100" s="69">
        <f>SUMIFS(Bank_postings[Amount], Bank_postings[Date], "&gt;="&amp;'Cash actuals'!AO$7, Bank_postings[Date], "&lt;="&amp;'Cash actuals'!AO$8, Bank_postings[Sub-category (output)], 'Cash actuals'!$C100)</f>
        <v>0</v>
      </c>
      <c r="AP100" s="69">
        <f>SUMIFS(Bank_postings[Amount], Bank_postings[Date], "&gt;="&amp;'Cash actuals'!AP$7, Bank_postings[Date], "&lt;="&amp;'Cash actuals'!AP$8, Bank_postings[Sub-category (output)], 'Cash actuals'!$C100)</f>
        <v>0</v>
      </c>
      <c r="AQ100" s="69">
        <f>SUMIFS(Bank_postings[Amount], Bank_postings[Date], "&gt;="&amp;'Cash actuals'!AQ$7, Bank_postings[Date], "&lt;="&amp;'Cash actuals'!AQ$8, Bank_postings[Sub-category (output)], 'Cash actuals'!$C100)</f>
        <v>0</v>
      </c>
      <c r="AR100" s="69">
        <f>SUMIFS(Bank_postings[Amount], Bank_postings[Date], "&gt;="&amp;'Cash actuals'!AR$7, Bank_postings[Date], "&lt;="&amp;'Cash actuals'!AR$8, Bank_postings[Sub-category (output)], 'Cash actuals'!$C100)</f>
        <v>0</v>
      </c>
      <c r="AS100" s="69">
        <f>SUMIFS(Bank_postings[Amount], Bank_postings[Date], "&gt;="&amp;'Cash actuals'!AS$7, Bank_postings[Date], "&lt;="&amp;'Cash actuals'!AS$8, Bank_postings[Sub-category (output)], 'Cash actuals'!$C100)</f>
        <v>0</v>
      </c>
      <c r="AT100" s="69">
        <f>SUMIFS(Bank_postings[Amount], Bank_postings[Date], "&gt;="&amp;'Cash actuals'!AT$7, Bank_postings[Date], "&lt;="&amp;'Cash actuals'!AT$8, Bank_postings[Sub-category (output)], 'Cash actuals'!$C100)</f>
        <v>0</v>
      </c>
      <c r="AU100" s="69">
        <f>SUMIFS(Bank_postings[Amount], Bank_postings[Date], "&gt;="&amp;'Cash actuals'!AU$7, Bank_postings[Date], "&lt;="&amp;'Cash actuals'!AU$8, Bank_postings[Sub-category (output)], 'Cash actuals'!$C100)</f>
        <v>0</v>
      </c>
      <c r="AV100" s="69">
        <f>SUMIFS(Bank_postings[Amount], Bank_postings[Date], "&gt;="&amp;'Cash actuals'!AV$7, Bank_postings[Date], "&lt;="&amp;'Cash actuals'!AV$8, Bank_postings[Sub-category (output)], 'Cash actuals'!$C100)</f>
        <v>0</v>
      </c>
      <c r="AW100" s="69">
        <f>SUMIFS(Bank_postings[Amount], Bank_postings[Date], "&gt;="&amp;'Cash actuals'!AW$7, Bank_postings[Date], "&lt;="&amp;'Cash actuals'!AW$8, Bank_postings[Sub-category (output)], 'Cash actuals'!$C100)</f>
        <v>0</v>
      </c>
      <c r="AX100" s="69">
        <f>SUMIFS(Bank_postings[Amount], Bank_postings[Date], "&gt;="&amp;'Cash actuals'!AX$7, Bank_postings[Date], "&lt;="&amp;'Cash actuals'!AX$8, Bank_postings[Sub-category (output)], 'Cash actuals'!$C100)</f>
        <v>0</v>
      </c>
      <c r="AY100" s="69">
        <f>SUMIFS(Bank_postings[Amount], Bank_postings[Date], "&gt;="&amp;'Cash actuals'!AY$7, Bank_postings[Date], "&lt;="&amp;'Cash actuals'!AY$8, Bank_postings[Sub-category (output)], 'Cash actuals'!$C100)</f>
        <v>0</v>
      </c>
      <c r="AZ100" s="69">
        <f>SUMIFS(Bank_postings[Amount], Bank_postings[Date], "&gt;="&amp;'Cash actuals'!AZ$7, Bank_postings[Date], "&lt;="&amp;'Cash actuals'!AZ$8, Bank_postings[Sub-category (output)], 'Cash actuals'!$C100)</f>
        <v>0</v>
      </c>
      <c r="BA100" s="69">
        <f>SUMIFS(Bank_postings[Amount], Bank_postings[Date], "&gt;="&amp;'Cash actuals'!BA$7, Bank_postings[Date], "&lt;="&amp;'Cash actuals'!BA$8, Bank_postings[Sub-category (output)], 'Cash actuals'!$C100)</f>
        <v>0</v>
      </c>
      <c r="BB100" s="69">
        <f>SUMIFS(Bank_postings[Amount], Bank_postings[Date], "&gt;="&amp;'Cash actuals'!BB$7, Bank_postings[Date], "&lt;="&amp;'Cash actuals'!BB$8, Bank_postings[Sub-category (output)], 'Cash actuals'!$C100)</f>
        <v>0</v>
      </c>
      <c r="BC100" s="69">
        <f>SUMIFS(Bank_postings[Amount], Bank_postings[Date], "&gt;="&amp;'Cash actuals'!BC$7, Bank_postings[Date], "&lt;="&amp;'Cash actuals'!BC$8, Bank_postings[Sub-category (output)], 'Cash actuals'!$C100)</f>
        <v>0</v>
      </c>
      <c r="BD100" s="69">
        <f>SUMIFS(Bank_postings[Amount], Bank_postings[Date], "&gt;="&amp;'Cash actuals'!BD$7, Bank_postings[Date], "&lt;="&amp;'Cash actuals'!BD$8, Bank_postings[Sub-category (output)], 'Cash actuals'!$C100)</f>
        <v>0</v>
      </c>
      <c r="BE100" s="69">
        <f>SUMIFS(Bank_postings[Amount], Bank_postings[Date], "&gt;="&amp;'Cash actuals'!BE$7, Bank_postings[Date], "&lt;="&amp;'Cash actuals'!BE$8, Bank_postings[Sub-category (output)], 'Cash actuals'!$C100)</f>
        <v>0</v>
      </c>
    </row>
    <row r="101" spans="3:57" ht="5.0999999999999996" customHeight="1" x14ac:dyDescent="0.25"/>
    <row r="102" spans="3:57" x14ac:dyDescent="0.25">
      <c r="C102" s="1" t="s">
        <v>74</v>
      </c>
      <c r="F102" s="69">
        <f>SUMIFS(Bank_postings[Amount], Bank_postings[Date], "&gt;="&amp;'Cash actuals'!F$7, Bank_postings[Date], "&lt;="&amp;'Cash actuals'!F$8, Bank_postings[Sub-category (output)], 'Cash actuals'!$C102)</f>
        <v>0</v>
      </c>
      <c r="G102" s="69">
        <f>SUMIFS(Bank_postings[Amount], Bank_postings[Date], "&gt;="&amp;'Cash actuals'!G$7, Bank_postings[Date], "&lt;="&amp;'Cash actuals'!G$8, Bank_postings[Sub-category (output)], 'Cash actuals'!$C102)</f>
        <v>0</v>
      </c>
      <c r="H102" s="69">
        <f>SUMIFS(Bank_postings[Amount], Bank_postings[Date], "&gt;="&amp;'Cash actuals'!H$7, Bank_postings[Date], "&lt;="&amp;'Cash actuals'!H$8, Bank_postings[Sub-category (output)], 'Cash actuals'!$C102)</f>
        <v>0</v>
      </c>
      <c r="I102" s="69">
        <f>SUMIFS(Bank_postings[Amount], Bank_postings[Date], "&gt;="&amp;'Cash actuals'!I$7, Bank_postings[Date], "&lt;="&amp;'Cash actuals'!I$8, Bank_postings[Sub-category (output)], 'Cash actuals'!$C102)</f>
        <v>0</v>
      </c>
      <c r="J102" s="69">
        <f>SUMIFS(Bank_postings[Amount], Bank_postings[Date], "&gt;="&amp;'Cash actuals'!J$7, Bank_postings[Date], "&lt;="&amp;'Cash actuals'!J$8, Bank_postings[Sub-category (output)], 'Cash actuals'!$C102)</f>
        <v>0</v>
      </c>
      <c r="K102" s="69">
        <f>SUMIFS(Bank_postings[Amount], Bank_postings[Date], "&gt;="&amp;'Cash actuals'!K$7, Bank_postings[Date], "&lt;="&amp;'Cash actuals'!K$8, Bank_postings[Sub-category (output)], 'Cash actuals'!$C102)</f>
        <v>0</v>
      </c>
      <c r="L102" s="69">
        <f>SUMIFS(Bank_postings[Amount], Bank_postings[Date], "&gt;="&amp;'Cash actuals'!L$7, Bank_postings[Date], "&lt;="&amp;'Cash actuals'!L$8, Bank_postings[Sub-category (output)], 'Cash actuals'!$C102)</f>
        <v>0</v>
      </c>
      <c r="M102" s="69">
        <f>SUMIFS(Bank_postings[Amount], Bank_postings[Date], "&gt;="&amp;'Cash actuals'!M$7, Bank_postings[Date], "&lt;="&amp;'Cash actuals'!M$8, Bank_postings[Sub-category (output)], 'Cash actuals'!$C102)</f>
        <v>0</v>
      </c>
      <c r="N102" s="69">
        <f>SUMIFS(Bank_postings[Amount], Bank_postings[Date], "&gt;="&amp;'Cash actuals'!N$7, Bank_postings[Date], "&lt;="&amp;'Cash actuals'!N$8, Bank_postings[Sub-category (output)], 'Cash actuals'!$C102)</f>
        <v>0</v>
      </c>
      <c r="O102" s="69">
        <f>SUMIFS(Bank_postings[Amount], Bank_postings[Date], "&gt;="&amp;'Cash actuals'!O$7, Bank_postings[Date], "&lt;="&amp;'Cash actuals'!O$8, Bank_postings[Sub-category (output)], 'Cash actuals'!$C102)</f>
        <v>0</v>
      </c>
      <c r="P102" s="69">
        <f>SUMIFS(Bank_postings[Amount], Bank_postings[Date], "&gt;="&amp;'Cash actuals'!P$7, Bank_postings[Date], "&lt;="&amp;'Cash actuals'!P$8, Bank_postings[Sub-category (output)], 'Cash actuals'!$C102)</f>
        <v>0</v>
      </c>
      <c r="Q102" s="69">
        <f>SUMIFS(Bank_postings[Amount], Bank_postings[Date], "&gt;="&amp;'Cash actuals'!Q$7, Bank_postings[Date], "&lt;="&amp;'Cash actuals'!Q$8, Bank_postings[Sub-category (output)], 'Cash actuals'!$C102)</f>
        <v>0</v>
      </c>
      <c r="R102" s="69">
        <f>SUMIFS(Bank_postings[Amount], Bank_postings[Date], "&gt;="&amp;'Cash actuals'!R$7, Bank_postings[Date], "&lt;="&amp;'Cash actuals'!R$8, Bank_postings[Sub-category (output)], 'Cash actuals'!$C102)</f>
        <v>0</v>
      </c>
      <c r="S102" s="69">
        <f>SUMIFS(Bank_postings[Amount], Bank_postings[Date], "&gt;="&amp;'Cash actuals'!S$7, Bank_postings[Date], "&lt;="&amp;'Cash actuals'!S$8, Bank_postings[Sub-category (output)], 'Cash actuals'!$C102)</f>
        <v>0</v>
      </c>
      <c r="T102" s="69">
        <f>SUMIFS(Bank_postings[Amount], Bank_postings[Date], "&gt;="&amp;'Cash actuals'!T$7, Bank_postings[Date], "&lt;="&amp;'Cash actuals'!T$8, Bank_postings[Sub-category (output)], 'Cash actuals'!$C102)</f>
        <v>0</v>
      </c>
      <c r="U102" s="69">
        <f>SUMIFS(Bank_postings[Amount], Bank_postings[Date], "&gt;="&amp;'Cash actuals'!U$7, Bank_postings[Date], "&lt;="&amp;'Cash actuals'!U$8, Bank_postings[Sub-category (output)], 'Cash actuals'!$C102)</f>
        <v>0</v>
      </c>
      <c r="V102" s="69">
        <f>SUMIFS(Bank_postings[Amount], Bank_postings[Date], "&gt;="&amp;'Cash actuals'!V$7, Bank_postings[Date], "&lt;="&amp;'Cash actuals'!V$8, Bank_postings[Sub-category (output)], 'Cash actuals'!$C102)</f>
        <v>0</v>
      </c>
      <c r="W102" s="69">
        <f>SUMIFS(Bank_postings[Amount], Bank_postings[Date], "&gt;="&amp;'Cash actuals'!W$7, Bank_postings[Date], "&lt;="&amp;'Cash actuals'!W$8, Bank_postings[Sub-category (output)], 'Cash actuals'!$C102)</f>
        <v>0</v>
      </c>
      <c r="X102" s="69">
        <f>SUMIFS(Bank_postings[Amount], Bank_postings[Date], "&gt;="&amp;'Cash actuals'!X$7, Bank_postings[Date], "&lt;="&amp;'Cash actuals'!X$8, Bank_postings[Sub-category (output)], 'Cash actuals'!$C102)</f>
        <v>0</v>
      </c>
      <c r="Y102" s="69">
        <f>SUMIFS(Bank_postings[Amount], Bank_postings[Date], "&gt;="&amp;'Cash actuals'!Y$7, Bank_postings[Date], "&lt;="&amp;'Cash actuals'!Y$8, Bank_postings[Sub-category (output)], 'Cash actuals'!$C102)</f>
        <v>0</v>
      </c>
      <c r="Z102" s="69">
        <f>SUMIFS(Bank_postings[Amount], Bank_postings[Date], "&gt;="&amp;'Cash actuals'!Z$7, Bank_postings[Date], "&lt;="&amp;'Cash actuals'!Z$8, Bank_postings[Sub-category (output)], 'Cash actuals'!$C102)</f>
        <v>0</v>
      </c>
      <c r="AA102" s="69">
        <f>SUMIFS(Bank_postings[Amount], Bank_postings[Date], "&gt;="&amp;'Cash actuals'!AA$7, Bank_postings[Date], "&lt;="&amp;'Cash actuals'!AA$8, Bank_postings[Sub-category (output)], 'Cash actuals'!$C102)</f>
        <v>0</v>
      </c>
      <c r="AB102" s="69">
        <f>SUMIFS(Bank_postings[Amount], Bank_postings[Date], "&gt;="&amp;'Cash actuals'!AB$7, Bank_postings[Date], "&lt;="&amp;'Cash actuals'!AB$8, Bank_postings[Sub-category (output)], 'Cash actuals'!$C102)</f>
        <v>0</v>
      </c>
      <c r="AC102" s="69">
        <f>SUMIFS(Bank_postings[Amount], Bank_postings[Date], "&gt;="&amp;'Cash actuals'!AC$7, Bank_postings[Date], "&lt;="&amp;'Cash actuals'!AC$8, Bank_postings[Sub-category (output)], 'Cash actuals'!$C102)</f>
        <v>0</v>
      </c>
      <c r="AD102" s="69">
        <f>SUMIFS(Bank_postings[Amount], Bank_postings[Date], "&gt;="&amp;'Cash actuals'!AD$7, Bank_postings[Date], "&lt;="&amp;'Cash actuals'!AD$8, Bank_postings[Sub-category (output)], 'Cash actuals'!$C102)</f>
        <v>0</v>
      </c>
      <c r="AE102" s="69">
        <f>SUMIFS(Bank_postings[Amount], Bank_postings[Date], "&gt;="&amp;'Cash actuals'!AE$7, Bank_postings[Date], "&lt;="&amp;'Cash actuals'!AE$8, Bank_postings[Sub-category (output)], 'Cash actuals'!$C102)</f>
        <v>0</v>
      </c>
      <c r="AF102" s="69">
        <f>SUMIFS(Bank_postings[Amount], Bank_postings[Date], "&gt;="&amp;'Cash actuals'!AF$7, Bank_postings[Date], "&lt;="&amp;'Cash actuals'!AF$8, Bank_postings[Sub-category (output)], 'Cash actuals'!$C102)</f>
        <v>0</v>
      </c>
      <c r="AG102" s="69">
        <f>SUMIFS(Bank_postings[Amount], Bank_postings[Date], "&gt;="&amp;'Cash actuals'!AG$7, Bank_postings[Date], "&lt;="&amp;'Cash actuals'!AG$8, Bank_postings[Sub-category (output)], 'Cash actuals'!$C102)</f>
        <v>0</v>
      </c>
      <c r="AH102" s="69">
        <f>SUMIFS(Bank_postings[Amount], Bank_postings[Date], "&gt;="&amp;'Cash actuals'!AH$7, Bank_postings[Date], "&lt;="&amp;'Cash actuals'!AH$8, Bank_postings[Sub-category (output)], 'Cash actuals'!$C102)</f>
        <v>0</v>
      </c>
      <c r="AI102" s="69">
        <f>SUMIFS(Bank_postings[Amount], Bank_postings[Date], "&gt;="&amp;'Cash actuals'!AI$7, Bank_postings[Date], "&lt;="&amp;'Cash actuals'!AI$8, Bank_postings[Sub-category (output)], 'Cash actuals'!$C102)</f>
        <v>0</v>
      </c>
      <c r="AJ102" s="69">
        <f>SUMIFS(Bank_postings[Amount], Bank_postings[Date], "&gt;="&amp;'Cash actuals'!AJ$7, Bank_postings[Date], "&lt;="&amp;'Cash actuals'!AJ$8, Bank_postings[Sub-category (output)], 'Cash actuals'!$C102)</f>
        <v>0</v>
      </c>
      <c r="AK102" s="69">
        <f>SUMIFS(Bank_postings[Amount], Bank_postings[Date], "&gt;="&amp;'Cash actuals'!AK$7, Bank_postings[Date], "&lt;="&amp;'Cash actuals'!AK$8, Bank_postings[Sub-category (output)], 'Cash actuals'!$C102)</f>
        <v>0</v>
      </c>
      <c r="AL102" s="69">
        <f>SUMIFS(Bank_postings[Amount], Bank_postings[Date], "&gt;="&amp;'Cash actuals'!AL$7, Bank_postings[Date], "&lt;="&amp;'Cash actuals'!AL$8, Bank_postings[Sub-category (output)], 'Cash actuals'!$C102)</f>
        <v>0</v>
      </c>
      <c r="AM102" s="69">
        <f>SUMIFS(Bank_postings[Amount], Bank_postings[Date], "&gt;="&amp;'Cash actuals'!AM$7, Bank_postings[Date], "&lt;="&amp;'Cash actuals'!AM$8, Bank_postings[Sub-category (output)], 'Cash actuals'!$C102)</f>
        <v>0</v>
      </c>
      <c r="AN102" s="69">
        <f>SUMIFS(Bank_postings[Amount], Bank_postings[Date], "&gt;="&amp;'Cash actuals'!AN$7, Bank_postings[Date], "&lt;="&amp;'Cash actuals'!AN$8, Bank_postings[Sub-category (output)], 'Cash actuals'!$C102)</f>
        <v>0</v>
      </c>
      <c r="AO102" s="69">
        <f>SUMIFS(Bank_postings[Amount], Bank_postings[Date], "&gt;="&amp;'Cash actuals'!AO$7, Bank_postings[Date], "&lt;="&amp;'Cash actuals'!AO$8, Bank_postings[Sub-category (output)], 'Cash actuals'!$C102)</f>
        <v>0</v>
      </c>
      <c r="AP102" s="69">
        <f>SUMIFS(Bank_postings[Amount], Bank_postings[Date], "&gt;="&amp;'Cash actuals'!AP$7, Bank_postings[Date], "&lt;="&amp;'Cash actuals'!AP$8, Bank_postings[Sub-category (output)], 'Cash actuals'!$C102)</f>
        <v>0</v>
      </c>
      <c r="AQ102" s="69">
        <f>SUMIFS(Bank_postings[Amount], Bank_postings[Date], "&gt;="&amp;'Cash actuals'!AQ$7, Bank_postings[Date], "&lt;="&amp;'Cash actuals'!AQ$8, Bank_postings[Sub-category (output)], 'Cash actuals'!$C102)</f>
        <v>0</v>
      </c>
      <c r="AR102" s="69">
        <f>SUMIFS(Bank_postings[Amount], Bank_postings[Date], "&gt;="&amp;'Cash actuals'!AR$7, Bank_postings[Date], "&lt;="&amp;'Cash actuals'!AR$8, Bank_postings[Sub-category (output)], 'Cash actuals'!$C102)</f>
        <v>0</v>
      </c>
      <c r="AS102" s="69">
        <f>SUMIFS(Bank_postings[Amount], Bank_postings[Date], "&gt;="&amp;'Cash actuals'!AS$7, Bank_postings[Date], "&lt;="&amp;'Cash actuals'!AS$8, Bank_postings[Sub-category (output)], 'Cash actuals'!$C102)</f>
        <v>0</v>
      </c>
      <c r="AT102" s="69">
        <f>SUMIFS(Bank_postings[Amount], Bank_postings[Date], "&gt;="&amp;'Cash actuals'!AT$7, Bank_postings[Date], "&lt;="&amp;'Cash actuals'!AT$8, Bank_postings[Sub-category (output)], 'Cash actuals'!$C102)</f>
        <v>0</v>
      </c>
      <c r="AU102" s="69">
        <f>SUMIFS(Bank_postings[Amount], Bank_postings[Date], "&gt;="&amp;'Cash actuals'!AU$7, Bank_postings[Date], "&lt;="&amp;'Cash actuals'!AU$8, Bank_postings[Sub-category (output)], 'Cash actuals'!$C102)</f>
        <v>0</v>
      </c>
      <c r="AV102" s="69">
        <f>SUMIFS(Bank_postings[Amount], Bank_postings[Date], "&gt;="&amp;'Cash actuals'!AV$7, Bank_postings[Date], "&lt;="&amp;'Cash actuals'!AV$8, Bank_postings[Sub-category (output)], 'Cash actuals'!$C102)</f>
        <v>0</v>
      </c>
      <c r="AW102" s="69">
        <f>SUMIFS(Bank_postings[Amount], Bank_postings[Date], "&gt;="&amp;'Cash actuals'!AW$7, Bank_postings[Date], "&lt;="&amp;'Cash actuals'!AW$8, Bank_postings[Sub-category (output)], 'Cash actuals'!$C102)</f>
        <v>0</v>
      </c>
      <c r="AX102" s="69">
        <f>SUMIFS(Bank_postings[Amount], Bank_postings[Date], "&gt;="&amp;'Cash actuals'!AX$7, Bank_postings[Date], "&lt;="&amp;'Cash actuals'!AX$8, Bank_postings[Sub-category (output)], 'Cash actuals'!$C102)</f>
        <v>0</v>
      </c>
      <c r="AY102" s="69">
        <f>SUMIFS(Bank_postings[Amount], Bank_postings[Date], "&gt;="&amp;'Cash actuals'!AY$7, Bank_postings[Date], "&lt;="&amp;'Cash actuals'!AY$8, Bank_postings[Sub-category (output)], 'Cash actuals'!$C102)</f>
        <v>0</v>
      </c>
      <c r="AZ102" s="69">
        <f>SUMIFS(Bank_postings[Amount], Bank_postings[Date], "&gt;="&amp;'Cash actuals'!AZ$7, Bank_postings[Date], "&lt;="&amp;'Cash actuals'!AZ$8, Bank_postings[Sub-category (output)], 'Cash actuals'!$C102)</f>
        <v>0</v>
      </c>
      <c r="BA102" s="69">
        <f>SUMIFS(Bank_postings[Amount], Bank_postings[Date], "&gt;="&amp;'Cash actuals'!BA$7, Bank_postings[Date], "&lt;="&amp;'Cash actuals'!BA$8, Bank_postings[Sub-category (output)], 'Cash actuals'!$C102)</f>
        <v>0</v>
      </c>
      <c r="BB102" s="69">
        <f>SUMIFS(Bank_postings[Amount], Bank_postings[Date], "&gt;="&amp;'Cash actuals'!BB$7, Bank_postings[Date], "&lt;="&amp;'Cash actuals'!BB$8, Bank_postings[Sub-category (output)], 'Cash actuals'!$C102)</f>
        <v>0</v>
      </c>
      <c r="BC102" s="69">
        <f>SUMIFS(Bank_postings[Amount], Bank_postings[Date], "&gt;="&amp;'Cash actuals'!BC$7, Bank_postings[Date], "&lt;="&amp;'Cash actuals'!BC$8, Bank_postings[Sub-category (output)], 'Cash actuals'!$C102)</f>
        <v>0</v>
      </c>
      <c r="BD102" s="69">
        <f>SUMIFS(Bank_postings[Amount], Bank_postings[Date], "&gt;="&amp;'Cash actuals'!BD$7, Bank_postings[Date], "&lt;="&amp;'Cash actuals'!BD$8, Bank_postings[Sub-category (output)], 'Cash actuals'!$C102)</f>
        <v>0</v>
      </c>
      <c r="BE102" s="69">
        <f>SUMIFS(Bank_postings[Amount], Bank_postings[Date], "&gt;="&amp;'Cash actuals'!BE$7, Bank_postings[Date], "&lt;="&amp;'Cash actuals'!BE$8, Bank_postings[Sub-category (output)], 'Cash actuals'!$C102)</f>
        <v>0</v>
      </c>
    </row>
    <row r="103" spans="3:57" ht="5.0999999999999996" customHeight="1" x14ac:dyDescent="0.25"/>
    <row r="104" spans="3:57" x14ac:dyDescent="0.25">
      <c r="C104" s="14" t="s">
        <v>137</v>
      </c>
      <c r="F104" s="73">
        <f t="shared" ref="F104:R104" si="56">F98 + F100 + F102</f>
        <v>0</v>
      </c>
      <c r="G104" s="73">
        <f t="shared" si="56"/>
        <v>0</v>
      </c>
      <c r="H104" s="73">
        <f t="shared" si="56"/>
        <v>0</v>
      </c>
      <c r="I104" s="73">
        <f t="shared" si="56"/>
        <v>0</v>
      </c>
      <c r="J104" s="73">
        <f t="shared" si="56"/>
        <v>0</v>
      </c>
      <c r="K104" s="73">
        <f t="shared" si="56"/>
        <v>0</v>
      </c>
      <c r="L104" s="73">
        <f t="shared" si="56"/>
        <v>0</v>
      </c>
      <c r="M104" s="73">
        <f t="shared" si="56"/>
        <v>0</v>
      </c>
      <c r="N104" s="73">
        <f t="shared" si="56"/>
        <v>0</v>
      </c>
      <c r="O104" s="73">
        <f t="shared" si="56"/>
        <v>0</v>
      </c>
      <c r="P104" s="73">
        <f t="shared" si="56"/>
        <v>0</v>
      </c>
      <c r="Q104" s="73">
        <f t="shared" si="56"/>
        <v>0</v>
      </c>
      <c r="R104" s="73">
        <f t="shared" si="56"/>
        <v>0</v>
      </c>
      <c r="S104" s="73">
        <f t="shared" ref="S104:BE104" si="57">S98 + S100 + S102</f>
        <v>0</v>
      </c>
      <c r="T104" s="73">
        <f t="shared" si="57"/>
        <v>0</v>
      </c>
      <c r="U104" s="73">
        <f t="shared" si="57"/>
        <v>0</v>
      </c>
      <c r="V104" s="73">
        <f t="shared" si="57"/>
        <v>0</v>
      </c>
      <c r="W104" s="73">
        <f t="shared" si="57"/>
        <v>0</v>
      </c>
      <c r="X104" s="73">
        <f t="shared" si="57"/>
        <v>0</v>
      </c>
      <c r="Y104" s="73">
        <f t="shared" si="57"/>
        <v>0</v>
      </c>
      <c r="Z104" s="73">
        <f t="shared" si="57"/>
        <v>0</v>
      </c>
      <c r="AA104" s="73">
        <f t="shared" si="57"/>
        <v>0</v>
      </c>
      <c r="AB104" s="73">
        <f t="shared" si="57"/>
        <v>0</v>
      </c>
      <c r="AC104" s="73">
        <f t="shared" si="57"/>
        <v>0</v>
      </c>
      <c r="AD104" s="73">
        <f t="shared" si="57"/>
        <v>0</v>
      </c>
      <c r="AE104" s="73">
        <f t="shared" si="57"/>
        <v>0</v>
      </c>
      <c r="AF104" s="73">
        <f t="shared" si="57"/>
        <v>0</v>
      </c>
      <c r="AG104" s="73">
        <f t="shared" si="57"/>
        <v>0</v>
      </c>
      <c r="AH104" s="73">
        <f t="shared" si="57"/>
        <v>0</v>
      </c>
      <c r="AI104" s="73">
        <f t="shared" si="57"/>
        <v>0</v>
      </c>
      <c r="AJ104" s="73">
        <f t="shared" si="57"/>
        <v>0</v>
      </c>
      <c r="AK104" s="73">
        <f t="shared" si="57"/>
        <v>0</v>
      </c>
      <c r="AL104" s="73">
        <f t="shared" si="57"/>
        <v>0</v>
      </c>
      <c r="AM104" s="73">
        <f t="shared" si="57"/>
        <v>0</v>
      </c>
      <c r="AN104" s="73">
        <f t="shared" si="57"/>
        <v>0</v>
      </c>
      <c r="AO104" s="73">
        <f t="shared" si="57"/>
        <v>0</v>
      </c>
      <c r="AP104" s="73">
        <f t="shared" si="57"/>
        <v>0</v>
      </c>
      <c r="AQ104" s="73">
        <f t="shared" si="57"/>
        <v>0</v>
      </c>
      <c r="AR104" s="73">
        <f t="shared" si="57"/>
        <v>0</v>
      </c>
      <c r="AS104" s="73">
        <f t="shared" si="57"/>
        <v>0</v>
      </c>
      <c r="AT104" s="73">
        <f t="shared" si="57"/>
        <v>0</v>
      </c>
      <c r="AU104" s="73">
        <f t="shared" si="57"/>
        <v>0</v>
      </c>
      <c r="AV104" s="73">
        <f t="shared" si="57"/>
        <v>0</v>
      </c>
      <c r="AW104" s="73">
        <f t="shared" si="57"/>
        <v>0</v>
      </c>
      <c r="AX104" s="73">
        <f t="shared" si="57"/>
        <v>0</v>
      </c>
      <c r="AY104" s="73">
        <f t="shared" si="57"/>
        <v>0</v>
      </c>
      <c r="AZ104" s="73">
        <f t="shared" si="57"/>
        <v>0</v>
      </c>
      <c r="BA104" s="73">
        <f t="shared" si="57"/>
        <v>0</v>
      </c>
      <c r="BB104" s="73">
        <f t="shared" si="57"/>
        <v>0</v>
      </c>
      <c r="BC104" s="73">
        <f t="shared" si="57"/>
        <v>0</v>
      </c>
      <c r="BD104" s="73">
        <f t="shared" si="57"/>
        <v>0</v>
      </c>
      <c r="BE104" s="73">
        <f t="shared" si="57"/>
        <v>0</v>
      </c>
    </row>
    <row r="105" spans="3:57" x14ac:dyDescent="0.25"/>
    <row r="106" spans="3:57" x14ac:dyDescent="0.25">
      <c r="C106" s="14" t="s">
        <v>141</v>
      </c>
      <c r="F106" s="73">
        <f t="shared" ref="F106:R106" si="58">F18 + F32 + F42 + F74 + F84 + F94 + F104</f>
        <v>0</v>
      </c>
      <c r="G106" s="73">
        <f t="shared" si="58"/>
        <v>0</v>
      </c>
      <c r="H106" s="73">
        <f t="shared" si="58"/>
        <v>0</v>
      </c>
      <c r="I106" s="73">
        <f t="shared" si="58"/>
        <v>0</v>
      </c>
      <c r="J106" s="73">
        <f t="shared" si="58"/>
        <v>0</v>
      </c>
      <c r="K106" s="73">
        <f t="shared" si="58"/>
        <v>0</v>
      </c>
      <c r="L106" s="73">
        <f t="shared" si="58"/>
        <v>0</v>
      </c>
      <c r="M106" s="73">
        <f t="shared" si="58"/>
        <v>0</v>
      </c>
      <c r="N106" s="73">
        <f t="shared" si="58"/>
        <v>0</v>
      </c>
      <c r="O106" s="73">
        <f t="shared" si="58"/>
        <v>0</v>
      </c>
      <c r="P106" s="73">
        <f t="shared" si="58"/>
        <v>0</v>
      </c>
      <c r="Q106" s="73">
        <f t="shared" si="58"/>
        <v>0</v>
      </c>
      <c r="R106" s="73">
        <f t="shared" si="58"/>
        <v>0</v>
      </c>
      <c r="S106" s="73">
        <f t="shared" ref="S106:BE106" si="59">S18 + S32 + S42 + S74 + S84 + S94 + S104</f>
        <v>0</v>
      </c>
      <c r="T106" s="73">
        <f t="shared" si="59"/>
        <v>0</v>
      </c>
      <c r="U106" s="73">
        <f t="shared" si="59"/>
        <v>0</v>
      </c>
      <c r="V106" s="73">
        <f t="shared" si="59"/>
        <v>0</v>
      </c>
      <c r="W106" s="73">
        <f t="shared" si="59"/>
        <v>0</v>
      </c>
      <c r="X106" s="73">
        <f t="shared" si="59"/>
        <v>0</v>
      </c>
      <c r="Y106" s="73">
        <f t="shared" si="59"/>
        <v>0</v>
      </c>
      <c r="Z106" s="73">
        <f t="shared" si="59"/>
        <v>0</v>
      </c>
      <c r="AA106" s="73">
        <f t="shared" si="59"/>
        <v>0</v>
      </c>
      <c r="AB106" s="73">
        <f t="shared" si="59"/>
        <v>0</v>
      </c>
      <c r="AC106" s="73">
        <f t="shared" si="59"/>
        <v>0</v>
      </c>
      <c r="AD106" s="73">
        <f t="shared" si="59"/>
        <v>0</v>
      </c>
      <c r="AE106" s="73">
        <f t="shared" si="59"/>
        <v>0</v>
      </c>
      <c r="AF106" s="73">
        <f t="shared" si="59"/>
        <v>0</v>
      </c>
      <c r="AG106" s="73">
        <f t="shared" si="59"/>
        <v>0</v>
      </c>
      <c r="AH106" s="73">
        <f t="shared" si="59"/>
        <v>0</v>
      </c>
      <c r="AI106" s="73">
        <f t="shared" si="59"/>
        <v>0</v>
      </c>
      <c r="AJ106" s="73">
        <f t="shared" si="59"/>
        <v>0</v>
      </c>
      <c r="AK106" s="73">
        <f t="shared" si="59"/>
        <v>0</v>
      </c>
      <c r="AL106" s="73">
        <f t="shared" si="59"/>
        <v>0</v>
      </c>
      <c r="AM106" s="73">
        <f t="shared" si="59"/>
        <v>0</v>
      </c>
      <c r="AN106" s="73">
        <f t="shared" si="59"/>
        <v>0</v>
      </c>
      <c r="AO106" s="73">
        <f t="shared" si="59"/>
        <v>0</v>
      </c>
      <c r="AP106" s="73">
        <f t="shared" si="59"/>
        <v>0</v>
      </c>
      <c r="AQ106" s="73">
        <f t="shared" si="59"/>
        <v>0</v>
      </c>
      <c r="AR106" s="73">
        <f t="shared" si="59"/>
        <v>0</v>
      </c>
      <c r="AS106" s="73">
        <f t="shared" si="59"/>
        <v>0</v>
      </c>
      <c r="AT106" s="73">
        <f t="shared" si="59"/>
        <v>0</v>
      </c>
      <c r="AU106" s="73">
        <f t="shared" si="59"/>
        <v>0</v>
      </c>
      <c r="AV106" s="73">
        <f t="shared" si="59"/>
        <v>0</v>
      </c>
      <c r="AW106" s="73">
        <f t="shared" si="59"/>
        <v>0</v>
      </c>
      <c r="AX106" s="73">
        <f t="shared" si="59"/>
        <v>0</v>
      </c>
      <c r="AY106" s="73">
        <f t="shared" si="59"/>
        <v>0</v>
      </c>
      <c r="AZ106" s="73">
        <f t="shared" si="59"/>
        <v>0</v>
      </c>
      <c r="BA106" s="73">
        <f t="shared" si="59"/>
        <v>0</v>
      </c>
      <c r="BB106" s="73">
        <f t="shared" si="59"/>
        <v>0</v>
      </c>
      <c r="BC106" s="73">
        <f t="shared" si="59"/>
        <v>0</v>
      </c>
      <c r="BD106" s="73">
        <f t="shared" si="59"/>
        <v>0</v>
      </c>
      <c r="BE106" s="73">
        <f t="shared" si="59"/>
        <v>0</v>
      </c>
    </row>
    <row r="107" spans="3:57" x14ac:dyDescent="0.25"/>
    <row r="108" spans="3:57" x14ac:dyDescent="0.25">
      <c r="C108" s="12" t="s">
        <v>145</v>
      </c>
      <c r="D108" s="13"/>
      <c r="E108" s="13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3:57" ht="5.0999999999999996" customHeight="1" x14ac:dyDescent="0.25"/>
    <row r="110" spans="3:57" x14ac:dyDescent="0.25">
      <c r="C110" s="1" t="s">
        <v>146</v>
      </c>
      <c r="F110" s="65"/>
      <c r="G110" s="69">
        <f>F114</f>
        <v>0</v>
      </c>
      <c r="H110" s="69">
        <f t="shared" ref="H110:R110" si="60">G114</f>
        <v>0</v>
      </c>
      <c r="I110" s="69">
        <f t="shared" si="60"/>
        <v>0</v>
      </c>
      <c r="J110" s="69">
        <f t="shared" si="60"/>
        <v>0</v>
      </c>
      <c r="K110" s="69">
        <f t="shared" si="60"/>
        <v>0</v>
      </c>
      <c r="L110" s="69">
        <f t="shared" si="60"/>
        <v>0</v>
      </c>
      <c r="M110" s="69">
        <f t="shared" si="60"/>
        <v>0</v>
      </c>
      <c r="N110" s="69">
        <f t="shared" si="60"/>
        <v>0</v>
      </c>
      <c r="O110" s="69">
        <f t="shared" si="60"/>
        <v>0</v>
      </c>
      <c r="P110" s="69">
        <f t="shared" si="60"/>
        <v>0</v>
      </c>
      <c r="Q110" s="69">
        <f t="shared" si="60"/>
        <v>0</v>
      </c>
      <c r="R110" s="69">
        <f t="shared" si="60"/>
        <v>0</v>
      </c>
      <c r="S110" s="69">
        <f t="shared" ref="S110" si="61">R114</f>
        <v>0</v>
      </c>
      <c r="T110" s="69">
        <f t="shared" ref="T110" si="62">S114</f>
        <v>0</v>
      </c>
      <c r="U110" s="69">
        <f t="shared" ref="U110" si="63">T114</f>
        <v>0</v>
      </c>
      <c r="V110" s="69">
        <f t="shared" ref="V110" si="64">U114</f>
        <v>0</v>
      </c>
      <c r="W110" s="69">
        <f t="shared" ref="W110" si="65">V114</f>
        <v>0</v>
      </c>
      <c r="X110" s="69">
        <f t="shared" ref="X110" si="66">W114</f>
        <v>0</v>
      </c>
      <c r="Y110" s="69">
        <f t="shared" ref="Y110" si="67">X114</f>
        <v>0</v>
      </c>
      <c r="Z110" s="69">
        <f t="shared" ref="Z110" si="68">Y114</f>
        <v>0</v>
      </c>
      <c r="AA110" s="69">
        <f t="shared" ref="AA110" si="69">Z114</f>
        <v>0</v>
      </c>
      <c r="AB110" s="69">
        <f t="shared" ref="AB110" si="70">AA114</f>
        <v>0</v>
      </c>
      <c r="AC110" s="69">
        <f t="shared" ref="AC110" si="71">AB114</f>
        <v>0</v>
      </c>
      <c r="AD110" s="69">
        <f t="shared" ref="AD110" si="72">AC114</f>
        <v>0</v>
      </c>
      <c r="AE110" s="69">
        <f t="shared" ref="AE110" si="73">AD114</f>
        <v>0</v>
      </c>
      <c r="AF110" s="69">
        <f t="shared" ref="AF110" si="74">AE114</f>
        <v>0</v>
      </c>
      <c r="AG110" s="69">
        <f t="shared" ref="AG110" si="75">AF114</f>
        <v>0</v>
      </c>
      <c r="AH110" s="69">
        <f t="shared" ref="AH110" si="76">AG114</f>
        <v>0</v>
      </c>
      <c r="AI110" s="69">
        <f t="shared" ref="AI110" si="77">AH114</f>
        <v>0</v>
      </c>
      <c r="AJ110" s="69">
        <f t="shared" ref="AJ110" si="78">AI114</f>
        <v>0</v>
      </c>
      <c r="AK110" s="69">
        <f t="shared" ref="AK110" si="79">AJ114</f>
        <v>0</v>
      </c>
      <c r="AL110" s="69">
        <f t="shared" ref="AL110" si="80">AK114</f>
        <v>0</v>
      </c>
      <c r="AM110" s="69">
        <f t="shared" ref="AM110" si="81">AL114</f>
        <v>0</v>
      </c>
      <c r="AN110" s="69">
        <f t="shared" ref="AN110" si="82">AM114</f>
        <v>0</v>
      </c>
      <c r="AO110" s="69">
        <f t="shared" ref="AO110" si="83">AN114</f>
        <v>0</v>
      </c>
      <c r="AP110" s="69">
        <f t="shared" ref="AP110" si="84">AO114</f>
        <v>0</v>
      </c>
      <c r="AQ110" s="69">
        <f t="shared" ref="AQ110" si="85">AP114</f>
        <v>0</v>
      </c>
      <c r="AR110" s="69">
        <f t="shared" ref="AR110" si="86">AQ114</f>
        <v>0</v>
      </c>
      <c r="AS110" s="69">
        <f t="shared" ref="AS110" si="87">AR114</f>
        <v>0</v>
      </c>
      <c r="AT110" s="69">
        <f t="shared" ref="AT110" si="88">AS114</f>
        <v>0</v>
      </c>
      <c r="AU110" s="69">
        <f t="shared" ref="AU110" si="89">AT114</f>
        <v>0</v>
      </c>
      <c r="AV110" s="69">
        <f t="shared" ref="AV110" si="90">AU114</f>
        <v>0</v>
      </c>
      <c r="AW110" s="69">
        <f t="shared" ref="AW110" si="91">AV114</f>
        <v>0</v>
      </c>
      <c r="AX110" s="69">
        <f t="shared" ref="AX110" si="92">AW114</f>
        <v>0</v>
      </c>
      <c r="AY110" s="69">
        <f t="shared" ref="AY110" si="93">AX114</f>
        <v>0</v>
      </c>
      <c r="AZ110" s="69">
        <f t="shared" ref="AZ110" si="94">AY114</f>
        <v>0</v>
      </c>
      <c r="BA110" s="69">
        <f t="shared" ref="BA110" si="95">AZ114</f>
        <v>0</v>
      </c>
      <c r="BB110" s="69">
        <f t="shared" ref="BB110" si="96">BA114</f>
        <v>0</v>
      </c>
      <c r="BC110" s="69">
        <f t="shared" ref="BC110" si="97">BB114</f>
        <v>0</v>
      </c>
      <c r="BD110" s="69">
        <f t="shared" ref="BD110" si="98">BC114</f>
        <v>0</v>
      </c>
      <c r="BE110" s="69">
        <f t="shared" ref="BE110" si="99">BD114</f>
        <v>0</v>
      </c>
    </row>
    <row r="111" spans="3:57" ht="5.0999999999999996" customHeight="1" x14ac:dyDescent="0.25"/>
    <row r="112" spans="3:57" x14ac:dyDescent="0.25">
      <c r="C112" s="1" t="s">
        <v>147</v>
      </c>
      <c r="F112" s="69">
        <f>F106</f>
        <v>0</v>
      </c>
      <c r="G112" s="69">
        <f>G106</f>
        <v>0</v>
      </c>
      <c r="H112" s="69">
        <f t="shared" ref="H112:R112" si="100">H106</f>
        <v>0</v>
      </c>
      <c r="I112" s="69">
        <f t="shared" si="100"/>
        <v>0</v>
      </c>
      <c r="J112" s="69">
        <f t="shared" si="100"/>
        <v>0</v>
      </c>
      <c r="K112" s="69">
        <f t="shared" si="100"/>
        <v>0</v>
      </c>
      <c r="L112" s="69">
        <f t="shared" si="100"/>
        <v>0</v>
      </c>
      <c r="M112" s="69">
        <f t="shared" si="100"/>
        <v>0</v>
      </c>
      <c r="N112" s="69">
        <f t="shared" si="100"/>
        <v>0</v>
      </c>
      <c r="O112" s="69">
        <f t="shared" si="100"/>
        <v>0</v>
      </c>
      <c r="P112" s="69">
        <f t="shared" si="100"/>
        <v>0</v>
      </c>
      <c r="Q112" s="69">
        <f t="shared" si="100"/>
        <v>0</v>
      </c>
      <c r="R112" s="69">
        <f t="shared" si="100"/>
        <v>0</v>
      </c>
      <c r="S112" s="69">
        <f t="shared" ref="S112:BE112" si="101">S106</f>
        <v>0</v>
      </c>
      <c r="T112" s="69">
        <f t="shared" si="101"/>
        <v>0</v>
      </c>
      <c r="U112" s="69">
        <f t="shared" si="101"/>
        <v>0</v>
      </c>
      <c r="V112" s="69">
        <f t="shared" si="101"/>
        <v>0</v>
      </c>
      <c r="W112" s="69">
        <f t="shared" si="101"/>
        <v>0</v>
      </c>
      <c r="X112" s="69">
        <f t="shared" si="101"/>
        <v>0</v>
      </c>
      <c r="Y112" s="69">
        <f t="shared" si="101"/>
        <v>0</v>
      </c>
      <c r="Z112" s="69">
        <f t="shared" si="101"/>
        <v>0</v>
      </c>
      <c r="AA112" s="69">
        <f t="shared" si="101"/>
        <v>0</v>
      </c>
      <c r="AB112" s="69">
        <f t="shared" si="101"/>
        <v>0</v>
      </c>
      <c r="AC112" s="69">
        <f t="shared" si="101"/>
        <v>0</v>
      </c>
      <c r="AD112" s="69">
        <f t="shared" si="101"/>
        <v>0</v>
      </c>
      <c r="AE112" s="69">
        <f t="shared" si="101"/>
        <v>0</v>
      </c>
      <c r="AF112" s="69">
        <f t="shared" si="101"/>
        <v>0</v>
      </c>
      <c r="AG112" s="69">
        <f t="shared" si="101"/>
        <v>0</v>
      </c>
      <c r="AH112" s="69">
        <f t="shared" si="101"/>
        <v>0</v>
      </c>
      <c r="AI112" s="69">
        <f t="shared" si="101"/>
        <v>0</v>
      </c>
      <c r="AJ112" s="69">
        <f t="shared" si="101"/>
        <v>0</v>
      </c>
      <c r="AK112" s="69">
        <f t="shared" si="101"/>
        <v>0</v>
      </c>
      <c r="AL112" s="69">
        <f t="shared" si="101"/>
        <v>0</v>
      </c>
      <c r="AM112" s="69">
        <f t="shared" si="101"/>
        <v>0</v>
      </c>
      <c r="AN112" s="69">
        <f t="shared" si="101"/>
        <v>0</v>
      </c>
      <c r="AO112" s="69">
        <f t="shared" si="101"/>
        <v>0</v>
      </c>
      <c r="AP112" s="69">
        <f t="shared" si="101"/>
        <v>0</v>
      </c>
      <c r="AQ112" s="69">
        <f t="shared" si="101"/>
        <v>0</v>
      </c>
      <c r="AR112" s="69">
        <f t="shared" si="101"/>
        <v>0</v>
      </c>
      <c r="AS112" s="69">
        <f t="shared" si="101"/>
        <v>0</v>
      </c>
      <c r="AT112" s="69">
        <f t="shared" si="101"/>
        <v>0</v>
      </c>
      <c r="AU112" s="69">
        <f t="shared" si="101"/>
        <v>0</v>
      </c>
      <c r="AV112" s="69">
        <f t="shared" si="101"/>
        <v>0</v>
      </c>
      <c r="AW112" s="69">
        <f t="shared" si="101"/>
        <v>0</v>
      </c>
      <c r="AX112" s="69">
        <f t="shared" si="101"/>
        <v>0</v>
      </c>
      <c r="AY112" s="69">
        <f t="shared" si="101"/>
        <v>0</v>
      </c>
      <c r="AZ112" s="69">
        <f t="shared" si="101"/>
        <v>0</v>
      </c>
      <c r="BA112" s="69">
        <f t="shared" si="101"/>
        <v>0</v>
      </c>
      <c r="BB112" s="69">
        <f t="shared" si="101"/>
        <v>0</v>
      </c>
      <c r="BC112" s="69">
        <f t="shared" si="101"/>
        <v>0</v>
      </c>
      <c r="BD112" s="69">
        <f t="shared" si="101"/>
        <v>0</v>
      </c>
      <c r="BE112" s="69">
        <f t="shared" si="101"/>
        <v>0</v>
      </c>
    </row>
    <row r="113" spans="3:57" ht="5.0999999999999996" customHeight="1" x14ac:dyDescent="0.25"/>
    <row r="114" spans="3:57" x14ac:dyDescent="0.25">
      <c r="C114" s="14" t="s">
        <v>145</v>
      </c>
      <c r="F114" s="73">
        <f>F110 + F112</f>
        <v>0</v>
      </c>
      <c r="G114" s="73">
        <f>G110 + G112</f>
        <v>0</v>
      </c>
      <c r="H114" s="73">
        <f t="shared" ref="H114:R114" si="102">H110 + H112</f>
        <v>0</v>
      </c>
      <c r="I114" s="73">
        <f t="shared" si="102"/>
        <v>0</v>
      </c>
      <c r="J114" s="73">
        <f t="shared" si="102"/>
        <v>0</v>
      </c>
      <c r="K114" s="73">
        <f t="shared" si="102"/>
        <v>0</v>
      </c>
      <c r="L114" s="73">
        <f t="shared" si="102"/>
        <v>0</v>
      </c>
      <c r="M114" s="73">
        <f t="shared" si="102"/>
        <v>0</v>
      </c>
      <c r="N114" s="73">
        <f t="shared" si="102"/>
        <v>0</v>
      </c>
      <c r="O114" s="73">
        <f t="shared" si="102"/>
        <v>0</v>
      </c>
      <c r="P114" s="73">
        <f t="shared" si="102"/>
        <v>0</v>
      </c>
      <c r="Q114" s="73">
        <f t="shared" si="102"/>
        <v>0</v>
      </c>
      <c r="R114" s="73">
        <f t="shared" si="102"/>
        <v>0</v>
      </c>
      <c r="S114" s="73">
        <f t="shared" ref="S114:BE114" si="103">S110 + S112</f>
        <v>0</v>
      </c>
      <c r="T114" s="73">
        <f t="shared" si="103"/>
        <v>0</v>
      </c>
      <c r="U114" s="73">
        <f t="shared" si="103"/>
        <v>0</v>
      </c>
      <c r="V114" s="73">
        <f t="shared" si="103"/>
        <v>0</v>
      </c>
      <c r="W114" s="73">
        <f t="shared" si="103"/>
        <v>0</v>
      </c>
      <c r="X114" s="73">
        <f t="shared" si="103"/>
        <v>0</v>
      </c>
      <c r="Y114" s="73">
        <f t="shared" si="103"/>
        <v>0</v>
      </c>
      <c r="Z114" s="73">
        <f t="shared" si="103"/>
        <v>0</v>
      </c>
      <c r="AA114" s="73">
        <f t="shared" si="103"/>
        <v>0</v>
      </c>
      <c r="AB114" s="73">
        <f t="shared" si="103"/>
        <v>0</v>
      </c>
      <c r="AC114" s="73">
        <f t="shared" si="103"/>
        <v>0</v>
      </c>
      <c r="AD114" s="73">
        <f t="shared" si="103"/>
        <v>0</v>
      </c>
      <c r="AE114" s="73">
        <f t="shared" si="103"/>
        <v>0</v>
      </c>
      <c r="AF114" s="73">
        <f t="shared" si="103"/>
        <v>0</v>
      </c>
      <c r="AG114" s="73">
        <f t="shared" si="103"/>
        <v>0</v>
      </c>
      <c r="AH114" s="73">
        <f t="shared" si="103"/>
        <v>0</v>
      </c>
      <c r="AI114" s="73">
        <f t="shared" si="103"/>
        <v>0</v>
      </c>
      <c r="AJ114" s="73">
        <f t="shared" si="103"/>
        <v>0</v>
      </c>
      <c r="AK114" s="73">
        <f t="shared" si="103"/>
        <v>0</v>
      </c>
      <c r="AL114" s="73">
        <f t="shared" si="103"/>
        <v>0</v>
      </c>
      <c r="AM114" s="73">
        <f t="shared" si="103"/>
        <v>0</v>
      </c>
      <c r="AN114" s="73">
        <f t="shared" si="103"/>
        <v>0</v>
      </c>
      <c r="AO114" s="73">
        <f t="shared" si="103"/>
        <v>0</v>
      </c>
      <c r="AP114" s="73">
        <f t="shared" si="103"/>
        <v>0</v>
      </c>
      <c r="AQ114" s="73">
        <f t="shared" si="103"/>
        <v>0</v>
      </c>
      <c r="AR114" s="73">
        <f t="shared" si="103"/>
        <v>0</v>
      </c>
      <c r="AS114" s="73">
        <f t="shared" si="103"/>
        <v>0</v>
      </c>
      <c r="AT114" s="73">
        <f t="shared" si="103"/>
        <v>0</v>
      </c>
      <c r="AU114" s="73">
        <f t="shared" si="103"/>
        <v>0</v>
      </c>
      <c r="AV114" s="73">
        <f t="shared" si="103"/>
        <v>0</v>
      </c>
      <c r="AW114" s="73">
        <f t="shared" si="103"/>
        <v>0</v>
      </c>
      <c r="AX114" s="73">
        <f t="shared" si="103"/>
        <v>0</v>
      </c>
      <c r="AY114" s="73">
        <f t="shared" si="103"/>
        <v>0</v>
      </c>
      <c r="AZ114" s="73">
        <f t="shared" si="103"/>
        <v>0</v>
      </c>
      <c r="BA114" s="73">
        <f t="shared" si="103"/>
        <v>0</v>
      </c>
      <c r="BB114" s="73">
        <f t="shared" si="103"/>
        <v>0</v>
      </c>
      <c r="BC114" s="73">
        <f t="shared" si="103"/>
        <v>0</v>
      </c>
      <c r="BD114" s="73">
        <f t="shared" si="103"/>
        <v>0</v>
      </c>
      <c r="BE114" s="73">
        <f t="shared" si="103"/>
        <v>0</v>
      </c>
    </row>
    <row r="115" spans="3:57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E4F0-0A19-47D7-9EEB-BA642DB5C7AD}">
  <sheetPr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B92C4-1A46-4ED9-B406-D4D4561C3B86}">
  <sheetPr>
    <tabColor theme="9" tint="0.79998168889431442"/>
  </sheetPr>
  <dimension ref="A1:K463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4" width="30.7109375" style="1" customWidth="1"/>
    <col min="5" max="5" width="15.28515625" style="1" bestFit="1" customWidth="1"/>
    <col min="6" max="6" width="12.42578125" style="1" bestFit="1" customWidth="1"/>
    <col min="7" max="7" width="1.7109375" style="1" customWidth="1"/>
    <col min="8" max="9" width="11" style="1" hidden="1" customWidth="1"/>
    <col min="10" max="11" width="10" style="1" hidden="1" customWidth="1"/>
    <col min="12" max="16384" width="9.140625" style="1" hidden="1"/>
  </cols>
  <sheetData>
    <row r="1" spans="1:11" x14ac:dyDescent="0.25">
      <c r="A1" s="2"/>
      <c r="B1" s="2"/>
      <c r="C1" s="2"/>
      <c r="D1" s="2"/>
      <c r="E1" s="2"/>
      <c r="F1" s="2"/>
      <c r="G1" s="2"/>
    </row>
    <row r="2" spans="1:11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</row>
    <row r="3" spans="1:11" ht="15.75" x14ac:dyDescent="0.25">
      <c r="A3" s="2"/>
      <c r="B3" s="16" t="s">
        <v>164</v>
      </c>
      <c r="C3" s="2"/>
      <c r="D3" s="2"/>
      <c r="E3" s="2"/>
      <c r="F3" s="2"/>
      <c r="G3" s="2"/>
    </row>
    <row r="4" spans="1:11" x14ac:dyDescent="0.25">
      <c r="A4" s="2"/>
      <c r="B4" s="2"/>
      <c r="C4" s="2"/>
      <c r="D4" s="2"/>
      <c r="E4" s="2"/>
      <c r="F4" s="2"/>
      <c r="G4" s="2"/>
    </row>
    <row r="5" spans="1:11" x14ac:dyDescent="0.25"/>
    <row r="6" spans="1:11" x14ac:dyDescent="0.25"/>
    <row r="7" spans="1:11" x14ac:dyDescent="0.25">
      <c r="C7" s="8" t="s">
        <v>68</v>
      </c>
      <c r="D7" s="8" t="s">
        <v>69</v>
      </c>
      <c r="E7" s="8" t="s">
        <v>165</v>
      </c>
      <c r="F7" s="23" t="s">
        <v>47</v>
      </c>
    </row>
    <row r="8" spans="1:11" x14ac:dyDescent="0.25">
      <c r="C8" s="22" t="str">
        <f>CFF!$C$39</f>
        <v>Trading receipts</v>
      </c>
      <c r="D8" s="22" t="str">
        <f>CFF!$C$41</f>
        <v>Trade receipts</v>
      </c>
      <c r="E8" s="19">
        <f>CFF!$G$7</f>
        <v>0</v>
      </c>
      <c r="F8" s="97">
        <f>CFF!$G$41</f>
        <v>0</v>
      </c>
      <c r="G8" s="96"/>
      <c r="H8" s="96"/>
      <c r="I8" s="96"/>
      <c r="J8" s="96"/>
      <c r="K8" s="96"/>
    </row>
    <row r="9" spans="1:11" x14ac:dyDescent="0.25">
      <c r="C9" s="22" t="str">
        <f>CFF!$C$39</f>
        <v>Trading receipts</v>
      </c>
      <c r="D9" s="22" t="str">
        <f>CFF!$C$41</f>
        <v>Trade receipts</v>
      </c>
      <c r="E9" s="19">
        <f>CFF!$H$7</f>
        <v>7</v>
      </c>
      <c r="F9" s="97">
        <f>CFF!$H$41</f>
        <v>0</v>
      </c>
    </row>
    <row r="10" spans="1:11" x14ac:dyDescent="0.25">
      <c r="C10" s="22" t="str">
        <f>CFF!$C$39</f>
        <v>Trading receipts</v>
      </c>
      <c r="D10" s="22" t="str">
        <f>CFF!$C$41</f>
        <v>Trade receipts</v>
      </c>
      <c r="E10" s="19">
        <f>CFF!$I$7</f>
        <v>14</v>
      </c>
      <c r="F10" s="97">
        <f>CFF!$I$41</f>
        <v>0</v>
      </c>
    </row>
    <row r="11" spans="1:11" x14ac:dyDescent="0.25">
      <c r="C11" s="22" t="str">
        <f>CFF!$C$39</f>
        <v>Trading receipts</v>
      </c>
      <c r="D11" s="22" t="str">
        <f>CFF!$C$41</f>
        <v>Trade receipts</v>
      </c>
      <c r="E11" s="19">
        <f>CFF!$J$7</f>
        <v>21</v>
      </c>
      <c r="F11" s="97">
        <f>CFF!$J$41</f>
        <v>0</v>
      </c>
    </row>
    <row r="12" spans="1:11" x14ac:dyDescent="0.25">
      <c r="C12" s="22" t="str">
        <f>CFF!$C$39</f>
        <v>Trading receipts</v>
      </c>
      <c r="D12" s="22" t="str">
        <f>CFF!$C$41</f>
        <v>Trade receipts</v>
      </c>
      <c r="E12" s="19">
        <f>CFF!$K$7</f>
        <v>28</v>
      </c>
      <c r="F12" s="97">
        <f>CFF!$K$41</f>
        <v>0</v>
      </c>
    </row>
    <row r="13" spans="1:11" x14ac:dyDescent="0.25">
      <c r="C13" s="22" t="str">
        <f>CFF!$C$39</f>
        <v>Trading receipts</v>
      </c>
      <c r="D13" s="22" t="str">
        <f>CFF!$C$41</f>
        <v>Trade receipts</v>
      </c>
      <c r="E13" s="19">
        <f>CFF!$L$7</f>
        <v>35</v>
      </c>
      <c r="F13" s="97">
        <f>CFF!$L$41</f>
        <v>0</v>
      </c>
    </row>
    <row r="14" spans="1:11" x14ac:dyDescent="0.25">
      <c r="C14" s="22" t="str">
        <f>CFF!$C$39</f>
        <v>Trading receipts</v>
      </c>
      <c r="D14" s="22" t="str">
        <f>CFF!$C$41</f>
        <v>Trade receipts</v>
      </c>
      <c r="E14" s="19">
        <f>CFF!$M$7</f>
        <v>42</v>
      </c>
      <c r="F14" s="97">
        <f>CFF!$M$41</f>
        <v>0</v>
      </c>
    </row>
    <row r="15" spans="1:11" x14ac:dyDescent="0.25">
      <c r="C15" s="22" t="str">
        <f>CFF!$C$39</f>
        <v>Trading receipts</v>
      </c>
      <c r="D15" s="22" t="str">
        <f>CFF!$C$41</f>
        <v>Trade receipts</v>
      </c>
      <c r="E15" s="19">
        <f>CFF!$N$7</f>
        <v>49</v>
      </c>
      <c r="F15" s="97">
        <f>CFF!$N$41</f>
        <v>0</v>
      </c>
    </row>
    <row r="16" spans="1:11" x14ac:dyDescent="0.25">
      <c r="C16" s="22" t="str">
        <f>CFF!$C$39</f>
        <v>Trading receipts</v>
      </c>
      <c r="D16" s="22" t="str">
        <f>CFF!$C$41</f>
        <v>Trade receipts</v>
      </c>
      <c r="E16" s="19">
        <f>CFF!$O$7</f>
        <v>56</v>
      </c>
      <c r="F16" s="97">
        <f>CFF!$O$41</f>
        <v>0</v>
      </c>
    </row>
    <row r="17" spans="3:6" x14ac:dyDescent="0.25">
      <c r="C17" s="22" t="str">
        <f>CFF!$C$39</f>
        <v>Trading receipts</v>
      </c>
      <c r="D17" s="22" t="str">
        <f>CFF!$C$41</f>
        <v>Trade receipts</v>
      </c>
      <c r="E17" s="19">
        <f>CFF!$P$7</f>
        <v>63</v>
      </c>
      <c r="F17" s="97">
        <f>CFF!$P$41</f>
        <v>0</v>
      </c>
    </row>
    <row r="18" spans="3:6" x14ac:dyDescent="0.25">
      <c r="C18" s="22" t="str">
        <f>CFF!$C$39</f>
        <v>Trading receipts</v>
      </c>
      <c r="D18" s="22" t="str">
        <f>CFF!$C$41</f>
        <v>Trade receipts</v>
      </c>
      <c r="E18" s="19">
        <f>CFF!$Q$7</f>
        <v>70</v>
      </c>
      <c r="F18" s="97">
        <f>CFF!$Q$41</f>
        <v>0</v>
      </c>
    </row>
    <row r="19" spans="3:6" x14ac:dyDescent="0.25">
      <c r="C19" s="22" t="str">
        <f>CFF!$C$39</f>
        <v>Trading receipts</v>
      </c>
      <c r="D19" s="22" t="str">
        <f>CFF!$C$41</f>
        <v>Trade receipts</v>
      </c>
      <c r="E19" s="19">
        <f>CFF!$R$7</f>
        <v>77</v>
      </c>
      <c r="F19" s="97">
        <f>CFF!$R$41</f>
        <v>0</v>
      </c>
    </row>
    <row r="20" spans="3:6" x14ac:dyDescent="0.25">
      <c r="C20" s="22" t="str">
        <f>CFF!$C$39</f>
        <v>Trading receipts</v>
      </c>
      <c r="D20" s="22" t="str">
        <f>CFF!$C$41</f>
        <v>Trade receipts</v>
      </c>
      <c r="E20" s="19">
        <f>CFF!$S$7</f>
        <v>84</v>
      </c>
      <c r="F20" s="97">
        <f>CFF!$S$41</f>
        <v>0</v>
      </c>
    </row>
    <row r="21" spans="3:6" x14ac:dyDescent="0.25">
      <c r="C21" s="22" t="str">
        <f>CFF!$C$39</f>
        <v>Trading receipts</v>
      </c>
      <c r="D21" s="22" t="str">
        <f>CFF!$C$48</f>
        <v>Other trading receipts</v>
      </c>
      <c r="E21" s="19">
        <f>CFF!$G$7</f>
        <v>0</v>
      </c>
      <c r="F21" s="97">
        <f>CFF!$G$48</f>
        <v>0</v>
      </c>
    </row>
    <row r="22" spans="3:6" x14ac:dyDescent="0.25">
      <c r="C22" s="22" t="str">
        <f>CFF!$C$39</f>
        <v>Trading receipts</v>
      </c>
      <c r="D22" s="22" t="str">
        <f>CFF!$C$48</f>
        <v>Other trading receipts</v>
      </c>
      <c r="E22" s="19">
        <f>CFF!$H$7</f>
        <v>7</v>
      </c>
      <c r="F22" s="97">
        <f>CFF!$H$48</f>
        <v>0</v>
      </c>
    </row>
    <row r="23" spans="3:6" x14ac:dyDescent="0.25">
      <c r="C23" s="22" t="str">
        <f>CFF!$C$39</f>
        <v>Trading receipts</v>
      </c>
      <c r="D23" s="22" t="str">
        <f>CFF!$C$48</f>
        <v>Other trading receipts</v>
      </c>
      <c r="E23" s="19">
        <f>CFF!$I$7</f>
        <v>14</v>
      </c>
      <c r="F23" s="97">
        <f>CFF!$I$48</f>
        <v>0</v>
      </c>
    </row>
    <row r="24" spans="3:6" x14ac:dyDescent="0.25">
      <c r="C24" s="22" t="str">
        <f>CFF!$C$39</f>
        <v>Trading receipts</v>
      </c>
      <c r="D24" s="22" t="str">
        <f>CFF!$C$48</f>
        <v>Other trading receipts</v>
      </c>
      <c r="E24" s="19">
        <f>CFF!$J$7</f>
        <v>21</v>
      </c>
      <c r="F24" s="97">
        <f>CFF!$J$48</f>
        <v>0</v>
      </c>
    </row>
    <row r="25" spans="3:6" x14ac:dyDescent="0.25">
      <c r="C25" s="22" t="str">
        <f>CFF!$C$39</f>
        <v>Trading receipts</v>
      </c>
      <c r="D25" s="22" t="str">
        <f>CFF!$C$48</f>
        <v>Other trading receipts</v>
      </c>
      <c r="E25" s="19">
        <f>CFF!$K$7</f>
        <v>28</v>
      </c>
      <c r="F25" s="97">
        <f>CFF!$K$48</f>
        <v>0</v>
      </c>
    </row>
    <row r="26" spans="3:6" x14ac:dyDescent="0.25">
      <c r="C26" s="22" t="str">
        <f>CFF!$C$39</f>
        <v>Trading receipts</v>
      </c>
      <c r="D26" s="22" t="str">
        <f>CFF!$C$48</f>
        <v>Other trading receipts</v>
      </c>
      <c r="E26" s="19">
        <f>CFF!$L$7</f>
        <v>35</v>
      </c>
      <c r="F26" s="97">
        <f>CFF!$L$48</f>
        <v>0</v>
      </c>
    </row>
    <row r="27" spans="3:6" x14ac:dyDescent="0.25">
      <c r="C27" s="22" t="str">
        <f>CFF!$C$39</f>
        <v>Trading receipts</v>
      </c>
      <c r="D27" s="22" t="str">
        <f>CFF!$C$48</f>
        <v>Other trading receipts</v>
      </c>
      <c r="E27" s="19">
        <f>CFF!$M$7</f>
        <v>42</v>
      </c>
      <c r="F27" s="97">
        <f>CFF!$M$48</f>
        <v>0</v>
      </c>
    </row>
    <row r="28" spans="3:6" x14ac:dyDescent="0.25">
      <c r="C28" s="22" t="str">
        <f>CFF!$C$39</f>
        <v>Trading receipts</v>
      </c>
      <c r="D28" s="22" t="str">
        <f>CFF!$C$48</f>
        <v>Other trading receipts</v>
      </c>
      <c r="E28" s="19">
        <f>CFF!$N$7</f>
        <v>49</v>
      </c>
      <c r="F28" s="97">
        <f>CFF!$N$48</f>
        <v>0</v>
      </c>
    </row>
    <row r="29" spans="3:6" x14ac:dyDescent="0.25">
      <c r="C29" s="22" t="str">
        <f>CFF!$C$39</f>
        <v>Trading receipts</v>
      </c>
      <c r="D29" s="22" t="str">
        <f>CFF!$C$48</f>
        <v>Other trading receipts</v>
      </c>
      <c r="E29" s="19">
        <f>CFF!$O$7</f>
        <v>56</v>
      </c>
      <c r="F29" s="97">
        <f>CFF!$O$48</f>
        <v>0</v>
      </c>
    </row>
    <row r="30" spans="3:6" x14ac:dyDescent="0.25">
      <c r="C30" s="22" t="str">
        <f>CFF!$C$39</f>
        <v>Trading receipts</v>
      </c>
      <c r="D30" s="22" t="str">
        <f>CFF!$C$48</f>
        <v>Other trading receipts</v>
      </c>
      <c r="E30" s="19">
        <f>CFF!$P$7</f>
        <v>63</v>
      </c>
      <c r="F30" s="97">
        <f>CFF!$P$48</f>
        <v>0</v>
      </c>
    </row>
    <row r="31" spans="3:6" x14ac:dyDescent="0.25">
      <c r="C31" s="22" t="str">
        <f>CFF!$C$39</f>
        <v>Trading receipts</v>
      </c>
      <c r="D31" s="22" t="str">
        <f>CFF!$C$48</f>
        <v>Other trading receipts</v>
      </c>
      <c r="E31" s="19">
        <f>CFF!$Q$7</f>
        <v>70</v>
      </c>
      <c r="F31" s="97">
        <f>CFF!$Q$48</f>
        <v>0</v>
      </c>
    </row>
    <row r="32" spans="3:6" x14ac:dyDescent="0.25">
      <c r="C32" s="22" t="str">
        <f>CFF!$C$39</f>
        <v>Trading receipts</v>
      </c>
      <c r="D32" s="22" t="str">
        <f>CFF!$C$48</f>
        <v>Other trading receipts</v>
      </c>
      <c r="E32" s="19">
        <f>CFF!$R$7</f>
        <v>77</v>
      </c>
      <c r="F32" s="97">
        <f>CFF!$R$48</f>
        <v>0</v>
      </c>
    </row>
    <row r="33" spans="3:6" x14ac:dyDescent="0.25">
      <c r="C33" s="22" t="str">
        <f>CFF!$C$39</f>
        <v>Trading receipts</v>
      </c>
      <c r="D33" s="22" t="str">
        <f>CFF!$C$48</f>
        <v>Other trading receipts</v>
      </c>
      <c r="E33" s="19">
        <f>CFF!$S$7</f>
        <v>84</v>
      </c>
      <c r="F33" s="97">
        <f>CFF!$S$48</f>
        <v>0</v>
      </c>
    </row>
    <row r="34" spans="3:6" x14ac:dyDescent="0.25">
      <c r="C34" s="22" t="str">
        <f>CFF!$C$55</f>
        <v>Staff costs</v>
      </c>
      <c r="D34" s="22">
        <f>CFF!$C$57</f>
        <v>0</v>
      </c>
      <c r="E34" s="19">
        <f>CFF!$G$7</f>
        <v>0</v>
      </c>
      <c r="F34" s="97">
        <f>CFF!$G$57</f>
        <v>0</v>
      </c>
    </row>
    <row r="35" spans="3:6" x14ac:dyDescent="0.25">
      <c r="C35" s="22" t="str">
        <f>CFF!$C$55</f>
        <v>Staff costs</v>
      </c>
      <c r="D35" s="22">
        <f>CFF!$C$57</f>
        <v>0</v>
      </c>
      <c r="E35" s="19">
        <f>CFF!$H$7</f>
        <v>7</v>
      </c>
      <c r="F35" s="97">
        <f>CFF!$H$57</f>
        <v>0</v>
      </c>
    </row>
    <row r="36" spans="3:6" x14ac:dyDescent="0.25">
      <c r="C36" s="22" t="str">
        <f>CFF!$C$55</f>
        <v>Staff costs</v>
      </c>
      <c r="D36" s="22">
        <f>CFF!$C$57</f>
        <v>0</v>
      </c>
      <c r="E36" s="19">
        <f>CFF!$I$7</f>
        <v>14</v>
      </c>
      <c r="F36" s="97">
        <f>CFF!$I$57</f>
        <v>0</v>
      </c>
    </row>
    <row r="37" spans="3:6" x14ac:dyDescent="0.25">
      <c r="C37" s="22" t="str">
        <f>CFF!$C$55</f>
        <v>Staff costs</v>
      </c>
      <c r="D37" s="22">
        <f>CFF!$C$57</f>
        <v>0</v>
      </c>
      <c r="E37" s="19">
        <f>CFF!$J$7</f>
        <v>21</v>
      </c>
      <c r="F37" s="97">
        <f>CFF!$J$57</f>
        <v>0</v>
      </c>
    </row>
    <row r="38" spans="3:6" x14ac:dyDescent="0.25">
      <c r="C38" s="22" t="str">
        <f>CFF!$C$55</f>
        <v>Staff costs</v>
      </c>
      <c r="D38" s="22">
        <f>CFF!$C$57</f>
        <v>0</v>
      </c>
      <c r="E38" s="19">
        <f>CFF!$K$7</f>
        <v>28</v>
      </c>
      <c r="F38" s="97">
        <f>CFF!$K$57</f>
        <v>0</v>
      </c>
    </row>
    <row r="39" spans="3:6" x14ac:dyDescent="0.25">
      <c r="C39" s="22" t="str">
        <f>CFF!$C$55</f>
        <v>Staff costs</v>
      </c>
      <c r="D39" s="22">
        <f>CFF!$C$57</f>
        <v>0</v>
      </c>
      <c r="E39" s="19">
        <f>CFF!$L$7</f>
        <v>35</v>
      </c>
      <c r="F39" s="97">
        <f>CFF!$L$57</f>
        <v>0</v>
      </c>
    </row>
    <row r="40" spans="3:6" x14ac:dyDescent="0.25">
      <c r="C40" s="22" t="str">
        <f>CFF!$C$55</f>
        <v>Staff costs</v>
      </c>
      <c r="D40" s="22">
        <f>CFF!$C$57</f>
        <v>0</v>
      </c>
      <c r="E40" s="19">
        <f>CFF!$M$7</f>
        <v>42</v>
      </c>
      <c r="F40" s="97">
        <f>CFF!$M$57</f>
        <v>0</v>
      </c>
    </row>
    <row r="41" spans="3:6" x14ac:dyDescent="0.25">
      <c r="C41" s="22" t="str">
        <f>CFF!$C$55</f>
        <v>Staff costs</v>
      </c>
      <c r="D41" s="22">
        <f>CFF!$C$57</f>
        <v>0</v>
      </c>
      <c r="E41" s="19">
        <f>CFF!$N$7</f>
        <v>49</v>
      </c>
      <c r="F41" s="97">
        <f>CFF!$N$57</f>
        <v>0</v>
      </c>
    </row>
    <row r="42" spans="3:6" x14ac:dyDescent="0.25">
      <c r="C42" s="22" t="str">
        <f>CFF!$C$55</f>
        <v>Staff costs</v>
      </c>
      <c r="D42" s="22">
        <f>CFF!$C$57</f>
        <v>0</v>
      </c>
      <c r="E42" s="19">
        <f>CFF!$O$7</f>
        <v>56</v>
      </c>
      <c r="F42" s="97">
        <f>CFF!$O$57</f>
        <v>0</v>
      </c>
    </row>
    <row r="43" spans="3:6" x14ac:dyDescent="0.25">
      <c r="C43" s="22" t="str">
        <f>CFF!$C$55</f>
        <v>Staff costs</v>
      </c>
      <c r="D43" s="22">
        <f>CFF!$C$57</f>
        <v>0</v>
      </c>
      <c r="E43" s="19">
        <f>CFF!$P$7</f>
        <v>63</v>
      </c>
      <c r="F43" s="97">
        <f>CFF!$P$57</f>
        <v>0</v>
      </c>
    </row>
    <row r="44" spans="3:6" x14ac:dyDescent="0.25">
      <c r="C44" s="22" t="str">
        <f>CFF!$C$55</f>
        <v>Staff costs</v>
      </c>
      <c r="D44" s="22">
        <f>CFF!$C$57</f>
        <v>0</v>
      </c>
      <c r="E44" s="19">
        <f>CFF!$Q$7</f>
        <v>70</v>
      </c>
      <c r="F44" s="97">
        <f>CFF!$Q$57</f>
        <v>0</v>
      </c>
    </row>
    <row r="45" spans="3:6" x14ac:dyDescent="0.25">
      <c r="C45" s="22" t="str">
        <f>CFF!$C$55</f>
        <v>Staff costs</v>
      </c>
      <c r="D45" s="22">
        <f>CFF!$C$57</f>
        <v>0</v>
      </c>
      <c r="E45" s="19">
        <f>CFF!$R$7</f>
        <v>77</v>
      </c>
      <c r="F45" s="97">
        <f>CFF!$R$57</f>
        <v>0</v>
      </c>
    </row>
    <row r="46" spans="3:6" x14ac:dyDescent="0.25">
      <c r="C46" s="22" t="str">
        <f>CFF!$C$55</f>
        <v>Staff costs</v>
      </c>
      <c r="D46" s="22">
        <f>CFF!$C$57</f>
        <v>0</v>
      </c>
      <c r="E46" s="19">
        <f>CFF!$S$7</f>
        <v>84</v>
      </c>
      <c r="F46" s="97">
        <f>CFF!$S$57</f>
        <v>0</v>
      </c>
    </row>
    <row r="47" spans="3:6" x14ac:dyDescent="0.25">
      <c r="C47" s="22" t="str">
        <f>CFF!$C$55</f>
        <v>Staff costs</v>
      </c>
      <c r="D47" s="22">
        <f>CFF!$C$65</f>
        <v>0</v>
      </c>
      <c r="E47" s="19">
        <f>CFF!$G$7</f>
        <v>0</v>
      </c>
      <c r="F47" s="97">
        <f>CFF!$G$65</f>
        <v>0</v>
      </c>
    </row>
    <row r="48" spans="3:6" x14ac:dyDescent="0.25">
      <c r="C48" s="22" t="str">
        <f>CFF!$C$55</f>
        <v>Staff costs</v>
      </c>
      <c r="D48" s="22">
        <f>CFF!$C$65</f>
        <v>0</v>
      </c>
      <c r="E48" s="19">
        <f>CFF!$H$7</f>
        <v>7</v>
      </c>
      <c r="F48" s="97">
        <f>CFF!$H$65</f>
        <v>0</v>
      </c>
    </row>
    <row r="49" spans="3:6" x14ac:dyDescent="0.25">
      <c r="C49" s="22" t="str">
        <f>CFF!$C$55</f>
        <v>Staff costs</v>
      </c>
      <c r="D49" s="22">
        <f>CFF!$C$65</f>
        <v>0</v>
      </c>
      <c r="E49" s="19">
        <f>CFF!$I$7</f>
        <v>14</v>
      </c>
      <c r="F49" s="97">
        <f>CFF!$I$65</f>
        <v>0</v>
      </c>
    </row>
    <row r="50" spans="3:6" x14ac:dyDescent="0.25">
      <c r="C50" s="22" t="str">
        <f>CFF!$C$55</f>
        <v>Staff costs</v>
      </c>
      <c r="D50" s="22">
        <f>CFF!$C$65</f>
        <v>0</v>
      </c>
      <c r="E50" s="19">
        <f>CFF!$J$7</f>
        <v>21</v>
      </c>
      <c r="F50" s="97">
        <f>CFF!$J$65</f>
        <v>0</v>
      </c>
    </row>
    <row r="51" spans="3:6" x14ac:dyDescent="0.25">
      <c r="C51" s="22" t="str">
        <f>CFF!$C$55</f>
        <v>Staff costs</v>
      </c>
      <c r="D51" s="22">
        <f>CFF!$C$65</f>
        <v>0</v>
      </c>
      <c r="E51" s="19">
        <f>CFF!$K$7</f>
        <v>28</v>
      </c>
      <c r="F51" s="97">
        <f>CFF!$K$65</f>
        <v>0</v>
      </c>
    </row>
    <row r="52" spans="3:6" x14ac:dyDescent="0.25">
      <c r="C52" s="22" t="str">
        <f>CFF!$C$55</f>
        <v>Staff costs</v>
      </c>
      <c r="D52" s="22">
        <f>CFF!$C$65</f>
        <v>0</v>
      </c>
      <c r="E52" s="19">
        <f>CFF!$L$7</f>
        <v>35</v>
      </c>
      <c r="F52" s="97">
        <f>CFF!$L$65</f>
        <v>0</v>
      </c>
    </row>
    <row r="53" spans="3:6" x14ac:dyDescent="0.25">
      <c r="C53" s="22" t="str">
        <f>CFF!$C$55</f>
        <v>Staff costs</v>
      </c>
      <c r="D53" s="22">
        <f>CFF!$C$65</f>
        <v>0</v>
      </c>
      <c r="E53" s="19">
        <f>CFF!$M$7</f>
        <v>42</v>
      </c>
      <c r="F53" s="97">
        <f>CFF!$M$65</f>
        <v>0</v>
      </c>
    </row>
    <row r="54" spans="3:6" x14ac:dyDescent="0.25">
      <c r="C54" s="22" t="str">
        <f>CFF!$C$55</f>
        <v>Staff costs</v>
      </c>
      <c r="D54" s="22">
        <f>CFF!$C$65</f>
        <v>0</v>
      </c>
      <c r="E54" s="19">
        <f>CFF!$N$7</f>
        <v>49</v>
      </c>
      <c r="F54" s="97">
        <f>CFF!$N$65</f>
        <v>0</v>
      </c>
    </row>
    <row r="55" spans="3:6" x14ac:dyDescent="0.25">
      <c r="C55" s="22" t="str">
        <f>CFF!$C$55</f>
        <v>Staff costs</v>
      </c>
      <c r="D55" s="22">
        <f>CFF!$C$65</f>
        <v>0</v>
      </c>
      <c r="E55" s="19">
        <f>CFF!$O$7</f>
        <v>56</v>
      </c>
      <c r="F55" s="97">
        <f>CFF!$O$65</f>
        <v>0</v>
      </c>
    </row>
    <row r="56" spans="3:6" x14ac:dyDescent="0.25">
      <c r="C56" s="22" t="str">
        <f>CFF!$C$55</f>
        <v>Staff costs</v>
      </c>
      <c r="D56" s="22">
        <f>CFF!$C$65</f>
        <v>0</v>
      </c>
      <c r="E56" s="19">
        <f>CFF!$P$7</f>
        <v>63</v>
      </c>
      <c r="F56" s="97">
        <f>CFF!$P$65</f>
        <v>0</v>
      </c>
    </row>
    <row r="57" spans="3:6" x14ac:dyDescent="0.25">
      <c r="C57" s="22" t="str">
        <f>CFF!$C$55</f>
        <v>Staff costs</v>
      </c>
      <c r="D57" s="22">
        <f>CFF!$C$65</f>
        <v>0</v>
      </c>
      <c r="E57" s="19">
        <f>CFF!$Q$7</f>
        <v>70</v>
      </c>
      <c r="F57" s="97">
        <f>CFF!$Q$65</f>
        <v>0</v>
      </c>
    </row>
    <row r="58" spans="3:6" x14ac:dyDescent="0.25">
      <c r="C58" s="22" t="str">
        <f>CFF!$C$55</f>
        <v>Staff costs</v>
      </c>
      <c r="D58" s="22">
        <f>CFF!$C$65</f>
        <v>0</v>
      </c>
      <c r="E58" s="19">
        <f>CFF!$R$7</f>
        <v>77</v>
      </c>
      <c r="F58" s="97">
        <f>CFF!$R$65</f>
        <v>0</v>
      </c>
    </row>
    <row r="59" spans="3:6" x14ac:dyDescent="0.25">
      <c r="C59" s="22" t="str">
        <f>CFF!$C$55</f>
        <v>Staff costs</v>
      </c>
      <c r="D59" s="22">
        <f>CFF!$C$65</f>
        <v>0</v>
      </c>
      <c r="E59" s="19">
        <f>CFF!$S$7</f>
        <v>84</v>
      </c>
      <c r="F59" s="97">
        <f>CFF!$S$65</f>
        <v>0</v>
      </c>
    </row>
    <row r="60" spans="3:6" x14ac:dyDescent="0.25">
      <c r="C60" s="22" t="str">
        <f>CFF!$C$55</f>
        <v>Staff costs</v>
      </c>
      <c r="D60" s="22">
        <f>CFF!$C$73</f>
        <v>0</v>
      </c>
      <c r="E60" s="19">
        <f>CFF!$G$7</f>
        <v>0</v>
      </c>
      <c r="F60" s="97">
        <f>CFF!$G$73</f>
        <v>0</v>
      </c>
    </row>
    <row r="61" spans="3:6" x14ac:dyDescent="0.25">
      <c r="C61" s="22" t="str">
        <f>CFF!$C$55</f>
        <v>Staff costs</v>
      </c>
      <c r="D61" s="22">
        <f>CFF!$C$73</f>
        <v>0</v>
      </c>
      <c r="E61" s="19">
        <f>CFF!$H$7</f>
        <v>7</v>
      </c>
      <c r="F61" s="97">
        <f>CFF!$H$73</f>
        <v>0</v>
      </c>
    </row>
    <row r="62" spans="3:6" x14ac:dyDescent="0.25">
      <c r="C62" s="22" t="str">
        <f>CFF!$C$55</f>
        <v>Staff costs</v>
      </c>
      <c r="D62" s="22">
        <f>CFF!$C$73</f>
        <v>0</v>
      </c>
      <c r="E62" s="19">
        <f>CFF!$I$7</f>
        <v>14</v>
      </c>
      <c r="F62" s="97">
        <f>CFF!$I$73</f>
        <v>0</v>
      </c>
    </row>
    <row r="63" spans="3:6" x14ac:dyDescent="0.25">
      <c r="C63" s="22" t="str">
        <f>CFF!$C$55</f>
        <v>Staff costs</v>
      </c>
      <c r="D63" s="22">
        <f>CFF!$C$73</f>
        <v>0</v>
      </c>
      <c r="E63" s="19">
        <f>CFF!$J$7</f>
        <v>21</v>
      </c>
      <c r="F63" s="97">
        <f>CFF!$J$73</f>
        <v>0</v>
      </c>
    </row>
    <row r="64" spans="3:6" x14ac:dyDescent="0.25">
      <c r="C64" s="22" t="str">
        <f>CFF!$C$55</f>
        <v>Staff costs</v>
      </c>
      <c r="D64" s="22">
        <f>CFF!$C$73</f>
        <v>0</v>
      </c>
      <c r="E64" s="19">
        <f>CFF!$K$7</f>
        <v>28</v>
      </c>
      <c r="F64" s="97">
        <f>CFF!$K$73</f>
        <v>0</v>
      </c>
    </row>
    <row r="65" spans="3:6" x14ac:dyDescent="0.25">
      <c r="C65" s="22" t="str">
        <f>CFF!$C$55</f>
        <v>Staff costs</v>
      </c>
      <c r="D65" s="22">
        <f>CFF!$C$73</f>
        <v>0</v>
      </c>
      <c r="E65" s="19">
        <f>CFF!$L$7</f>
        <v>35</v>
      </c>
      <c r="F65" s="97">
        <f>CFF!$L$73</f>
        <v>0</v>
      </c>
    </row>
    <row r="66" spans="3:6" x14ac:dyDescent="0.25">
      <c r="C66" s="22" t="str">
        <f>CFF!$C$55</f>
        <v>Staff costs</v>
      </c>
      <c r="D66" s="22">
        <f>CFF!$C$73</f>
        <v>0</v>
      </c>
      <c r="E66" s="19">
        <f>CFF!$M$7</f>
        <v>42</v>
      </c>
      <c r="F66" s="97">
        <f>CFF!$M$73</f>
        <v>0</v>
      </c>
    </row>
    <row r="67" spans="3:6" x14ac:dyDescent="0.25">
      <c r="C67" s="22" t="str">
        <f>CFF!$C$55</f>
        <v>Staff costs</v>
      </c>
      <c r="D67" s="22">
        <f>CFF!$C$73</f>
        <v>0</v>
      </c>
      <c r="E67" s="19">
        <f>CFF!$N$7</f>
        <v>49</v>
      </c>
      <c r="F67" s="97">
        <f>CFF!$N$73</f>
        <v>0</v>
      </c>
    </row>
    <row r="68" spans="3:6" x14ac:dyDescent="0.25">
      <c r="C68" s="22" t="str">
        <f>CFF!$C$55</f>
        <v>Staff costs</v>
      </c>
      <c r="D68" s="22">
        <f>CFF!$C$73</f>
        <v>0</v>
      </c>
      <c r="E68" s="19">
        <f>CFF!$O$7</f>
        <v>56</v>
      </c>
      <c r="F68" s="97">
        <f>CFF!$O$73</f>
        <v>0</v>
      </c>
    </row>
    <row r="69" spans="3:6" x14ac:dyDescent="0.25">
      <c r="C69" s="22" t="str">
        <f>CFF!$C$55</f>
        <v>Staff costs</v>
      </c>
      <c r="D69" s="22">
        <f>CFF!$C$73</f>
        <v>0</v>
      </c>
      <c r="E69" s="19">
        <f>CFF!$P$7</f>
        <v>63</v>
      </c>
      <c r="F69" s="97">
        <f>CFF!$P$73</f>
        <v>0</v>
      </c>
    </row>
    <row r="70" spans="3:6" x14ac:dyDescent="0.25">
      <c r="C70" s="22" t="str">
        <f>CFF!$C$55</f>
        <v>Staff costs</v>
      </c>
      <c r="D70" s="22">
        <f>CFF!$C$73</f>
        <v>0</v>
      </c>
      <c r="E70" s="19">
        <f>CFF!$Q$7</f>
        <v>70</v>
      </c>
      <c r="F70" s="97">
        <f>CFF!$Q$73</f>
        <v>0</v>
      </c>
    </row>
    <row r="71" spans="3:6" x14ac:dyDescent="0.25">
      <c r="C71" s="22" t="str">
        <f>CFF!$C$55</f>
        <v>Staff costs</v>
      </c>
      <c r="D71" s="22">
        <f>CFF!$C$73</f>
        <v>0</v>
      </c>
      <c r="E71" s="19">
        <f>CFF!$R$7</f>
        <v>77</v>
      </c>
      <c r="F71" s="97">
        <f>CFF!$R$73</f>
        <v>0</v>
      </c>
    </row>
    <row r="72" spans="3:6" x14ac:dyDescent="0.25">
      <c r="C72" s="22" t="str">
        <f>CFF!$C$55</f>
        <v>Staff costs</v>
      </c>
      <c r="D72" s="22">
        <f>CFF!$C$73</f>
        <v>0</v>
      </c>
      <c r="E72" s="19">
        <f>CFF!$S$7</f>
        <v>84</v>
      </c>
      <c r="F72" s="97">
        <f>CFF!$S$73</f>
        <v>0</v>
      </c>
    </row>
    <row r="73" spans="3:6" x14ac:dyDescent="0.25">
      <c r="C73" s="22" t="str">
        <f>CFF!$C$55</f>
        <v>Staff costs</v>
      </c>
      <c r="D73" s="22">
        <f>CFF!$C$81</f>
        <v>0</v>
      </c>
      <c r="E73" s="19">
        <f>CFF!$G$7</f>
        <v>0</v>
      </c>
      <c r="F73" s="97">
        <f>CFF!$G$81</f>
        <v>0</v>
      </c>
    </row>
    <row r="74" spans="3:6" x14ac:dyDescent="0.25">
      <c r="C74" s="22" t="str">
        <f>CFF!$C$55</f>
        <v>Staff costs</v>
      </c>
      <c r="D74" s="22">
        <f>CFF!$C$81</f>
        <v>0</v>
      </c>
      <c r="E74" s="19">
        <f>CFF!$H$7</f>
        <v>7</v>
      </c>
      <c r="F74" s="97">
        <f>CFF!$H$81</f>
        <v>0</v>
      </c>
    </row>
    <row r="75" spans="3:6" x14ac:dyDescent="0.25">
      <c r="C75" s="22" t="str">
        <f>CFF!$C$55</f>
        <v>Staff costs</v>
      </c>
      <c r="D75" s="22">
        <f>CFF!$C$81</f>
        <v>0</v>
      </c>
      <c r="E75" s="19">
        <f>CFF!$I$7</f>
        <v>14</v>
      </c>
      <c r="F75" s="97">
        <f>CFF!$I$81</f>
        <v>0</v>
      </c>
    </row>
    <row r="76" spans="3:6" x14ac:dyDescent="0.25">
      <c r="C76" s="22" t="str">
        <f>CFF!$C$55</f>
        <v>Staff costs</v>
      </c>
      <c r="D76" s="22">
        <f>CFF!$C$81</f>
        <v>0</v>
      </c>
      <c r="E76" s="19">
        <f>CFF!$J$7</f>
        <v>21</v>
      </c>
      <c r="F76" s="97">
        <f>CFF!$J$81</f>
        <v>0</v>
      </c>
    </row>
    <row r="77" spans="3:6" x14ac:dyDescent="0.25">
      <c r="C77" s="22" t="str">
        <f>CFF!$C$55</f>
        <v>Staff costs</v>
      </c>
      <c r="D77" s="22">
        <f>CFF!$C$81</f>
        <v>0</v>
      </c>
      <c r="E77" s="19">
        <f>CFF!$K$7</f>
        <v>28</v>
      </c>
      <c r="F77" s="97">
        <f>CFF!$K$81</f>
        <v>0</v>
      </c>
    </row>
    <row r="78" spans="3:6" x14ac:dyDescent="0.25">
      <c r="C78" s="22" t="str">
        <f>CFF!$C$55</f>
        <v>Staff costs</v>
      </c>
      <c r="D78" s="22">
        <f>CFF!$C$81</f>
        <v>0</v>
      </c>
      <c r="E78" s="19">
        <f>CFF!$L$7</f>
        <v>35</v>
      </c>
      <c r="F78" s="97">
        <f>CFF!$L$81</f>
        <v>0</v>
      </c>
    </row>
    <row r="79" spans="3:6" x14ac:dyDescent="0.25">
      <c r="C79" s="22" t="str">
        <f>CFF!$C$55</f>
        <v>Staff costs</v>
      </c>
      <c r="D79" s="22">
        <f>CFF!$C$81</f>
        <v>0</v>
      </c>
      <c r="E79" s="19">
        <f>CFF!$M$7</f>
        <v>42</v>
      </c>
      <c r="F79" s="97">
        <f>CFF!$M$81</f>
        <v>0</v>
      </c>
    </row>
    <row r="80" spans="3:6" x14ac:dyDescent="0.25">
      <c r="C80" s="22" t="str">
        <f>CFF!$C$55</f>
        <v>Staff costs</v>
      </c>
      <c r="D80" s="22">
        <f>CFF!$C$81</f>
        <v>0</v>
      </c>
      <c r="E80" s="19">
        <f>CFF!$N$7</f>
        <v>49</v>
      </c>
      <c r="F80" s="97">
        <f>CFF!$N$81</f>
        <v>0</v>
      </c>
    </row>
    <row r="81" spans="3:6" x14ac:dyDescent="0.25">
      <c r="C81" s="22" t="str">
        <f>CFF!$C$55</f>
        <v>Staff costs</v>
      </c>
      <c r="D81" s="22">
        <f>CFF!$C$81</f>
        <v>0</v>
      </c>
      <c r="E81" s="19">
        <f>CFF!$O$7</f>
        <v>56</v>
      </c>
      <c r="F81" s="97">
        <f>CFF!$O$81</f>
        <v>0</v>
      </c>
    </row>
    <row r="82" spans="3:6" x14ac:dyDescent="0.25">
      <c r="C82" s="22" t="str">
        <f>CFF!$C$55</f>
        <v>Staff costs</v>
      </c>
      <c r="D82" s="22">
        <f>CFF!$C$81</f>
        <v>0</v>
      </c>
      <c r="E82" s="19">
        <f>CFF!$P$7</f>
        <v>63</v>
      </c>
      <c r="F82" s="97">
        <f>CFF!$P$81</f>
        <v>0</v>
      </c>
    </row>
    <row r="83" spans="3:6" x14ac:dyDescent="0.25">
      <c r="C83" s="22" t="str">
        <f>CFF!$C$55</f>
        <v>Staff costs</v>
      </c>
      <c r="D83" s="22">
        <f>CFF!$C$81</f>
        <v>0</v>
      </c>
      <c r="E83" s="19">
        <f>CFF!$Q$7</f>
        <v>70</v>
      </c>
      <c r="F83" s="97">
        <f>CFF!$Q$81</f>
        <v>0</v>
      </c>
    </row>
    <row r="84" spans="3:6" x14ac:dyDescent="0.25">
      <c r="C84" s="22" t="str">
        <f>CFF!$C$55</f>
        <v>Staff costs</v>
      </c>
      <c r="D84" s="22">
        <f>CFF!$C$81</f>
        <v>0</v>
      </c>
      <c r="E84" s="19">
        <f>CFF!$R$7</f>
        <v>77</v>
      </c>
      <c r="F84" s="97">
        <f>CFF!$R$81</f>
        <v>0</v>
      </c>
    </row>
    <row r="85" spans="3:6" x14ac:dyDescent="0.25">
      <c r="C85" s="22" t="str">
        <f>CFF!$C$55</f>
        <v>Staff costs</v>
      </c>
      <c r="D85" s="22">
        <f>CFF!$C$81</f>
        <v>0</v>
      </c>
      <c r="E85" s="19">
        <f>CFF!$S$7</f>
        <v>84</v>
      </c>
      <c r="F85" s="97">
        <f>CFF!$S$81</f>
        <v>0</v>
      </c>
    </row>
    <row r="86" spans="3:6" x14ac:dyDescent="0.25">
      <c r="C86" s="22" t="str">
        <f>CFF!$C$55</f>
        <v>Staff costs</v>
      </c>
      <c r="D86" s="22">
        <f>CFF!$C$89</f>
        <v>0</v>
      </c>
      <c r="E86" s="19">
        <f>CFF!$G$7</f>
        <v>0</v>
      </c>
      <c r="F86" s="97">
        <f>CFF!$G$89</f>
        <v>0</v>
      </c>
    </row>
    <row r="87" spans="3:6" x14ac:dyDescent="0.25">
      <c r="C87" s="22" t="str">
        <f>CFF!$C$55</f>
        <v>Staff costs</v>
      </c>
      <c r="D87" s="22">
        <f>CFF!$C$89</f>
        <v>0</v>
      </c>
      <c r="E87" s="19">
        <f>CFF!$H$7</f>
        <v>7</v>
      </c>
      <c r="F87" s="97">
        <f>CFF!$H$89</f>
        <v>0</v>
      </c>
    </row>
    <row r="88" spans="3:6" x14ac:dyDescent="0.25">
      <c r="C88" s="22" t="str">
        <f>CFF!$C$55</f>
        <v>Staff costs</v>
      </c>
      <c r="D88" s="22">
        <f>CFF!$C$89</f>
        <v>0</v>
      </c>
      <c r="E88" s="19">
        <f>CFF!$I$7</f>
        <v>14</v>
      </c>
      <c r="F88" s="97">
        <f>CFF!$I$89</f>
        <v>0</v>
      </c>
    </row>
    <row r="89" spans="3:6" x14ac:dyDescent="0.25">
      <c r="C89" s="22" t="str">
        <f>CFF!$C$55</f>
        <v>Staff costs</v>
      </c>
      <c r="D89" s="22">
        <f>CFF!$C$89</f>
        <v>0</v>
      </c>
      <c r="E89" s="19">
        <f>CFF!$J$7</f>
        <v>21</v>
      </c>
      <c r="F89" s="97">
        <f>CFF!$J$89</f>
        <v>0</v>
      </c>
    </row>
    <row r="90" spans="3:6" x14ac:dyDescent="0.25">
      <c r="C90" s="22" t="str">
        <f>CFF!$C$55</f>
        <v>Staff costs</v>
      </c>
      <c r="D90" s="22">
        <f>CFF!$C$89</f>
        <v>0</v>
      </c>
      <c r="E90" s="19">
        <f>CFF!$K$7</f>
        <v>28</v>
      </c>
      <c r="F90" s="97">
        <f>CFF!$K$89</f>
        <v>0</v>
      </c>
    </row>
    <row r="91" spans="3:6" x14ac:dyDescent="0.25">
      <c r="C91" s="22" t="str">
        <f>CFF!$C$55</f>
        <v>Staff costs</v>
      </c>
      <c r="D91" s="22">
        <f>CFF!$C$89</f>
        <v>0</v>
      </c>
      <c r="E91" s="19">
        <f>CFF!$L$7</f>
        <v>35</v>
      </c>
      <c r="F91" s="97">
        <f>CFF!$L$89</f>
        <v>0</v>
      </c>
    </row>
    <row r="92" spans="3:6" x14ac:dyDescent="0.25">
      <c r="C92" s="22" t="str">
        <f>CFF!$C$55</f>
        <v>Staff costs</v>
      </c>
      <c r="D92" s="22">
        <f>CFF!$C$89</f>
        <v>0</v>
      </c>
      <c r="E92" s="19">
        <f>CFF!$M$7</f>
        <v>42</v>
      </c>
      <c r="F92" s="97">
        <f>CFF!$M$89</f>
        <v>0</v>
      </c>
    </row>
    <row r="93" spans="3:6" x14ac:dyDescent="0.25">
      <c r="C93" s="22" t="str">
        <f>CFF!$C$55</f>
        <v>Staff costs</v>
      </c>
      <c r="D93" s="22">
        <f>CFF!$C$89</f>
        <v>0</v>
      </c>
      <c r="E93" s="19">
        <f>CFF!$N$7</f>
        <v>49</v>
      </c>
      <c r="F93" s="97">
        <f>CFF!$N$89</f>
        <v>0</v>
      </c>
    </row>
    <row r="94" spans="3:6" x14ac:dyDescent="0.25">
      <c r="C94" s="22" t="str">
        <f>CFF!$C$55</f>
        <v>Staff costs</v>
      </c>
      <c r="D94" s="22">
        <f>CFF!$C$89</f>
        <v>0</v>
      </c>
      <c r="E94" s="19">
        <f>CFF!$O$7</f>
        <v>56</v>
      </c>
      <c r="F94" s="97">
        <f>CFF!$O$89</f>
        <v>0</v>
      </c>
    </row>
    <row r="95" spans="3:6" x14ac:dyDescent="0.25">
      <c r="C95" s="22" t="str">
        <f>CFF!$C$55</f>
        <v>Staff costs</v>
      </c>
      <c r="D95" s="22">
        <f>CFF!$C$89</f>
        <v>0</v>
      </c>
      <c r="E95" s="19">
        <f>CFF!$P$7</f>
        <v>63</v>
      </c>
      <c r="F95" s="97">
        <f>CFF!$P$89</f>
        <v>0</v>
      </c>
    </row>
    <row r="96" spans="3:6" x14ac:dyDescent="0.25">
      <c r="C96" s="22" t="str">
        <f>CFF!$C$55</f>
        <v>Staff costs</v>
      </c>
      <c r="D96" s="22">
        <f>CFF!$C$89</f>
        <v>0</v>
      </c>
      <c r="E96" s="19">
        <f>CFF!$Q$7</f>
        <v>70</v>
      </c>
      <c r="F96" s="97">
        <f>CFF!$Q$89</f>
        <v>0</v>
      </c>
    </row>
    <row r="97" spans="3:6" x14ac:dyDescent="0.25">
      <c r="C97" s="22" t="str">
        <f>CFF!$C$55</f>
        <v>Staff costs</v>
      </c>
      <c r="D97" s="22">
        <f>CFF!$C$89</f>
        <v>0</v>
      </c>
      <c r="E97" s="19">
        <f>CFF!$R$7</f>
        <v>77</v>
      </c>
      <c r="F97" s="97">
        <f>CFF!$R$89</f>
        <v>0</v>
      </c>
    </row>
    <row r="98" spans="3:6" x14ac:dyDescent="0.25">
      <c r="C98" s="22" t="str">
        <f>CFF!$C$55</f>
        <v>Staff costs</v>
      </c>
      <c r="D98" s="22">
        <f>CFF!$C$89</f>
        <v>0</v>
      </c>
      <c r="E98" s="19">
        <f>CFF!$S$7</f>
        <v>84</v>
      </c>
      <c r="F98" s="97">
        <f>CFF!$S$89</f>
        <v>0</v>
      </c>
    </row>
    <row r="99" spans="3:6" x14ac:dyDescent="0.25">
      <c r="C99" s="22" t="str">
        <f>CFF!$C$99</f>
        <v>Supplier &amp; Cost of sales</v>
      </c>
      <c r="D99" s="22">
        <f>CFF!$C$101</f>
        <v>0</v>
      </c>
      <c r="E99" s="19">
        <f>CFF!$G$7</f>
        <v>0</v>
      </c>
      <c r="F99" s="97">
        <f>CFF!$G$101</f>
        <v>0</v>
      </c>
    </row>
    <row r="100" spans="3:6" x14ac:dyDescent="0.25">
      <c r="C100" s="22" t="str">
        <f>CFF!$C$99</f>
        <v>Supplier &amp; Cost of sales</v>
      </c>
      <c r="D100" s="22">
        <f>CFF!$C$101</f>
        <v>0</v>
      </c>
      <c r="E100" s="19">
        <f>CFF!$H$7</f>
        <v>7</v>
      </c>
      <c r="F100" s="97">
        <f>CFF!$H$101</f>
        <v>0</v>
      </c>
    </row>
    <row r="101" spans="3:6" x14ac:dyDescent="0.25">
      <c r="C101" s="22" t="str">
        <f>CFF!$C$99</f>
        <v>Supplier &amp; Cost of sales</v>
      </c>
      <c r="D101" s="22">
        <f>CFF!$C$101</f>
        <v>0</v>
      </c>
      <c r="E101" s="19">
        <f>CFF!$I$7</f>
        <v>14</v>
      </c>
      <c r="F101" s="97">
        <f>CFF!$I$101</f>
        <v>0</v>
      </c>
    </row>
    <row r="102" spans="3:6" x14ac:dyDescent="0.25">
      <c r="C102" s="22" t="str">
        <f>CFF!$C$99</f>
        <v>Supplier &amp; Cost of sales</v>
      </c>
      <c r="D102" s="22">
        <f>CFF!$C$101</f>
        <v>0</v>
      </c>
      <c r="E102" s="19">
        <f>CFF!$J$7</f>
        <v>21</v>
      </c>
      <c r="F102" s="97">
        <f>CFF!$J$101</f>
        <v>0</v>
      </c>
    </row>
    <row r="103" spans="3:6" x14ac:dyDescent="0.25">
      <c r="C103" s="22" t="str">
        <f>CFF!$C$99</f>
        <v>Supplier &amp; Cost of sales</v>
      </c>
      <c r="D103" s="22">
        <f>CFF!$C$101</f>
        <v>0</v>
      </c>
      <c r="E103" s="19">
        <f>CFF!$K$7</f>
        <v>28</v>
      </c>
      <c r="F103" s="97">
        <f>CFF!$K$101</f>
        <v>0</v>
      </c>
    </row>
    <row r="104" spans="3:6" x14ac:dyDescent="0.25">
      <c r="C104" s="22" t="str">
        <f>CFF!$C$99</f>
        <v>Supplier &amp; Cost of sales</v>
      </c>
      <c r="D104" s="22">
        <f>CFF!$C$101</f>
        <v>0</v>
      </c>
      <c r="E104" s="19">
        <f>CFF!$L$7</f>
        <v>35</v>
      </c>
      <c r="F104" s="97">
        <f>CFF!$L$101</f>
        <v>0</v>
      </c>
    </row>
    <row r="105" spans="3:6" x14ac:dyDescent="0.25">
      <c r="C105" s="22" t="str">
        <f>CFF!$C$99</f>
        <v>Supplier &amp; Cost of sales</v>
      </c>
      <c r="D105" s="22">
        <f>CFF!$C$101</f>
        <v>0</v>
      </c>
      <c r="E105" s="19">
        <f>CFF!$M$7</f>
        <v>42</v>
      </c>
      <c r="F105" s="97">
        <f>CFF!$M$101</f>
        <v>0</v>
      </c>
    </row>
    <row r="106" spans="3:6" x14ac:dyDescent="0.25">
      <c r="C106" s="22" t="str">
        <f>CFF!$C$99</f>
        <v>Supplier &amp; Cost of sales</v>
      </c>
      <c r="D106" s="22">
        <f>CFF!$C$101</f>
        <v>0</v>
      </c>
      <c r="E106" s="19">
        <f>CFF!$N$7</f>
        <v>49</v>
      </c>
      <c r="F106" s="97">
        <f>CFF!$N$101</f>
        <v>0</v>
      </c>
    </row>
    <row r="107" spans="3:6" x14ac:dyDescent="0.25">
      <c r="C107" s="22" t="str">
        <f>CFF!$C$99</f>
        <v>Supplier &amp; Cost of sales</v>
      </c>
      <c r="D107" s="22">
        <f>CFF!$C$101</f>
        <v>0</v>
      </c>
      <c r="E107" s="19">
        <f>CFF!$O$7</f>
        <v>56</v>
      </c>
      <c r="F107" s="97">
        <f>CFF!$O$101</f>
        <v>0</v>
      </c>
    </row>
    <row r="108" spans="3:6" x14ac:dyDescent="0.25">
      <c r="C108" s="22" t="str">
        <f>CFF!$C$99</f>
        <v>Supplier &amp; Cost of sales</v>
      </c>
      <c r="D108" s="22">
        <f>CFF!$C$101</f>
        <v>0</v>
      </c>
      <c r="E108" s="19">
        <f>CFF!$P$7</f>
        <v>63</v>
      </c>
      <c r="F108" s="97">
        <f>CFF!$P$101</f>
        <v>0</v>
      </c>
    </row>
    <row r="109" spans="3:6" x14ac:dyDescent="0.25">
      <c r="C109" s="22" t="str">
        <f>CFF!$C$99</f>
        <v>Supplier &amp; Cost of sales</v>
      </c>
      <c r="D109" s="22">
        <f>CFF!$C$101</f>
        <v>0</v>
      </c>
      <c r="E109" s="19">
        <f>CFF!$Q$7</f>
        <v>70</v>
      </c>
      <c r="F109" s="97">
        <f>CFF!$Q$101</f>
        <v>0</v>
      </c>
    </row>
    <row r="110" spans="3:6" x14ac:dyDescent="0.25">
      <c r="C110" s="22" t="str">
        <f>CFF!$C$99</f>
        <v>Supplier &amp; Cost of sales</v>
      </c>
      <c r="D110" s="22">
        <f>CFF!$C$101</f>
        <v>0</v>
      </c>
      <c r="E110" s="19">
        <f>CFF!$R$7</f>
        <v>77</v>
      </c>
      <c r="F110" s="97">
        <f>CFF!$R$101</f>
        <v>0</v>
      </c>
    </row>
    <row r="111" spans="3:6" x14ac:dyDescent="0.25">
      <c r="C111" s="22" t="str">
        <f>CFF!$C$99</f>
        <v>Supplier &amp; Cost of sales</v>
      </c>
      <c r="D111" s="22">
        <f>CFF!$C$101</f>
        <v>0</v>
      </c>
      <c r="E111" s="19">
        <f>CFF!$S$7</f>
        <v>84</v>
      </c>
      <c r="F111" s="97">
        <f>CFF!$S$101</f>
        <v>0</v>
      </c>
    </row>
    <row r="112" spans="3:6" x14ac:dyDescent="0.25">
      <c r="C112" s="22" t="str">
        <f>CFF!$C$99</f>
        <v>Supplier &amp; Cost of sales</v>
      </c>
      <c r="D112" s="22">
        <f>CFF!$C$109</f>
        <v>0</v>
      </c>
      <c r="E112" s="19">
        <f>CFF!$G$7</f>
        <v>0</v>
      </c>
      <c r="F112" s="97">
        <f>CFF!$G$109</f>
        <v>0</v>
      </c>
    </row>
    <row r="113" spans="3:6" x14ac:dyDescent="0.25">
      <c r="C113" s="22" t="str">
        <f>CFF!$C$99</f>
        <v>Supplier &amp; Cost of sales</v>
      </c>
      <c r="D113" s="22">
        <f>CFF!$C$109</f>
        <v>0</v>
      </c>
      <c r="E113" s="19">
        <f>CFF!$H$7</f>
        <v>7</v>
      </c>
      <c r="F113" s="97">
        <f>CFF!$H$109</f>
        <v>0</v>
      </c>
    </row>
    <row r="114" spans="3:6" x14ac:dyDescent="0.25">
      <c r="C114" s="22" t="str">
        <f>CFF!$C$99</f>
        <v>Supplier &amp; Cost of sales</v>
      </c>
      <c r="D114" s="22">
        <f>CFF!$C$109</f>
        <v>0</v>
      </c>
      <c r="E114" s="19">
        <f>CFF!$I$7</f>
        <v>14</v>
      </c>
      <c r="F114" s="97">
        <f>CFF!$I$109</f>
        <v>0</v>
      </c>
    </row>
    <row r="115" spans="3:6" x14ac:dyDescent="0.25">
      <c r="C115" s="22" t="str">
        <f>CFF!$C$99</f>
        <v>Supplier &amp; Cost of sales</v>
      </c>
      <c r="D115" s="22">
        <f>CFF!$C$109</f>
        <v>0</v>
      </c>
      <c r="E115" s="19">
        <f>CFF!$J$7</f>
        <v>21</v>
      </c>
      <c r="F115" s="97">
        <f>CFF!$J$109</f>
        <v>0</v>
      </c>
    </row>
    <row r="116" spans="3:6" x14ac:dyDescent="0.25">
      <c r="C116" s="22" t="str">
        <f>CFF!$C$99</f>
        <v>Supplier &amp; Cost of sales</v>
      </c>
      <c r="D116" s="22">
        <f>CFF!$C$109</f>
        <v>0</v>
      </c>
      <c r="E116" s="19">
        <f>CFF!$K$7</f>
        <v>28</v>
      </c>
      <c r="F116" s="97">
        <f>CFF!$K$109</f>
        <v>0</v>
      </c>
    </row>
    <row r="117" spans="3:6" x14ac:dyDescent="0.25">
      <c r="C117" s="22" t="str">
        <f>CFF!$C$99</f>
        <v>Supplier &amp; Cost of sales</v>
      </c>
      <c r="D117" s="22">
        <f>CFF!$C$109</f>
        <v>0</v>
      </c>
      <c r="E117" s="19">
        <f>CFF!$L$7</f>
        <v>35</v>
      </c>
      <c r="F117" s="97">
        <f>CFF!$L$109</f>
        <v>0</v>
      </c>
    </row>
    <row r="118" spans="3:6" x14ac:dyDescent="0.25">
      <c r="C118" s="22" t="str">
        <f>CFF!$C$99</f>
        <v>Supplier &amp; Cost of sales</v>
      </c>
      <c r="D118" s="22">
        <f>CFF!$C$109</f>
        <v>0</v>
      </c>
      <c r="E118" s="19">
        <f>CFF!$M$7</f>
        <v>42</v>
      </c>
      <c r="F118" s="97">
        <f>CFF!$M$109</f>
        <v>0</v>
      </c>
    </row>
    <row r="119" spans="3:6" x14ac:dyDescent="0.25">
      <c r="C119" s="22" t="str">
        <f>CFF!$C$99</f>
        <v>Supplier &amp; Cost of sales</v>
      </c>
      <c r="D119" s="22">
        <f>CFF!$C$109</f>
        <v>0</v>
      </c>
      <c r="E119" s="19">
        <f>CFF!$N$7</f>
        <v>49</v>
      </c>
      <c r="F119" s="97">
        <f>CFF!$N$109</f>
        <v>0</v>
      </c>
    </row>
    <row r="120" spans="3:6" x14ac:dyDescent="0.25">
      <c r="C120" s="22" t="str">
        <f>CFF!$C$99</f>
        <v>Supplier &amp; Cost of sales</v>
      </c>
      <c r="D120" s="22">
        <f>CFF!$C$109</f>
        <v>0</v>
      </c>
      <c r="E120" s="19">
        <f>CFF!$O$7</f>
        <v>56</v>
      </c>
      <c r="F120" s="97">
        <f>CFF!$O$109</f>
        <v>0</v>
      </c>
    </row>
    <row r="121" spans="3:6" x14ac:dyDescent="0.25">
      <c r="C121" s="22" t="str">
        <f>CFF!$C$99</f>
        <v>Supplier &amp; Cost of sales</v>
      </c>
      <c r="D121" s="22">
        <f>CFF!$C$109</f>
        <v>0</v>
      </c>
      <c r="E121" s="19">
        <f>CFF!$P$7</f>
        <v>63</v>
      </c>
      <c r="F121" s="97">
        <f>CFF!$P$109</f>
        <v>0</v>
      </c>
    </row>
    <row r="122" spans="3:6" x14ac:dyDescent="0.25">
      <c r="C122" s="22" t="str">
        <f>CFF!$C$99</f>
        <v>Supplier &amp; Cost of sales</v>
      </c>
      <c r="D122" s="22">
        <f>CFF!$C$109</f>
        <v>0</v>
      </c>
      <c r="E122" s="19">
        <f>CFF!$Q$7</f>
        <v>70</v>
      </c>
      <c r="F122" s="97">
        <f>CFF!$Q$109</f>
        <v>0</v>
      </c>
    </row>
    <row r="123" spans="3:6" x14ac:dyDescent="0.25">
      <c r="C123" s="22" t="str">
        <f>CFF!$C$99</f>
        <v>Supplier &amp; Cost of sales</v>
      </c>
      <c r="D123" s="22">
        <f>CFF!$C$109</f>
        <v>0</v>
      </c>
      <c r="E123" s="19">
        <f>CFF!$R$7</f>
        <v>77</v>
      </c>
      <c r="F123" s="97">
        <f>CFF!$R$109</f>
        <v>0</v>
      </c>
    </row>
    <row r="124" spans="3:6" x14ac:dyDescent="0.25">
      <c r="C124" s="22" t="str">
        <f>CFF!$C$99</f>
        <v>Supplier &amp; Cost of sales</v>
      </c>
      <c r="D124" s="22">
        <f>CFF!$C$109</f>
        <v>0</v>
      </c>
      <c r="E124" s="19">
        <f>CFF!$S$7</f>
        <v>84</v>
      </c>
      <c r="F124" s="97">
        <f>CFF!$S$109</f>
        <v>0</v>
      </c>
    </row>
    <row r="125" spans="3:6" x14ac:dyDescent="0.25">
      <c r="C125" s="22" t="str">
        <f>CFF!$C$99</f>
        <v>Supplier &amp; Cost of sales</v>
      </c>
      <c r="D125" s="22">
        <f>CFF!$C$117</f>
        <v>0</v>
      </c>
      <c r="E125" s="19">
        <f>CFF!$G$7</f>
        <v>0</v>
      </c>
      <c r="F125" s="97">
        <f>CFF!$G$117</f>
        <v>0</v>
      </c>
    </row>
    <row r="126" spans="3:6" x14ac:dyDescent="0.25">
      <c r="C126" s="22" t="str">
        <f>CFF!$C$99</f>
        <v>Supplier &amp; Cost of sales</v>
      </c>
      <c r="D126" s="22">
        <f>CFF!$C$117</f>
        <v>0</v>
      </c>
      <c r="E126" s="19">
        <f>CFF!$H$7</f>
        <v>7</v>
      </c>
      <c r="F126" s="97">
        <f>CFF!$H$117</f>
        <v>0</v>
      </c>
    </row>
    <row r="127" spans="3:6" x14ac:dyDescent="0.25">
      <c r="C127" s="22" t="str">
        <f>CFF!$C$99</f>
        <v>Supplier &amp; Cost of sales</v>
      </c>
      <c r="D127" s="22">
        <f>CFF!$C$117</f>
        <v>0</v>
      </c>
      <c r="E127" s="19">
        <f>CFF!$I$7</f>
        <v>14</v>
      </c>
      <c r="F127" s="97">
        <f>CFF!$I$117</f>
        <v>0</v>
      </c>
    </row>
    <row r="128" spans="3:6" x14ac:dyDescent="0.25">
      <c r="C128" s="22" t="str">
        <f>CFF!$C$99</f>
        <v>Supplier &amp; Cost of sales</v>
      </c>
      <c r="D128" s="22">
        <f>CFF!$C$117</f>
        <v>0</v>
      </c>
      <c r="E128" s="19">
        <f>CFF!$J$7</f>
        <v>21</v>
      </c>
      <c r="F128" s="97">
        <f>CFF!$J$117</f>
        <v>0</v>
      </c>
    </row>
    <row r="129" spans="3:6" x14ac:dyDescent="0.25">
      <c r="C129" s="22" t="str">
        <f>CFF!$C$99</f>
        <v>Supplier &amp; Cost of sales</v>
      </c>
      <c r="D129" s="22">
        <f>CFF!$C$117</f>
        <v>0</v>
      </c>
      <c r="E129" s="19">
        <f>CFF!$K$7</f>
        <v>28</v>
      </c>
      <c r="F129" s="97">
        <f>CFF!$K$117</f>
        <v>0</v>
      </c>
    </row>
    <row r="130" spans="3:6" x14ac:dyDescent="0.25">
      <c r="C130" s="22" t="str">
        <f>CFF!$C$99</f>
        <v>Supplier &amp; Cost of sales</v>
      </c>
      <c r="D130" s="22">
        <f>CFF!$C$117</f>
        <v>0</v>
      </c>
      <c r="E130" s="19">
        <f>CFF!$L$7</f>
        <v>35</v>
      </c>
      <c r="F130" s="97">
        <f>CFF!$L$117</f>
        <v>0</v>
      </c>
    </row>
    <row r="131" spans="3:6" x14ac:dyDescent="0.25">
      <c r="C131" s="22" t="str">
        <f>CFF!$C$99</f>
        <v>Supplier &amp; Cost of sales</v>
      </c>
      <c r="D131" s="22">
        <f>CFF!$C$117</f>
        <v>0</v>
      </c>
      <c r="E131" s="19">
        <f>CFF!$M$7</f>
        <v>42</v>
      </c>
      <c r="F131" s="97">
        <f>CFF!$M$117</f>
        <v>0</v>
      </c>
    </row>
    <row r="132" spans="3:6" x14ac:dyDescent="0.25">
      <c r="C132" s="22" t="str">
        <f>CFF!$C$99</f>
        <v>Supplier &amp; Cost of sales</v>
      </c>
      <c r="D132" s="22">
        <f>CFF!$C$117</f>
        <v>0</v>
      </c>
      <c r="E132" s="19">
        <f>CFF!$N$7</f>
        <v>49</v>
      </c>
      <c r="F132" s="97">
        <f>CFF!$N$117</f>
        <v>0</v>
      </c>
    </row>
    <row r="133" spans="3:6" x14ac:dyDescent="0.25">
      <c r="C133" s="22" t="str">
        <f>CFF!$C$99</f>
        <v>Supplier &amp; Cost of sales</v>
      </c>
      <c r="D133" s="22">
        <f>CFF!$C$117</f>
        <v>0</v>
      </c>
      <c r="E133" s="19">
        <f>CFF!$O$7</f>
        <v>56</v>
      </c>
      <c r="F133" s="97">
        <f>CFF!$O$117</f>
        <v>0</v>
      </c>
    </row>
    <row r="134" spans="3:6" x14ac:dyDescent="0.25">
      <c r="C134" s="22" t="str">
        <f>CFF!$C$99</f>
        <v>Supplier &amp; Cost of sales</v>
      </c>
      <c r="D134" s="22">
        <f>CFF!$C$117</f>
        <v>0</v>
      </c>
      <c r="E134" s="19">
        <f>CFF!$P$7</f>
        <v>63</v>
      </c>
      <c r="F134" s="97">
        <f>CFF!$P$117</f>
        <v>0</v>
      </c>
    </row>
    <row r="135" spans="3:6" x14ac:dyDescent="0.25">
      <c r="C135" s="22" t="str">
        <f>CFF!$C$99</f>
        <v>Supplier &amp; Cost of sales</v>
      </c>
      <c r="D135" s="22">
        <f>CFF!$C$117</f>
        <v>0</v>
      </c>
      <c r="E135" s="19">
        <f>CFF!$Q$7</f>
        <v>70</v>
      </c>
      <c r="F135" s="97">
        <f>CFF!$Q$117</f>
        <v>0</v>
      </c>
    </row>
    <row r="136" spans="3:6" x14ac:dyDescent="0.25">
      <c r="C136" s="22" t="str">
        <f>CFF!$C$99</f>
        <v>Supplier &amp; Cost of sales</v>
      </c>
      <c r="D136" s="22">
        <f>CFF!$C$117</f>
        <v>0</v>
      </c>
      <c r="E136" s="19">
        <f>CFF!$R$7</f>
        <v>77</v>
      </c>
      <c r="F136" s="97">
        <f>CFF!$R$117</f>
        <v>0</v>
      </c>
    </row>
    <row r="137" spans="3:6" x14ac:dyDescent="0.25">
      <c r="C137" s="22" t="str">
        <f>CFF!$C$99</f>
        <v>Supplier &amp; Cost of sales</v>
      </c>
      <c r="D137" s="22">
        <f>CFF!$C$117</f>
        <v>0</v>
      </c>
      <c r="E137" s="19">
        <f>CFF!$S$7</f>
        <v>84</v>
      </c>
      <c r="F137" s="97">
        <f>CFF!$S$117</f>
        <v>0</v>
      </c>
    </row>
    <row r="138" spans="3:6" x14ac:dyDescent="0.25">
      <c r="C138" s="22" t="str">
        <f>CFF!$C$127</f>
        <v>Overheads</v>
      </c>
      <c r="D138" s="22" t="str">
        <f>CFF!$C$129</f>
        <v>GST payments / receipts</v>
      </c>
      <c r="E138" s="19">
        <f>CFF!$G$7</f>
        <v>0</v>
      </c>
      <c r="F138" s="97">
        <f>CFF!$G$129</f>
        <v>0</v>
      </c>
    </row>
    <row r="139" spans="3:6" x14ac:dyDescent="0.25">
      <c r="C139" s="22" t="str">
        <f>CFF!$C$127</f>
        <v>Overheads</v>
      </c>
      <c r="D139" s="22" t="str">
        <f>CFF!$C$129</f>
        <v>GST payments / receipts</v>
      </c>
      <c r="E139" s="19">
        <f>CFF!$H$7</f>
        <v>7</v>
      </c>
      <c r="F139" s="97">
        <f>CFF!$H$129</f>
        <v>0</v>
      </c>
    </row>
    <row r="140" spans="3:6" x14ac:dyDescent="0.25">
      <c r="C140" s="22" t="str">
        <f>CFF!$C$127</f>
        <v>Overheads</v>
      </c>
      <c r="D140" s="22" t="str">
        <f>CFF!$C$129</f>
        <v>GST payments / receipts</v>
      </c>
      <c r="E140" s="19">
        <f>CFF!$I$7</f>
        <v>14</v>
      </c>
      <c r="F140" s="97">
        <f>CFF!$I$129</f>
        <v>0</v>
      </c>
    </row>
    <row r="141" spans="3:6" x14ac:dyDescent="0.25">
      <c r="C141" s="22" t="str">
        <f>CFF!$C$127</f>
        <v>Overheads</v>
      </c>
      <c r="D141" s="22" t="str">
        <f>CFF!$C$129</f>
        <v>GST payments / receipts</v>
      </c>
      <c r="E141" s="19">
        <f>CFF!$J$7</f>
        <v>21</v>
      </c>
      <c r="F141" s="97">
        <f>CFF!$J$129</f>
        <v>0</v>
      </c>
    </row>
    <row r="142" spans="3:6" x14ac:dyDescent="0.25">
      <c r="C142" s="22" t="str">
        <f>CFF!$C$127</f>
        <v>Overheads</v>
      </c>
      <c r="D142" s="22" t="str">
        <f>CFF!$C$129</f>
        <v>GST payments / receipts</v>
      </c>
      <c r="E142" s="19">
        <f>CFF!$K$7</f>
        <v>28</v>
      </c>
      <c r="F142" s="97">
        <f>CFF!$K$129</f>
        <v>0</v>
      </c>
    </row>
    <row r="143" spans="3:6" x14ac:dyDescent="0.25">
      <c r="C143" s="22" t="str">
        <f>CFF!$C$127</f>
        <v>Overheads</v>
      </c>
      <c r="D143" s="22" t="str">
        <f>CFF!$C$129</f>
        <v>GST payments / receipts</v>
      </c>
      <c r="E143" s="19">
        <f>CFF!$L$7</f>
        <v>35</v>
      </c>
      <c r="F143" s="97">
        <f>CFF!$L$129</f>
        <v>0</v>
      </c>
    </row>
    <row r="144" spans="3:6" x14ac:dyDescent="0.25">
      <c r="C144" s="22" t="str">
        <f>CFF!$C$127</f>
        <v>Overheads</v>
      </c>
      <c r="D144" s="22" t="str">
        <f>CFF!$C$129</f>
        <v>GST payments / receipts</v>
      </c>
      <c r="E144" s="19">
        <f>CFF!$M$7</f>
        <v>42</v>
      </c>
      <c r="F144" s="97">
        <f>CFF!$M$129</f>
        <v>0</v>
      </c>
    </row>
    <row r="145" spans="3:6" x14ac:dyDescent="0.25">
      <c r="C145" s="22" t="str">
        <f>CFF!$C$127</f>
        <v>Overheads</v>
      </c>
      <c r="D145" s="22" t="str">
        <f>CFF!$C$129</f>
        <v>GST payments / receipts</v>
      </c>
      <c r="E145" s="19">
        <f>CFF!$N$7</f>
        <v>49</v>
      </c>
      <c r="F145" s="97">
        <f>CFF!$N$129</f>
        <v>0</v>
      </c>
    </row>
    <row r="146" spans="3:6" x14ac:dyDescent="0.25">
      <c r="C146" s="22" t="str">
        <f>CFF!$C$127</f>
        <v>Overheads</v>
      </c>
      <c r="D146" s="22" t="str">
        <f>CFF!$C$129</f>
        <v>GST payments / receipts</v>
      </c>
      <c r="E146" s="19">
        <f>CFF!$O$7</f>
        <v>56</v>
      </c>
      <c r="F146" s="97">
        <f>CFF!$O$129</f>
        <v>0</v>
      </c>
    </row>
    <row r="147" spans="3:6" x14ac:dyDescent="0.25">
      <c r="C147" s="22" t="str">
        <f>CFF!$C$127</f>
        <v>Overheads</v>
      </c>
      <c r="D147" s="22" t="str">
        <f>CFF!$C$129</f>
        <v>GST payments / receipts</v>
      </c>
      <c r="E147" s="19">
        <f>CFF!$P$7</f>
        <v>63</v>
      </c>
      <c r="F147" s="97">
        <f>CFF!$P$129</f>
        <v>0</v>
      </c>
    </row>
    <row r="148" spans="3:6" x14ac:dyDescent="0.25">
      <c r="C148" s="22" t="str">
        <f>CFF!$C$127</f>
        <v>Overheads</v>
      </c>
      <c r="D148" s="22" t="str">
        <f>CFF!$C$129</f>
        <v>GST payments / receipts</v>
      </c>
      <c r="E148" s="19">
        <f>CFF!$Q$7</f>
        <v>70</v>
      </c>
      <c r="F148" s="97">
        <f>CFF!$Q$129</f>
        <v>0</v>
      </c>
    </row>
    <row r="149" spans="3:6" x14ac:dyDescent="0.25">
      <c r="C149" s="22" t="str">
        <f>CFF!$C$127</f>
        <v>Overheads</v>
      </c>
      <c r="D149" s="22" t="str">
        <f>CFF!$C$129</f>
        <v>GST payments / receipts</v>
      </c>
      <c r="E149" s="19">
        <f>CFF!$R$7</f>
        <v>77</v>
      </c>
      <c r="F149" s="97">
        <f>CFF!$R$129</f>
        <v>0</v>
      </c>
    </row>
    <row r="150" spans="3:6" x14ac:dyDescent="0.25">
      <c r="C150" s="22" t="str">
        <f>CFF!$C$127</f>
        <v>Overheads</v>
      </c>
      <c r="D150" s="22" t="str">
        <f>CFF!$C$129</f>
        <v>GST payments / receipts</v>
      </c>
      <c r="E150" s="19">
        <f>CFF!$S$7</f>
        <v>84</v>
      </c>
      <c r="F150" s="97">
        <f>CFF!$S$129</f>
        <v>0</v>
      </c>
    </row>
    <row r="151" spans="3:6" x14ac:dyDescent="0.25">
      <c r="C151" s="22" t="str">
        <f>CFF!$C$127</f>
        <v>Overheads</v>
      </c>
      <c r="D151" s="22">
        <f>CFF!$C$138</f>
        <v>0</v>
      </c>
      <c r="E151" s="19">
        <f>CFF!$G$7</f>
        <v>0</v>
      </c>
      <c r="F151" s="97">
        <f>CFF!$G$138</f>
        <v>0</v>
      </c>
    </row>
    <row r="152" spans="3:6" x14ac:dyDescent="0.25">
      <c r="C152" s="22" t="str">
        <f>CFF!$C$127</f>
        <v>Overheads</v>
      </c>
      <c r="D152" s="22">
        <f>CFF!$C$138</f>
        <v>0</v>
      </c>
      <c r="E152" s="19">
        <f>CFF!$H$7</f>
        <v>7</v>
      </c>
      <c r="F152" s="97">
        <f>CFF!$H$138</f>
        <v>0</v>
      </c>
    </row>
    <row r="153" spans="3:6" x14ac:dyDescent="0.25">
      <c r="C153" s="22" t="str">
        <f>CFF!$C$127</f>
        <v>Overheads</v>
      </c>
      <c r="D153" s="22">
        <f>CFF!$C$138</f>
        <v>0</v>
      </c>
      <c r="E153" s="19">
        <f>CFF!$I$7</f>
        <v>14</v>
      </c>
      <c r="F153" s="97">
        <f>CFF!$I$138</f>
        <v>0</v>
      </c>
    </row>
    <row r="154" spans="3:6" x14ac:dyDescent="0.25">
      <c r="C154" s="22" t="str">
        <f>CFF!$C$127</f>
        <v>Overheads</v>
      </c>
      <c r="D154" s="22">
        <f>CFF!$C$138</f>
        <v>0</v>
      </c>
      <c r="E154" s="19">
        <f>CFF!$J$7</f>
        <v>21</v>
      </c>
      <c r="F154" s="97">
        <f>CFF!$J$138</f>
        <v>0</v>
      </c>
    </row>
    <row r="155" spans="3:6" x14ac:dyDescent="0.25">
      <c r="C155" s="22" t="str">
        <f>CFF!$C$127</f>
        <v>Overheads</v>
      </c>
      <c r="D155" s="22">
        <f>CFF!$C$138</f>
        <v>0</v>
      </c>
      <c r="E155" s="19">
        <f>CFF!$K$7</f>
        <v>28</v>
      </c>
      <c r="F155" s="97">
        <f>CFF!$K$138</f>
        <v>0</v>
      </c>
    </row>
    <row r="156" spans="3:6" x14ac:dyDescent="0.25">
      <c r="C156" s="22" t="str">
        <f>CFF!$C$127</f>
        <v>Overheads</v>
      </c>
      <c r="D156" s="22">
        <f>CFF!$C$138</f>
        <v>0</v>
      </c>
      <c r="E156" s="19">
        <f>CFF!$L$7</f>
        <v>35</v>
      </c>
      <c r="F156" s="97">
        <f>CFF!$L$138</f>
        <v>0</v>
      </c>
    </row>
    <row r="157" spans="3:6" x14ac:dyDescent="0.25">
      <c r="C157" s="22" t="str">
        <f>CFF!$C$127</f>
        <v>Overheads</v>
      </c>
      <c r="D157" s="22">
        <f>CFF!$C$138</f>
        <v>0</v>
      </c>
      <c r="E157" s="19">
        <f>CFF!$M$7</f>
        <v>42</v>
      </c>
      <c r="F157" s="97">
        <f>CFF!$M$138</f>
        <v>0</v>
      </c>
    </row>
    <row r="158" spans="3:6" x14ac:dyDescent="0.25">
      <c r="C158" s="22" t="str">
        <f>CFF!$C$127</f>
        <v>Overheads</v>
      </c>
      <c r="D158" s="22">
        <f>CFF!$C$138</f>
        <v>0</v>
      </c>
      <c r="E158" s="19">
        <f>CFF!$N$7</f>
        <v>49</v>
      </c>
      <c r="F158" s="97">
        <f>CFF!$N$138</f>
        <v>0</v>
      </c>
    </row>
    <row r="159" spans="3:6" x14ac:dyDescent="0.25">
      <c r="C159" s="22" t="str">
        <f>CFF!$C$127</f>
        <v>Overheads</v>
      </c>
      <c r="D159" s="22">
        <f>CFF!$C$138</f>
        <v>0</v>
      </c>
      <c r="E159" s="19">
        <f>CFF!$O$7</f>
        <v>56</v>
      </c>
      <c r="F159" s="97">
        <f>CFF!$O$138</f>
        <v>0</v>
      </c>
    </row>
    <row r="160" spans="3:6" x14ac:dyDescent="0.25">
      <c r="C160" s="22" t="str">
        <f>CFF!$C$127</f>
        <v>Overheads</v>
      </c>
      <c r="D160" s="22">
        <f>CFF!$C$138</f>
        <v>0</v>
      </c>
      <c r="E160" s="19">
        <f>CFF!$P$7</f>
        <v>63</v>
      </c>
      <c r="F160" s="97">
        <f>CFF!$P$138</f>
        <v>0</v>
      </c>
    </row>
    <row r="161" spans="3:6" x14ac:dyDescent="0.25">
      <c r="C161" s="22" t="str">
        <f>CFF!$C$127</f>
        <v>Overheads</v>
      </c>
      <c r="D161" s="22">
        <f>CFF!$C$138</f>
        <v>0</v>
      </c>
      <c r="E161" s="19">
        <f>CFF!$Q$7</f>
        <v>70</v>
      </c>
      <c r="F161" s="97">
        <f>CFF!$Q$138</f>
        <v>0</v>
      </c>
    </row>
    <row r="162" spans="3:6" x14ac:dyDescent="0.25">
      <c r="C162" s="22" t="str">
        <f>CFF!$C$127</f>
        <v>Overheads</v>
      </c>
      <c r="D162" s="22">
        <f>CFF!$C$138</f>
        <v>0</v>
      </c>
      <c r="E162" s="19">
        <f>CFF!$R$7</f>
        <v>77</v>
      </c>
      <c r="F162" s="97">
        <f>CFF!$R$138</f>
        <v>0</v>
      </c>
    </row>
    <row r="163" spans="3:6" x14ac:dyDescent="0.25">
      <c r="C163" s="22" t="str">
        <f>CFF!$C$127</f>
        <v>Overheads</v>
      </c>
      <c r="D163" s="22">
        <f>CFF!$C$138</f>
        <v>0</v>
      </c>
      <c r="E163" s="19">
        <f>CFF!$S$7</f>
        <v>84</v>
      </c>
      <c r="F163" s="97">
        <f>CFF!$S$138</f>
        <v>0</v>
      </c>
    </row>
    <row r="164" spans="3:6" x14ac:dyDescent="0.25">
      <c r="C164" s="22" t="str">
        <f>CFF!$C$127</f>
        <v>Overheads</v>
      </c>
      <c r="D164" s="22">
        <f>CFF!$C$146</f>
        <v>0</v>
      </c>
      <c r="E164" s="19">
        <f>CFF!$G$7</f>
        <v>0</v>
      </c>
      <c r="F164" s="97">
        <f>CFF!$G$146</f>
        <v>0</v>
      </c>
    </row>
    <row r="165" spans="3:6" x14ac:dyDescent="0.25">
      <c r="C165" s="22" t="str">
        <f>CFF!$C$127</f>
        <v>Overheads</v>
      </c>
      <c r="D165" s="22">
        <f>CFF!$C$146</f>
        <v>0</v>
      </c>
      <c r="E165" s="19">
        <f>CFF!$H$7</f>
        <v>7</v>
      </c>
      <c r="F165" s="97">
        <f>CFF!$H$146</f>
        <v>0</v>
      </c>
    </row>
    <row r="166" spans="3:6" x14ac:dyDescent="0.25">
      <c r="C166" s="22" t="str">
        <f>CFF!$C$127</f>
        <v>Overheads</v>
      </c>
      <c r="D166" s="22">
        <f>CFF!$C$146</f>
        <v>0</v>
      </c>
      <c r="E166" s="19">
        <f>CFF!$I$7</f>
        <v>14</v>
      </c>
      <c r="F166" s="97">
        <f>CFF!$I$146</f>
        <v>0</v>
      </c>
    </row>
    <row r="167" spans="3:6" x14ac:dyDescent="0.25">
      <c r="C167" s="22" t="str">
        <f>CFF!$C$127</f>
        <v>Overheads</v>
      </c>
      <c r="D167" s="22">
        <f>CFF!$C$146</f>
        <v>0</v>
      </c>
      <c r="E167" s="19">
        <f>CFF!$J$7</f>
        <v>21</v>
      </c>
      <c r="F167" s="97">
        <f>CFF!$J$146</f>
        <v>0</v>
      </c>
    </row>
    <row r="168" spans="3:6" x14ac:dyDescent="0.25">
      <c r="C168" s="22" t="str">
        <f>CFF!$C$127</f>
        <v>Overheads</v>
      </c>
      <c r="D168" s="22">
        <f>CFF!$C$146</f>
        <v>0</v>
      </c>
      <c r="E168" s="19">
        <f>CFF!$K$7</f>
        <v>28</v>
      </c>
      <c r="F168" s="97">
        <f>CFF!$K$146</f>
        <v>0</v>
      </c>
    </row>
    <row r="169" spans="3:6" x14ac:dyDescent="0.25">
      <c r="C169" s="22" t="str">
        <f>CFF!$C$127</f>
        <v>Overheads</v>
      </c>
      <c r="D169" s="22">
        <f>CFF!$C$146</f>
        <v>0</v>
      </c>
      <c r="E169" s="19">
        <f>CFF!$L$7</f>
        <v>35</v>
      </c>
      <c r="F169" s="97">
        <f>CFF!$L$146</f>
        <v>0</v>
      </c>
    </row>
    <row r="170" spans="3:6" x14ac:dyDescent="0.25">
      <c r="C170" s="22" t="str">
        <f>CFF!$C$127</f>
        <v>Overheads</v>
      </c>
      <c r="D170" s="22">
        <f>CFF!$C$146</f>
        <v>0</v>
      </c>
      <c r="E170" s="19">
        <f>CFF!$M$7</f>
        <v>42</v>
      </c>
      <c r="F170" s="97">
        <f>CFF!$M$146</f>
        <v>0</v>
      </c>
    </row>
    <row r="171" spans="3:6" x14ac:dyDescent="0.25">
      <c r="C171" s="22" t="str">
        <f>CFF!$C$127</f>
        <v>Overheads</v>
      </c>
      <c r="D171" s="22">
        <f>CFF!$C$146</f>
        <v>0</v>
      </c>
      <c r="E171" s="19">
        <f>CFF!$N$7</f>
        <v>49</v>
      </c>
      <c r="F171" s="97">
        <f>CFF!$N$146</f>
        <v>0</v>
      </c>
    </row>
    <row r="172" spans="3:6" x14ac:dyDescent="0.25">
      <c r="C172" s="22" t="str">
        <f>CFF!$C$127</f>
        <v>Overheads</v>
      </c>
      <c r="D172" s="22">
        <f>CFF!$C$146</f>
        <v>0</v>
      </c>
      <c r="E172" s="19">
        <f>CFF!$O$7</f>
        <v>56</v>
      </c>
      <c r="F172" s="97">
        <f>CFF!$O$146</f>
        <v>0</v>
      </c>
    </row>
    <row r="173" spans="3:6" x14ac:dyDescent="0.25">
      <c r="C173" s="22" t="str">
        <f>CFF!$C$127</f>
        <v>Overheads</v>
      </c>
      <c r="D173" s="22">
        <f>CFF!$C$146</f>
        <v>0</v>
      </c>
      <c r="E173" s="19">
        <f>CFF!$P$7</f>
        <v>63</v>
      </c>
      <c r="F173" s="97">
        <f>CFF!$P$146</f>
        <v>0</v>
      </c>
    </row>
    <row r="174" spans="3:6" x14ac:dyDescent="0.25">
      <c r="C174" s="22" t="str">
        <f>CFF!$C$127</f>
        <v>Overheads</v>
      </c>
      <c r="D174" s="22">
        <f>CFF!$C$146</f>
        <v>0</v>
      </c>
      <c r="E174" s="19">
        <f>CFF!$Q$7</f>
        <v>70</v>
      </c>
      <c r="F174" s="97">
        <f>CFF!$Q$146</f>
        <v>0</v>
      </c>
    </row>
    <row r="175" spans="3:6" x14ac:dyDescent="0.25">
      <c r="C175" s="22" t="str">
        <f>CFF!$C$127</f>
        <v>Overheads</v>
      </c>
      <c r="D175" s="22">
        <f>CFF!$C$146</f>
        <v>0</v>
      </c>
      <c r="E175" s="19">
        <f>CFF!$R$7</f>
        <v>77</v>
      </c>
      <c r="F175" s="97">
        <f>CFF!$R$146</f>
        <v>0</v>
      </c>
    </row>
    <row r="176" spans="3:6" x14ac:dyDescent="0.25">
      <c r="C176" s="22" t="str">
        <f>CFF!$C$127</f>
        <v>Overheads</v>
      </c>
      <c r="D176" s="22">
        <f>CFF!$C$146</f>
        <v>0</v>
      </c>
      <c r="E176" s="19">
        <f>CFF!$S$7</f>
        <v>84</v>
      </c>
      <c r="F176" s="97">
        <f>CFF!$S$146</f>
        <v>0</v>
      </c>
    </row>
    <row r="177" spans="3:6" x14ac:dyDescent="0.25">
      <c r="C177" s="22" t="str">
        <f>CFF!$C$127</f>
        <v>Overheads</v>
      </c>
      <c r="D177" s="22">
        <f>CFF!$C$154</f>
        <v>0</v>
      </c>
      <c r="E177" s="19">
        <f>CFF!$G$7</f>
        <v>0</v>
      </c>
      <c r="F177" s="97">
        <f>CFF!$G$154</f>
        <v>0</v>
      </c>
    </row>
    <row r="178" spans="3:6" x14ac:dyDescent="0.25">
      <c r="C178" s="22" t="str">
        <f>CFF!$C$127</f>
        <v>Overheads</v>
      </c>
      <c r="D178" s="22">
        <f>CFF!$C$154</f>
        <v>0</v>
      </c>
      <c r="E178" s="19">
        <f>CFF!$H$7</f>
        <v>7</v>
      </c>
      <c r="F178" s="97">
        <f>CFF!$H$154</f>
        <v>0</v>
      </c>
    </row>
    <row r="179" spans="3:6" x14ac:dyDescent="0.25">
      <c r="C179" s="22" t="str">
        <f>CFF!$C$127</f>
        <v>Overheads</v>
      </c>
      <c r="D179" s="22">
        <f>CFF!$C$154</f>
        <v>0</v>
      </c>
      <c r="E179" s="19">
        <f>CFF!$I$7</f>
        <v>14</v>
      </c>
      <c r="F179" s="97">
        <f>CFF!$I$154</f>
        <v>0</v>
      </c>
    </row>
    <row r="180" spans="3:6" x14ac:dyDescent="0.25">
      <c r="C180" s="22" t="str">
        <f>CFF!$C$127</f>
        <v>Overheads</v>
      </c>
      <c r="D180" s="22">
        <f>CFF!$C$154</f>
        <v>0</v>
      </c>
      <c r="E180" s="19">
        <f>CFF!$J$7</f>
        <v>21</v>
      </c>
      <c r="F180" s="97">
        <f>CFF!$J$154</f>
        <v>0</v>
      </c>
    </row>
    <row r="181" spans="3:6" x14ac:dyDescent="0.25">
      <c r="C181" s="22" t="str">
        <f>CFF!$C$127</f>
        <v>Overheads</v>
      </c>
      <c r="D181" s="22">
        <f>CFF!$C$154</f>
        <v>0</v>
      </c>
      <c r="E181" s="19">
        <f>CFF!$K$7</f>
        <v>28</v>
      </c>
      <c r="F181" s="97">
        <f>CFF!$K$154</f>
        <v>0</v>
      </c>
    </row>
    <row r="182" spans="3:6" x14ac:dyDescent="0.25">
      <c r="C182" s="22" t="str">
        <f>CFF!$C$127</f>
        <v>Overheads</v>
      </c>
      <c r="D182" s="22">
        <f>CFF!$C$154</f>
        <v>0</v>
      </c>
      <c r="E182" s="19">
        <f>CFF!$L$7</f>
        <v>35</v>
      </c>
      <c r="F182" s="97">
        <f>CFF!$L$154</f>
        <v>0</v>
      </c>
    </row>
    <row r="183" spans="3:6" x14ac:dyDescent="0.25">
      <c r="C183" s="22" t="str">
        <f>CFF!$C$127</f>
        <v>Overheads</v>
      </c>
      <c r="D183" s="22">
        <f>CFF!$C$154</f>
        <v>0</v>
      </c>
      <c r="E183" s="19">
        <f>CFF!$M$7</f>
        <v>42</v>
      </c>
      <c r="F183" s="97">
        <f>CFF!$M$154</f>
        <v>0</v>
      </c>
    </row>
    <row r="184" spans="3:6" x14ac:dyDescent="0.25">
      <c r="C184" s="22" t="str">
        <f>CFF!$C$127</f>
        <v>Overheads</v>
      </c>
      <c r="D184" s="22">
        <f>CFF!$C$154</f>
        <v>0</v>
      </c>
      <c r="E184" s="19">
        <f>CFF!$N$7</f>
        <v>49</v>
      </c>
      <c r="F184" s="97">
        <f>CFF!$N$154</f>
        <v>0</v>
      </c>
    </row>
    <row r="185" spans="3:6" x14ac:dyDescent="0.25">
      <c r="C185" s="22" t="str">
        <f>CFF!$C$127</f>
        <v>Overheads</v>
      </c>
      <c r="D185" s="22">
        <f>CFF!$C$154</f>
        <v>0</v>
      </c>
      <c r="E185" s="19">
        <f>CFF!$O$7</f>
        <v>56</v>
      </c>
      <c r="F185" s="97">
        <f>CFF!$O$154</f>
        <v>0</v>
      </c>
    </row>
    <row r="186" spans="3:6" x14ac:dyDescent="0.25">
      <c r="C186" s="22" t="str">
        <f>CFF!$C$127</f>
        <v>Overheads</v>
      </c>
      <c r="D186" s="22">
        <f>CFF!$C$154</f>
        <v>0</v>
      </c>
      <c r="E186" s="19">
        <f>CFF!$P$7</f>
        <v>63</v>
      </c>
      <c r="F186" s="97">
        <f>CFF!$P$154</f>
        <v>0</v>
      </c>
    </row>
    <row r="187" spans="3:6" x14ac:dyDescent="0.25">
      <c r="C187" s="22" t="str">
        <f>CFF!$C$127</f>
        <v>Overheads</v>
      </c>
      <c r="D187" s="22">
        <f>CFF!$C$154</f>
        <v>0</v>
      </c>
      <c r="E187" s="19">
        <f>CFF!$Q$7</f>
        <v>70</v>
      </c>
      <c r="F187" s="97">
        <f>CFF!$Q$154</f>
        <v>0</v>
      </c>
    </row>
    <row r="188" spans="3:6" x14ac:dyDescent="0.25">
      <c r="C188" s="22" t="str">
        <f>CFF!$C$127</f>
        <v>Overheads</v>
      </c>
      <c r="D188" s="22">
        <f>CFF!$C$154</f>
        <v>0</v>
      </c>
      <c r="E188" s="19">
        <f>CFF!$R$7</f>
        <v>77</v>
      </c>
      <c r="F188" s="97">
        <f>CFF!$R$154</f>
        <v>0</v>
      </c>
    </row>
    <row r="189" spans="3:6" x14ac:dyDescent="0.25">
      <c r="C189" s="22" t="str">
        <f>CFF!$C$127</f>
        <v>Overheads</v>
      </c>
      <c r="D189" s="22">
        <f>CFF!$C$154</f>
        <v>0</v>
      </c>
      <c r="E189" s="19">
        <f>CFF!$S$7</f>
        <v>84</v>
      </c>
      <c r="F189" s="97">
        <f>CFF!$S$154</f>
        <v>0</v>
      </c>
    </row>
    <row r="190" spans="3:6" x14ac:dyDescent="0.25">
      <c r="C190" s="22" t="str">
        <f>CFF!$C$127</f>
        <v>Overheads</v>
      </c>
      <c r="D190" s="22">
        <f>CFF!$C$162</f>
        <v>0</v>
      </c>
      <c r="E190" s="19">
        <f>CFF!$G$7</f>
        <v>0</v>
      </c>
      <c r="F190" s="97">
        <f>CFF!$G$162</f>
        <v>0</v>
      </c>
    </row>
    <row r="191" spans="3:6" x14ac:dyDescent="0.25">
      <c r="C191" s="22" t="str">
        <f>CFF!$C$127</f>
        <v>Overheads</v>
      </c>
      <c r="D191" s="22">
        <f>CFF!$C$162</f>
        <v>0</v>
      </c>
      <c r="E191" s="19">
        <f>CFF!$H$7</f>
        <v>7</v>
      </c>
      <c r="F191" s="97">
        <f>CFF!$H$162</f>
        <v>0</v>
      </c>
    </row>
    <row r="192" spans="3:6" x14ac:dyDescent="0.25">
      <c r="C192" s="22" t="str">
        <f>CFF!$C$127</f>
        <v>Overheads</v>
      </c>
      <c r="D192" s="22">
        <f>CFF!$C$162</f>
        <v>0</v>
      </c>
      <c r="E192" s="19">
        <f>CFF!$I$7</f>
        <v>14</v>
      </c>
      <c r="F192" s="97">
        <f>CFF!$I$162</f>
        <v>0</v>
      </c>
    </row>
    <row r="193" spans="3:6" x14ac:dyDescent="0.25">
      <c r="C193" s="22" t="str">
        <f>CFF!$C$127</f>
        <v>Overheads</v>
      </c>
      <c r="D193" s="22">
        <f>CFF!$C$162</f>
        <v>0</v>
      </c>
      <c r="E193" s="19">
        <f>CFF!$J$7</f>
        <v>21</v>
      </c>
      <c r="F193" s="97">
        <f>CFF!$J$162</f>
        <v>0</v>
      </c>
    </row>
    <row r="194" spans="3:6" x14ac:dyDescent="0.25">
      <c r="C194" s="22" t="str">
        <f>CFF!$C$127</f>
        <v>Overheads</v>
      </c>
      <c r="D194" s="22">
        <f>CFF!$C$162</f>
        <v>0</v>
      </c>
      <c r="E194" s="19">
        <f>CFF!$K$7</f>
        <v>28</v>
      </c>
      <c r="F194" s="97">
        <f>CFF!$K$162</f>
        <v>0</v>
      </c>
    </row>
    <row r="195" spans="3:6" x14ac:dyDescent="0.25">
      <c r="C195" s="22" t="str">
        <f>CFF!$C$127</f>
        <v>Overheads</v>
      </c>
      <c r="D195" s="22">
        <f>CFF!$C$162</f>
        <v>0</v>
      </c>
      <c r="E195" s="19">
        <f>CFF!$L$7</f>
        <v>35</v>
      </c>
      <c r="F195" s="97">
        <f>CFF!$L$162</f>
        <v>0</v>
      </c>
    </row>
    <row r="196" spans="3:6" x14ac:dyDescent="0.25">
      <c r="C196" s="22" t="str">
        <f>CFF!$C$127</f>
        <v>Overheads</v>
      </c>
      <c r="D196" s="22">
        <f>CFF!$C$162</f>
        <v>0</v>
      </c>
      <c r="E196" s="19">
        <f>CFF!$M$7</f>
        <v>42</v>
      </c>
      <c r="F196" s="97">
        <f>CFF!$M$162</f>
        <v>0</v>
      </c>
    </row>
    <row r="197" spans="3:6" x14ac:dyDescent="0.25">
      <c r="C197" s="22" t="str">
        <f>CFF!$C$127</f>
        <v>Overheads</v>
      </c>
      <c r="D197" s="22">
        <f>CFF!$C$162</f>
        <v>0</v>
      </c>
      <c r="E197" s="19">
        <f>CFF!$N$7</f>
        <v>49</v>
      </c>
      <c r="F197" s="97">
        <f>CFF!$N$162</f>
        <v>0</v>
      </c>
    </row>
    <row r="198" spans="3:6" x14ac:dyDescent="0.25">
      <c r="C198" s="22" t="str">
        <f>CFF!$C$127</f>
        <v>Overheads</v>
      </c>
      <c r="D198" s="22">
        <f>CFF!$C$162</f>
        <v>0</v>
      </c>
      <c r="E198" s="19">
        <f>CFF!$O$7</f>
        <v>56</v>
      </c>
      <c r="F198" s="97">
        <f>CFF!$O$162</f>
        <v>0</v>
      </c>
    </row>
    <row r="199" spans="3:6" x14ac:dyDescent="0.25">
      <c r="C199" s="22" t="str">
        <f>CFF!$C$127</f>
        <v>Overheads</v>
      </c>
      <c r="D199" s="22">
        <f>CFF!$C$162</f>
        <v>0</v>
      </c>
      <c r="E199" s="19">
        <f>CFF!$P$7</f>
        <v>63</v>
      </c>
      <c r="F199" s="97">
        <f>CFF!$P$162</f>
        <v>0</v>
      </c>
    </row>
    <row r="200" spans="3:6" x14ac:dyDescent="0.25">
      <c r="C200" s="22" t="str">
        <f>CFF!$C$127</f>
        <v>Overheads</v>
      </c>
      <c r="D200" s="22">
        <f>CFF!$C$162</f>
        <v>0</v>
      </c>
      <c r="E200" s="19">
        <f>CFF!$Q$7</f>
        <v>70</v>
      </c>
      <c r="F200" s="97">
        <f>CFF!$Q$162</f>
        <v>0</v>
      </c>
    </row>
    <row r="201" spans="3:6" x14ac:dyDescent="0.25">
      <c r="C201" s="22" t="str">
        <f>CFF!$C$127</f>
        <v>Overheads</v>
      </c>
      <c r="D201" s="22">
        <f>CFF!$C$162</f>
        <v>0</v>
      </c>
      <c r="E201" s="19">
        <f>CFF!$R$7</f>
        <v>77</v>
      </c>
      <c r="F201" s="97">
        <f>CFF!$R$162</f>
        <v>0</v>
      </c>
    </row>
    <row r="202" spans="3:6" x14ac:dyDescent="0.25">
      <c r="C202" s="22" t="str">
        <f>CFF!$C$127</f>
        <v>Overheads</v>
      </c>
      <c r="D202" s="22">
        <f>CFF!$C$162</f>
        <v>0</v>
      </c>
      <c r="E202" s="19">
        <f>CFF!$S$7</f>
        <v>84</v>
      </c>
      <c r="F202" s="97">
        <f>CFF!$S$162</f>
        <v>0</v>
      </c>
    </row>
    <row r="203" spans="3:6" x14ac:dyDescent="0.25">
      <c r="C203" s="22" t="str">
        <f>CFF!$C$127</f>
        <v>Overheads</v>
      </c>
      <c r="D203" s="22">
        <f>CFF!$C$170</f>
        <v>0</v>
      </c>
      <c r="E203" s="19">
        <f>CFF!$G$7</f>
        <v>0</v>
      </c>
      <c r="F203" s="97">
        <f>CFF!$G$170</f>
        <v>0</v>
      </c>
    </row>
    <row r="204" spans="3:6" x14ac:dyDescent="0.25">
      <c r="C204" s="22" t="str">
        <f>CFF!$C$127</f>
        <v>Overheads</v>
      </c>
      <c r="D204" s="22">
        <f>CFF!$C$170</f>
        <v>0</v>
      </c>
      <c r="E204" s="19">
        <f>CFF!$H$7</f>
        <v>7</v>
      </c>
      <c r="F204" s="97">
        <f>CFF!$H$170</f>
        <v>0</v>
      </c>
    </row>
    <row r="205" spans="3:6" x14ac:dyDescent="0.25">
      <c r="C205" s="22" t="str">
        <f>CFF!$C$127</f>
        <v>Overheads</v>
      </c>
      <c r="D205" s="22">
        <f>CFF!$C$170</f>
        <v>0</v>
      </c>
      <c r="E205" s="19">
        <f>CFF!$I$7</f>
        <v>14</v>
      </c>
      <c r="F205" s="97">
        <f>CFF!$I$170</f>
        <v>0</v>
      </c>
    </row>
    <row r="206" spans="3:6" x14ac:dyDescent="0.25">
      <c r="C206" s="22" t="str">
        <f>CFF!$C$127</f>
        <v>Overheads</v>
      </c>
      <c r="D206" s="22">
        <f>CFF!$C$170</f>
        <v>0</v>
      </c>
      <c r="E206" s="19">
        <f>CFF!$J$7</f>
        <v>21</v>
      </c>
      <c r="F206" s="97">
        <f>CFF!$J$170</f>
        <v>0</v>
      </c>
    </row>
    <row r="207" spans="3:6" x14ac:dyDescent="0.25">
      <c r="C207" s="22" t="str">
        <f>CFF!$C$127</f>
        <v>Overheads</v>
      </c>
      <c r="D207" s="22">
        <f>CFF!$C$170</f>
        <v>0</v>
      </c>
      <c r="E207" s="19">
        <f>CFF!$K$7</f>
        <v>28</v>
      </c>
      <c r="F207" s="97">
        <f>CFF!$K$170</f>
        <v>0</v>
      </c>
    </row>
    <row r="208" spans="3:6" x14ac:dyDescent="0.25">
      <c r="C208" s="22" t="str">
        <f>CFF!$C$127</f>
        <v>Overheads</v>
      </c>
      <c r="D208" s="22">
        <f>CFF!$C$170</f>
        <v>0</v>
      </c>
      <c r="E208" s="19">
        <f>CFF!$L$7</f>
        <v>35</v>
      </c>
      <c r="F208" s="97">
        <f>CFF!$L$170</f>
        <v>0</v>
      </c>
    </row>
    <row r="209" spans="3:6" x14ac:dyDescent="0.25">
      <c r="C209" s="22" t="str">
        <f>CFF!$C$127</f>
        <v>Overheads</v>
      </c>
      <c r="D209" s="22">
        <f>CFF!$C$170</f>
        <v>0</v>
      </c>
      <c r="E209" s="19">
        <f>CFF!$M$7</f>
        <v>42</v>
      </c>
      <c r="F209" s="97">
        <f>CFF!$M$170</f>
        <v>0</v>
      </c>
    </row>
    <row r="210" spans="3:6" x14ac:dyDescent="0.25">
      <c r="C210" s="22" t="str">
        <f>CFF!$C$127</f>
        <v>Overheads</v>
      </c>
      <c r="D210" s="22">
        <f>CFF!$C$170</f>
        <v>0</v>
      </c>
      <c r="E210" s="19">
        <f>CFF!$N$7</f>
        <v>49</v>
      </c>
      <c r="F210" s="97">
        <f>CFF!$N$170</f>
        <v>0</v>
      </c>
    </row>
    <row r="211" spans="3:6" x14ac:dyDescent="0.25">
      <c r="C211" s="22" t="str">
        <f>CFF!$C$127</f>
        <v>Overheads</v>
      </c>
      <c r="D211" s="22">
        <f>CFF!$C$170</f>
        <v>0</v>
      </c>
      <c r="E211" s="19">
        <f>CFF!$O$7</f>
        <v>56</v>
      </c>
      <c r="F211" s="97">
        <f>CFF!$O$170</f>
        <v>0</v>
      </c>
    </row>
    <row r="212" spans="3:6" x14ac:dyDescent="0.25">
      <c r="C212" s="22" t="str">
        <f>CFF!$C$127</f>
        <v>Overheads</v>
      </c>
      <c r="D212" s="22">
        <f>CFF!$C$170</f>
        <v>0</v>
      </c>
      <c r="E212" s="19">
        <f>CFF!$P$7</f>
        <v>63</v>
      </c>
      <c r="F212" s="97">
        <f>CFF!$P$170</f>
        <v>0</v>
      </c>
    </row>
    <row r="213" spans="3:6" x14ac:dyDescent="0.25">
      <c r="C213" s="22" t="str">
        <f>CFF!$C$127</f>
        <v>Overheads</v>
      </c>
      <c r="D213" s="22">
        <f>CFF!$C$170</f>
        <v>0</v>
      </c>
      <c r="E213" s="19">
        <f>CFF!$Q$7</f>
        <v>70</v>
      </c>
      <c r="F213" s="97">
        <f>CFF!$Q$170</f>
        <v>0</v>
      </c>
    </row>
    <row r="214" spans="3:6" x14ac:dyDescent="0.25">
      <c r="C214" s="22" t="str">
        <f>CFF!$C$127</f>
        <v>Overheads</v>
      </c>
      <c r="D214" s="22">
        <f>CFF!$C$170</f>
        <v>0</v>
      </c>
      <c r="E214" s="19">
        <f>CFF!$R$7</f>
        <v>77</v>
      </c>
      <c r="F214" s="97">
        <f>CFF!$R$170</f>
        <v>0</v>
      </c>
    </row>
    <row r="215" spans="3:6" x14ac:dyDescent="0.25">
      <c r="C215" s="22" t="str">
        <f>CFF!$C$127</f>
        <v>Overheads</v>
      </c>
      <c r="D215" s="22">
        <f>CFF!$C$170</f>
        <v>0</v>
      </c>
      <c r="E215" s="19">
        <f>CFF!$S$7</f>
        <v>84</v>
      </c>
      <c r="F215" s="97">
        <f>CFF!$S$170</f>
        <v>0</v>
      </c>
    </row>
    <row r="216" spans="3:6" x14ac:dyDescent="0.25">
      <c r="C216" s="22" t="str">
        <f>CFF!$C$127</f>
        <v>Overheads</v>
      </c>
      <c r="D216" s="22">
        <f>CFF!$C$178</f>
        <v>0</v>
      </c>
      <c r="E216" s="19">
        <f>CFF!$G$7</f>
        <v>0</v>
      </c>
      <c r="F216" s="97">
        <f>CFF!$G$178</f>
        <v>0</v>
      </c>
    </row>
    <row r="217" spans="3:6" x14ac:dyDescent="0.25">
      <c r="C217" s="22" t="str">
        <f>CFF!$C$127</f>
        <v>Overheads</v>
      </c>
      <c r="D217" s="22">
        <f>CFF!$C$178</f>
        <v>0</v>
      </c>
      <c r="E217" s="19">
        <f>CFF!$H$7</f>
        <v>7</v>
      </c>
      <c r="F217" s="97">
        <f>CFF!$H$178</f>
        <v>0</v>
      </c>
    </row>
    <row r="218" spans="3:6" x14ac:dyDescent="0.25">
      <c r="C218" s="22" t="str">
        <f>CFF!$C$127</f>
        <v>Overheads</v>
      </c>
      <c r="D218" s="22">
        <f>CFF!$C$178</f>
        <v>0</v>
      </c>
      <c r="E218" s="19">
        <f>CFF!$I$7</f>
        <v>14</v>
      </c>
      <c r="F218" s="97">
        <f>CFF!$I$178</f>
        <v>0</v>
      </c>
    </row>
    <row r="219" spans="3:6" x14ac:dyDescent="0.25">
      <c r="C219" s="22" t="str">
        <f>CFF!$C$127</f>
        <v>Overheads</v>
      </c>
      <c r="D219" s="22">
        <f>CFF!$C$178</f>
        <v>0</v>
      </c>
      <c r="E219" s="19">
        <f>CFF!$J$7</f>
        <v>21</v>
      </c>
      <c r="F219" s="97">
        <f>CFF!$J$178</f>
        <v>0</v>
      </c>
    </row>
    <row r="220" spans="3:6" x14ac:dyDescent="0.25">
      <c r="C220" s="22" t="str">
        <f>CFF!$C$127</f>
        <v>Overheads</v>
      </c>
      <c r="D220" s="22">
        <f>CFF!$C$178</f>
        <v>0</v>
      </c>
      <c r="E220" s="19">
        <f>CFF!$K$7</f>
        <v>28</v>
      </c>
      <c r="F220" s="97">
        <f>CFF!$K$178</f>
        <v>0</v>
      </c>
    </row>
    <row r="221" spans="3:6" x14ac:dyDescent="0.25">
      <c r="C221" s="22" t="str">
        <f>CFF!$C$127</f>
        <v>Overheads</v>
      </c>
      <c r="D221" s="22">
        <f>CFF!$C$178</f>
        <v>0</v>
      </c>
      <c r="E221" s="19">
        <f>CFF!$L$7</f>
        <v>35</v>
      </c>
      <c r="F221" s="97">
        <f>CFF!$L$178</f>
        <v>0</v>
      </c>
    </row>
    <row r="222" spans="3:6" x14ac:dyDescent="0.25">
      <c r="C222" s="22" t="str">
        <f>CFF!$C$127</f>
        <v>Overheads</v>
      </c>
      <c r="D222" s="22">
        <f>CFF!$C$178</f>
        <v>0</v>
      </c>
      <c r="E222" s="19">
        <f>CFF!$M$7</f>
        <v>42</v>
      </c>
      <c r="F222" s="97">
        <f>CFF!$M$178</f>
        <v>0</v>
      </c>
    </row>
    <row r="223" spans="3:6" x14ac:dyDescent="0.25">
      <c r="C223" s="22" t="str">
        <f>CFF!$C$127</f>
        <v>Overheads</v>
      </c>
      <c r="D223" s="22">
        <f>CFF!$C$178</f>
        <v>0</v>
      </c>
      <c r="E223" s="19">
        <f>CFF!$N$7</f>
        <v>49</v>
      </c>
      <c r="F223" s="97">
        <f>CFF!$N$178</f>
        <v>0</v>
      </c>
    </row>
    <row r="224" spans="3:6" x14ac:dyDescent="0.25">
      <c r="C224" s="22" t="str">
        <f>CFF!$C$127</f>
        <v>Overheads</v>
      </c>
      <c r="D224" s="22">
        <f>CFF!$C$178</f>
        <v>0</v>
      </c>
      <c r="E224" s="19">
        <f>CFF!$O$7</f>
        <v>56</v>
      </c>
      <c r="F224" s="97">
        <f>CFF!$O$178</f>
        <v>0</v>
      </c>
    </row>
    <row r="225" spans="3:6" x14ac:dyDescent="0.25">
      <c r="C225" s="22" t="str">
        <f>CFF!$C$127</f>
        <v>Overheads</v>
      </c>
      <c r="D225" s="22">
        <f>CFF!$C$178</f>
        <v>0</v>
      </c>
      <c r="E225" s="19">
        <f>CFF!$P$7</f>
        <v>63</v>
      </c>
      <c r="F225" s="97">
        <f>CFF!$P$178</f>
        <v>0</v>
      </c>
    </row>
    <row r="226" spans="3:6" x14ac:dyDescent="0.25">
      <c r="C226" s="22" t="str">
        <f>CFF!$C$127</f>
        <v>Overheads</v>
      </c>
      <c r="D226" s="22">
        <f>CFF!$C$178</f>
        <v>0</v>
      </c>
      <c r="E226" s="19">
        <f>CFF!$Q$7</f>
        <v>70</v>
      </c>
      <c r="F226" s="97">
        <f>CFF!$Q$178</f>
        <v>0</v>
      </c>
    </row>
    <row r="227" spans="3:6" x14ac:dyDescent="0.25">
      <c r="C227" s="22" t="str">
        <f>CFF!$C$127</f>
        <v>Overheads</v>
      </c>
      <c r="D227" s="22">
        <f>CFF!$C$178</f>
        <v>0</v>
      </c>
      <c r="E227" s="19">
        <f>CFF!$R$7</f>
        <v>77</v>
      </c>
      <c r="F227" s="97">
        <f>CFF!$R$178</f>
        <v>0</v>
      </c>
    </row>
    <row r="228" spans="3:6" x14ac:dyDescent="0.25">
      <c r="C228" s="22" t="str">
        <f>CFF!$C$127</f>
        <v>Overheads</v>
      </c>
      <c r="D228" s="22">
        <f>CFF!$C$178</f>
        <v>0</v>
      </c>
      <c r="E228" s="19">
        <f>CFF!$S$7</f>
        <v>84</v>
      </c>
      <c r="F228" s="97">
        <f>CFF!$S$178</f>
        <v>0</v>
      </c>
    </row>
    <row r="229" spans="3:6" x14ac:dyDescent="0.25">
      <c r="C229" s="22" t="str">
        <f>CFF!$C$127</f>
        <v>Overheads</v>
      </c>
      <c r="D229" s="22">
        <f>CFF!$C$186</f>
        <v>0</v>
      </c>
      <c r="E229" s="19">
        <f>CFF!$G$7</f>
        <v>0</v>
      </c>
      <c r="F229" s="97">
        <f>CFF!$G$186</f>
        <v>0</v>
      </c>
    </row>
    <row r="230" spans="3:6" x14ac:dyDescent="0.25">
      <c r="C230" s="22" t="str">
        <f>CFF!$C$127</f>
        <v>Overheads</v>
      </c>
      <c r="D230" s="22">
        <f>CFF!$C$186</f>
        <v>0</v>
      </c>
      <c r="E230" s="19">
        <f>CFF!$H$7</f>
        <v>7</v>
      </c>
      <c r="F230" s="97">
        <f>CFF!$H$186</f>
        <v>0</v>
      </c>
    </row>
    <row r="231" spans="3:6" x14ac:dyDescent="0.25">
      <c r="C231" s="22" t="str">
        <f>CFF!$C$127</f>
        <v>Overheads</v>
      </c>
      <c r="D231" s="22">
        <f>CFF!$C$186</f>
        <v>0</v>
      </c>
      <c r="E231" s="19">
        <f>CFF!$I$7</f>
        <v>14</v>
      </c>
      <c r="F231" s="97">
        <f>CFF!$I$186</f>
        <v>0</v>
      </c>
    </row>
    <row r="232" spans="3:6" x14ac:dyDescent="0.25">
      <c r="C232" s="22" t="str">
        <f>CFF!$C$127</f>
        <v>Overheads</v>
      </c>
      <c r="D232" s="22">
        <f>CFF!$C$186</f>
        <v>0</v>
      </c>
      <c r="E232" s="19">
        <f>CFF!$J$7</f>
        <v>21</v>
      </c>
      <c r="F232" s="97">
        <f>CFF!$J$186</f>
        <v>0</v>
      </c>
    </row>
    <row r="233" spans="3:6" x14ac:dyDescent="0.25">
      <c r="C233" s="22" t="str">
        <f>CFF!$C$127</f>
        <v>Overheads</v>
      </c>
      <c r="D233" s="22">
        <f>CFF!$C$186</f>
        <v>0</v>
      </c>
      <c r="E233" s="19">
        <f>CFF!$K$7</f>
        <v>28</v>
      </c>
      <c r="F233" s="97">
        <f>CFF!$K$186</f>
        <v>0</v>
      </c>
    </row>
    <row r="234" spans="3:6" x14ac:dyDescent="0.25">
      <c r="C234" s="22" t="str">
        <f>CFF!$C$127</f>
        <v>Overheads</v>
      </c>
      <c r="D234" s="22">
        <f>CFF!$C$186</f>
        <v>0</v>
      </c>
      <c r="E234" s="19">
        <f>CFF!$L$7</f>
        <v>35</v>
      </c>
      <c r="F234" s="97">
        <f>CFF!$L$186</f>
        <v>0</v>
      </c>
    </row>
    <row r="235" spans="3:6" x14ac:dyDescent="0.25">
      <c r="C235" s="22" t="str">
        <f>CFF!$C$127</f>
        <v>Overheads</v>
      </c>
      <c r="D235" s="22">
        <f>CFF!$C$186</f>
        <v>0</v>
      </c>
      <c r="E235" s="19">
        <f>CFF!$M$7</f>
        <v>42</v>
      </c>
      <c r="F235" s="97">
        <f>CFF!$M$186</f>
        <v>0</v>
      </c>
    </row>
    <row r="236" spans="3:6" x14ac:dyDescent="0.25">
      <c r="C236" s="22" t="str">
        <f>CFF!$C$127</f>
        <v>Overheads</v>
      </c>
      <c r="D236" s="22">
        <f>CFF!$C$186</f>
        <v>0</v>
      </c>
      <c r="E236" s="19">
        <f>CFF!$N$7</f>
        <v>49</v>
      </c>
      <c r="F236" s="97">
        <f>CFF!$N$186</f>
        <v>0</v>
      </c>
    </row>
    <row r="237" spans="3:6" x14ac:dyDescent="0.25">
      <c r="C237" s="22" t="str">
        <f>CFF!$C$127</f>
        <v>Overheads</v>
      </c>
      <c r="D237" s="22">
        <f>CFF!$C$186</f>
        <v>0</v>
      </c>
      <c r="E237" s="19">
        <f>CFF!$O$7</f>
        <v>56</v>
      </c>
      <c r="F237" s="97">
        <f>CFF!$O$186</f>
        <v>0</v>
      </c>
    </row>
    <row r="238" spans="3:6" x14ac:dyDescent="0.25">
      <c r="C238" s="22" t="str">
        <f>CFF!$C$127</f>
        <v>Overheads</v>
      </c>
      <c r="D238" s="22">
        <f>CFF!$C$186</f>
        <v>0</v>
      </c>
      <c r="E238" s="19">
        <f>CFF!$P$7</f>
        <v>63</v>
      </c>
      <c r="F238" s="97">
        <f>CFF!$P$186</f>
        <v>0</v>
      </c>
    </row>
    <row r="239" spans="3:6" x14ac:dyDescent="0.25">
      <c r="C239" s="22" t="str">
        <f>CFF!$C$127</f>
        <v>Overheads</v>
      </c>
      <c r="D239" s="22">
        <f>CFF!$C$186</f>
        <v>0</v>
      </c>
      <c r="E239" s="19">
        <f>CFF!$Q$7</f>
        <v>70</v>
      </c>
      <c r="F239" s="97">
        <f>CFF!$Q$186</f>
        <v>0</v>
      </c>
    </row>
    <row r="240" spans="3:6" x14ac:dyDescent="0.25">
      <c r="C240" s="22" t="str">
        <f>CFF!$C$127</f>
        <v>Overheads</v>
      </c>
      <c r="D240" s="22">
        <f>CFF!$C$186</f>
        <v>0</v>
      </c>
      <c r="E240" s="19">
        <f>CFF!$R$7</f>
        <v>77</v>
      </c>
      <c r="F240" s="97">
        <f>CFF!$R$186</f>
        <v>0</v>
      </c>
    </row>
    <row r="241" spans="3:6" x14ac:dyDescent="0.25">
      <c r="C241" s="22" t="str">
        <f>CFF!$C$127</f>
        <v>Overheads</v>
      </c>
      <c r="D241" s="22">
        <f>CFF!$C$186</f>
        <v>0</v>
      </c>
      <c r="E241" s="19">
        <f>CFF!$S$7</f>
        <v>84</v>
      </c>
      <c r="F241" s="97">
        <f>CFF!$S$186</f>
        <v>0</v>
      </c>
    </row>
    <row r="242" spans="3:6" x14ac:dyDescent="0.25">
      <c r="C242" s="22" t="str">
        <f>CFF!$C$127</f>
        <v>Overheads</v>
      </c>
      <c r="D242" s="22">
        <f>CFF!$C$194</f>
        <v>0</v>
      </c>
      <c r="E242" s="19">
        <f>CFF!$G$7</f>
        <v>0</v>
      </c>
      <c r="F242" s="97">
        <f>CFF!$G$194</f>
        <v>0</v>
      </c>
    </row>
    <row r="243" spans="3:6" x14ac:dyDescent="0.25">
      <c r="C243" s="22" t="str">
        <f>CFF!$C$127</f>
        <v>Overheads</v>
      </c>
      <c r="D243" s="22">
        <f>CFF!$C$194</f>
        <v>0</v>
      </c>
      <c r="E243" s="19">
        <f>CFF!$H$7</f>
        <v>7</v>
      </c>
      <c r="F243" s="97">
        <f>CFF!$H$194</f>
        <v>0</v>
      </c>
    </row>
    <row r="244" spans="3:6" x14ac:dyDescent="0.25">
      <c r="C244" s="22" t="str">
        <f>CFF!$C$127</f>
        <v>Overheads</v>
      </c>
      <c r="D244" s="22">
        <f>CFF!$C$194</f>
        <v>0</v>
      </c>
      <c r="E244" s="19">
        <f>CFF!$I$7</f>
        <v>14</v>
      </c>
      <c r="F244" s="97">
        <f>CFF!$I$194</f>
        <v>0</v>
      </c>
    </row>
    <row r="245" spans="3:6" x14ac:dyDescent="0.25">
      <c r="C245" s="22" t="str">
        <f>CFF!$C$127</f>
        <v>Overheads</v>
      </c>
      <c r="D245" s="22">
        <f>CFF!$C$194</f>
        <v>0</v>
      </c>
      <c r="E245" s="19">
        <f>CFF!$J$7</f>
        <v>21</v>
      </c>
      <c r="F245" s="97">
        <f>CFF!$J$194</f>
        <v>0</v>
      </c>
    </row>
    <row r="246" spans="3:6" x14ac:dyDescent="0.25">
      <c r="C246" s="22" t="str">
        <f>CFF!$C$127</f>
        <v>Overheads</v>
      </c>
      <c r="D246" s="22">
        <f>CFF!$C$194</f>
        <v>0</v>
      </c>
      <c r="E246" s="19">
        <f>CFF!$K$7</f>
        <v>28</v>
      </c>
      <c r="F246" s="97">
        <f>CFF!$K$194</f>
        <v>0</v>
      </c>
    </row>
    <row r="247" spans="3:6" x14ac:dyDescent="0.25">
      <c r="C247" s="22" t="str">
        <f>CFF!$C$127</f>
        <v>Overheads</v>
      </c>
      <c r="D247" s="22">
        <f>CFF!$C$194</f>
        <v>0</v>
      </c>
      <c r="E247" s="19">
        <f>CFF!$L$7</f>
        <v>35</v>
      </c>
      <c r="F247" s="97">
        <f>CFF!$L$194</f>
        <v>0</v>
      </c>
    </row>
    <row r="248" spans="3:6" x14ac:dyDescent="0.25">
      <c r="C248" s="22" t="str">
        <f>CFF!$C$127</f>
        <v>Overheads</v>
      </c>
      <c r="D248" s="22">
        <f>CFF!$C$194</f>
        <v>0</v>
      </c>
      <c r="E248" s="19">
        <f>CFF!$M$7</f>
        <v>42</v>
      </c>
      <c r="F248" s="97">
        <f>CFF!$M$194</f>
        <v>0</v>
      </c>
    </row>
    <row r="249" spans="3:6" x14ac:dyDescent="0.25">
      <c r="C249" s="22" t="str">
        <f>CFF!$C$127</f>
        <v>Overheads</v>
      </c>
      <c r="D249" s="22">
        <f>CFF!$C$194</f>
        <v>0</v>
      </c>
      <c r="E249" s="19">
        <f>CFF!$N$7</f>
        <v>49</v>
      </c>
      <c r="F249" s="97">
        <f>CFF!$N$194</f>
        <v>0</v>
      </c>
    </row>
    <row r="250" spans="3:6" x14ac:dyDescent="0.25">
      <c r="C250" s="22" t="str">
        <f>CFF!$C$127</f>
        <v>Overheads</v>
      </c>
      <c r="D250" s="22">
        <f>CFF!$C$194</f>
        <v>0</v>
      </c>
      <c r="E250" s="19">
        <f>CFF!$O$7</f>
        <v>56</v>
      </c>
      <c r="F250" s="97">
        <f>CFF!$O$194</f>
        <v>0</v>
      </c>
    </row>
    <row r="251" spans="3:6" x14ac:dyDescent="0.25">
      <c r="C251" s="22" t="str">
        <f>CFF!$C$127</f>
        <v>Overheads</v>
      </c>
      <c r="D251" s="22">
        <f>CFF!$C$194</f>
        <v>0</v>
      </c>
      <c r="E251" s="19">
        <f>CFF!$P$7</f>
        <v>63</v>
      </c>
      <c r="F251" s="97">
        <f>CFF!$P$194</f>
        <v>0</v>
      </c>
    </row>
    <row r="252" spans="3:6" x14ac:dyDescent="0.25">
      <c r="C252" s="22" t="str">
        <f>CFF!$C$127</f>
        <v>Overheads</v>
      </c>
      <c r="D252" s="22">
        <f>CFF!$C$194</f>
        <v>0</v>
      </c>
      <c r="E252" s="19">
        <f>CFF!$Q$7</f>
        <v>70</v>
      </c>
      <c r="F252" s="97">
        <f>CFF!$Q$194</f>
        <v>0</v>
      </c>
    </row>
    <row r="253" spans="3:6" x14ac:dyDescent="0.25">
      <c r="C253" s="22" t="str">
        <f>CFF!$C$127</f>
        <v>Overheads</v>
      </c>
      <c r="D253" s="22">
        <f>CFF!$C$194</f>
        <v>0</v>
      </c>
      <c r="E253" s="19">
        <f>CFF!$R$7</f>
        <v>77</v>
      </c>
      <c r="F253" s="97">
        <f>CFF!$R$194</f>
        <v>0</v>
      </c>
    </row>
    <row r="254" spans="3:6" x14ac:dyDescent="0.25">
      <c r="C254" s="22" t="str">
        <f>CFF!$C$127</f>
        <v>Overheads</v>
      </c>
      <c r="D254" s="22">
        <f>CFF!$C$194</f>
        <v>0</v>
      </c>
      <c r="E254" s="19">
        <f>CFF!$S$7</f>
        <v>84</v>
      </c>
      <c r="F254" s="97">
        <f>CFF!$S$194</f>
        <v>0</v>
      </c>
    </row>
    <row r="255" spans="3:6" x14ac:dyDescent="0.25">
      <c r="C255" s="22" t="str">
        <f>CFF!$C$127</f>
        <v>Overheads</v>
      </c>
      <c r="D255" s="22">
        <f>CFF!$C$202</f>
        <v>0</v>
      </c>
      <c r="E255" s="19">
        <f>CFF!$G$7</f>
        <v>0</v>
      </c>
      <c r="F255" s="97">
        <f>CFF!$G$202</f>
        <v>0</v>
      </c>
    </row>
    <row r="256" spans="3:6" x14ac:dyDescent="0.25">
      <c r="C256" s="22" t="str">
        <f>CFF!$C$127</f>
        <v>Overheads</v>
      </c>
      <c r="D256" s="22">
        <f>CFF!$C$202</f>
        <v>0</v>
      </c>
      <c r="E256" s="19">
        <f>CFF!$H$7</f>
        <v>7</v>
      </c>
      <c r="F256" s="97">
        <f>CFF!$H$202</f>
        <v>0</v>
      </c>
    </row>
    <row r="257" spans="3:6" x14ac:dyDescent="0.25">
      <c r="C257" s="22" t="str">
        <f>CFF!$C$127</f>
        <v>Overheads</v>
      </c>
      <c r="D257" s="22">
        <f>CFF!$C$202</f>
        <v>0</v>
      </c>
      <c r="E257" s="19">
        <f>CFF!$I$7</f>
        <v>14</v>
      </c>
      <c r="F257" s="97">
        <f>CFF!$I$202</f>
        <v>0</v>
      </c>
    </row>
    <row r="258" spans="3:6" x14ac:dyDescent="0.25">
      <c r="C258" s="22" t="str">
        <f>CFF!$C$127</f>
        <v>Overheads</v>
      </c>
      <c r="D258" s="22">
        <f>CFF!$C$202</f>
        <v>0</v>
      </c>
      <c r="E258" s="19">
        <f>CFF!$J$7</f>
        <v>21</v>
      </c>
      <c r="F258" s="97">
        <f>CFF!$J$202</f>
        <v>0</v>
      </c>
    </row>
    <row r="259" spans="3:6" x14ac:dyDescent="0.25">
      <c r="C259" s="22" t="str">
        <f>CFF!$C$127</f>
        <v>Overheads</v>
      </c>
      <c r="D259" s="22">
        <f>CFF!$C$202</f>
        <v>0</v>
      </c>
      <c r="E259" s="19">
        <f>CFF!$K$7</f>
        <v>28</v>
      </c>
      <c r="F259" s="97">
        <f>CFF!$K$202</f>
        <v>0</v>
      </c>
    </row>
    <row r="260" spans="3:6" x14ac:dyDescent="0.25">
      <c r="C260" s="22" t="str">
        <f>CFF!$C$127</f>
        <v>Overheads</v>
      </c>
      <c r="D260" s="22">
        <f>CFF!$C$202</f>
        <v>0</v>
      </c>
      <c r="E260" s="19">
        <f>CFF!$L$7</f>
        <v>35</v>
      </c>
      <c r="F260" s="97">
        <f>CFF!$L$202</f>
        <v>0</v>
      </c>
    </row>
    <row r="261" spans="3:6" x14ac:dyDescent="0.25">
      <c r="C261" s="22" t="str">
        <f>CFF!$C$127</f>
        <v>Overheads</v>
      </c>
      <c r="D261" s="22">
        <f>CFF!$C$202</f>
        <v>0</v>
      </c>
      <c r="E261" s="19">
        <f>CFF!$M$7</f>
        <v>42</v>
      </c>
      <c r="F261" s="97">
        <f>CFF!$M$202</f>
        <v>0</v>
      </c>
    </row>
    <row r="262" spans="3:6" x14ac:dyDescent="0.25">
      <c r="C262" s="22" t="str">
        <f>CFF!$C$127</f>
        <v>Overheads</v>
      </c>
      <c r="D262" s="22">
        <f>CFF!$C$202</f>
        <v>0</v>
      </c>
      <c r="E262" s="19">
        <f>CFF!$N$7</f>
        <v>49</v>
      </c>
      <c r="F262" s="97">
        <f>CFF!$N$202</f>
        <v>0</v>
      </c>
    </row>
    <row r="263" spans="3:6" x14ac:dyDescent="0.25">
      <c r="C263" s="22" t="str">
        <f>CFF!$C$127</f>
        <v>Overheads</v>
      </c>
      <c r="D263" s="22">
        <f>CFF!$C$202</f>
        <v>0</v>
      </c>
      <c r="E263" s="19">
        <f>CFF!$O$7</f>
        <v>56</v>
      </c>
      <c r="F263" s="97">
        <f>CFF!$O$202</f>
        <v>0</v>
      </c>
    </row>
    <row r="264" spans="3:6" x14ac:dyDescent="0.25">
      <c r="C264" s="22" t="str">
        <f>CFF!$C$127</f>
        <v>Overheads</v>
      </c>
      <c r="D264" s="22">
        <f>CFF!$C$202</f>
        <v>0</v>
      </c>
      <c r="E264" s="19">
        <f>CFF!$P$7</f>
        <v>63</v>
      </c>
      <c r="F264" s="97">
        <f>CFF!$P$202</f>
        <v>0</v>
      </c>
    </row>
    <row r="265" spans="3:6" x14ac:dyDescent="0.25">
      <c r="C265" s="22" t="str">
        <f>CFF!$C$127</f>
        <v>Overheads</v>
      </c>
      <c r="D265" s="22">
        <f>CFF!$C$202</f>
        <v>0</v>
      </c>
      <c r="E265" s="19">
        <f>CFF!$Q$7</f>
        <v>70</v>
      </c>
      <c r="F265" s="97">
        <f>CFF!$Q$202</f>
        <v>0</v>
      </c>
    </row>
    <row r="266" spans="3:6" x14ac:dyDescent="0.25">
      <c r="C266" s="22" t="str">
        <f>CFF!$C$127</f>
        <v>Overheads</v>
      </c>
      <c r="D266" s="22">
        <f>CFF!$C$202</f>
        <v>0</v>
      </c>
      <c r="E266" s="19">
        <f>CFF!$R$7</f>
        <v>77</v>
      </c>
      <c r="F266" s="97">
        <f>CFF!$R$202</f>
        <v>0</v>
      </c>
    </row>
    <row r="267" spans="3:6" x14ac:dyDescent="0.25">
      <c r="C267" s="22" t="str">
        <f>CFF!$C$127</f>
        <v>Overheads</v>
      </c>
      <c r="D267" s="22">
        <f>CFF!$C$202</f>
        <v>0</v>
      </c>
      <c r="E267" s="19">
        <f>CFF!$S$7</f>
        <v>84</v>
      </c>
      <c r="F267" s="97">
        <f>CFF!$S$202</f>
        <v>0</v>
      </c>
    </row>
    <row r="268" spans="3:6" x14ac:dyDescent="0.25">
      <c r="C268" s="22" t="str">
        <f>CFF!$C$127</f>
        <v>Overheads</v>
      </c>
      <c r="D268" s="22">
        <f>CFF!$C$210</f>
        <v>0</v>
      </c>
      <c r="E268" s="19">
        <f>CFF!$G$7</f>
        <v>0</v>
      </c>
      <c r="F268" s="97">
        <f>CFF!$G$210</f>
        <v>0</v>
      </c>
    </row>
    <row r="269" spans="3:6" x14ac:dyDescent="0.25">
      <c r="C269" s="22" t="str">
        <f>CFF!$C$127</f>
        <v>Overheads</v>
      </c>
      <c r="D269" s="22">
        <f>CFF!$C$210</f>
        <v>0</v>
      </c>
      <c r="E269" s="19">
        <f>CFF!$H$7</f>
        <v>7</v>
      </c>
      <c r="F269" s="97">
        <f>CFF!$H$210</f>
        <v>0</v>
      </c>
    </row>
    <row r="270" spans="3:6" x14ac:dyDescent="0.25">
      <c r="C270" s="22" t="str">
        <f>CFF!$C$127</f>
        <v>Overheads</v>
      </c>
      <c r="D270" s="22">
        <f>CFF!$C$210</f>
        <v>0</v>
      </c>
      <c r="E270" s="19">
        <f>CFF!$I$7</f>
        <v>14</v>
      </c>
      <c r="F270" s="97">
        <f>CFF!$I$210</f>
        <v>0</v>
      </c>
    </row>
    <row r="271" spans="3:6" x14ac:dyDescent="0.25">
      <c r="C271" s="22" t="str">
        <f>CFF!$C$127</f>
        <v>Overheads</v>
      </c>
      <c r="D271" s="22">
        <f>CFF!$C$210</f>
        <v>0</v>
      </c>
      <c r="E271" s="19">
        <f>CFF!$J$7</f>
        <v>21</v>
      </c>
      <c r="F271" s="97">
        <f>CFF!$J$210</f>
        <v>0</v>
      </c>
    </row>
    <row r="272" spans="3:6" x14ac:dyDescent="0.25">
      <c r="C272" s="22" t="str">
        <f>CFF!$C$127</f>
        <v>Overheads</v>
      </c>
      <c r="D272" s="22">
        <f>CFF!$C$210</f>
        <v>0</v>
      </c>
      <c r="E272" s="19">
        <f>CFF!$K$7</f>
        <v>28</v>
      </c>
      <c r="F272" s="97">
        <f>CFF!$K$210</f>
        <v>0</v>
      </c>
    </row>
    <row r="273" spans="3:6" x14ac:dyDescent="0.25">
      <c r="C273" s="22" t="str">
        <f>CFF!$C$127</f>
        <v>Overheads</v>
      </c>
      <c r="D273" s="22">
        <f>CFF!$C$210</f>
        <v>0</v>
      </c>
      <c r="E273" s="19">
        <f>CFF!$L$7</f>
        <v>35</v>
      </c>
      <c r="F273" s="97">
        <f>CFF!$L$210</f>
        <v>0</v>
      </c>
    </row>
    <row r="274" spans="3:6" x14ac:dyDescent="0.25">
      <c r="C274" s="22" t="str">
        <f>CFF!$C$127</f>
        <v>Overheads</v>
      </c>
      <c r="D274" s="22">
        <f>CFF!$C$210</f>
        <v>0</v>
      </c>
      <c r="E274" s="19">
        <f>CFF!$M$7</f>
        <v>42</v>
      </c>
      <c r="F274" s="97">
        <f>CFF!$M$210</f>
        <v>0</v>
      </c>
    </row>
    <row r="275" spans="3:6" x14ac:dyDescent="0.25">
      <c r="C275" s="22" t="str">
        <f>CFF!$C$127</f>
        <v>Overheads</v>
      </c>
      <c r="D275" s="22">
        <f>CFF!$C$210</f>
        <v>0</v>
      </c>
      <c r="E275" s="19">
        <f>CFF!$N$7</f>
        <v>49</v>
      </c>
      <c r="F275" s="97">
        <f>CFF!$N$210</f>
        <v>0</v>
      </c>
    </row>
    <row r="276" spans="3:6" x14ac:dyDescent="0.25">
      <c r="C276" s="22" t="str">
        <f>CFF!$C$127</f>
        <v>Overheads</v>
      </c>
      <c r="D276" s="22">
        <f>CFF!$C$210</f>
        <v>0</v>
      </c>
      <c r="E276" s="19">
        <f>CFF!$O$7</f>
        <v>56</v>
      </c>
      <c r="F276" s="97">
        <f>CFF!$O$210</f>
        <v>0</v>
      </c>
    </row>
    <row r="277" spans="3:6" x14ac:dyDescent="0.25">
      <c r="C277" s="22" t="str">
        <f>CFF!$C$127</f>
        <v>Overheads</v>
      </c>
      <c r="D277" s="22">
        <f>CFF!$C$210</f>
        <v>0</v>
      </c>
      <c r="E277" s="19">
        <f>CFF!$P$7</f>
        <v>63</v>
      </c>
      <c r="F277" s="97">
        <f>CFF!$P$210</f>
        <v>0</v>
      </c>
    </row>
    <row r="278" spans="3:6" x14ac:dyDescent="0.25">
      <c r="C278" s="22" t="str">
        <f>CFF!$C$127</f>
        <v>Overheads</v>
      </c>
      <c r="D278" s="22">
        <f>CFF!$C$210</f>
        <v>0</v>
      </c>
      <c r="E278" s="19">
        <f>CFF!$Q$7</f>
        <v>70</v>
      </c>
      <c r="F278" s="97">
        <f>CFF!$Q$210</f>
        <v>0</v>
      </c>
    </row>
    <row r="279" spans="3:6" x14ac:dyDescent="0.25">
      <c r="C279" s="22" t="str">
        <f>CFF!$C$127</f>
        <v>Overheads</v>
      </c>
      <c r="D279" s="22">
        <f>CFF!$C$210</f>
        <v>0</v>
      </c>
      <c r="E279" s="19">
        <f>CFF!$R$7</f>
        <v>77</v>
      </c>
      <c r="F279" s="97">
        <f>CFF!$R$210</f>
        <v>0</v>
      </c>
    </row>
    <row r="280" spans="3:6" x14ac:dyDescent="0.25">
      <c r="C280" s="22" t="str">
        <f>CFF!$C$127</f>
        <v>Overheads</v>
      </c>
      <c r="D280" s="22">
        <f>CFF!$C$210</f>
        <v>0</v>
      </c>
      <c r="E280" s="19">
        <f>CFF!$S$7</f>
        <v>84</v>
      </c>
      <c r="F280" s="97">
        <f>CFF!$S$210</f>
        <v>0</v>
      </c>
    </row>
    <row r="281" spans="3:6" x14ac:dyDescent="0.25">
      <c r="C281" s="22" t="str">
        <f>CFF!$C$127</f>
        <v>Overheads</v>
      </c>
      <c r="D281" s="22">
        <f>CFF!$C$218</f>
        <v>0</v>
      </c>
      <c r="E281" s="19">
        <f>CFF!$G$7</f>
        <v>0</v>
      </c>
      <c r="F281" s="97">
        <f>CFF!$G$218</f>
        <v>0</v>
      </c>
    </row>
    <row r="282" spans="3:6" x14ac:dyDescent="0.25">
      <c r="C282" s="22" t="str">
        <f>CFF!$C$127</f>
        <v>Overheads</v>
      </c>
      <c r="D282" s="22">
        <f>CFF!$C$218</f>
        <v>0</v>
      </c>
      <c r="E282" s="19">
        <f>CFF!$H$7</f>
        <v>7</v>
      </c>
      <c r="F282" s="97">
        <f>CFF!$H$218</f>
        <v>0</v>
      </c>
    </row>
    <row r="283" spans="3:6" x14ac:dyDescent="0.25">
      <c r="C283" s="22" t="str">
        <f>CFF!$C$127</f>
        <v>Overheads</v>
      </c>
      <c r="D283" s="22">
        <f>CFF!$C$218</f>
        <v>0</v>
      </c>
      <c r="E283" s="19">
        <f>CFF!$I$7</f>
        <v>14</v>
      </c>
      <c r="F283" s="97">
        <f>CFF!$I$218</f>
        <v>0</v>
      </c>
    </row>
    <row r="284" spans="3:6" x14ac:dyDescent="0.25">
      <c r="C284" s="22" t="str">
        <f>CFF!$C$127</f>
        <v>Overheads</v>
      </c>
      <c r="D284" s="22">
        <f>CFF!$C$218</f>
        <v>0</v>
      </c>
      <c r="E284" s="19">
        <f>CFF!$J$7</f>
        <v>21</v>
      </c>
      <c r="F284" s="97">
        <f>CFF!$J$218</f>
        <v>0</v>
      </c>
    </row>
    <row r="285" spans="3:6" x14ac:dyDescent="0.25">
      <c r="C285" s="22" t="str">
        <f>CFF!$C$127</f>
        <v>Overheads</v>
      </c>
      <c r="D285" s="22">
        <f>CFF!$C$218</f>
        <v>0</v>
      </c>
      <c r="E285" s="19">
        <f>CFF!$K$7</f>
        <v>28</v>
      </c>
      <c r="F285" s="97">
        <f>CFF!$K$218</f>
        <v>0</v>
      </c>
    </row>
    <row r="286" spans="3:6" x14ac:dyDescent="0.25">
      <c r="C286" s="22" t="str">
        <f>CFF!$C$127</f>
        <v>Overheads</v>
      </c>
      <c r="D286" s="22">
        <f>CFF!$C$218</f>
        <v>0</v>
      </c>
      <c r="E286" s="19">
        <f>CFF!$L$7</f>
        <v>35</v>
      </c>
      <c r="F286" s="97">
        <f>CFF!$L$218</f>
        <v>0</v>
      </c>
    </row>
    <row r="287" spans="3:6" x14ac:dyDescent="0.25">
      <c r="C287" s="22" t="str">
        <f>CFF!$C$127</f>
        <v>Overheads</v>
      </c>
      <c r="D287" s="22">
        <f>CFF!$C$218</f>
        <v>0</v>
      </c>
      <c r="E287" s="19">
        <f>CFF!$M$7</f>
        <v>42</v>
      </c>
      <c r="F287" s="97">
        <f>CFF!$M$218</f>
        <v>0</v>
      </c>
    </row>
    <row r="288" spans="3:6" x14ac:dyDescent="0.25">
      <c r="C288" s="22" t="str">
        <f>CFF!$C$127</f>
        <v>Overheads</v>
      </c>
      <c r="D288" s="22">
        <f>CFF!$C$218</f>
        <v>0</v>
      </c>
      <c r="E288" s="19">
        <f>CFF!$N$7</f>
        <v>49</v>
      </c>
      <c r="F288" s="97">
        <f>CFF!$N$218</f>
        <v>0</v>
      </c>
    </row>
    <row r="289" spans="3:6" x14ac:dyDescent="0.25">
      <c r="C289" s="22" t="str">
        <f>CFF!$C$127</f>
        <v>Overheads</v>
      </c>
      <c r="D289" s="22">
        <f>CFF!$C$218</f>
        <v>0</v>
      </c>
      <c r="E289" s="19">
        <f>CFF!$O$7</f>
        <v>56</v>
      </c>
      <c r="F289" s="97">
        <f>CFF!$O$218</f>
        <v>0</v>
      </c>
    </row>
    <row r="290" spans="3:6" x14ac:dyDescent="0.25">
      <c r="C290" s="22" t="str">
        <f>CFF!$C$127</f>
        <v>Overheads</v>
      </c>
      <c r="D290" s="22">
        <f>CFF!$C$218</f>
        <v>0</v>
      </c>
      <c r="E290" s="19">
        <f>CFF!$P$7</f>
        <v>63</v>
      </c>
      <c r="F290" s="97">
        <f>CFF!$P$218</f>
        <v>0</v>
      </c>
    </row>
    <row r="291" spans="3:6" x14ac:dyDescent="0.25">
      <c r="C291" s="22" t="str">
        <f>CFF!$C$127</f>
        <v>Overheads</v>
      </c>
      <c r="D291" s="22">
        <f>CFF!$C$218</f>
        <v>0</v>
      </c>
      <c r="E291" s="19">
        <f>CFF!$Q$7</f>
        <v>70</v>
      </c>
      <c r="F291" s="97">
        <f>CFF!$Q$218</f>
        <v>0</v>
      </c>
    </row>
    <row r="292" spans="3:6" x14ac:dyDescent="0.25">
      <c r="C292" s="22" t="str">
        <f>CFF!$C$127</f>
        <v>Overheads</v>
      </c>
      <c r="D292" s="22">
        <f>CFF!$C$218</f>
        <v>0</v>
      </c>
      <c r="E292" s="19">
        <f>CFF!$R$7</f>
        <v>77</v>
      </c>
      <c r="F292" s="97">
        <f>CFF!$R$218</f>
        <v>0</v>
      </c>
    </row>
    <row r="293" spans="3:6" x14ac:dyDescent="0.25">
      <c r="C293" s="22" t="str">
        <f>CFF!$C$127</f>
        <v>Overheads</v>
      </c>
      <c r="D293" s="22">
        <f>CFF!$C$218</f>
        <v>0</v>
      </c>
      <c r="E293" s="19">
        <f>CFF!$S$7</f>
        <v>84</v>
      </c>
      <c r="F293" s="97">
        <f>CFF!$S$218</f>
        <v>0</v>
      </c>
    </row>
    <row r="294" spans="3:6" x14ac:dyDescent="0.25">
      <c r="C294" s="22" t="str">
        <f>CFF!$C$127</f>
        <v>Overheads</v>
      </c>
      <c r="D294" s="22">
        <f>CFF!$C$226</f>
        <v>0</v>
      </c>
      <c r="E294" s="19">
        <f>CFF!$G$7</f>
        <v>0</v>
      </c>
      <c r="F294" s="97">
        <f>CFF!$G$226</f>
        <v>0</v>
      </c>
    </row>
    <row r="295" spans="3:6" x14ac:dyDescent="0.25">
      <c r="C295" s="22" t="str">
        <f>CFF!$C$127</f>
        <v>Overheads</v>
      </c>
      <c r="D295" s="22">
        <f>CFF!$C$226</f>
        <v>0</v>
      </c>
      <c r="E295" s="19">
        <f>CFF!$H$7</f>
        <v>7</v>
      </c>
      <c r="F295" s="97">
        <f>CFF!$H$226</f>
        <v>0</v>
      </c>
    </row>
    <row r="296" spans="3:6" x14ac:dyDescent="0.25">
      <c r="C296" s="22" t="str">
        <f>CFF!$C$127</f>
        <v>Overheads</v>
      </c>
      <c r="D296" s="22">
        <f>CFF!$C$226</f>
        <v>0</v>
      </c>
      <c r="E296" s="19">
        <f>CFF!$I$7</f>
        <v>14</v>
      </c>
      <c r="F296" s="97">
        <f>CFF!$I$226</f>
        <v>0</v>
      </c>
    </row>
    <row r="297" spans="3:6" x14ac:dyDescent="0.25">
      <c r="C297" s="22" t="str">
        <f>CFF!$C$127</f>
        <v>Overheads</v>
      </c>
      <c r="D297" s="22">
        <f>CFF!$C$226</f>
        <v>0</v>
      </c>
      <c r="E297" s="19">
        <f>CFF!$J$7</f>
        <v>21</v>
      </c>
      <c r="F297" s="97">
        <f>CFF!$J$226</f>
        <v>0</v>
      </c>
    </row>
    <row r="298" spans="3:6" x14ac:dyDescent="0.25">
      <c r="C298" s="22" t="str">
        <f>CFF!$C$127</f>
        <v>Overheads</v>
      </c>
      <c r="D298" s="22">
        <f>CFF!$C$226</f>
        <v>0</v>
      </c>
      <c r="E298" s="19">
        <f>CFF!$K$7</f>
        <v>28</v>
      </c>
      <c r="F298" s="97">
        <f>CFF!$K$226</f>
        <v>0</v>
      </c>
    </row>
    <row r="299" spans="3:6" x14ac:dyDescent="0.25">
      <c r="C299" s="22" t="str">
        <f>CFF!$C$127</f>
        <v>Overheads</v>
      </c>
      <c r="D299" s="22">
        <f>CFF!$C$226</f>
        <v>0</v>
      </c>
      <c r="E299" s="19">
        <f>CFF!$L$7</f>
        <v>35</v>
      </c>
      <c r="F299" s="97">
        <f>CFF!$L$226</f>
        <v>0</v>
      </c>
    </row>
    <row r="300" spans="3:6" x14ac:dyDescent="0.25">
      <c r="C300" s="22" t="str">
        <f>CFF!$C$127</f>
        <v>Overheads</v>
      </c>
      <c r="D300" s="22">
        <f>CFF!$C$226</f>
        <v>0</v>
      </c>
      <c r="E300" s="19">
        <f>CFF!$M$7</f>
        <v>42</v>
      </c>
      <c r="F300" s="97">
        <f>CFF!$M$226</f>
        <v>0</v>
      </c>
    </row>
    <row r="301" spans="3:6" x14ac:dyDescent="0.25">
      <c r="C301" s="22" t="str">
        <f>CFF!$C$127</f>
        <v>Overheads</v>
      </c>
      <c r="D301" s="22">
        <f>CFF!$C$226</f>
        <v>0</v>
      </c>
      <c r="E301" s="19">
        <f>CFF!$N$7</f>
        <v>49</v>
      </c>
      <c r="F301" s="97">
        <f>CFF!$N$226</f>
        <v>0</v>
      </c>
    </row>
    <row r="302" spans="3:6" x14ac:dyDescent="0.25">
      <c r="C302" s="22" t="str">
        <f>CFF!$C$127</f>
        <v>Overheads</v>
      </c>
      <c r="D302" s="22">
        <f>CFF!$C$226</f>
        <v>0</v>
      </c>
      <c r="E302" s="19">
        <f>CFF!$O$7</f>
        <v>56</v>
      </c>
      <c r="F302" s="97">
        <f>CFF!$O$226</f>
        <v>0</v>
      </c>
    </row>
    <row r="303" spans="3:6" x14ac:dyDescent="0.25">
      <c r="C303" s="22" t="str">
        <f>CFF!$C$127</f>
        <v>Overheads</v>
      </c>
      <c r="D303" s="22">
        <f>CFF!$C$226</f>
        <v>0</v>
      </c>
      <c r="E303" s="19">
        <f>CFF!$P$7</f>
        <v>63</v>
      </c>
      <c r="F303" s="97">
        <f>CFF!$P$226</f>
        <v>0</v>
      </c>
    </row>
    <row r="304" spans="3:6" x14ac:dyDescent="0.25">
      <c r="C304" s="22" t="str">
        <f>CFF!$C$127</f>
        <v>Overheads</v>
      </c>
      <c r="D304" s="22">
        <f>CFF!$C$226</f>
        <v>0</v>
      </c>
      <c r="E304" s="19">
        <f>CFF!$Q$7</f>
        <v>70</v>
      </c>
      <c r="F304" s="97">
        <f>CFF!$Q$226</f>
        <v>0</v>
      </c>
    </row>
    <row r="305" spans="3:6" x14ac:dyDescent="0.25">
      <c r="C305" s="22" t="str">
        <f>CFF!$C$127</f>
        <v>Overheads</v>
      </c>
      <c r="D305" s="22">
        <f>CFF!$C$226</f>
        <v>0</v>
      </c>
      <c r="E305" s="19">
        <f>CFF!$R$7</f>
        <v>77</v>
      </c>
      <c r="F305" s="97">
        <f>CFF!$R$226</f>
        <v>0</v>
      </c>
    </row>
    <row r="306" spans="3:6" x14ac:dyDescent="0.25">
      <c r="C306" s="22" t="str">
        <f>CFF!$C$127</f>
        <v>Overheads</v>
      </c>
      <c r="D306" s="22">
        <f>CFF!$C$226</f>
        <v>0</v>
      </c>
      <c r="E306" s="19">
        <f>CFF!$S$7</f>
        <v>84</v>
      </c>
      <c r="F306" s="97">
        <f>CFF!$S$226</f>
        <v>0</v>
      </c>
    </row>
    <row r="307" spans="3:6" x14ac:dyDescent="0.25">
      <c r="C307" s="22" t="str">
        <f>CFF!$C$127</f>
        <v>Overheads</v>
      </c>
      <c r="D307" s="22" t="str">
        <f>CFF!$C$234</f>
        <v>Corporation tax</v>
      </c>
      <c r="E307" s="19">
        <f>CFF!$G$7</f>
        <v>0</v>
      </c>
      <c r="F307" s="97">
        <f>CFF!$G$234</f>
        <v>0</v>
      </c>
    </row>
    <row r="308" spans="3:6" x14ac:dyDescent="0.25">
      <c r="C308" s="22" t="str">
        <f>CFF!$C$127</f>
        <v>Overheads</v>
      </c>
      <c r="D308" s="22" t="str">
        <f>CFF!$C$234</f>
        <v>Corporation tax</v>
      </c>
      <c r="E308" s="19">
        <f>CFF!$H$7</f>
        <v>7</v>
      </c>
      <c r="F308" s="97">
        <f>CFF!$H$234</f>
        <v>0</v>
      </c>
    </row>
    <row r="309" spans="3:6" x14ac:dyDescent="0.25">
      <c r="C309" s="22" t="str">
        <f>CFF!$C$127</f>
        <v>Overheads</v>
      </c>
      <c r="D309" s="22" t="str">
        <f>CFF!$C$234</f>
        <v>Corporation tax</v>
      </c>
      <c r="E309" s="19">
        <f>CFF!$I$7</f>
        <v>14</v>
      </c>
      <c r="F309" s="97">
        <f>CFF!$I$234</f>
        <v>0</v>
      </c>
    </row>
    <row r="310" spans="3:6" x14ac:dyDescent="0.25">
      <c r="C310" s="22" t="str">
        <f>CFF!$C$127</f>
        <v>Overheads</v>
      </c>
      <c r="D310" s="22" t="str">
        <f>CFF!$C$234</f>
        <v>Corporation tax</v>
      </c>
      <c r="E310" s="19">
        <f>CFF!$J$7</f>
        <v>21</v>
      </c>
      <c r="F310" s="97">
        <f>CFF!$J$234</f>
        <v>0</v>
      </c>
    </row>
    <row r="311" spans="3:6" x14ac:dyDescent="0.25">
      <c r="C311" s="22" t="str">
        <f>CFF!$C$127</f>
        <v>Overheads</v>
      </c>
      <c r="D311" s="22" t="str">
        <f>CFF!$C$234</f>
        <v>Corporation tax</v>
      </c>
      <c r="E311" s="19">
        <f>CFF!$K$7</f>
        <v>28</v>
      </c>
      <c r="F311" s="97">
        <f>CFF!$K$234</f>
        <v>0</v>
      </c>
    </row>
    <row r="312" spans="3:6" x14ac:dyDescent="0.25">
      <c r="C312" s="22" t="str">
        <f>CFF!$C$127</f>
        <v>Overheads</v>
      </c>
      <c r="D312" s="22" t="str">
        <f>CFF!$C$234</f>
        <v>Corporation tax</v>
      </c>
      <c r="E312" s="19">
        <f>CFF!$L$7</f>
        <v>35</v>
      </c>
      <c r="F312" s="97">
        <f>CFF!$L$234</f>
        <v>0</v>
      </c>
    </row>
    <row r="313" spans="3:6" x14ac:dyDescent="0.25">
      <c r="C313" s="22" t="str">
        <f>CFF!$C$127</f>
        <v>Overheads</v>
      </c>
      <c r="D313" s="22" t="str">
        <f>CFF!$C$234</f>
        <v>Corporation tax</v>
      </c>
      <c r="E313" s="19">
        <f>CFF!$M$7</f>
        <v>42</v>
      </c>
      <c r="F313" s="97">
        <f>CFF!$M$234</f>
        <v>0</v>
      </c>
    </row>
    <row r="314" spans="3:6" x14ac:dyDescent="0.25">
      <c r="C314" s="22" t="str">
        <f>CFF!$C$127</f>
        <v>Overheads</v>
      </c>
      <c r="D314" s="22" t="str">
        <f>CFF!$C$234</f>
        <v>Corporation tax</v>
      </c>
      <c r="E314" s="19">
        <f>CFF!$N$7</f>
        <v>49</v>
      </c>
      <c r="F314" s="97">
        <f>CFF!$N$234</f>
        <v>0</v>
      </c>
    </row>
    <row r="315" spans="3:6" x14ac:dyDescent="0.25">
      <c r="C315" s="22" t="str">
        <f>CFF!$C$127</f>
        <v>Overheads</v>
      </c>
      <c r="D315" s="22" t="str">
        <f>CFF!$C$234</f>
        <v>Corporation tax</v>
      </c>
      <c r="E315" s="19">
        <f>CFF!$O$7</f>
        <v>56</v>
      </c>
      <c r="F315" s="97">
        <f>CFF!$O$234</f>
        <v>0</v>
      </c>
    </row>
    <row r="316" spans="3:6" x14ac:dyDescent="0.25">
      <c r="C316" s="22" t="str">
        <f>CFF!$C$127</f>
        <v>Overheads</v>
      </c>
      <c r="D316" s="22" t="str">
        <f>CFF!$C$234</f>
        <v>Corporation tax</v>
      </c>
      <c r="E316" s="19">
        <f>CFF!$P$7</f>
        <v>63</v>
      </c>
      <c r="F316" s="97">
        <f>CFF!$P$234</f>
        <v>0</v>
      </c>
    </row>
    <row r="317" spans="3:6" x14ac:dyDescent="0.25">
      <c r="C317" s="22" t="str">
        <f>CFF!$C$127</f>
        <v>Overheads</v>
      </c>
      <c r="D317" s="22" t="str">
        <f>CFF!$C$234</f>
        <v>Corporation tax</v>
      </c>
      <c r="E317" s="19">
        <f>CFF!$Q$7</f>
        <v>70</v>
      </c>
      <c r="F317" s="97">
        <f>CFF!$Q$234</f>
        <v>0</v>
      </c>
    </row>
    <row r="318" spans="3:6" x14ac:dyDescent="0.25">
      <c r="C318" s="22" t="str">
        <f>CFF!$C$127</f>
        <v>Overheads</v>
      </c>
      <c r="D318" s="22" t="str">
        <f>CFF!$C$234</f>
        <v>Corporation tax</v>
      </c>
      <c r="E318" s="19">
        <f>CFF!$R$7</f>
        <v>77</v>
      </c>
      <c r="F318" s="97">
        <f>CFF!$R$234</f>
        <v>0</v>
      </c>
    </row>
    <row r="319" spans="3:6" x14ac:dyDescent="0.25">
      <c r="C319" s="22" t="str">
        <f>CFF!$C$127</f>
        <v>Overheads</v>
      </c>
      <c r="D319" s="22" t="str">
        <f>CFF!$C$234</f>
        <v>Corporation tax</v>
      </c>
      <c r="E319" s="19">
        <f>CFF!$S$7</f>
        <v>84</v>
      </c>
      <c r="F319" s="97">
        <f>CFF!$S$234</f>
        <v>0</v>
      </c>
    </row>
    <row r="320" spans="3:6" x14ac:dyDescent="0.25">
      <c r="C320" s="22" t="str">
        <f>CFF!$C$241</f>
        <v>Capex</v>
      </c>
      <c r="D320" s="22">
        <f>CFF!$C$243</f>
        <v>0</v>
      </c>
      <c r="E320" s="19">
        <f>CFF!$G$7</f>
        <v>0</v>
      </c>
      <c r="F320" s="97">
        <f>CFF!$G$243</f>
        <v>0</v>
      </c>
    </row>
    <row r="321" spans="3:6" x14ac:dyDescent="0.25">
      <c r="C321" s="22" t="str">
        <f>CFF!$C$241</f>
        <v>Capex</v>
      </c>
      <c r="D321" s="22">
        <f>CFF!$C$243</f>
        <v>0</v>
      </c>
      <c r="E321" s="19">
        <f>CFF!$H$7</f>
        <v>7</v>
      </c>
      <c r="F321" s="97">
        <f>CFF!$H$243</f>
        <v>0</v>
      </c>
    </row>
    <row r="322" spans="3:6" x14ac:dyDescent="0.25">
      <c r="C322" s="22" t="str">
        <f>CFF!$C$241</f>
        <v>Capex</v>
      </c>
      <c r="D322" s="22">
        <f>CFF!$C$243</f>
        <v>0</v>
      </c>
      <c r="E322" s="19">
        <f>CFF!$I$7</f>
        <v>14</v>
      </c>
      <c r="F322" s="97">
        <f>CFF!$I$243</f>
        <v>0</v>
      </c>
    </row>
    <row r="323" spans="3:6" x14ac:dyDescent="0.25">
      <c r="C323" s="22" t="str">
        <f>CFF!$C$241</f>
        <v>Capex</v>
      </c>
      <c r="D323" s="22">
        <f>CFF!$C$243</f>
        <v>0</v>
      </c>
      <c r="E323" s="19">
        <f>CFF!$J$7</f>
        <v>21</v>
      </c>
      <c r="F323" s="97">
        <f>CFF!$J$243</f>
        <v>0</v>
      </c>
    </row>
    <row r="324" spans="3:6" x14ac:dyDescent="0.25">
      <c r="C324" s="22" t="str">
        <f>CFF!$C$241</f>
        <v>Capex</v>
      </c>
      <c r="D324" s="22">
        <f>CFF!$C$243</f>
        <v>0</v>
      </c>
      <c r="E324" s="19">
        <f>CFF!$K$7</f>
        <v>28</v>
      </c>
      <c r="F324" s="97">
        <f>CFF!$K$243</f>
        <v>0</v>
      </c>
    </row>
    <row r="325" spans="3:6" x14ac:dyDescent="0.25">
      <c r="C325" s="22" t="str">
        <f>CFF!$C$241</f>
        <v>Capex</v>
      </c>
      <c r="D325" s="22">
        <f>CFF!$C$243</f>
        <v>0</v>
      </c>
      <c r="E325" s="19">
        <f>CFF!$L$7</f>
        <v>35</v>
      </c>
      <c r="F325" s="97">
        <f>CFF!$L$243</f>
        <v>0</v>
      </c>
    </row>
    <row r="326" spans="3:6" x14ac:dyDescent="0.25">
      <c r="C326" s="22" t="str">
        <f>CFF!$C$241</f>
        <v>Capex</v>
      </c>
      <c r="D326" s="22">
        <f>CFF!$C$243</f>
        <v>0</v>
      </c>
      <c r="E326" s="19">
        <f>CFF!$M$7</f>
        <v>42</v>
      </c>
      <c r="F326" s="97">
        <f>CFF!$M$243</f>
        <v>0</v>
      </c>
    </row>
    <row r="327" spans="3:6" x14ac:dyDescent="0.25">
      <c r="C327" s="22" t="str">
        <f>CFF!$C$241</f>
        <v>Capex</v>
      </c>
      <c r="D327" s="22">
        <f>CFF!$C$243</f>
        <v>0</v>
      </c>
      <c r="E327" s="19">
        <f>CFF!$N$7</f>
        <v>49</v>
      </c>
      <c r="F327" s="97">
        <f>CFF!$N$243</f>
        <v>0</v>
      </c>
    </row>
    <row r="328" spans="3:6" x14ac:dyDescent="0.25">
      <c r="C328" s="22" t="str">
        <f>CFF!$C$241</f>
        <v>Capex</v>
      </c>
      <c r="D328" s="22">
        <f>CFF!$C$243</f>
        <v>0</v>
      </c>
      <c r="E328" s="19">
        <f>CFF!$O$7</f>
        <v>56</v>
      </c>
      <c r="F328" s="97">
        <f>CFF!$O$243</f>
        <v>0</v>
      </c>
    </row>
    <row r="329" spans="3:6" x14ac:dyDescent="0.25">
      <c r="C329" s="22" t="str">
        <f>CFF!$C$241</f>
        <v>Capex</v>
      </c>
      <c r="D329" s="22">
        <f>CFF!$C$243</f>
        <v>0</v>
      </c>
      <c r="E329" s="19">
        <f>CFF!$P$7</f>
        <v>63</v>
      </c>
      <c r="F329" s="97">
        <f>CFF!$P$243</f>
        <v>0</v>
      </c>
    </row>
    <row r="330" spans="3:6" x14ac:dyDescent="0.25">
      <c r="C330" s="22" t="str">
        <f>CFF!$C$241</f>
        <v>Capex</v>
      </c>
      <c r="D330" s="22">
        <f>CFF!$C$243</f>
        <v>0</v>
      </c>
      <c r="E330" s="19">
        <f>CFF!$Q$7</f>
        <v>70</v>
      </c>
      <c r="F330" s="97">
        <f>CFF!$Q$243</f>
        <v>0</v>
      </c>
    </row>
    <row r="331" spans="3:6" x14ac:dyDescent="0.25">
      <c r="C331" s="22" t="str">
        <f>CFF!$C$241</f>
        <v>Capex</v>
      </c>
      <c r="D331" s="22">
        <f>CFF!$C$243</f>
        <v>0</v>
      </c>
      <c r="E331" s="19">
        <f>CFF!$R$7</f>
        <v>77</v>
      </c>
      <c r="F331" s="97">
        <f>CFF!$R$243</f>
        <v>0</v>
      </c>
    </row>
    <row r="332" spans="3:6" x14ac:dyDescent="0.25">
      <c r="C332" s="22" t="str">
        <f>CFF!$C$241</f>
        <v>Capex</v>
      </c>
      <c r="D332" s="22">
        <f>CFF!$C$243</f>
        <v>0</v>
      </c>
      <c r="E332" s="19">
        <f>CFF!$S$7</f>
        <v>84</v>
      </c>
      <c r="F332" s="97">
        <f>CFF!$S$243</f>
        <v>0</v>
      </c>
    </row>
    <row r="333" spans="3:6" x14ac:dyDescent="0.25">
      <c r="C333" s="22" t="str">
        <f>CFF!$C$241</f>
        <v>Capex</v>
      </c>
      <c r="D333" s="22">
        <f>CFF!$C$251</f>
        <v>0</v>
      </c>
      <c r="E333" s="19">
        <f>CFF!$G$7</f>
        <v>0</v>
      </c>
      <c r="F333" s="97">
        <f>CFF!$G$251</f>
        <v>0</v>
      </c>
    </row>
    <row r="334" spans="3:6" x14ac:dyDescent="0.25">
      <c r="C334" s="22" t="str">
        <f>CFF!$C$241</f>
        <v>Capex</v>
      </c>
      <c r="D334" s="22">
        <f>CFF!$C$251</f>
        <v>0</v>
      </c>
      <c r="E334" s="19">
        <f>CFF!$H$7</f>
        <v>7</v>
      </c>
      <c r="F334" s="97">
        <f>CFF!$H$251</f>
        <v>0</v>
      </c>
    </row>
    <row r="335" spans="3:6" x14ac:dyDescent="0.25">
      <c r="C335" s="22" t="str">
        <f>CFF!$C$241</f>
        <v>Capex</v>
      </c>
      <c r="D335" s="22">
        <f>CFF!$C$251</f>
        <v>0</v>
      </c>
      <c r="E335" s="19">
        <f>CFF!$I$7</f>
        <v>14</v>
      </c>
      <c r="F335" s="97">
        <f>CFF!$I$251</f>
        <v>0</v>
      </c>
    </row>
    <row r="336" spans="3:6" x14ac:dyDescent="0.25">
      <c r="C336" s="22" t="str">
        <f>CFF!$C$241</f>
        <v>Capex</v>
      </c>
      <c r="D336" s="22">
        <f>CFF!$C$251</f>
        <v>0</v>
      </c>
      <c r="E336" s="19">
        <f>CFF!$J$7</f>
        <v>21</v>
      </c>
      <c r="F336" s="97">
        <f>CFF!$J$251</f>
        <v>0</v>
      </c>
    </row>
    <row r="337" spans="3:6" x14ac:dyDescent="0.25">
      <c r="C337" s="22" t="str">
        <f>CFF!$C$241</f>
        <v>Capex</v>
      </c>
      <c r="D337" s="22">
        <f>CFF!$C$251</f>
        <v>0</v>
      </c>
      <c r="E337" s="19">
        <f>CFF!$K$7</f>
        <v>28</v>
      </c>
      <c r="F337" s="97">
        <f>CFF!$K$251</f>
        <v>0</v>
      </c>
    </row>
    <row r="338" spans="3:6" x14ac:dyDescent="0.25">
      <c r="C338" s="22" t="str">
        <f>CFF!$C$241</f>
        <v>Capex</v>
      </c>
      <c r="D338" s="22">
        <f>CFF!$C$251</f>
        <v>0</v>
      </c>
      <c r="E338" s="19">
        <f>CFF!$L$7</f>
        <v>35</v>
      </c>
      <c r="F338" s="97">
        <f>CFF!$L$251</f>
        <v>0</v>
      </c>
    </row>
    <row r="339" spans="3:6" x14ac:dyDescent="0.25">
      <c r="C339" s="22" t="str">
        <f>CFF!$C$241</f>
        <v>Capex</v>
      </c>
      <c r="D339" s="22">
        <f>CFF!$C$251</f>
        <v>0</v>
      </c>
      <c r="E339" s="19">
        <f>CFF!$M$7</f>
        <v>42</v>
      </c>
      <c r="F339" s="97">
        <f>CFF!$M$251</f>
        <v>0</v>
      </c>
    </row>
    <row r="340" spans="3:6" x14ac:dyDescent="0.25">
      <c r="C340" s="22" t="str">
        <f>CFF!$C$241</f>
        <v>Capex</v>
      </c>
      <c r="D340" s="22">
        <f>CFF!$C$251</f>
        <v>0</v>
      </c>
      <c r="E340" s="19">
        <f>CFF!$N$7</f>
        <v>49</v>
      </c>
      <c r="F340" s="97">
        <f>CFF!$N$251</f>
        <v>0</v>
      </c>
    </row>
    <row r="341" spans="3:6" x14ac:dyDescent="0.25">
      <c r="C341" s="22" t="str">
        <f>CFF!$C$241</f>
        <v>Capex</v>
      </c>
      <c r="D341" s="22">
        <f>CFF!$C$251</f>
        <v>0</v>
      </c>
      <c r="E341" s="19">
        <f>CFF!$O$7</f>
        <v>56</v>
      </c>
      <c r="F341" s="97">
        <f>CFF!$O$251</f>
        <v>0</v>
      </c>
    </row>
    <row r="342" spans="3:6" x14ac:dyDescent="0.25">
      <c r="C342" s="22" t="str">
        <f>CFF!$C$241</f>
        <v>Capex</v>
      </c>
      <c r="D342" s="22">
        <f>CFF!$C$251</f>
        <v>0</v>
      </c>
      <c r="E342" s="19">
        <f>CFF!$P$7</f>
        <v>63</v>
      </c>
      <c r="F342" s="97">
        <f>CFF!$P$251</f>
        <v>0</v>
      </c>
    </row>
    <row r="343" spans="3:6" x14ac:dyDescent="0.25">
      <c r="C343" s="22" t="str">
        <f>CFF!$C$241</f>
        <v>Capex</v>
      </c>
      <c r="D343" s="22">
        <f>CFF!$C$251</f>
        <v>0</v>
      </c>
      <c r="E343" s="19">
        <f>CFF!$Q$7</f>
        <v>70</v>
      </c>
      <c r="F343" s="97">
        <f>CFF!$Q$251</f>
        <v>0</v>
      </c>
    </row>
    <row r="344" spans="3:6" x14ac:dyDescent="0.25">
      <c r="C344" s="22" t="str">
        <f>CFF!$C$241</f>
        <v>Capex</v>
      </c>
      <c r="D344" s="22">
        <f>CFF!$C$251</f>
        <v>0</v>
      </c>
      <c r="E344" s="19">
        <f>CFF!$R$7</f>
        <v>77</v>
      </c>
      <c r="F344" s="97">
        <f>CFF!$R$251</f>
        <v>0</v>
      </c>
    </row>
    <row r="345" spans="3:6" x14ac:dyDescent="0.25">
      <c r="C345" s="22" t="str">
        <f>CFF!$C$241</f>
        <v>Capex</v>
      </c>
      <c r="D345" s="22">
        <f>CFF!$C$251</f>
        <v>0</v>
      </c>
      <c r="E345" s="19">
        <f>CFF!$S$7</f>
        <v>84</v>
      </c>
      <c r="F345" s="97">
        <f>CFF!$S$251</f>
        <v>0</v>
      </c>
    </row>
    <row r="346" spans="3:6" x14ac:dyDescent="0.25">
      <c r="C346" s="22" t="str">
        <f>CFF!$C$241</f>
        <v>Capex</v>
      </c>
      <c r="D346" s="22">
        <f>CFF!$C$259</f>
        <v>0</v>
      </c>
      <c r="E346" s="19">
        <f>CFF!$G$7</f>
        <v>0</v>
      </c>
      <c r="F346" s="97">
        <f>CFF!$G$259</f>
        <v>0</v>
      </c>
    </row>
    <row r="347" spans="3:6" x14ac:dyDescent="0.25">
      <c r="C347" s="22" t="str">
        <f>CFF!$C$241</f>
        <v>Capex</v>
      </c>
      <c r="D347" s="22">
        <f>CFF!$C$259</f>
        <v>0</v>
      </c>
      <c r="E347" s="19">
        <f>CFF!$H$7</f>
        <v>7</v>
      </c>
      <c r="F347" s="97">
        <f>CFF!$H$259</f>
        <v>0</v>
      </c>
    </row>
    <row r="348" spans="3:6" x14ac:dyDescent="0.25">
      <c r="C348" s="22" t="str">
        <f>CFF!$C$241</f>
        <v>Capex</v>
      </c>
      <c r="D348" s="22">
        <f>CFF!$C$259</f>
        <v>0</v>
      </c>
      <c r="E348" s="19">
        <f>CFF!$I$7</f>
        <v>14</v>
      </c>
      <c r="F348" s="97">
        <f>CFF!$I$259</f>
        <v>0</v>
      </c>
    </row>
    <row r="349" spans="3:6" x14ac:dyDescent="0.25">
      <c r="C349" s="22" t="str">
        <f>CFF!$C$241</f>
        <v>Capex</v>
      </c>
      <c r="D349" s="22">
        <f>CFF!$C$259</f>
        <v>0</v>
      </c>
      <c r="E349" s="19">
        <f>CFF!$J$7</f>
        <v>21</v>
      </c>
      <c r="F349" s="97">
        <f>CFF!$J$259</f>
        <v>0</v>
      </c>
    </row>
    <row r="350" spans="3:6" x14ac:dyDescent="0.25">
      <c r="C350" s="22" t="str">
        <f>CFF!$C$241</f>
        <v>Capex</v>
      </c>
      <c r="D350" s="22">
        <f>CFF!$C$259</f>
        <v>0</v>
      </c>
      <c r="E350" s="19">
        <f>CFF!$K$7</f>
        <v>28</v>
      </c>
      <c r="F350" s="97">
        <f>CFF!$K$259</f>
        <v>0</v>
      </c>
    </row>
    <row r="351" spans="3:6" x14ac:dyDescent="0.25">
      <c r="C351" s="22" t="str">
        <f>CFF!$C$241</f>
        <v>Capex</v>
      </c>
      <c r="D351" s="22">
        <f>CFF!$C$259</f>
        <v>0</v>
      </c>
      <c r="E351" s="19">
        <f>CFF!$L$7</f>
        <v>35</v>
      </c>
      <c r="F351" s="97">
        <f>CFF!$L$259</f>
        <v>0</v>
      </c>
    </row>
    <row r="352" spans="3:6" x14ac:dyDescent="0.25">
      <c r="C352" s="22" t="str">
        <f>CFF!$C$241</f>
        <v>Capex</v>
      </c>
      <c r="D352" s="22">
        <f>CFF!$C$259</f>
        <v>0</v>
      </c>
      <c r="E352" s="19">
        <f>CFF!$M$7</f>
        <v>42</v>
      </c>
      <c r="F352" s="97">
        <f>CFF!$M$259</f>
        <v>0</v>
      </c>
    </row>
    <row r="353" spans="3:6" x14ac:dyDescent="0.25">
      <c r="C353" s="22" t="str">
        <f>CFF!$C$241</f>
        <v>Capex</v>
      </c>
      <c r="D353" s="22">
        <f>CFF!$C$259</f>
        <v>0</v>
      </c>
      <c r="E353" s="19">
        <f>CFF!$N$7</f>
        <v>49</v>
      </c>
      <c r="F353" s="97">
        <f>CFF!$N$259</f>
        <v>0</v>
      </c>
    </row>
    <row r="354" spans="3:6" x14ac:dyDescent="0.25">
      <c r="C354" s="22" t="str">
        <f>CFF!$C$241</f>
        <v>Capex</v>
      </c>
      <c r="D354" s="22">
        <f>CFF!$C$259</f>
        <v>0</v>
      </c>
      <c r="E354" s="19">
        <f>CFF!$O$7</f>
        <v>56</v>
      </c>
      <c r="F354" s="97">
        <f>CFF!$O$259</f>
        <v>0</v>
      </c>
    </row>
    <row r="355" spans="3:6" x14ac:dyDescent="0.25">
      <c r="C355" s="22" t="str">
        <f>CFF!$C$241</f>
        <v>Capex</v>
      </c>
      <c r="D355" s="22">
        <f>CFF!$C$259</f>
        <v>0</v>
      </c>
      <c r="E355" s="19">
        <f>CFF!$P$7</f>
        <v>63</v>
      </c>
      <c r="F355" s="97">
        <f>CFF!$P$259</f>
        <v>0</v>
      </c>
    </row>
    <row r="356" spans="3:6" x14ac:dyDescent="0.25">
      <c r="C356" s="22" t="str">
        <f>CFF!$C$241</f>
        <v>Capex</v>
      </c>
      <c r="D356" s="22">
        <f>CFF!$C$259</f>
        <v>0</v>
      </c>
      <c r="E356" s="19">
        <f>CFF!$Q$7</f>
        <v>70</v>
      </c>
      <c r="F356" s="97">
        <f>CFF!$Q$259</f>
        <v>0</v>
      </c>
    </row>
    <row r="357" spans="3:6" x14ac:dyDescent="0.25">
      <c r="C357" s="22" t="str">
        <f>CFF!$C$241</f>
        <v>Capex</v>
      </c>
      <c r="D357" s="22">
        <f>CFF!$C$259</f>
        <v>0</v>
      </c>
      <c r="E357" s="19">
        <f>CFF!$R$7</f>
        <v>77</v>
      </c>
      <c r="F357" s="97">
        <f>CFF!$R$259</f>
        <v>0</v>
      </c>
    </row>
    <row r="358" spans="3:6" x14ac:dyDescent="0.25">
      <c r="C358" s="22" t="str">
        <f>CFF!$C$241</f>
        <v>Capex</v>
      </c>
      <c r="D358" s="22">
        <f>CFF!$C$259</f>
        <v>0</v>
      </c>
      <c r="E358" s="19">
        <f>CFF!$S$7</f>
        <v>84</v>
      </c>
      <c r="F358" s="97">
        <f>CFF!$S$259</f>
        <v>0</v>
      </c>
    </row>
    <row r="359" spans="3:6" x14ac:dyDescent="0.25">
      <c r="C359" s="22" t="str">
        <f>CFF!$C$269</f>
        <v>Finance cashflows</v>
      </c>
      <c r="D359" s="22">
        <f>CFF!$C$271</f>
        <v>0</v>
      </c>
      <c r="E359" s="19">
        <f>CFF!$G$7</f>
        <v>0</v>
      </c>
      <c r="F359" s="97">
        <f>CFF!$G$271</f>
        <v>0</v>
      </c>
    </row>
    <row r="360" spans="3:6" x14ac:dyDescent="0.25">
      <c r="C360" s="22" t="str">
        <f>CFF!$C$269</f>
        <v>Finance cashflows</v>
      </c>
      <c r="D360" s="22">
        <f>CFF!$C$271</f>
        <v>0</v>
      </c>
      <c r="E360" s="19">
        <f>CFF!$H$7</f>
        <v>7</v>
      </c>
      <c r="F360" s="97">
        <f>CFF!$H$271</f>
        <v>0</v>
      </c>
    </row>
    <row r="361" spans="3:6" x14ac:dyDescent="0.25">
      <c r="C361" s="22" t="str">
        <f>CFF!$C$269</f>
        <v>Finance cashflows</v>
      </c>
      <c r="D361" s="22">
        <f>CFF!$C$271</f>
        <v>0</v>
      </c>
      <c r="E361" s="19">
        <f>CFF!$I$7</f>
        <v>14</v>
      </c>
      <c r="F361" s="97">
        <f>CFF!$I$271</f>
        <v>0</v>
      </c>
    </row>
    <row r="362" spans="3:6" x14ac:dyDescent="0.25">
      <c r="C362" s="22" t="str">
        <f>CFF!$C$269</f>
        <v>Finance cashflows</v>
      </c>
      <c r="D362" s="22">
        <f>CFF!$C$271</f>
        <v>0</v>
      </c>
      <c r="E362" s="19">
        <f>CFF!$J$7</f>
        <v>21</v>
      </c>
      <c r="F362" s="97">
        <f>CFF!$J$271</f>
        <v>0</v>
      </c>
    </row>
    <row r="363" spans="3:6" x14ac:dyDescent="0.25">
      <c r="C363" s="22" t="str">
        <f>CFF!$C$269</f>
        <v>Finance cashflows</v>
      </c>
      <c r="D363" s="22">
        <f>CFF!$C$271</f>
        <v>0</v>
      </c>
      <c r="E363" s="19">
        <f>CFF!$K$7</f>
        <v>28</v>
      </c>
      <c r="F363" s="97">
        <f>CFF!$K$271</f>
        <v>0</v>
      </c>
    </row>
    <row r="364" spans="3:6" x14ac:dyDescent="0.25">
      <c r="C364" s="22" t="str">
        <f>CFF!$C$269</f>
        <v>Finance cashflows</v>
      </c>
      <c r="D364" s="22">
        <f>CFF!$C$271</f>
        <v>0</v>
      </c>
      <c r="E364" s="19">
        <f>CFF!$L$7</f>
        <v>35</v>
      </c>
      <c r="F364" s="97">
        <f>CFF!$L$271</f>
        <v>0</v>
      </c>
    </row>
    <row r="365" spans="3:6" x14ac:dyDescent="0.25">
      <c r="C365" s="22" t="str">
        <f>CFF!$C$269</f>
        <v>Finance cashflows</v>
      </c>
      <c r="D365" s="22">
        <f>CFF!$C$271</f>
        <v>0</v>
      </c>
      <c r="E365" s="19">
        <f>CFF!$M$7</f>
        <v>42</v>
      </c>
      <c r="F365" s="97">
        <f>CFF!$M$271</f>
        <v>0</v>
      </c>
    </row>
    <row r="366" spans="3:6" x14ac:dyDescent="0.25">
      <c r="C366" s="22" t="str">
        <f>CFF!$C$269</f>
        <v>Finance cashflows</v>
      </c>
      <c r="D366" s="22">
        <f>CFF!$C$271</f>
        <v>0</v>
      </c>
      <c r="E366" s="19">
        <f>CFF!$N$7</f>
        <v>49</v>
      </c>
      <c r="F366" s="97">
        <f>CFF!$N$271</f>
        <v>0</v>
      </c>
    </row>
    <row r="367" spans="3:6" x14ac:dyDescent="0.25">
      <c r="C367" s="22" t="str">
        <f>CFF!$C$269</f>
        <v>Finance cashflows</v>
      </c>
      <c r="D367" s="22">
        <f>CFF!$C$271</f>
        <v>0</v>
      </c>
      <c r="E367" s="19">
        <f>CFF!$O$7</f>
        <v>56</v>
      </c>
      <c r="F367" s="97">
        <f>CFF!$O$271</f>
        <v>0</v>
      </c>
    </row>
    <row r="368" spans="3:6" x14ac:dyDescent="0.25">
      <c r="C368" s="22" t="str">
        <f>CFF!$C$269</f>
        <v>Finance cashflows</v>
      </c>
      <c r="D368" s="22">
        <f>CFF!$C$271</f>
        <v>0</v>
      </c>
      <c r="E368" s="19">
        <f>CFF!$P$7</f>
        <v>63</v>
      </c>
      <c r="F368" s="97">
        <f>CFF!$P$271</f>
        <v>0</v>
      </c>
    </row>
    <row r="369" spans="3:6" x14ac:dyDescent="0.25">
      <c r="C369" s="22" t="str">
        <f>CFF!$C$269</f>
        <v>Finance cashflows</v>
      </c>
      <c r="D369" s="22">
        <f>CFF!$C$271</f>
        <v>0</v>
      </c>
      <c r="E369" s="19">
        <f>CFF!$Q$7</f>
        <v>70</v>
      </c>
      <c r="F369" s="97">
        <f>CFF!$Q$271</f>
        <v>0</v>
      </c>
    </row>
    <row r="370" spans="3:6" x14ac:dyDescent="0.25">
      <c r="C370" s="22" t="str">
        <f>CFF!$C$269</f>
        <v>Finance cashflows</v>
      </c>
      <c r="D370" s="22">
        <f>CFF!$C$271</f>
        <v>0</v>
      </c>
      <c r="E370" s="19">
        <f>CFF!$R$7</f>
        <v>77</v>
      </c>
      <c r="F370" s="97">
        <f>CFF!$R$271</f>
        <v>0</v>
      </c>
    </row>
    <row r="371" spans="3:6" x14ac:dyDescent="0.25">
      <c r="C371" s="22" t="str">
        <f>CFF!$C$269</f>
        <v>Finance cashflows</v>
      </c>
      <c r="D371" s="22">
        <f>CFF!$C$271</f>
        <v>0</v>
      </c>
      <c r="E371" s="19">
        <f>CFF!$S$7</f>
        <v>84</v>
      </c>
      <c r="F371" s="97">
        <f>CFF!$S$271</f>
        <v>0</v>
      </c>
    </row>
    <row r="372" spans="3:6" x14ac:dyDescent="0.25">
      <c r="C372" s="22" t="str">
        <f>CFF!$C$269</f>
        <v>Finance cashflows</v>
      </c>
      <c r="D372" s="22">
        <f>CFF!$C$279</f>
        <v>0</v>
      </c>
      <c r="E372" s="19">
        <f>CFF!$G$7</f>
        <v>0</v>
      </c>
      <c r="F372" s="97">
        <f>CFF!$G$279</f>
        <v>0</v>
      </c>
    </row>
    <row r="373" spans="3:6" x14ac:dyDescent="0.25">
      <c r="C373" s="22" t="str">
        <f>CFF!$C$269</f>
        <v>Finance cashflows</v>
      </c>
      <c r="D373" s="22">
        <f>CFF!$C$279</f>
        <v>0</v>
      </c>
      <c r="E373" s="19">
        <f>CFF!$H$7</f>
        <v>7</v>
      </c>
      <c r="F373" s="97">
        <f>CFF!$H$279</f>
        <v>0</v>
      </c>
    </row>
    <row r="374" spans="3:6" x14ac:dyDescent="0.25">
      <c r="C374" s="22" t="str">
        <f>CFF!$C$269</f>
        <v>Finance cashflows</v>
      </c>
      <c r="D374" s="22">
        <f>CFF!$C$279</f>
        <v>0</v>
      </c>
      <c r="E374" s="19">
        <f>CFF!$I$7</f>
        <v>14</v>
      </c>
      <c r="F374" s="97">
        <f>CFF!$I$279</f>
        <v>0</v>
      </c>
    </row>
    <row r="375" spans="3:6" x14ac:dyDescent="0.25">
      <c r="C375" s="22" t="str">
        <f>CFF!$C$269</f>
        <v>Finance cashflows</v>
      </c>
      <c r="D375" s="22">
        <f>CFF!$C$279</f>
        <v>0</v>
      </c>
      <c r="E375" s="19">
        <f>CFF!$J$7</f>
        <v>21</v>
      </c>
      <c r="F375" s="97">
        <f>CFF!$J$279</f>
        <v>0</v>
      </c>
    </row>
    <row r="376" spans="3:6" x14ac:dyDescent="0.25">
      <c r="C376" s="22" t="str">
        <f>CFF!$C$269</f>
        <v>Finance cashflows</v>
      </c>
      <c r="D376" s="22">
        <f>CFF!$C$279</f>
        <v>0</v>
      </c>
      <c r="E376" s="19">
        <f>CFF!$K$7</f>
        <v>28</v>
      </c>
      <c r="F376" s="97">
        <f>CFF!$K$279</f>
        <v>0</v>
      </c>
    </row>
    <row r="377" spans="3:6" x14ac:dyDescent="0.25">
      <c r="C377" s="22" t="str">
        <f>CFF!$C$269</f>
        <v>Finance cashflows</v>
      </c>
      <c r="D377" s="22">
        <f>CFF!$C$279</f>
        <v>0</v>
      </c>
      <c r="E377" s="19">
        <f>CFF!$L$7</f>
        <v>35</v>
      </c>
      <c r="F377" s="97">
        <f>CFF!$L$279</f>
        <v>0</v>
      </c>
    </row>
    <row r="378" spans="3:6" x14ac:dyDescent="0.25">
      <c r="C378" s="22" t="str">
        <f>CFF!$C$269</f>
        <v>Finance cashflows</v>
      </c>
      <c r="D378" s="22">
        <f>CFF!$C$279</f>
        <v>0</v>
      </c>
      <c r="E378" s="19">
        <f>CFF!$M$7</f>
        <v>42</v>
      </c>
      <c r="F378" s="97">
        <f>CFF!$M$279</f>
        <v>0</v>
      </c>
    </row>
    <row r="379" spans="3:6" x14ac:dyDescent="0.25">
      <c r="C379" s="22" t="str">
        <f>CFF!$C$269</f>
        <v>Finance cashflows</v>
      </c>
      <c r="D379" s="22">
        <f>CFF!$C$279</f>
        <v>0</v>
      </c>
      <c r="E379" s="19">
        <f>CFF!$N$7</f>
        <v>49</v>
      </c>
      <c r="F379" s="97">
        <f>CFF!$N$279</f>
        <v>0</v>
      </c>
    </row>
    <row r="380" spans="3:6" x14ac:dyDescent="0.25">
      <c r="C380" s="22" t="str">
        <f>CFF!$C$269</f>
        <v>Finance cashflows</v>
      </c>
      <c r="D380" s="22">
        <f>CFF!$C$279</f>
        <v>0</v>
      </c>
      <c r="E380" s="19">
        <f>CFF!$O$7</f>
        <v>56</v>
      </c>
      <c r="F380" s="97">
        <f>CFF!$O$279</f>
        <v>0</v>
      </c>
    </row>
    <row r="381" spans="3:6" x14ac:dyDescent="0.25">
      <c r="C381" s="22" t="str">
        <f>CFF!$C$269</f>
        <v>Finance cashflows</v>
      </c>
      <c r="D381" s="22">
        <f>CFF!$C$279</f>
        <v>0</v>
      </c>
      <c r="E381" s="19">
        <f>CFF!$P$7</f>
        <v>63</v>
      </c>
      <c r="F381" s="97">
        <f>CFF!$P$279</f>
        <v>0</v>
      </c>
    </row>
    <row r="382" spans="3:6" x14ac:dyDescent="0.25">
      <c r="C382" s="22" t="str">
        <f>CFF!$C$269</f>
        <v>Finance cashflows</v>
      </c>
      <c r="D382" s="22">
        <f>CFF!$C$279</f>
        <v>0</v>
      </c>
      <c r="E382" s="19">
        <f>CFF!$Q$7</f>
        <v>70</v>
      </c>
      <c r="F382" s="97">
        <f>CFF!$Q$279</f>
        <v>0</v>
      </c>
    </row>
    <row r="383" spans="3:6" x14ac:dyDescent="0.25">
      <c r="C383" s="22" t="str">
        <f>CFF!$C$269</f>
        <v>Finance cashflows</v>
      </c>
      <c r="D383" s="22">
        <f>CFF!$C$279</f>
        <v>0</v>
      </c>
      <c r="E383" s="19">
        <f>CFF!$R$7</f>
        <v>77</v>
      </c>
      <c r="F383" s="97">
        <f>CFF!$R$279</f>
        <v>0</v>
      </c>
    </row>
    <row r="384" spans="3:6" x14ac:dyDescent="0.25">
      <c r="C384" s="22" t="str">
        <f>CFF!$C$269</f>
        <v>Finance cashflows</v>
      </c>
      <c r="D384" s="22">
        <f>CFF!$C$279</f>
        <v>0</v>
      </c>
      <c r="E384" s="19">
        <f>CFF!$S$7</f>
        <v>84</v>
      </c>
      <c r="F384" s="97">
        <f>CFF!$S$279</f>
        <v>0</v>
      </c>
    </row>
    <row r="385" spans="3:6" x14ac:dyDescent="0.25">
      <c r="C385" s="22" t="str">
        <f>CFF!$C$269</f>
        <v>Finance cashflows</v>
      </c>
      <c r="D385" s="22">
        <f>CFF!$C$287</f>
        <v>0</v>
      </c>
      <c r="E385" s="19">
        <f>CFF!$G$7</f>
        <v>0</v>
      </c>
      <c r="F385" s="97">
        <f>CFF!$G$287</f>
        <v>0</v>
      </c>
    </row>
    <row r="386" spans="3:6" x14ac:dyDescent="0.25">
      <c r="C386" s="22" t="str">
        <f>CFF!$C$269</f>
        <v>Finance cashflows</v>
      </c>
      <c r="D386" s="22">
        <f>CFF!$C$287</f>
        <v>0</v>
      </c>
      <c r="E386" s="19">
        <f>CFF!$H$7</f>
        <v>7</v>
      </c>
      <c r="F386" s="97">
        <f>CFF!$H$287</f>
        <v>0</v>
      </c>
    </row>
    <row r="387" spans="3:6" x14ac:dyDescent="0.25">
      <c r="C387" s="22" t="str">
        <f>CFF!$C$269</f>
        <v>Finance cashflows</v>
      </c>
      <c r="D387" s="22">
        <f>CFF!$C$287</f>
        <v>0</v>
      </c>
      <c r="E387" s="19">
        <f>CFF!$I$7</f>
        <v>14</v>
      </c>
      <c r="F387" s="97">
        <f>CFF!$I$287</f>
        <v>0</v>
      </c>
    </row>
    <row r="388" spans="3:6" x14ac:dyDescent="0.25">
      <c r="C388" s="22" t="str">
        <f>CFF!$C$269</f>
        <v>Finance cashflows</v>
      </c>
      <c r="D388" s="22">
        <f>CFF!$C$287</f>
        <v>0</v>
      </c>
      <c r="E388" s="19">
        <f>CFF!$J$7</f>
        <v>21</v>
      </c>
      <c r="F388" s="97">
        <f>CFF!$J$287</f>
        <v>0</v>
      </c>
    </row>
    <row r="389" spans="3:6" x14ac:dyDescent="0.25">
      <c r="C389" s="22" t="str">
        <f>CFF!$C$269</f>
        <v>Finance cashflows</v>
      </c>
      <c r="D389" s="22">
        <f>CFF!$C$287</f>
        <v>0</v>
      </c>
      <c r="E389" s="19">
        <f>CFF!$K$7</f>
        <v>28</v>
      </c>
      <c r="F389" s="97">
        <f>CFF!$K$287</f>
        <v>0</v>
      </c>
    </row>
    <row r="390" spans="3:6" x14ac:dyDescent="0.25">
      <c r="C390" s="22" t="str">
        <f>CFF!$C$269</f>
        <v>Finance cashflows</v>
      </c>
      <c r="D390" s="22">
        <f>CFF!$C$287</f>
        <v>0</v>
      </c>
      <c r="E390" s="19">
        <f>CFF!$L$7</f>
        <v>35</v>
      </c>
      <c r="F390" s="97">
        <f>CFF!$L$287</f>
        <v>0</v>
      </c>
    </row>
    <row r="391" spans="3:6" x14ac:dyDescent="0.25">
      <c r="C391" s="22" t="str">
        <f>CFF!$C$269</f>
        <v>Finance cashflows</v>
      </c>
      <c r="D391" s="22">
        <f>CFF!$C$287</f>
        <v>0</v>
      </c>
      <c r="E391" s="19">
        <f>CFF!$M$7</f>
        <v>42</v>
      </c>
      <c r="F391" s="97">
        <f>CFF!$M$287</f>
        <v>0</v>
      </c>
    </row>
    <row r="392" spans="3:6" x14ac:dyDescent="0.25">
      <c r="C392" s="22" t="str">
        <f>CFF!$C$269</f>
        <v>Finance cashflows</v>
      </c>
      <c r="D392" s="22">
        <f>CFF!$C$287</f>
        <v>0</v>
      </c>
      <c r="E392" s="19">
        <f>CFF!$N$7</f>
        <v>49</v>
      </c>
      <c r="F392" s="97">
        <f>CFF!$N$287</f>
        <v>0</v>
      </c>
    </row>
    <row r="393" spans="3:6" x14ac:dyDescent="0.25">
      <c r="C393" s="22" t="str">
        <f>CFF!$C$269</f>
        <v>Finance cashflows</v>
      </c>
      <c r="D393" s="22">
        <f>CFF!$C$287</f>
        <v>0</v>
      </c>
      <c r="E393" s="19">
        <f>CFF!$O$7</f>
        <v>56</v>
      </c>
      <c r="F393" s="97">
        <f>CFF!$O$287</f>
        <v>0</v>
      </c>
    </row>
    <row r="394" spans="3:6" x14ac:dyDescent="0.25">
      <c r="C394" s="22" t="str">
        <f>CFF!$C$269</f>
        <v>Finance cashflows</v>
      </c>
      <c r="D394" s="22">
        <f>CFF!$C$287</f>
        <v>0</v>
      </c>
      <c r="E394" s="19">
        <f>CFF!$P$7</f>
        <v>63</v>
      </c>
      <c r="F394" s="97">
        <f>CFF!$P$287</f>
        <v>0</v>
      </c>
    </row>
    <row r="395" spans="3:6" x14ac:dyDescent="0.25">
      <c r="C395" s="22" t="str">
        <f>CFF!$C$269</f>
        <v>Finance cashflows</v>
      </c>
      <c r="D395" s="22">
        <f>CFF!$C$287</f>
        <v>0</v>
      </c>
      <c r="E395" s="19">
        <f>CFF!$Q$7</f>
        <v>70</v>
      </c>
      <c r="F395" s="97">
        <f>CFF!$Q$287</f>
        <v>0</v>
      </c>
    </row>
    <row r="396" spans="3:6" x14ac:dyDescent="0.25">
      <c r="C396" s="22" t="str">
        <f>CFF!$C$269</f>
        <v>Finance cashflows</v>
      </c>
      <c r="D396" s="22">
        <f>CFF!$C$287</f>
        <v>0</v>
      </c>
      <c r="E396" s="19">
        <f>CFF!$R$7</f>
        <v>77</v>
      </c>
      <c r="F396" s="97">
        <f>CFF!$R$287</f>
        <v>0</v>
      </c>
    </row>
    <row r="397" spans="3:6" x14ac:dyDescent="0.25">
      <c r="C397" s="22" t="str">
        <f>CFF!$C$269</f>
        <v>Finance cashflows</v>
      </c>
      <c r="D397" s="22">
        <f>CFF!$C$287</f>
        <v>0</v>
      </c>
      <c r="E397" s="19">
        <f>CFF!$S$7</f>
        <v>84</v>
      </c>
      <c r="F397" s="97">
        <f>CFF!$S$287</f>
        <v>0</v>
      </c>
    </row>
    <row r="398" spans="3:6" x14ac:dyDescent="0.25">
      <c r="C398" s="22" t="str">
        <f>CFF!$C$297</f>
        <v>Investing cashflows</v>
      </c>
      <c r="D398" s="22" t="str">
        <f>CFF!$C$299</f>
        <v>Dividends</v>
      </c>
      <c r="E398" s="19">
        <f>CFF!$G$7</f>
        <v>0</v>
      </c>
      <c r="F398" s="97">
        <f>CFF!$G$299</f>
        <v>0</v>
      </c>
    </row>
    <row r="399" spans="3:6" x14ac:dyDescent="0.25">
      <c r="C399" s="22" t="str">
        <f>CFF!$C$297</f>
        <v>Investing cashflows</v>
      </c>
      <c r="D399" s="22" t="str">
        <f>CFF!$C$299</f>
        <v>Dividends</v>
      </c>
      <c r="E399" s="19">
        <f>CFF!$H$7</f>
        <v>7</v>
      </c>
      <c r="F399" s="97">
        <f>CFF!$H$299</f>
        <v>0</v>
      </c>
    </row>
    <row r="400" spans="3:6" x14ac:dyDescent="0.25">
      <c r="C400" s="22" t="str">
        <f>CFF!$C$297</f>
        <v>Investing cashflows</v>
      </c>
      <c r="D400" s="22" t="str">
        <f>CFF!$C$299</f>
        <v>Dividends</v>
      </c>
      <c r="E400" s="19">
        <f>CFF!$I$7</f>
        <v>14</v>
      </c>
      <c r="F400" s="97">
        <f>CFF!$I$299</f>
        <v>0</v>
      </c>
    </row>
    <row r="401" spans="3:6" x14ac:dyDescent="0.25">
      <c r="C401" s="22" t="str">
        <f>CFF!$C$297</f>
        <v>Investing cashflows</v>
      </c>
      <c r="D401" s="22" t="str">
        <f>CFF!$C$299</f>
        <v>Dividends</v>
      </c>
      <c r="E401" s="19">
        <f>CFF!$J$7</f>
        <v>21</v>
      </c>
      <c r="F401" s="97">
        <f>CFF!$J$299</f>
        <v>0</v>
      </c>
    </row>
    <row r="402" spans="3:6" x14ac:dyDescent="0.25">
      <c r="C402" s="22" t="str">
        <f>CFF!$C$297</f>
        <v>Investing cashflows</v>
      </c>
      <c r="D402" s="22" t="str">
        <f>CFF!$C$299</f>
        <v>Dividends</v>
      </c>
      <c r="E402" s="19">
        <f>CFF!$K$7</f>
        <v>28</v>
      </c>
      <c r="F402" s="97">
        <f>CFF!$K$299</f>
        <v>0</v>
      </c>
    </row>
    <row r="403" spans="3:6" x14ac:dyDescent="0.25">
      <c r="C403" s="22" t="str">
        <f>CFF!$C$297</f>
        <v>Investing cashflows</v>
      </c>
      <c r="D403" s="22" t="str">
        <f>CFF!$C$299</f>
        <v>Dividends</v>
      </c>
      <c r="E403" s="19">
        <f>CFF!$L$7</f>
        <v>35</v>
      </c>
      <c r="F403" s="97">
        <f>CFF!$L$299</f>
        <v>0</v>
      </c>
    </row>
    <row r="404" spans="3:6" x14ac:dyDescent="0.25">
      <c r="C404" s="22" t="str">
        <f>CFF!$C$297</f>
        <v>Investing cashflows</v>
      </c>
      <c r="D404" s="22" t="str">
        <f>CFF!$C$299</f>
        <v>Dividends</v>
      </c>
      <c r="E404" s="19">
        <f>CFF!$M$7</f>
        <v>42</v>
      </c>
      <c r="F404" s="97">
        <f>CFF!$M$299</f>
        <v>0</v>
      </c>
    </row>
    <row r="405" spans="3:6" x14ac:dyDescent="0.25">
      <c r="C405" s="22" t="str">
        <f>CFF!$C$297</f>
        <v>Investing cashflows</v>
      </c>
      <c r="D405" s="22" t="str">
        <f>CFF!$C$299</f>
        <v>Dividends</v>
      </c>
      <c r="E405" s="19">
        <f>CFF!$N$7</f>
        <v>49</v>
      </c>
      <c r="F405" s="97">
        <f>CFF!$N$299</f>
        <v>0</v>
      </c>
    </row>
    <row r="406" spans="3:6" x14ac:dyDescent="0.25">
      <c r="C406" s="22" t="str">
        <f>CFF!$C$297</f>
        <v>Investing cashflows</v>
      </c>
      <c r="D406" s="22" t="str">
        <f>CFF!$C$299</f>
        <v>Dividends</v>
      </c>
      <c r="E406" s="19">
        <f>CFF!$O$7</f>
        <v>56</v>
      </c>
      <c r="F406" s="97">
        <f>CFF!$O$299</f>
        <v>0</v>
      </c>
    </row>
    <row r="407" spans="3:6" x14ac:dyDescent="0.25">
      <c r="C407" s="22" t="str">
        <f>CFF!$C$297</f>
        <v>Investing cashflows</v>
      </c>
      <c r="D407" s="22" t="str">
        <f>CFF!$C$299</f>
        <v>Dividends</v>
      </c>
      <c r="E407" s="19">
        <f>CFF!$P$7</f>
        <v>63</v>
      </c>
      <c r="F407" s="97">
        <f>CFF!$P$299</f>
        <v>0</v>
      </c>
    </row>
    <row r="408" spans="3:6" x14ac:dyDescent="0.25">
      <c r="C408" s="22" t="str">
        <f>CFF!$C$297</f>
        <v>Investing cashflows</v>
      </c>
      <c r="D408" s="22" t="str">
        <f>CFF!$C$299</f>
        <v>Dividends</v>
      </c>
      <c r="E408" s="19">
        <f>CFF!$Q$7</f>
        <v>70</v>
      </c>
      <c r="F408" s="97">
        <f>CFF!$Q$299</f>
        <v>0</v>
      </c>
    </row>
    <row r="409" spans="3:6" x14ac:dyDescent="0.25">
      <c r="C409" s="22" t="str">
        <f>CFF!$C$297</f>
        <v>Investing cashflows</v>
      </c>
      <c r="D409" s="22" t="str">
        <f>CFF!$C$299</f>
        <v>Dividends</v>
      </c>
      <c r="E409" s="19">
        <f>CFF!$R$7</f>
        <v>77</v>
      </c>
      <c r="F409" s="97">
        <f>CFF!$R$299</f>
        <v>0</v>
      </c>
    </row>
    <row r="410" spans="3:6" x14ac:dyDescent="0.25">
      <c r="C410" s="22" t="str">
        <f>CFF!$C$297</f>
        <v>Investing cashflows</v>
      </c>
      <c r="D410" s="22" t="str">
        <f>CFF!$C$299</f>
        <v>Dividends</v>
      </c>
      <c r="E410" s="19">
        <f>CFF!$S$7</f>
        <v>84</v>
      </c>
      <c r="F410" s="97">
        <f>CFF!$S$299</f>
        <v>0</v>
      </c>
    </row>
    <row r="411" spans="3:6" x14ac:dyDescent="0.25">
      <c r="C411" s="22" t="str">
        <f>CFF!$C$297</f>
        <v>Investing cashflows</v>
      </c>
      <c r="D411" s="22" t="str">
        <f>CFF!$C$304</f>
        <v>Equity injection</v>
      </c>
      <c r="E411" s="19">
        <f>CFF!$G$7</f>
        <v>0</v>
      </c>
      <c r="F411" s="97">
        <f>CFF!$G$304</f>
        <v>0</v>
      </c>
    </row>
    <row r="412" spans="3:6" x14ac:dyDescent="0.25">
      <c r="C412" s="22" t="str">
        <f>CFF!$C$297</f>
        <v>Investing cashflows</v>
      </c>
      <c r="D412" s="22" t="str">
        <f>CFF!$C$304</f>
        <v>Equity injection</v>
      </c>
      <c r="E412" s="19">
        <f>CFF!$H$7</f>
        <v>7</v>
      </c>
      <c r="F412" s="97">
        <f>CFF!$H$304</f>
        <v>0</v>
      </c>
    </row>
    <row r="413" spans="3:6" x14ac:dyDescent="0.25">
      <c r="C413" s="22" t="str">
        <f>CFF!$C$297</f>
        <v>Investing cashflows</v>
      </c>
      <c r="D413" s="22" t="str">
        <f>CFF!$C$304</f>
        <v>Equity injection</v>
      </c>
      <c r="E413" s="19">
        <f>CFF!$I$7</f>
        <v>14</v>
      </c>
      <c r="F413" s="97">
        <f>CFF!$I$304</f>
        <v>0</v>
      </c>
    </row>
    <row r="414" spans="3:6" x14ac:dyDescent="0.25">
      <c r="C414" s="22" t="str">
        <f>CFF!$C$297</f>
        <v>Investing cashflows</v>
      </c>
      <c r="D414" s="22" t="str">
        <f>CFF!$C$304</f>
        <v>Equity injection</v>
      </c>
      <c r="E414" s="19">
        <f>CFF!$J$7</f>
        <v>21</v>
      </c>
      <c r="F414" s="97">
        <f>CFF!$J$304</f>
        <v>0</v>
      </c>
    </row>
    <row r="415" spans="3:6" x14ac:dyDescent="0.25">
      <c r="C415" s="22" t="str">
        <f>CFF!$C$297</f>
        <v>Investing cashflows</v>
      </c>
      <c r="D415" s="22" t="str">
        <f>CFF!$C$304</f>
        <v>Equity injection</v>
      </c>
      <c r="E415" s="19">
        <f>CFF!$K$7</f>
        <v>28</v>
      </c>
      <c r="F415" s="97">
        <f>CFF!$K$304</f>
        <v>0</v>
      </c>
    </row>
    <row r="416" spans="3:6" x14ac:dyDescent="0.25">
      <c r="C416" s="22" t="str">
        <f>CFF!$C$297</f>
        <v>Investing cashflows</v>
      </c>
      <c r="D416" s="22" t="str">
        <f>CFF!$C$304</f>
        <v>Equity injection</v>
      </c>
      <c r="E416" s="19">
        <f>CFF!$L$7</f>
        <v>35</v>
      </c>
      <c r="F416" s="97">
        <f>CFF!$L$304</f>
        <v>0</v>
      </c>
    </row>
    <row r="417" spans="3:6" x14ac:dyDescent="0.25">
      <c r="C417" s="22" t="str">
        <f>CFF!$C$297</f>
        <v>Investing cashflows</v>
      </c>
      <c r="D417" s="22" t="str">
        <f>CFF!$C$304</f>
        <v>Equity injection</v>
      </c>
      <c r="E417" s="19">
        <f>CFF!$M$7</f>
        <v>42</v>
      </c>
      <c r="F417" s="97">
        <f>CFF!$M$304</f>
        <v>0</v>
      </c>
    </row>
    <row r="418" spans="3:6" x14ac:dyDescent="0.25">
      <c r="C418" s="22" t="str">
        <f>CFF!$C$297</f>
        <v>Investing cashflows</v>
      </c>
      <c r="D418" s="22" t="str">
        <f>CFF!$C$304</f>
        <v>Equity injection</v>
      </c>
      <c r="E418" s="19">
        <f>CFF!$N$7</f>
        <v>49</v>
      </c>
      <c r="F418" s="97">
        <f>CFF!$N$304</f>
        <v>0</v>
      </c>
    </row>
    <row r="419" spans="3:6" x14ac:dyDescent="0.25">
      <c r="C419" s="22" t="str">
        <f>CFF!$C$297</f>
        <v>Investing cashflows</v>
      </c>
      <c r="D419" s="22" t="str">
        <f>CFF!$C$304</f>
        <v>Equity injection</v>
      </c>
      <c r="E419" s="19">
        <f>CFF!$O$7</f>
        <v>56</v>
      </c>
      <c r="F419" s="97">
        <f>CFF!$O$304</f>
        <v>0</v>
      </c>
    </row>
    <row r="420" spans="3:6" x14ac:dyDescent="0.25">
      <c r="C420" s="22" t="str">
        <f>CFF!$C$297</f>
        <v>Investing cashflows</v>
      </c>
      <c r="D420" s="22" t="str">
        <f>CFF!$C$304</f>
        <v>Equity injection</v>
      </c>
      <c r="E420" s="19">
        <f>CFF!$P$7</f>
        <v>63</v>
      </c>
      <c r="F420" s="97">
        <f>CFF!$P$304</f>
        <v>0</v>
      </c>
    </row>
    <row r="421" spans="3:6" x14ac:dyDescent="0.25">
      <c r="C421" s="22" t="str">
        <f>CFF!$C$297</f>
        <v>Investing cashflows</v>
      </c>
      <c r="D421" s="22" t="str">
        <f>CFF!$C$304</f>
        <v>Equity injection</v>
      </c>
      <c r="E421" s="19">
        <f>CFF!$Q$7</f>
        <v>70</v>
      </c>
      <c r="F421" s="97">
        <f>CFF!$Q$304</f>
        <v>0</v>
      </c>
    </row>
    <row r="422" spans="3:6" x14ac:dyDescent="0.25">
      <c r="C422" s="22" t="str">
        <f>CFF!$C$297</f>
        <v>Investing cashflows</v>
      </c>
      <c r="D422" s="22" t="str">
        <f>CFF!$C$304</f>
        <v>Equity injection</v>
      </c>
      <c r="E422" s="19">
        <f>CFF!$R$7</f>
        <v>77</v>
      </c>
      <c r="F422" s="97">
        <f>CFF!$R$304</f>
        <v>0</v>
      </c>
    </row>
    <row r="423" spans="3:6" x14ac:dyDescent="0.25">
      <c r="C423" s="22" t="str">
        <f>CFF!$C$297</f>
        <v>Investing cashflows</v>
      </c>
      <c r="D423" s="22" t="str">
        <f>CFF!$C$304</f>
        <v>Equity injection</v>
      </c>
      <c r="E423" s="19">
        <f>CFF!$S$7</f>
        <v>84</v>
      </c>
      <c r="F423" s="97">
        <f>CFF!$S$304</f>
        <v>0</v>
      </c>
    </row>
    <row r="424" spans="3:6" x14ac:dyDescent="0.25">
      <c r="C424" s="22" t="str">
        <f>CFF!$C$297</f>
        <v>Investing cashflows</v>
      </c>
      <c r="D424" s="22" t="str">
        <f>CFF!$C$309</f>
        <v>M&amp;A</v>
      </c>
      <c r="E424" s="19">
        <f>CFF!$G$7</f>
        <v>0</v>
      </c>
      <c r="F424" s="97">
        <f>CFF!$G$309</f>
        <v>0</v>
      </c>
    </row>
    <row r="425" spans="3:6" x14ac:dyDescent="0.25">
      <c r="C425" s="22" t="str">
        <f>CFF!$C$297</f>
        <v>Investing cashflows</v>
      </c>
      <c r="D425" s="22" t="str">
        <f>CFF!$C$309</f>
        <v>M&amp;A</v>
      </c>
      <c r="E425" s="19">
        <f>CFF!$H$7</f>
        <v>7</v>
      </c>
      <c r="F425" s="97">
        <f>CFF!$H$309</f>
        <v>0</v>
      </c>
    </row>
    <row r="426" spans="3:6" x14ac:dyDescent="0.25">
      <c r="C426" s="22" t="str">
        <f>CFF!$C$297</f>
        <v>Investing cashflows</v>
      </c>
      <c r="D426" s="22" t="str">
        <f>CFF!$C$309</f>
        <v>M&amp;A</v>
      </c>
      <c r="E426" s="19">
        <f>CFF!$I$7</f>
        <v>14</v>
      </c>
      <c r="F426" s="97">
        <f>CFF!$I$309</f>
        <v>0</v>
      </c>
    </row>
    <row r="427" spans="3:6" x14ac:dyDescent="0.25">
      <c r="C427" s="22" t="str">
        <f>CFF!$C$297</f>
        <v>Investing cashflows</v>
      </c>
      <c r="D427" s="22" t="str">
        <f>CFF!$C$309</f>
        <v>M&amp;A</v>
      </c>
      <c r="E427" s="19">
        <f>CFF!$J$7</f>
        <v>21</v>
      </c>
      <c r="F427" s="97">
        <f>CFF!$J$309</f>
        <v>0</v>
      </c>
    </row>
    <row r="428" spans="3:6" x14ac:dyDescent="0.25">
      <c r="C428" s="22" t="str">
        <f>CFF!$C$297</f>
        <v>Investing cashflows</v>
      </c>
      <c r="D428" s="22" t="str">
        <f>CFF!$C$309</f>
        <v>M&amp;A</v>
      </c>
      <c r="E428" s="19">
        <f>CFF!$K$7</f>
        <v>28</v>
      </c>
      <c r="F428" s="97">
        <f>CFF!$K$309</f>
        <v>0</v>
      </c>
    </row>
    <row r="429" spans="3:6" x14ac:dyDescent="0.25">
      <c r="C429" s="22" t="str">
        <f>CFF!$C$297</f>
        <v>Investing cashflows</v>
      </c>
      <c r="D429" s="22" t="str">
        <f>CFF!$C$309</f>
        <v>M&amp;A</v>
      </c>
      <c r="E429" s="19">
        <f>CFF!$L$7</f>
        <v>35</v>
      </c>
      <c r="F429" s="97">
        <f>CFF!$L$309</f>
        <v>0</v>
      </c>
    </row>
    <row r="430" spans="3:6" x14ac:dyDescent="0.25">
      <c r="C430" s="22" t="str">
        <f>CFF!$C$297</f>
        <v>Investing cashflows</v>
      </c>
      <c r="D430" s="22" t="str">
        <f>CFF!$C$309</f>
        <v>M&amp;A</v>
      </c>
      <c r="E430" s="19">
        <f>CFF!$M$7</f>
        <v>42</v>
      </c>
      <c r="F430" s="97">
        <f>CFF!$M$309</f>
        <v>0</v>
      </c>
    </row>
    <row r="431" spans="3:6" x14ac:dyDescent="0.25">
      <c r="C431" s="22" t="str">
        <f>CFF!$C$297</f>
        <v>Investing cashflows</v>
      </c>
      <c r="D431" s="22" t="str">
        <f>CFF!$C$309</f>
        <v>M&amp;A</v>
      </c>
      <c r="E431" s="19">
        <f>CFF!$N$7</f>
        <v>49</v>
      </c>
      <c r="F431" s="97">
        <f>CFF!$N$309</f>
        <v>0</v>
      </c>
    </row>
    <row r="432" spans="3:6" x14ac:dyDescent="0.25">
      <c r="C432" s="22" t="str">
        <f>CFF!$C$297</f>
        <v>Investing cashflows</v>
      </c>
      <c r="D432" s="22" t="str">
        <f>CFF!$C$309</f>
        <v>M&amp;A</v>
      </c>
      <c r="E432" s="19">
        <f>CFF!$O$7</f>
        <v>56</v>
      </c>
      <c r="F432" s="97">
        <f>CFF!$O$309</f>
        <v>0</v>
      </c>
    </row>
    <row r="433" spans="3:6" x14ac:dyDescent="0.25">
      <c r="C433" s="22" t="str">
        <f>CFF!$C$297</f>
        <v>Investing cashflows</v>
      </c>
      <c r="D433" s="22" t="str">
        <f>CFF!$C$309</f>
        <v>M&amp;A</v>
      </c>
      <c r="E433" s="19">
        <f>CFF!$P$7</f>
        <v>63</v>
      </c>
      <c r="F433" s="97">
        <f>CFF!$P$309</f>
        <v>0</v>
      </c>
    </row>
    <row r="434" spans="3:6" x14ac:dyDescent="0.25">
      <c r="C434" s="22" t="str">
        <f>CFF!$C$297</f>
        <v>Investing cashflows</v>
      </c>
      <c r="D434" s="22" t="str">
        <f>CFF!$C$309</f>
        <v>M&amp;A</v>
      </c>
      <c r="E434" s="19">
        <f>CFF!$Q$7</f>
        <v>70</v>
      </c>
      <c r="F434" s="97">
        <f>CFF!$Q$309</f>
        <v>0</v>
      </c>
    </row>
    <row r="435" spans="3:6" x14ac:dyDescent="0.25">
      <c r="C435" s="22" t="str">
        <f>CFF!$C$297</f>
        <v>Investing cashflows</v>
      </c>
      <c r="D435" s="22" t="str">
        <f>CFF!$C$309</f>
        <v>M&amp;A</v>
      </c>
      <c r="E435" s="19">
        <f>CFF!$R$7</f>
        <v>77</v>
      </c>
      <c r="F435" s="97">
        <f>CFF!$R$309</f>
        <v>0</v>
      </c>
    </row>
    <row r="436" spans="3:6" x14ac:dyDescent="0.25">
      <c r="C436" s="22" t="str">
        <f>CFF!$C$297</f>
        <v>Investing cashflows</v>
      </c>
      <c r="D436" s="22" t="str">
        <f>CFF!$C$309</f>
        <v>M&amp;A</v>
      </c>
      <c r="E436" s="19">
        <f>CFF!$S$7</f>
        <v>84</v>
      </c>
      <c r="F436" s="97">
        <f>CFF!$S$309</f>
        <v>0</v>
      </c>
    </row>
    <row r="437" spans="3:6" x14ac:dyDescent="0.25">
      <c r="C437" s="22" t="str">
        <f>CFF!$C$318</f>
        <v>Closing cash</v>
      </c>
      <c r="D437" s="22" t="str">
        <f>CFF!$C$320</f>
        <v>Opening cash</v>
      </c>
      <c r="E437" s="19">
        <f>CFF!$G$7</f>
        <v>0</v>
      </c>
      <c r="F437" s="97">
        <f>CFF!$G$320</f>
        <v>0</v>
      </c>
    </row>
    <row r="438" spans="3:6" x14ac:dyDescent="0.25">
      <c r="C438" s="22" t="str">
        <f>CFF!$C$318</f>
        <v>Closing cash</v>
      </c>
      <c r="D438" s="22" t="str">
        <f>CFF!$C$320</f>
        <v>Opening cash</v>
      </c>
      <c r="E438" s="19">
        <f>CFF!$H$7</f>
        <v>7</v>
      </c>
      <c r="F438" s="97">
        <f>CFF!$H$320</f>
        <v>0</v>
      </c>
    </row>
    <row r="439" spans="3:6" x14ac:dyDescent="0.25">
      <c r="C439" s="22" t="str">
        <f>CFF!$C$318</f>
        <v>Closing cash</v>
      </c>
      <c r="D439" s="22" t="str">
        <f>CFF!$C$320</f>
        <v>Opening cash</v>
      </c>
      <c r="E439" s="19">
        <f>CFF!$I$7</f>
        <v>14</v>
      </c>
      <c r="F439" s="97">
        <f>CFF!$I$320</f>
        <v>0</v>
      </c>
    </row>
    <row r="440" spans="3:6" x14ac:dyDescent="0.25">
      <c r="C440" s="22" t="str">
        <f>CFF!$C$318</f>
        <v>Closing cash</v>
      </c>
      <c r="D440" s="22" t="str">
        <f>CFF!$C$320</f>
        <v>Opening cash</v>
      </c>
      <c r="E440" s="19">
        <f>CFF!$J$7</f>
        <v>21</v>
      </c>
      <c r="F440" s="97">
        <f>CFF!$J$320</f>
        <v>0</v>
      </c>
    </row>
    <row r="441" spans="3:6" x14ac:dyDescent="0.25">
      <c r="C441" s="22" t="str">
        <f>CFF!$C$318</f>
        <v>Closing cash</v>
      </c>
      <c r="D441" s="22" t="str">
        <f>CFF!$C$320</f>
        <v>Opening cash</v>
      </c>
      <c r="E441" s="19">
        <f>CFF!$K$7</f>
        <v>28</v>
      </c>
      <c r="F441" s="97">
        <f>CFF!$K$320</f>
        <v>0</v>
      </c>
    </row>
    <row r="442" spans="3:6" x14ac:dyDescent="0.25">
      <c r="C442" s="22" t="str">
        <f>CFF!$C$318</f>
        <v>Closing cash</v>
      </c>
      <c r="D442" s="22" t="str">
        <f>CFF!$C$320</f>
        <v>Opening cash</v>
      </c>
      <c r="E442" s="19">
        <f>CFF!$L$7</f>
        <v>35</v>
      </c>
      <c r="F442" s="97">
        <f>CFF!$L$320</f>
        <v>0</v>
      </c>
    </row>
    <row r="443" spans="3:6" x14ac:dyDescent="0.25">
      <c r="C443" s="22" t="str">
        <f>CFF!$C$318</f>
        <v>Closing cash</v>
      </c>
      <c r="D443" s="22" t="str">
        <f>CFF!$C$320</f>
        <v>Opening cash</v>
      </c>
      <c r="E443" s="19">
        <f>CFF!$M$7</f>
        <v>42</v>
      </c>
      <c r="F443" s="97">
        <f>CFF!$M$320</f>
        <v>0</v>
      </c>
    </row>
    <row r="444" spans="3:6" x14ac:dyDescent="0.25">
      <c r="C444" s="22" t="str">
        <f>CFF!$C$318</f>
        <v>Closing cash</v>
      </c>
      <c r="D444" s="22" t="str">
        <f>CFF!$C$320</f>
        <v>Opening cash</v>
      </c>
      <c r="E444" s="19">
        <f>CFF!$N$7</f>
        <v>49</v>
      </c>
      <c r="F444" s="97">
        <f>CFF!$N$320</f>
        <v>0</v>
      </c>
    </row>
    <row r="445" spans="3:6" x14ac:dyDescent="0.25">
      <c r="C445" s="22" t="str">
        <f>CFF!$C$318</f>
        <v>Closing cash</v>
      </c>
      <c r="D445" s="22" t="str">
        <f>CFF!$C$320</f>
        <v>Opening cash</v>
      </c>
      <c r="E445" s="19">
        <f>CFF!$O$7</f>
        <v>56</v>
      </c>
      <c r="F445" s="97">
        <f>CFF!$O$320</f>
        <v>0</v>
      </c>
    </row>
    <row r="446" spans="3:6" x14ac:dyDescent="0.25">
      <c r="C446" s="22" t="str">
        <f>CFF!$C$318</f>
        <v>Closing cash</v>
      </c>
      <c r="D446" s="22" t="str">
        <f>CFF!$C$320</f>
        <v>Opening cash</v>
      </c>
      <c r="E446" s="19">
        <f>CFF!$P$7</f>
        <v>63</v>
      </c>
      <c r="F446" s="97">
        <f>CFF!$P$320</f>
        <v>0</v>
      </c>
    </row>
    <row r="447" spans="3:6" x14ac:dyDescent="0.25">
      <c r="C447" s="22" t="str">
        <f>CFF!$C$318</f>
        <v>Closing cash</v>
      </c>
      <c r="D447" s="22" t="str">
        <f>CFF!$C$320</f>
        <v>Opening cash</v>
      </c>
      <c r="E447" s="19">
        <f>CFF!$Q$7</f>
        <v>70</v>
      </c>
      <c r="F447" s="97">
        <f>CFF!$Q$320</f>
        <v>0</v>
      </c>
    </row>
    <row r="448" spans="3:6" x14ac:dyDescent="0.25">
      <c r="C448" s="22" t="str">
        <f>CFF!$C$318</f>
        <v>Closing cash</v>
      </c>
      <c r="D448" s="22" t="str">
        <f>CFF!$C$320</f>
        <v>Opening cash</v>
      </c>
      <c r="E448" s="19">
        <f>CFF!$R$7</f>
        <v>77</v>
      </c>
      <c r="F448" s="97">
        <f>CFF!$R$320</f>
        <v>0</v>
      </c>
    </row>
    <row r="449" spans="3:6" x14ac:dyDescent="0.25">
      <c r="C449" s="22" t="str">
        <f>CFF!$C$318</f>
        <v>Closing cash</v>
      </c>
      <c r="D449" s="22" t="str">
        <f>CFF!$C$320</f>
        <v>Opening cash</v>
      </c>
      <c r="E449" s="19">
        <f>CFF!$S$7</f>
        <v>84</v>
      </c>
      <c r="F449" s="97">
        <f>CFF!$S$320</f>
        <v>0</v>
      </c>
    </row>
    <row r="450" spans="3:6" x14ac:dyDescent="0.25">
      <c r="C450" s="22" t="str">
        <f>CFF!$C$318</f>
        <v>Closing cash</v>
      </c>
      <c r="D450" s="22" t="str">
        <f>CFF!$C$324</f>
        <v>Closing cash</v>
      </c>
      <c r="E450" s="19">
        <f>CFF!$G$7</f>
        <v>0</v>
      </c>
      <c r="F450" s="97">
        <f>CFF!$G$324</f>
        <v>0</v>
      </c>
    </row>
    <row r="451" spans="3:6" x14ac:dyDescent="0.25">
      <c r="C451" s="22" t="str">
        <f>CFF!$C$318</f>
        <v>Closing cash</v>
      </c>
      <c r="D451" s="22" t="str">
        <f>CFF!$C$324</f>
        <v>Closing cash</v>
      </c>
      <c r="E451" s="19">
        <f>CFF!$H$7</f>
        <v>7</v>
      </c>
      <c r="F451" s="97">
        <f>CFF!$H$324</f>
        <v>0</v>
      </c>
    </row>
    <row r="452" spans="3:6" x14ac:dyDescent="0.25">
      <c r="C452" s="22" t="str">
        <f>CFF!$C$318</f>
        <v>Closing cash</v>
      </c>
      <c r="D452" s="22" t="str">
        <f>CFF!$C$324</f>
        <v>Closing cash</v>
      </c>
      <c r="E452" s="19">
        <f>CFF!$I$7</f>
        <v>14</v>
      </c>
      <c r="F452" s="97">
        <f>CFF!$I$324</f>
        <v>0</v>
      </c>
    </row>
    <row r="453" spans="3:6" x14ac:dyDescent="0.25">
      <c r="C453" s="22" t="str">
        <f>CFF!$C$318</f>
        <v>Closing cash</v>
      </c>
      <c r="D453" s="22" t="str">
        <f>CFF!$C$324</f>
        <v>Closing cash</v>
      </c>
      <c r="E453" s="19">
        <f>CFF!$J$7</f>
        <v>21</v>
      </c>
      <c r="F453" s="97">
        <f>CFF!$J$324</f>
        <v>0</v>
      </c>
    </row>
    <row r="454" spans="3:6" x14ac:dyDescent="0.25">
      <c r="C454" s="22" t="str">
        <f>CFF!$C$318</f>
        <v>Closing cash</v>
      </c>
      <c r="D454" s="22" t="str">
        <f>CFF!$C$324</f>
        <v>Closing cash</v>
      </c>
      <c r="E454" s="19">
        <f>CFF!$K$7</f>
        <v>28</v>
      </c>
      <c r="F454" s="97">
        <f>CFF!$K$324</f>
        <v>0</v>
      </c>
    </row>
    <row r="455" spans="3:6" x14ac:dyDescent="0.25">
      <c r="C455" s="22" t="str">
        <f>CFF!$C$318</f>
        <v>Closing cash</v>
      </c>
      <c r="D455" s="22" t="str">
        <f>CFF!$C$324</f>
        <v>Closing cash</v>
      </c>
      <c r="E455" s="19">
        <f>CFF!$L$7</f>
        <v>35</v>
      </c>
      <c r="F455" s="97">
        <f>CFF!$L$324</f>
        <v>0</v>
      </c>
    </row>
    <row r="456" spans="3:6" x14ac:dyDescent="0.25">
      <c r="C456" s="22" t="str">
        <f>CFF!$C$318</f>
        <v>Closing cash</v>
      </c>
      <c r="D456" s="22" t="str">
        <f>CFF!$C$324</f>
        <v>Closing cash</v>
      </c>
      <c r="E456" s="19">
        <f>CFF!$M$7</f>
        <v>42</v>
      </c>
      <c r="F456" s="97">
        <f>CFF!$M$324</f>
        <v>0</v>
      </c>
    </row>
    <row r="457" spans="3:6" x14ac:dyDescent="0.25">
      <c r="C457" s="22" t="str">
        <f>CFF!$C$318</f>
        <v>Closing cash</v>
      </c>
      <c r="D457" s="22" t="str">
        <f>CFF!$C$324</f>
        <v>Closing cash</v>
      </c>
      <c r="E457" s="19">
        <f>CFF!$N$7</f>
        <v>49</v>
      </c>
      <c r="F457" s="97">
        <f>CFF!$N$324</f>
        <v>0</v>
      </c>
    </row>
    <row r="458" spans="3:6" x14ac:dyDescent="0.25">
      <c r="C458" s="22" t="str">
        <f>CFF!$C$318</f>
        <v>Closing cash</v>
      </c>
      <c r="D458" s="22" t="str">
        <f>CFF!$C$324</f>
        <v>Closing cash</v>
      </c>
      <c r="E458" s="19">
        <f>CFF!$O$7</f>
        <v>56</v>
      </c>
      <c r="F458" s="97">
        <f>CFF!$O$324</f>
        <v>0</v>
      </c>
    </row>
    <row r="459" spans="3:6" x14ac:dyDescent="0.25">
      <c r="C459" s="22" t="str">
        <f>CFF!$C$318</f>
        <v>Closing cash</v>
      </c>
      <c r="D459" s="22" t="str">
        <f>CFF!$C$324</f>
        <v>Closing cash</v>
      </c>
      <c r="E459" s="19">
        <f>CFF!$P$7</f>
        <v>63</v>
      </c>
      <c r="F459" s="97">
        <f>CFF!$P$324</f>
        <v>0</v>
      </c>
    </row>
    <row r="460" spans="3:6" x14ac:dyDescent="0.25">
      <c r="C460" s="22" t="str">
        <f>CFF!$C$318</f>
        <v>Closing cash</v>
      </c>
      <c r="D460" s="22" t="str">
        <f>CFF!$C$324</f>
        <v>Closing cash</v>
      </c>
      <c r="E460" s="19">
        <f>CFF!$Q$7</f>
        <v>70</v>
      </c>
      <c r="F460" s="97">
        <f>CFF!$Q$324</f>
        <v>0</v>
      </c>
    </row>
    <row r="461" spans="3:6" x14ac:dyDescent="0.25">
      <c r="C461" s="22" t="str">
        <f>CFF!$C$318</f>
        <v>Closing cash</v>
      </c>
      <c r="D461" s="22" t="str">
        <f>CFF!$C$324</f>
        <v>Closing cash</v>
      </c>
      <c r="E461" s="19">
        <f>CFF!$R$7</f>
        <v>77</v>
      </c>
      <c r="F461" s="97">
        <f>CFF!$R$324</f>
        <v>0</v>
      </c>
    </row>
    <row r="462" spans="3:6" x14ac:dyDescent="0.25">
      <c r="C462" s="22" t="str">
        <f>CFF!$C$318</f>
        <v>Closing cash</v>
      </c>
      <c r="D462" s="22" t="str">
        <f>CFF!$C$324</f>
        <v>Closing cash</v>
      </c>
      <c r="E462" s="19">
        <f>CFF!$S$7</f>
        <v>84</v>
      </c>
      <c r="F462" s="97">
        <f>CFF!$S$324</f>
        <v>0</v>
      </c>
    </row>
    <row r="463" spans="3:6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3F8A-E9C5-4F75-A8B0-E5E644F2A7CB}">
  <sheetPr>
    <tabColor theme="9" tint="0.79998168889431442"/>
  </sheetPr>
  <dimension ref="A1:H462"/>
  <sheetViews>
    <sheetView showGridLines="0" workbookViewId="0"/>
  </sheetViews>
  <sheetFormatPr defaultColWidth="0" defaultRowHeight="13.5" x14ac:dyDescent="0.25"/>
  <cols>
    <col min="1" max="2" width="1.7109375" style="1" customWidth="1"/>
    <col min="3" max="7" width="30.7109375" style="1" customWidth="1"/>
    <col min="8" max="8" width="1.7109375" style="1" customWidth="1"/>
    <col min="9" max="16384" width="9.140625" style="1" hidden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</row>
    <row r="3" spans="1:8" ht="15.75" x14ac:dyDescent="0.25">
      <c r="A3" s="2"/>
      <c r="B3" s="16" t="s">
        <v>190</v>
      </c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7" spans="1:8" x14ac:dyDescent="0.25">
      <c r="C7" s="25" t="s">
        <v>191</v>
      </c>
      <c r="D7" s="26" t="s">
        <v>68</v>
      </c>
      <c r="E7" s="26" t="s">
        <v>69</v>
      </c>
      <c r="F7" s="39" t="s">
        <v>165</v>
      </c>
      <c r="G7" s="27" t="s">
        <v>47</v>
      </c>
    </row>
    <row r="8" spans="1:8" x14ac:dyDescent="0.25">
      <c r="C8" s="24"/>
      <c r="D8" s="20"/>
      <c r="E8" s="20"/>
      <c r="F8" s="48"/>
      <c r="G8" s="98"/>
    </row>
    <row r="9" spans="1:8" x14ac:dyDescent="0.25">
      <c r="C9" s="24"/>
      <c r="D9" s="20"/>
      <c r="E9" s="20"/>
      <c r="F9" s="48"/>
      <c r="G9" s="98"/>
    </row>
    <row r="10" spans="1:8" x14ac:dyDescent="0.25">
      <c r="C10" s="24"/>
      <c r="D10" s="29"/>
      <c r="E10" s="29"/>
      <c r="F10" s="100"/>
      <c r="G10" s="99"/>
    </row>
    <row r="11" spans="1:8" x14ac:dyDescent="0.25">
      <c r="C11" s="24"/>
      <c r="D11" s="20"/>
      <c r="E11" s="20"/>
      <c r="F11" s="48"/>
      <c r="G11" s="98"/>
    </row>
    <row r="12" spans="1:8" x14ac:dyDescent="0.25">
      <c r="C12" s="24"/>
      <c r="D12" s="20"/>
      <c r="E12" s="20"/>
      <c r="F12" s="48"/>
      <c r="G12" s="98"/>
    </row>
    <row r="13" spans="1:8" x14ac:dyDescent="0.25">
      <c r="C13" s="24"/>
      <c r="D13" s="20"/>
      <c r="E13" s="20"/>
      <c r="F13" s="48"/>
      <c r="G13" s="98"/>
    </row>
    <row r="14" spans="1:8" x14ac:dyDescent="0.25">
      <c r="C14" s="24"/>
      <c r="D14" s="20"/>
      <c r="E14" s="20"/>
      <c r="F14" s="48"/>
      <c r="G14" s="98"/>
    </row>
    <row r="15" spans="1:8" x14ac:dyDescent="0.25">
      <c r="C15" s="24"/>
      <c r="D15" s="20"/>
      <c r="E15" s="20"/>
      <c r="F15" s="48"/>
      <c r="G15" s="98"/>
    </row>
    <row r="16" spans="1:8" x14ac:dyDescent="0.25">
      <c r="C16" s="24"/>
      <c r="D16" s="20"/>
      <c r="E16" s="20"/>
      <c r="F16" s="48"/>
      <c r="G16" s="98"/>
    </row>
    <row r="17" spans="3:7" x14ac:dyDescent="0.25">
      <c r="C17" s="24"/>
      <c r="D17" s="20"/>
      <c r="E17" s="20"/>
      <c r="F17" s="48"/>
      <c r="G17" s="98"/>
    </row>
    <row r="18" spans="3:7" x14ac:dyDescent="0.25">
      <c r="C18" s="24"/>
      <c r="D18" s="20"/>
      <c r="E18" s="20"/>
      <c r="F18" s="48"/>
      <c r="G18" s="98"/>
    </row>
    <row r="19" spans="3:7" x14ac:dyDescent="0.25">
      <c r="C19" s="24"/>
      <c r="D19" s="20"/>
      <c r="E19" s="20"/>
      <c r="F19" s="48"/>
      <c r="G19" s="98"/>
    </row>
    <row r="20" spans="3:7" x14ac:dyDescent="0.25">
      <c r="C20" s="24"/>
      <c r="D20" s="20"/>
      <c r="E20" s="20"/>
      <c r="F20" s="48"/>
      <c r="G20" s="98"/>
    </row>
    <row r="21" spans="3:7" x14ac:dyDescent="0.25">
      <c r="C21" s="24"/>
      <c r="D21" s="20"/>
      <c r="E21" s="20"/>
      <c r="F21" s="48"/>
      <c r="G21" s="98"/>
    </row>
    <row r="22" spans="3:7" x14ac:dyDescent="0.25">
      <c r="C22" s="24"/>
      <c r="D22" s="20"/>
      <c r="E22" s="20"/>
      <c r="F22" s="48"/>
      <c r="G22" s="98"/>
    </row>
    <row r="23" spans="3:7" x14ac:dyDescent="0.25">
      <c r="C23" s="24"/>
      <c r="D23" s="20"/>
      <c r="E23" s="20"/>
      <c r="F23" s="48"/>
      <c r="G23" s="98"/>
    </row>
    <row r="24" spans="3:7" x14ac:dyDescent="0.25">
      <c r="C24" s="24"/>
      <c r="D24" s="20"/>
      <c r="E24" s="20"/>
      <c r="F24" s="48"/>
      <c r="G24" s="98"/>
    </row>
    <row r="25" spans="3:7" x14ac:dyDescent="0.25">
      <c r="C25" s="24"/>
      <c r="D25" s="20"/>
      <c r="E25" s="20"/>
      <c r="F25" s="48"/>
      <c r="G25" s="98"/>
    </row>
    <row r="26" spans="3:7" x14ac:dyDescent="0.25">
      <c r="C26" s="24"/>
      <c r="D26" s="20"/>
      <c r="E26" s="20"/>
      <c r="F26" s="48"/>
      <c r="G26" s="98"/>
    </row>
    <row r="27" spans="3:7" x14ac:dyDescent="0.25">
      <c r="C27" s="24"/>
      <c r="D27" s="20"/>
      <c r="E27" s="20"/>
      <c r="F27" s="48"/>
      <c r="G27" s="98"/>
    </row>
    <row r="28" spans="3:7" x14ac:dyDescent="0.25">
      <c r="C28" s="24"/>
      <c r="D28" s="20"/>
      <c r="E28" s="20"/>
      <c r="F28" s="48"/>
      <c r="G28" s="98"/>
    </row>
    <row r="29" spans="3:7" x14ac:dyDescent="0.25">
      <c r="C29" s="24"/>
      <c r="D29" s="20"/>
      <c r="E29" s="20"/>
      <c r="F29" s="48"/>
      <c r="G29" s="98"/>
    </row>
    <row r="30" spans="3:7" x14ac:dyDescent="0.25">
      <c r="C30" s="24"/>
      <c r="D30" s="20"/>
      <c r="E30" s="20"/>
      <c r="F30" s="48"/>
      <c r="G30" s="98"/>
    </row>
    <row r="31" spans="3:7" x14ac:dyDescent="0.25">
      <c r="C31" s="24"/>
      <c r="D31" s="20"/>
      <c r="E31" s="20"/>
      <c r="F31" s="48"/>
      <c r="G31" s="98"/>
    </row>
    <row r="32" spans="3:7" x14ac:dyDescent="0.25">
      <c r="C32" s="24"/>
      <c r="D32" s="20"/>
      <c r="E32" s="20"/>
      <c r="F32" s="48"/>
      <c r="G32" s="98"/>
    </row>
    <row r="33" spans="3:7" x14ac:dyDescent="0.25">
      <c r="C33" s="24"/>
      <c r="D33" s="20"/>
      <c r="E33" s="20"/>
      <c r="F33" s="48"/>
      <c r="G33" s="98"/>
    </row>
    <row r="34" spans="3:7" x14ac:dyDescent="0.25">
      <c r="C34" s="24"/>
      <c r="D34" s="20"/>
      <c r="E34" s="20"/>
      <c r="F34" s="48"/>
      <c r="G34" s="98"/>
    </row>
    <row r="35" spans="3:7" x14ac:dyDescent="0.25">
      <c r="C35" s="24"/>
      <c r="D35" s="20"/>
      <c r="E35" s="20"/>
      <c r="F35" s="48"/>
      <c r="G35" s="98"/>
    </row>
    <row r="36" spans="3:7" x14ac:dyDescent="0.25">
      <c r="C36" s="24"/>
      <c r="D36" s="20"/>
      <c r="E36" s="20"/>
      <c r="F36" s="48"/>
      <c r="G36" s="98"/>
    </row>
    <row r="37" spans="3:7" x14ac:dyDescent="0.25">
      <c r="C37" s="24"/>
      <c r="D37" s="20"/>
      <c r="E37" s="20"/>
      <c r="F37" s="48"/>
      <c r="G37" s="98"/>
    </row>
    <row r="38" spans="3:7" x14ac:dyDescent="0.25">
      <c r="C38" s="24"/>
      <c r="D38" s="20"/>
      <c r="E38" s="20"/>
      <c r="F38" s="48"/>
      <c r="G38" s="98"/>
    </row>
    <row r="39" spans="3:7" x14ac:dyDescent="0.25">
      <c r="C39" s="24"/>
      <c r="D39" s="20"/>
      <c r="E39" s="20"/>
      <c r="F39" s="48"/>
      <c r="G39" s="98"/>
    </row>
    <row r="40" spans="3:7" x14ac:dyDescent="0.25">
      <c r="C40" s="24"/>
      <c r="D40" s="20"/>
      <c r="E40" s="20"/>
      <c r="F40" s="48"/>
      <c r="G40" s="98"/>
    </row>
    <row r="41" spans="3:7" x14ac:dyDescent="0.25">
      <c r="C41" s="24"/>
      <c r="D41" s="20"/>
      <c r="E41" s="20"/>
      <c r="F41" s="48"/>
      <c r="G41" s="98"/>
    </row>
    <row r="42" spans="3:7" x14ac:dyDescent="0.25">
      <c r="C42" s="24"/>
      <c r="D42" s="20"/>
      <c r="E42" s="20"/>
      <c r="F42" s="48"/>
      <c r="G42" s="98"/>
    </row>
    <row r="43" spans="3:7" x14ac:dyDescent="0.25">
      <c r="C43" s="24"/>
      <c r="D43" s="20"/>
      <c r="E43" s="20"/>
      <c r="F43" s="48"/>
      <c r="G43" s="98"/>
    </row>
    <row r="44" spans="3:7" x14ac:dyDescent="0.25">
      <c r="C44" s="24"/>
      <c r="D44" s="20"/>
      <c r="E44" s="20"/>
      <c r="F44" s="48"/>
      <c r="G44" s="98"/>
    </row>
    <row r="45" spans="3:7" x14ac:dyDescent="0.25">
      <c r="C45" s="24"/>
      <c r="D45" s="20"/>
      <c r="E45" s="20"/>
      <c r="F45" s="48"/>
      <c r="G45" s="98"/>
    </row>
    <row r="46" spans="3:7" x14ac:dyDescent="0.25">
      <c r="C46" s="24"/>
      <c r="D46" s="20"/>
      <c r="E46" s="20"/>
      <c r="F46" s="48"/>
      <c r="G46" s="98"/>
    </row>
    <row r="47" spans="3:7" x14ac:dyDescent="0.25">
      <c r="C47" s="24"/>
      <c r="D47" s="20"/>
      <c r="E47" s="20"/>
      <c r="F47" s="48"/>
      <c r="G47" s="98"/>
    </row>
    <row r="48" spans="3:7" x14ac:dyDescent="0.25">
      <c r="C48" s="24"/>
      <c r="D48" s="20"/>
      <c r="E48" s="20"/>
      <c r="F48" s="48"/>
      <c r="G48" s="98"/>
    </row>
    <row r="49" spans="3:7" x14ac:dyDescent="0.25">
      <c r="C49" s="24"/>
      <c r="D49" s="20"/>
      <c r="E49" s="20"/>
      <c r="F49" s="48"/>
      <c r="G49" s="98"/>
    </row>
    <row r="50" spans="3:7" x14ac:dyDescent="0.25">
      <c r="C50" s="24"/>
      <c r="D50" s="20"/>
      <c r="E50" s="20"/>
      <c r="F50" s="48"/>
      <c r="G50" s="98"/>
    </row>
    <row r="51" spans="3:7" x14ac:dyDescent="0.25">
      <c r="C51" s="24"/>
      <c r="D51" s="20"/>
      <c r="E51" s="20"/>
      <c r="F51" s="48"/>
      <c r="G51" s="98"/>
    </row>
    <row r="52" spans="3:7" x14ac:dyDescent="0.25">
      <c r="C52" s="24"/>
      <c r="D52" s="20"/>
      <c r="E52" s="20"/>
      <c r="F52" s="48"/>
      <c r="G52" s="98"/>
    </row>
    <row r="53" spans="3:7" x14ac:dyDescent="0.25">
      <c r="C53" s="24"/>
      <c r="D53" s="20"/>
      <c r="E53" s="20"/>
      <c r="F53" s="48"/>
      <c r="G53" s="98"/>
    </row>
    <row r="54" spans="3:7" x14ac:dyDescent="0.25">
      <c r="C54" s="24"/>
      <c r="D54" s="20"/>
      <c r="E54" s="20"/>
      <c r="F54" s="48"/>
      <c r="G54" s="98"/>
    </row>
    <row r="55" spans="3:7" x14ac:dyDescent="0.25">
      <c r="C55" s="24"/>
      <c r="D55" s="20"/>
      <c r="E55" s="20"/>
      <c r="F55" s="48"/>
      <c r="G55" s="98"/>
    </row>
    <row r="56" spans="3:7" x14ac:dyDescent="0.25">
      <c r="C56" s="24"/>
      <c r="D56" s="20"/>
      <c r="E56" s="20"/>
      <c r="F56" s="48"/>
      <c r="G56" s="98"/>
    </row>
    <row r="57" spans="3:7" x14ac:dyDescent="0.25">
      <c r="C57" s="24"/>
      <c r="D57" s="20"/>
      <c r="E57" s="20"/>
      <c r="F57" s="48"/>
      <c r="G57" s="98"/>
    </row>
    <row r="58" spans="3:7" x14ac:dyDescent="0.25">
      <c r="C58" s="24"/>
      <c r="D58" s="20"/>
      <c r="E58" s="20"/>
      <c r="F58" s="48"/>
      <c r="G58" s="98"/>
    </row>
    <row r="59" spans="3:7" x14ac:dyDescent="0.25">
      <c r="C59" s="24"/>
      <c r="D59" s="20"/>
      <c r="E59" s="20"/>
      <c r="F59" s="48"/>
      <c r="G59" s="98"/>
    </row>
    <row r="60" spans="3:7" x14ac:dyDescent="0.25">
      <c r="C60" s="24"/>
      <c r="D60" s="20"/>
      <c r="E60" s="20"/>
      <c r="F60" s="48"/>
      <c r="G60" s="98"/>
    </row>
    <row r="61" spans="3:7" x14ac:dyDescent="0.25">
      <c r="C61" s="24"/>
      <c r="D61" s="20"/>
      <c r="E61" s="20"/>
      <c r="F61" s="48"/>
      <c r="G61" s="98"/>
    </row>
    <row r="62" spans="3:7" x14ac:dyDescent="0.25">
      <c r="C62" s="24"/>
      <c r="D62" s="20"/>
      <c r="E62" s="20"/>
      <c r="F62" s="48"/>
      <c r="G62" s="98"/>
    </row>
    <row r="63" spans="3:7" x14ac:dyDescent="0.25">
      <c r="C63" s="24"/>
      <c r="D63" s="20"/>
      <c r="E63" s="20"/>
      <c r="F63" s="48"/>
      <c r="G63" s="98"/>
    </row>
    <row r="64" spans="3:7" x14ac:dyDescent="0.25">
      <c r="C64" s="24"/>
      <c r="D64" s="20"/>
      <c r="E64" s="20"/>
      <c r="F64" s="48"/>
      <c r="G64" s="98"/>
    </row>
    <row r="65" spans="3:7" x14ac:dyDescent="0.25">
      <c r="C65" s="24"/>
      <c r="D65" s="20"/>
      <c r="E65" s="20"/>
      <c r="F65" s="48"/>
      <c r="G65" s="98"/>
    </row>
    <row r="66" spans="3:7" x14ac:dyDescent="0.25">
      <c r="C66" s="24"/>
      <c r="D66" s="20"/>
      <c r="E66" s="20"/>
      <c r="F66" s="48"/>
      <c r="G66" s="98"/>
    </row>
    <row r="67" spans="3:7" x14ac:dyDescent="0.25">
      <c r="C67" s="24"/>
      <c r="D67" s="20"/>
      <c r="E67" s="20"/>
      <c r="F67" s="48"/>
      <c r="G67" s="98"/>
    </row>
    <row r="68" spans="3:7" x14ac:dyDescent="0.25">
      <c r="C68" s="24"/>
      <c r="D68" s="20"/>
      <c r="E68" s="20"/>
      <c r="F68" s="48"/>
      <c r="G68" s="98"/>
    </row>
    <row r="69" spans="3:7" x14ac:dyDescent="0.25">
      <c r="C69" s="24"/>
      <c r="D69" s="20"/>
      <c r="E69" s="20"/>
      <c r="F69" s="48"/>
      <c r="G69" s="98"/>
    </row>
    <row r="70" spans="3:7" x14ac:dyDescent="0.25">
      <c r="C70" s="24"/>
      <c r="D70" s="20"/>
      <c r="E70" s="20"/>
      <c r="F70" s="48"/>
      <c r="G70" s="98"/>
    </row>
    <row r="71" spans="3:7" x14ac:dyDescent="0.25">
      <c r="C71" s="24"/>
      <c r="D71" s="20"/>
      <c r="E71" s="20"/>
      <c r="F71" s="48"/>
      <c r="G71" s="98"/>
    </row>
    <row r="72" spans="3:7" x14ac:dyDescent="0.25">
      <c r="C72" s="24"/>
      <c r="D72" s="20"/>
      <c r="E72" s="20"/>
      <c r="F72" s="48"/>
      <c r="G72" s="98"/>
    </row>
    <row r="73" spans="3:7" x14ac:dyDescent="0.25">
      <c r="C73" s="24"/>
      <c r="D73" s="20"/>
      <c r="E73" s="20"/>
      <c r="F73" s="48"/>
      <c r="G73" s="98"/>
    </row>
    <row r="74" spans="3:7" x14ac:dyDescent="0.25">
      <c r="C74" s="24"/>
      <c r="D74" s="20"/>
      <c r="E74" s="20"/>
      <c r="F74" s="48"/>
      <c r="G74" s="98"/>
    </row>
    <row r="75" spans="3:7" x14ac:dyDescent="0.25">
      <c r="C75" s="24"/>
      <c r="D75" s="20"/>
      <c r="E75" s="20"/>
      <c r="F75" s="48"/>
      <c r="G75" s="98"/>
    </row>
    <row r="76" spans="3:7" x14ac:dyDescent="0.25">
      <c r="C76" s="24"/>
      <c r="D76" s="20"/>
      <c r="E76" s="20"/>
      <c r="F76" s="48"/>
      <c r="G76" s="98"/>
    </row>
    <row r="77" spans="3:7" x14ac:dyDescent="0.25">
      <c r="C77" s="24"/>
      <c r="D77" s="20"/>
      <c r="E77" s="20"/>
      <c r="F77" s="48"/>
      <c r="G77" s="98"/>
    </row>
    <row r="78" spans="3:7" x14ac:dyDescent="0.25">
      <c r="C78" s="24"/>
      <c r="D78" s="20"/>
      <c r="E78" s="20"/>
      <c r="F78" s="48"/>
      <c r="G78" s="98"/>
    </row>
    <row r="79" spans="3:7" x14ac:dyDescent="0.25">
      <c r="C79" s="24"/>
      <c r="D79" s="20"/>
      <c r="E79" s="20"/>
      <c r="F79" s="48"/>
      <c r="G79" s="98"/>
    </row>
    <row r="80" spans="3:7" x14ac:dyDescent="0.25">
      <c r="C80" s="24"/>
      <c r="D80" s="20"/>
      <c r="E80" s="20"/>
      <c r="F80" s="48"/>
      <c r="G80" s="98"/>
    </row>
    <row r="81" spans="3:7" x14ac:dyDescent="0.25">
      <c r="C81" s="24"/>
      <c r="D81" s="20"/>
      <c r="E81" s="20"/>
      <c r="F81" s="48"/>
      <c r="G81" s="98"/>
    </row>
    <row r="82" spans="3:7" x14ac:dyDescent="0.25">
      <c r="C82" s="24"/>
      <c r="D82" s="20"/>
      <c r="E82" s="20"/>
      <c r="F82" s="48"/>
      <c r="G82" s="98"/>
    </row>
    <row r="83" spans="3:7" x14ac:dyDescent="0.25">
      <c r="C83" s="24"/>
      <c r="D83" s="20"/>
      <c r="E83" s="20"/>
      <c r="F83" s="48"/>
      <c r="G83" s="98"/>
    </row>
    <row r="84" spans="3:7" x14ac:dyDescent="0.25">
      <c r="C84" s="24"/>
      <c r="D84" s="20"/>
      <c r="E84" s="20"/>
      <c r="F84" s="48"/>
      <c r="G84" s="98"/>
    </row>
    <row r="85" spans="3:7" x14ac:dyDescent="0.25">
      <c r="C85" s="24"/>
      <c r="D85" s="20"/>
      <c r="E85" s="20"/>
      <c r="F85" s="48"/>
      <c r="G85" s="98"/>
    </row>
    <row r="86" spans="3:7" x14ac:dyDescent="0.25">
      <c r="C86" s="24"/>
      <c r="D86" s="20"/>
      <c r="E86" s="20"/>
      <c r="F86" s="48"/>
      <c r="G86" s="98"/>
    </row>
    <row r="87" spans="3:7" x14ac:dyDescent="0.25">
      <c r="C87" s="24"/>
      <c r="D87" s="20"/>
      <c r="E87" s="20"/>
      <c r="F87" s="48"/>
      <c r="G87" s="98"/>
    </row>
    <row r="88" spans="3:7" x14ac:dyDescent="0.25">
      <c r="C88" s="24"/>
      <c r="D88" s="20"/>
      <c r="E88" s="20"/>
      <c r="F88" s="48"/>
      <c r="G88" s="98"/>
    </row>
    <row r="89" spans="3:7" x14ac:dyDescent="0.25">
      <c r="C89" s="24"/>
      <c r="D89" s="20"/>
      <c r="E89" s="20"/>
      <c r="F89" s="48"/>
      <c r="G89" s="98"/>
    </row>
    <row r="90" spans="3:7" x14ac:dyDescent="0.25">
      <c r="C90" s="24"/>
      <c r="D90" s="20"/>
      <c r="E90" s="20"/>
      <c r="F90" s="48"/>
      <c r="G90" s="98"/>
    </row>
    <row r="91" spans="3:7" x14ac:dyDescent="0.25">
      <c r="C91" s="24"/>
      <c r="D91" s="20"/>
      <c r="E91" s="20"/>
      <c r="F91" s="48"/>
      <c r="G91" s="98"/>
    </row>
    <row r="92" spans="3:7" x14ac:dyDescent="0.25">
      <c r="C92" s="24"/>
      <c r="D92" s="20"/>
      <c r="E92" s="20"/>
      <c r="F92" s="48"/>
      <c r="G92" s="98"/>
    </row>
    <row r="93" spans="3:7" x14ac:dyDescent="0.25">
      <c r="C93" s="24"/>
      <c r="D93" s="20"/>
      <c r="E93" s="20"/>
      <c r="F93" s="48"/>
      <c r="G93" s="98"/>
    </row>
    <row r="94" spans="3:7" x14ac:dyDescent="0.25">
      <c r="C94" s="24"/>
      <c r="D94" s="20"/>
      <c r="E94" s="20"/>
      <c r="F94" s="48"/>
      <c r="G94" s="98"/>
    </row>
    <row r="95" spans="3:7" x14ac:dyDescent="0.25">
      <c r="C95" s="24"/>
      <c r="D95" s="20"/>
      <c r="E95" s="20"/>
      <c r="F95" s="48"/>
      <c r="G95" s="98"/>
    </row>
    <row r="96" spans="3:7" x14ac:dyDescent="0.25">
      <c r="C96" s="24"/>
      <c r="D96" s="20"/>
      <c r="E96" s="20"/>
      <c r="F96" s="48"/>
      <c r="G96" s="98"/>
    </row>
    <row r="97" spans="3:7" x14ac:dyDescent="0.25">
      <c r="C97" s="24"/>
      <c r="D97" s="20"/>
      <c r="E97" s="20"/>
      <c r="F97" s="48"/>
      <c r="G97" s="98"/>
    </row>
    <row r="98" spans="3:7" x14ac:dyDescent="0.25">
      <c r="C98" s="24"/>
      <c r="D98" s="20"/>
      <c r="E98" s="20"/>
      <c r="F98" s="48"/>
      <c r="G98" s="98"/>
    </row>
    <row r="99" spans="3:7" x14ac:dyDescent="0.25">
      <c r="C99" s="24"/>
      <c r="D99" s="20"/>
      <c r="E99" s="20"/>
      <c r="F99" s="48"/>
      <c r="G99" s="98"/>
    </row>
    <row r="100" spans="3:7" x14ac:dyDescent="0.25">
      <c r="C100" s="24"/>
      <c r="D100" s="20"/>
      <c r="E100" s="20"/>
      <c r="F100" s="48"/>
      <c r="G100" s="98"/>
    </row>
    <row r="101" spans="3:7" x14ac:dyDescent="0.25">
      <c r="C101" s="24"/>
      <c r="D101" s="20"/>
      <c r="E101" s="20"/>
      <c r="F101" s="48"/>
      <c r="G101" s="98"/>
    </row>
    <row r="102" spans="3:7" x14ac:dyDescent="0.25">
      <c r="C102" s="24"/>
      <c r="D102" s="20"/>
      <c r="E102" s="20"/>
      <c r="F102" s="48"/>
      <c r="G102" s="98"/>
    </row>
    <row r="103" spans="3:7" x14ac:dyDescent="0.25">
      <c r="C103" s="24"/>
      <c r="D103" s="20"/>
      <c r="E103" s="20"/>
      <c r="F103" s="48"/>
      <c r="G103" s="98"/>
    </row>
    <row r="104" spans="3:7" x14ac:dyDescent="0.25">
      <c r="C104" s="24"/>
      <c r="D104" s="20"/>
      <c r="E104" s="20"/>
      <c r="F104" s="48"/>
      <c r="G104" s="98"/>
    </row>
    <row r="105" spans="3:7" x14ac:dyDescent="0.25">
      <c r="C105" s="24"/>
      <c r="D105" s="20"/>
      <c r="E105" s="20"/>
      <c r="F105" s="48"/>
      <c r="G105" s="98"/>
    </row>
    <row r="106" spans="3:7" x14ac:dyDescent="0.25">
      <c r="C106" s="24"/>
      <c r="D106" s="20"/>
      <c r="E106" s="20"/>
      <c r="F106" s="48"/>
      <c r="G106" s="98"/>
    </row>
    <row r="107" spans="3:7" x14ac:dyDescent="0.25">
      <c r="C107" s="24"/>
      <c r="D107" s="20"/>
      <c r="E107" s="20"/>
      <c r="F107" s="48"/>
      <c r="G107" s="98"/>
    </row>
    <row r="108" spans="3:7" x14ac:dyDescent="0.25">
      <c r="C108" s="24"/>
      <c r="D108" s="20"/>
      <c r="E108" s="20"/>
      <c r="F108" s="48"/>
      <c r="G108" s="98"/>
    </row>
    <row r="109" spans="3:7" x14ac:dyDescent="0.25">
      <c r="C109" s="24"/>
      <c r="D109" s="20"/>
      <c r="E109" s="20"/>
      <c r="F109" s="48"/>
      <c r="G109" s="98"/>
    </row>
    <row r="110" spans="3:7" x14ac:dyDescent="0.25">
      <c r="C110" s="24"/>
      <c r="D110" s="20"/>
      <c r="E110" s="20"/>
      <c r="F110" s="48"/>
      <c r="G110" s="98"/>
    </row>
    <row r="111" spans="3:7" x14ac:dyDescent="0.25">
      <c r="C111" s="24"/>
      <c r="D111" s="20"/>
      <c r="E111" s="20"/>
      <c r="F111" s="48"/>
      <c r="G111" s="98"/>
    </row>
    <row r="112" spans="3:7" x14ac:dyDescent="0.25">
      <c r="C112" s="24"/>
      <c r="D112" s="20"/>
      <c r="E112" s="20"/>
      <c r="F112" s="48"/>
      <c r="G112" s="98"/>
    </row>
    <row r="113" spans="3:7" x14ac:dyDescent="0.25">
      <c r="C113" s="24"/>
      <c r="D113" s="20"/>
      <c r="E113" s="20"/>
      <c r="F113" s="48"/>
      <c r="G113" s="98"/>
    </row>
    <row r="114" spans="3:7" x14ac:dyDescent="0.25">
      <c r="C114" s="24"/>
      <c r="D114" s="20"/>
      <c r="E114" s="20"/>
      <c r="F114" s="48"/>
      <c r="G114" s="98"/>
    </row>
    <row r="115" spans="3:7" x14ac:dyDescent="0.25">
      <c r="C115" s="24"/>
      <c r="D115" s="20"/>
      <c r="E115" s="20"/>
      <c r="F115" s="48"/>
      <c r="G115" s="98"/>
    </row>
    <row r="116" spans="3:7" x14ac:dyDescent="0.25">
      <c r="C116" s="24"/>
      <c r="D116" s="20"/>
      <c r="E116" s="20"/>
      <c r="F116" s="48"/>
      <c r="G116" s="98"/>
    </row>
    <row r="117" spans="3:7" x14ac:dyDescent="0.25">
      <c r="C117" s="24"/>
      <c r="D117" s="20"/>
      <c r="E117" s="20"/>
      <c r="F117" s="48"/>
      <c r="G117" s="98"/>
    </row>
    <row r="118" spans="3:7" x14ac:dyDescent="0.25">
      <c r="C118" s="24"/>
      <c r="D118" s="20"/>
      <c r="E118" s="20"/>
      <c r="F118" s="48"/>
      <c r="G118" s="98"/>
    </row>
    <row r="119" spans="3:7" x14ac:dyDescent="0.25">
      <c r="C119" s="24"/>
      <c r="D119" s="20"/>
      <c r="E119" s="20"/>
      <c r="F119" s="48"/>
      <c r="G119" s="98"/>
    </row>
    <row r="120" spans="3:7" x14ac:dyDescent="0.25">
      <c r="C120" s="24"/>
      <c r="D120" s="20"/>
      <c r="E120" s="20"/>
      <c r="F120" s="48"/>
      <c r="G120" s="98"/>
    </row>
    <row r="121" spans="3:7" x14ac:dyDescent="0.25">
      <c r="C121" s="24"/>
      <c r="D121" s="20"/>
      <c r="E121" s="20"/>
      <c r="F121" s="48"/>
      <c r="G121" s="98"/>
    </row>
    <row r="122" spans="3:7" x14ac:dyDescent="0.25">
      <c r="C122" s="24"/>
      <c r="D122" s="20"/>
      <c r="E122" s="20"/>
      <c r="F122" s="48"/>
      <c r="G122" s="98"/>
    </row>
    <row r="123" spans="3:7" x14ac:dyDescent="0.25">
      <c r="C123" s="24"/>
      <c r="D123" s="20"/>
      <c r="E123" s="20"/>
      <c r="F123" s="48"/>
      <c r="G123" s="98"/>
    </row>
    <row r="124" spans="3:7" x14ac:dyDescent="0.25">
      <c r="C124" s="24"/>
      <c r="D124" s="20"/>
      <c r="E124" s="20"/>
      <c r="F124" s="48"/>
      <c r="G124" s="98"/>
    </row>
    <row r="125" spans="3:7" x14ac:dyDescent="0.25">
      <c r="C125" s="24"/>
      <c r="D125" s="20"/>
      <c r="E125" s="20"/>
      <c r="F125" s="48"/>
      <c r="G125" s="98"/>
    </row>
    <row r="126" spans="3:7" x14ac:dyDescent="0.25">
      <c r="C126" s="24"/>
      <c r="D126" s="20"/>
      <c r="E126" s="20"/>
      <c r="F126" s="48"/>
      <c r="G126" s="98"/>
    </row>
    <row r="127" spans="3:7" x14ac:dyDescent="0.25">
      <c r="C127" s="24"/>
      <c r="D127" s="20"/>
      <c r="E127" s="20"/>
      <c r="F127" s="48"/>
      <c r="G127" s="98"/>
    </row>
    <row r="128" spans="3:7" x14ac:dyDescent="0.25">
      <c r="C128" s="24"/>
      <c r="D128" s="20"/>
      <c r="E128" s="20"/>
      <c r="F128" s="48"/>
      <c r="G128" s="98"/>
    </row>
    <row r="129" spans="3:7" x14ac:dyDescent="0.25">
      <c r="C129" s="24"/>
      <c r="D129" s="20"/>
      <c r="E129" s="20"/>
      <c r="F129" s="48"/>
      <c r="G129" s="98"/>
    </row>
    <row r="130" spans="3:7" x14ac:dyDescent="0.25">
      <c r="C130" s="24"/>
      <c r="D130" s="20"/>
      <c r="E130" s="20"/>
      <c r="F130" s="48"/>
      <c r="G130" s="98"/>
    </row>
    <row r="131" spans="3:7" x14ac:dyDescent="0.25">
      <c r="C131" s="24"/>
      <c r="D131" s="20"/>
      <c r="E131" s="20"/>
      <c r="F131" s="48"/>
      <c r="G131" s="98"/>
    </row>
    <row r="132" spans="3:7" x14ac:dyDescent="0.25">
      <c r="C132" s="24"/>
      <c r="D132" s="20"/>
      <c r="E132" s="20"/>
      <c r="F132" s="48"/>
      <c r="G132" s="98"/>
    </row>
    <row r="133" spans="3:7" x14ac:dyDescent="0.25">
      <c r="C133" s="24"/>
      <c r="D133" s="20"/>
      <c r="E133" s="20"/>
      <c r="F133" s="48"/>
      <c r="G133" s="98"/>
    </row>
    <row r="134" spans="3:7" x14ac:dyDescent="0.25">
      <c r="C134" s="24"/>
      <c r="D134" s="20"/>
      <c r="E134" s="20"/>
      <c r="F134" s="48"/>
      <c r="G134" s="98"/>
    </row>
    <row r="135" spans="3:7" x14ac:dyDescent="0.25">
      <c r="C135" s="24"/>
      <c r="D135" s="20"/>
      <c r="E135" s="20"/>
      <c r="F135" s="48"/>
      <c r="G135" s="98"/>
    </row>
    <row r="136" spans="3:7" x14ac:dyDescent="0.25">
      <c r="C136" s="24"/>
      <c r="D136" s="20"/>
      <c r="E136" s="20"/>
      <c r="F136" s="48"/>
      <c r="G136" s="98"/>
    </row>
    <row r="137" spans="3:7" x14ac:dyDescent="0.25">
      <c r="C137" s="24"/>
      <c r="D137" s="20"/>
      <c r="E137" s="20"/>
      <c r="F137" s="48"/>
      <c r="G137" s="98"/>
    </row>
    <row r="138" spans="3:7" x14ac:dyDescent="0.25">
      <c r="C138" s="24"/>
      <c r="D138" s="20"/>
      <c r="E138" s="20"/>
      <c r="F138" s="48"/>
      <c r="G138" s="98"/>
    </row>
    <row r="139" spans="3:7" x14ac:dyDescent="0.25">
      <c r="C139" s="24"/>
      <c r="D139" s="20"/>
      <c r="E139" s="20"/>
      <c r="F139" s="48"/>
      <c r="G139" s="98"/>
    </row>
    <row r="140" spans="3:7" x14ac:dyDescent="0.25">
      <c r="C140" s="24"/>
      <c r="D140" s="20"/>
      <c r="E140" s="20"/>
      <c r="F140" s="48"/>
      <c r="G140" s="98"/>
    </row>
    <row r="141" spans="3:7" x14ac:dyDescent="0.25">
      <c r="C141" s="24"/>
      <c r="D141" s="20"/>
      <c r="E141" s="20"/>
      <c r="F141" s="48"/>
      <c r="G141" s="98"/>
    </row>
    <row r="142" spans="3:7" x14ac:dyDescent="0.25">
      <c r="C142" s="24"/>
      <c r="D142" s="20"/>
      <c r="E142" s="20"/>
      <c r="F142" s="48"/>
      <c r="G142" s="98"/>
    </row>
    <row r="143" spans="3:7" x14ac:dyDescent="0.25">
      <c r="C143" s="24"/>
      <c r="D143" s="20"/>
      <c r="E143" s="20"/>
      <c r="F143" s="48"/>
      <c r="G143" s="98"/>
    </row>
    <row r="144" spans="3:7" x14ac:dyDescent="0.25">
      <c r="C144" s="24"/>
      <c r="D144" s="20"/>
      <c r="E144" s="20"/>
      <c r="F144" s="48"/>
      <c r="G144" s="98"/>
    </row>
    <row r="145" spans="3:7" x14ac:dyDescent="0.25">
      <c r="C145" s="24"/>
      <c r="D145" s="20"/>
      <c r="E145" s="20"/>
      <c r="F145" s="48"/>
      <c r="G145" s="98"/>
    </row>
    <row r="146" spans="3:7" x14ac:dyDescent="0.25">
      <c r="C146" s="24"/>
      <c r="D146" s="20"/>
      <c r="E146" s="20"/>
      <c r="F146" s="48"/>
      <c r="G146" s="98"/>
    </row>
    <row r="147" spans="3:7" x14ac:dyDescent="0.25">
      <c r="C147" s="24"/>
      <c r="D147" s="20"/>
      <c r="E147" s="20"/>
      <c r="F147" s="48"/>
      <c r="G147" s="98"/>
    </row>
    <row r="148" spans="3:7" x14ac:dyDescent="0.25">
      <c r="C148" s="24"/>
      <c r="D148" s="20"/>
      <c r="E148" s="20"/>
      <c r="F148" s="48"/>
      <c r="G148" s="98"/>
    </row>
    <row r="149" spans="3:7" x14ac:dyDescent="0.25">
      <c r="C149" s="24"/>
      <c r="D149" s="20"/>
      <c r="E149" s="20"/>
      <c r="F149" s="48"/>
      <c r="G149" s="98"/>
    </row>
    <row r="150" spans="3:7" x14ac:dyDescent="0.25">
      <c r="C150" s="24"/>
      <c r="D150" s="20"/>
      <c r="E150" s="20"/>
      <c r="F150" s="48"/>
      <c r="G150" s="98"/>
    </row>
    <row r="151" spans="3:7" x14ac:dyDescent="0.25">
      <c r="C151" s="24"/>
      <c r="D151" s="20"/>
      <c r="E151" s="20"/>
      <c r="F151" s="48"/>
      <c r="G151" s="98"/>
    </row>
    <row r="152" spans="3:7" x14ac:dyDescent="0.25">
      <c r="C152" s="24"/>
      <c r="D152" s="20"/>
      <c r="E152" s="20"/>
      <c r="F152" s="48"/>
      <c r="G152" s="98"/>
    </row>
    <row r="153" spans="3:7" x14ac:dyDescent="0.25">
      <c r="C153" s="24"/>
      <c r="D153" s="20"/>
      <c r="E153" s="20"/>
      <c r="F153" s="48"/>
      <c r="G153" s="98"/>
    </row>
    <row r="154" spans="3:7" x14ac:dyDescent="0.25">
      <c r="C154" s="24"/>
      <c r="D154" s="20"/>
      <c r="E154" s="20"/>
      <c r="F154" s="48"/>
      <c r="G154" s="98"/>
    </row>
    <row r="155" spans="3:7" x14ac:dyDescent="0.25">
      <c r="C155" s="24"/>
      <c r="D155" s="20"/>
      <c r="E155" s="20"/>
      <c r="F155" s="48"/>
      <c r="G155" s="98"/>
    </row>
    <row r="156" spans="3:7" x14ac:dyDescent="0.25">
      <c r="C156" s="24"/>
      <c r="D156" s="20"/>
      <c r="E156" s="20"/>
      <c r="F156" s="48"/>
      <c r="G156" s="98"/>
    </row>
    <row r="157" spans="3:7" x14ac:dyDescent="0.25">
      <c r="C157" s="24"/>
      <c r="D157" s="20"/>
      <c r="E157" s="20"/>
      <c r="F157" s="48"/>
      <c r="G157" s="98"/>
    </row>
    <row r="158" spans="3:7" x14ac:dyDescent="0.25">
      <c r="C158" s="24"/>
      <c r="D158" s="20"/>
      <c r="E158" s="20"/>
      <c r="F158" s="48"/>
      <c r="G158" s="98"/>
    </row>
    <row r="159" spans="3:7" x14ac:dyDescent="0.25">
      <c r="C159" s="24"/>
      <c r="D159" s="20"/>
      <c r="E159" s="20"/>
      <c r="F159" s="48"/>
      <c r="G159" s="98"/>
    </row>
    <row r="160" spans="3:7" x14ac:dyDescent="0.25">
      <c r="C160" s="24"/>
      <c r="D160" s="20"/>
      <c r="E160" s="20"/>
      <c r="F160" s="48"/>
      <c r="G160" s="98"/>
    </row>
    <row r="161" spans="3:7" x14ac:dyDescent="0.25">
      <c r="C161" s="24"/>
      <c r="D161" s="20"/>
      <c r="E161" s="20"/>
      <c r="F161" s="48"/>
      <c r="G161" s="98"/>
    </row>
    <row r="162" spans="3:7" x14ac:dyDescent="0.25">
      <c r="C162" s="24"/>
      <c r="D162" s="20"/>
      <c r="E162" s="20"/>
      <c r="F162" s="48"/>
      <c r="G162" s="98"/>
    </row>
    <row r="163" spans="3:7" x14ac:dyDescent="0.25">
      <c r="C163" s="24"/>
      <c r="D163" s="20"/>
      <c r="E163" s="20"/>
      <c r="F163" s="48"/>
      <c r="G163" s="98"/>
    </row>
    <row r="164" spans="3:7" x14ac:dyDescent="0.25">
      <c r="C164" s="24"/>
      <c r="D164" s="20"/>
      <c r="E164" s="20"/>
      <c r="F164" s="48"/>
      <c r="G164" s="98"/>
    </row>
    <row r="165" spans="3:7" x14ac:dyDescent="0.25">
      <c r="C165" s="24"/>
      <c r="D165" s="20"/>
      <c r="E165" s="20"/>
      <c r="F165" s="48"/>
      <c r="G165" s="98"/>
    </row>
    <row r="166" spans="3:7" x14ac:dyDescent="0.25">
      <c r="C166" s="24"/>
      <c r="D166" s="20"/>
      <c r="E166" s="20"/>
      <c r="F166" s="48"/>
      <c r="G166" s="98"/>
    </row>
    <row r="167" spans="3:7" x14ac:dyDescent="0.25">
      <c r="C167" s="24"/>
      <c r="D167" s="20"/>
      <c r="E167" s="20"/>
      <c r="F167" s="48"/>
      <c r="G167" s="98"/>
    </row>
    <row r="168" spans="3:7" x14ac:dyDescent="0.25">
      <c r="C168" s="24"/>
      <c r="D168" s="20"/>
      <c r="E168" s="20"/>
      <c r="F168" s="48"/>
      <c r="G168" s="98"/>
    </row>
    <row r="169" spans="3:7" x14ac:dyDescent="0.25">
      <c r="C169" s="24"/>
      <c r="D169" s="20"/>
      <c r="E169" s="20"/>
      <c r="F169" s="48"/>
      <c r="G169" s="98"/>
    </row>
    <row r="170" spans="3:7" x14ac:dyDescent="0.25">
      <c r="C170" s="24"/>
      <c r="D170" s="20"/>
      <c r="E170" s="20"/>
      <c r="F170" s="48"/>
      <c r="G170" s="98"/>
    </row>
    <row r="171" spans="3:7" x14ac:dyDescent="0.25">
      <c r="C171" s="24"/>
      <c r="D171" s="20"/>
      <c r="E171" s="20"/>
      <c r="F171" s="48"/>
      <c r="G171" s="98"/>
    </row>
    <row r="172" spans="3:7" x14ac:dyDescent="0.25">
      <c r="C172" s="24"/>
      <c r="D172" s="20"/>
      <c r="E172" s="20"/>
      <c r="F172" s="48"/>
      <c r="G172" s="98"/>
    </row>
    <row r="173" spans="3:7" x14ac:dyDescent="0.25">
      <c r="C173" s="24"/>
      <c r="D173" s="20"/>
      <c r="E173" s="20"/>
      <c r="F173" s="48"/>
      <c r="G173" s="98"/>
    </row>
    <row r="174" spans="3:7" x14ac:dyDescent="0.25">
      <c r="C174" s="24"/>
      <c r="D174" s="20"/>
      <c r="E174" s="20"/>
      <c r="F174" s="48"/>
      <c r="G174" s="98"/>
    </row>
    <row r="175" spans="3:7" x14ac:dyDescent="0.25">
      <c r="C175" s="24"/>
      <c r="D175" s="20"/>
      <c r="E175" s="20"/>
      <c r="F175" s="48"/>
      <c r="G175" s="98"/>
    </row>
    <row r="176" spans="3:7" x14ac:dyDescent="0.25">
      <c r="C176" s="24"/>
      <c r="D176" s="20"/>
      <c r="E176" s="20"/>
      <c r="F176" s="48"/>
      <c r="G176" s="98"/>
    </row>
    <row r="177" spans="3:7" x14ac:dyDescent="0.25">
      <c r="C177" s="24"/>
      <c r="D177" s="20"/>
      <c r="E177" s="20"/>
      <c r="F177" s="48"/>
      <c r="G177" s="98"/>
    </row>
    <row r="178" spans="3:7" x14ac:dyDescent="0.25">
      <c r="C178" s="24"/>
      <c r="D178" s="20"/>
      <c r="E178" s="20"/>
      <c r="F178" s="48"/>
      <c r="G178" s="98"/>
    </row>
    <row r="179" spans="3:7" x14ac:dyDescent="0.25">
      <c r="C179" s="24"/>
      <c r="D179" s="20"/>
      <c r="E179" s="20"/>
      <c r="F179" s="48"/>
      <c r="G179" s="98"/>
    </row>
    <row r="180" spans="3:7" x14ac:dyDescent="0.25">
      <c r="C180" s="24"/>
      <c r="D180" s="20"/>
      <c r="E180" s="20"/>
      <c r="F180" s="48"/>
      <c r="G180" s="98"/>
    </row>
    <row r="181" spans="3:7" x14ac:dyDescent="0.25">
      <c r="C181" s="24"/>
      <c r="D181" s="20"/>
      <c r="E181" s="20"/>
      <c r="F181" s="48"/>
      <c r="G181" s="98"/>
    </row>
    <row r="182" spans="3:7" x14ac:dyDescent="0.25">
      <c r="C182" s="24"/>
      <c r="D182" s="20"/>
      <c r="E182" s="20"/>
      <c r="F182" s="48"/>
      <c r="G182" s="98"/>
    </row>
    <row r="183" spans="3:7" x14ac:dyDescent="0.25">
      <c r="C183" s="24"/>
      <c r="D183" s="20"/>
      <c r="E183" s="20"/>
      <c r="F183" s="48"/>
      <c r="G183" s="98"/>
    </row>
    <row r="184" spans="3:7" x14ac:dyDescent="0.25">
      <c r="C184" s="24"/>
      <c r="D184" s="20"/>
      <c r="E184" s="20"/>
      <c r="F184" s="48"/>
      <c r="G184" s="98"/>
    </row>
    <row r="185" spans="3:7" x14ac:dyDescent="0.25">
      <c r="C185" s="24"/>
      <c r="D185" s="20"/>
      <c r="E185" s="20"/>
      <c r="F185" s="48"/>
      <c r="G185" s="98"/>
    </row>
    <row r="186" spans="3:7" x14ac:dyDescent="0.25">
      <c r="C186" s="24"/>
      <c r="D186" s="20"/>
      <c r="E186" s="20"/>
      <c r="F186" s="48"/>
      <c r="G186" s="98"/>
    </row>
    <row r="187" spans="3:7" x14ac:dyDescent="0.25">
      <c r="C187" s="24"/>
      <c r="D187" s="20"/>
      <c r="E187" s="20"/>
      <c r="F187" s="48"/>
      <c r="G187" s="98"/>
    </row>
    <row r="188" spans="3:7" x14ac:dyDescent="0.25">
      <c r="C188" s="24"/>
      <c r="D188" s="20"/>
      <c r="E188" s="20"/>
      <c r="F188" s="48"/>
      <c r="G188" s="98"/>
    </row>
    <row r="189" spans="3:7" x14ac:dyDescent="0.25">
      <c r="C189" s="24"/>
      <c r="D189" s="20"/>
      <c r="E189" s="20"/>
      <c r="F189" s="48"/>
      <c r="G189" s="98"/>
    </row>
    <row r="190" spans="3:7" x14ac:dyDescent="0.25">
      <c r="C190" s="24"/>
      <c r="D190" s="20"/>
      <c r="E190" s="20"/>
      <c r="F190" s="48"/>
      <c r="G190" s="98"/>
    </row>
    <row r="191" spans="3:7" x14ac:dyDescent="0.25">
      <c r="C191" s="24"/>
      <c r="D191" s="20"/>
      <c r="E191" s="20"/>
      <c r="F191" s="48"/>
      <c r="G191" s="98"/>
    </row>
    <row r="192" spans="3:7" x14ac:dyDescent="0.25">
      <c r="C192" s="24"/>
      <c r="D192" s="20"/>
      <c r="E192" s="20"/>
      <c r="F192" s="48"/>
      <c r="G192" s="98"/>
    </row>
    <row r="193" spans="3:7" x14ac:dyDescent="0.25">
      <c r="C193" s="24"/>
      <c r="D193" s="20"/>
      <c r="E193" s="20"/>
      <c r="F193" s="48"/>
      <c r="G193" s="98"/>
    </row>
    <row r="194" spans="3:7" x14ac:dyDescent="0.25">
      <c r="C194" s="24"/>
      <c r="D194" s="20"/>
      <c r="E194" s="20"/>
      <c r="F194" s="48"/>
      <c r="G194" s="98"/>
    </row>
    <row r="195" spans="3:7" x14ac:dyDescent="0.25">
      <c r="C195" s="24"/>
      <c r="D195" s="20"/>
      <c r="E195" s="20"/>
      <c r="F195" s="48"/>
      <c r="G195" s="98"/>
    </row>
    <row r="196" spans="3:7" x14ac:dyDescent="0.25">
      <c r="C196" s="24"/>
      <c r="D196" s="20"/>
      <c r="E196" s="20"/>
      <c r="F196" s="48"/>
      <c r="G196" s="98"/>
    </row>
    <row r="197" spans="3:7" x14ac:dyDescent="0.25">
      <c r="C197" s="24"/>
      <c r="D197" s="20"/>
      <c r="E197" s="20"/>
      <c r="F197" s="48"/>
      <c r="G197" s="98"/>
    </row>
    <row r="198" spans="3:7" x14ac:dyDescent="0.25">
      <c r="C198" s="24"/>
      <c r="D198" s="20"/>
      <c r="E198" s="20"/>
      <c r="F198" s="48"/>
      <c r="G198" s="98"/>
    </row>
    <row r="199" spans="3:7" x14ac:dyDescent="0.25">
      <c r="C199" s="24"/>
      <c r="D199" s="20"/>
      <c r="E199" s="20"/>
      <c r="F199" s="48"/>
      <c r="G199" s="98"/>
    </row>
    <row r="200" spans="3:7" x14ac:dyDescent="0.25">
      <c r="C200" s="24"/>
      <c r="D200" s="20"/>
      <c r="E200" s="20"/>
      <c r="F200" s="48"/>
      <c r="G200" s="98"/>
    </row>
    <row r="201" spans="3:7" x14ac:dyDescent="0.25">
      <c r="C201" s="24"/>
      <c r="D201" s="20"/>
      <c r="E201" s="20"/>
      <c r="F201" s="48"/>
      <c r="G201" s="98"/>
    </row>
    <row r="202" spans="3:7" x14ac:dyDescent="0.25">
      <c r="C202" s="24"/>
      <c r="D202" s="20"/>
      <c r="E202" s="20"/>
      <c r="F202" s="48"/>
      <c r="G202" s="98"/>
    </row>
    <row r="203" spans="3:7" x14ac:dyDescent="0.25">
      <c r="C203" s="24"/>
      <c r="D203" s="20"/>
      <c r="E203" s="20"/>
      <c r="F203" s="48"/>
      <c r="G203" s="98"/>
    </row>
    <row r="204" spans="3:7" x14ac:dyDescent="0.25">
      <c r="C204" s="24"/>
      <c r="D204" s="20"/>
      <c r="E204" s="20"/>
      <c r="F204" s="48"/>
      <c r="G204" s="98"/>
    </row>
    <row r="205" spans="3:7" x14ac:dyDescent="0.25">
      <c r="C205" s="24"/>
      <c r="D205" s="20"/>
      <c r="E205" s="20"/>
      <c r="F205" s="48"/>
      <c r="G205" s="98"/>
    </row>
    <row r="206" spans="3:7" x14ac:dyDescent="0.25">
      <c r="C206" s="24"/>
      <c r="D206" s="20"/>
      <c r="E206" s="20"/>
      <c r="F206" s="48"/>
      <c r="G206" s="98"/>
    </row>
    <row r="207" spans="3:7" x14ac:dyDescent="0.25">
      <c r="C207" s="24"/>
      <c r="D207" s="20"/>
      <c r="E207" s="20"/>
      <c r="F207" s="48"/>
      <c r="G207" s="98"/>
    </row>
    <row r="208" spans="3:7" x14ac:dyDescent="0.25">
      <c r="C208" s="24"/>
      <c r="D208" s="20"/>
      <c r="E208" s="20"/>
      <c r="F208" s="48"/>
      <c r="G208" s="98"/>
    </row>
    <row r="209" spans="3:7" x14ac:dyDescent="0.25">
      <c r="C209" s="24"/>
      <c r="D209" s="20"/>
      <c r="E209" s="20"/>
      <c r="F209" s="48"/>
      <c r="G209" s="98"/>
    </row>
    <row r="210" spans="3:7" x14ac:dyDescent="0.25">
      <c r="C210" s="24"/>
      <c r="D210" s="20"/>
      <c r="E210" s="20"/>
      <c r="F210" s="48"/>
      <c r="G210" s="98"/>
    </row>
    <row r="211" spans="3:7" x14ac:dyDescent="0.25">
      <c r="C211" s="24"/>
      <c r="D211" s="20"/>
      <c r="E211" s="20"/>
      <c r="F211" s="48"/>
      <c r="G211" s="98"/>
    </row>
    <row r="212" spans="3:7" x14ac:dyDescent="0.25">
      <c r="C212" s="24"/>
      <c r="D212" s="20"/>
      <c r="E212" s="20"/>
      <c r="F212" s="48"/>
      <c r="G212" s="98"/>
    </row>
    <row r="213" spans="3:7" x14ac:dyDescent="0.25">
      <c r="C213" s="24"/>
      <c r="D213" s="20"/>
      <c r="E213" s="20"/>
      <c r="F213" s="48"/>
      <c r="G213" s="98"/>
    </row>
    <row r="214" spans="3:7" x14ac:dyDescent="0.25">
      <c r="C214" s="24"/>
      <c r="D214" s="20"/>
      <c r="E214" s="20"/>
      <c r="F214" s="48"/>
      <c r="G214" s="98"/>
    </row>
    <row r="215" spans="3:7" x14ac:dyDescent="0.25">
      <c r="C215" s="24"/>
      <c r="D215" s="20"/>
      <c r="E215" s="20"/>
      <c r="F215" s="48"/>
      <c r="G215" s="98"/>
    </row>
    <row r="216" spans="3:7" x14ac:dyDescent="0.25">
      <c r="C216" s="24"/>
      <c r="D216" s="20"/>
      <c r="E216" s="20"/>
      <c r="F216" s="48"/>
      <c r="G216" s="98"/>
    </row>
    <row r="217" spans="3:7" x14ac:dyDescent="0.25">
      <c r="C217" s="24"/>
      <c r="D217" s="20"/>
      <c r="E217" s="20"/>
      <c r="F217" s="48"/>
      <c r="G217" s="98"/>
    </row>
    <row r="218" spans="3:7" x14ac:dyDescent="0.25">
      <c r="C218" s="24"/>
      <c r="D218" s="20"/>
      <c r="E218" s="20"/>
      <c r="F218" s="48"/>
      <c r="G218" s="98"/>
    </row>
    <row r="219" spans="3:7" x14ac:dyDescent="0.25">
      <c r="C219" s="24"/>
      <c r="D219" s="20"/>
      <c r="E219" s="20"/>
      <c r="F219" s="48"/>
      <c r="G219" s="98"/>
    </row>
    <row r="220" spans="3:7" x14ac:dyDescent="0.25">
      <c r="C220" s="24"/>
      <c r="D220" s="20"/>
      <c r="E220" s="20"/>
      <c r="F220" s="48"/>
      <c r="G220" s="98"/>
    </row>
    <row r="221" spans="3:7" x14ac:dyDescent="0.25">
      <c r="C221" s="24"/>
      <c r="D221" s="20"/>
      <c r="E221" s="20"/>
      <c r="F221" s="48"/>
      <c r="G221" s="98"/>
    </row>
    <row r="222" spans="3:7" x14ac:dyDescent="0.25">
      <c r="C222" s="24"/>
      <c r="D222" s="20"/>
      <c r="E222" s="20"/>
      <c r="F222" s="48"/>
      <c r="G222" s="98"/>
    </row>
    <row r="223" spans="3:7" x14ac:dyDescent="0.25">
      <c r="C223" s="24"/>
      <c r="D223" s="20"/>
      <c r="E223" s="20"/>
      <c r="F223" s="48"/>
      <c r="G223" s="98"/>
    </row>
    <row r="224" spans="3:7" x14ac:dyDescent="0.25">
      <c r="C224" s="24"/>
      <c r="D224" s="20"/>
      <c r="E224" s="20"/>
      <c r="F224" s="48"/>
      <c r="G224" s="98"/>
    </row>
    <row r="225" spans="3:7" x14ac:dyDescent="0.25">
      <c r="C225" s="24"/>
      <c r="D225" s="20"/>
      <c r="E225" s="20"/>
      <c r="F225" s="48"/>
      <c r="G225" s="98"/>
    </row>
    <row r="226" spans="3:7" x14ac:dyDescent="0.25">
      <c r="C226" s="24"/>
      <c r="D226" s="20"/>
      <c r="E226" s="20"/>
      <c r="F226" s="48"/>
      <c r="G226" s="98"/>
    </row>
    <row r="227" spans="3:7" x14ac:dyDescent="0.25">
      <c r="C227" s="24"/>
      <c r="D227" s="20"/>
      <c r="E227" s="20"/>
      <c r="F227" s="48"/>
      <c r="G227" s="98"/>
    </row>
    <row r="228" spans="3:7" x14ac:dyDescent="0.25">
      <c r="C228" s="24"/>
      <c r="D228" s="20"/>
      <c r="E228" s="20"/>
      <c r="F228" s="48"/>
      <c r="G228" s="98"/>
    </row>
    <row r="229" spans="3:7" x14ac:dyDescent="0.25">
      <c r="C229" s="24"/>
      <c r="D229" s="20"/>
      <c r="E229" s="20"/>
      <c r="F229" s="48"/>
      <c r="G229" s="98"/>
    </row>
    <row r="230" spans="3:7" x14ac:dyDescent="0.25">
      <c r="C230" s="24"/>
      <c r="D230" s="20"/>
      <c r="E230" s="20"/>
      <c r="F230" s="48"/>
      <c r="G230" s="98"/>
    </row>
    <row r="231" spans="3:7" x14ac:dyDescent="0.25">
      <c r="C231" s="24"/>
      <c r="D231" s="20"/>
      <c r="E231" s="20"/>
      <c r="F231" s="48"/>
      <c r="G231" s="98"/>
    </row>
    <row r="232" spans="3:7" x14ac:dyDescent="0.25">
      <c r="C232" s="24"/>
      <c r="D232" s="20"/>
      <c r="E232" s="20"/>
      <c r="F232" s="48"/>
      <c r="G232" s="98"/>
    </row>
    <row r="233" spans="3:7" x14ac:dyDescent="0.25">
      <c r="C233" s="24"/>
      <c r="D233" s="20"/>
      <c r="E233" s="20"/>
      <c r="F233" s="48"/>
      <c r="G233" s="98"/>
    </row>
    <row r="234" spans="3:7" x14ac:dyDescent="0.25">
      <c r="C234" s="24"/>
      <c r="D234" s="20"/>
      <c r="E234" s="20"/>
      <c r="F234" s="48"/>
      <c r="G234" s="98"/>
    </row>
    <row r="235" spans="3:7" x14ac:dyDescent="0.25">
      <c r="C235" s="24"/>
      <c r="D235" s="20"/>
      <c r="E235" s="20"/>
      <c r="F235" s="48"/>
      <c r="G235" s="98"/>
    </row>
    <row r="236" spans="3:7" x14ac:dyDescent="0.25">
      <c r="C236" s="24"/>
      <c r="D236" s="20"/>
      <c r="E236" s="20"/>
      <c r="F236" s="48"/>
      <c r="G236" s="98"/>
    </row>
    <row r="237" spans="3:7" x14ac:dyDescent="0.25">
      <c r="C237" s="24"/>
      <c r="D237" s="20"/>
      <c r="E237" s="20"/>
      <c r="F237" s="48"/>
      <c r="G237" s="98"/>
    </row>
    <row r="238" spans="3:7" x14ac:dyDescent="0.25">
      <c r="C238" s="24"/>
      <c r="D238" s="20"/>
      <c r="E238" s="20"/>
      <c r="F238" s="48"/>
      <c r="G238" s="98"/>
    </row>
    <row r="239" spans="3:7" x14ac:dyDescent="0.25">
      <c r="C239" s="24"/>
      <c r="D239" s="20"/>
      <c r="E239" s="20"/>
      <c r="F239" s="48"/>
      <c r="G239" s="98"/>
    </row>
    <row r="240" spans="3:7" x14ac:dyDescent="0.25">
      <c r="C240" s="24"/>
      <c r="D240" s="20"/>
      <c r="E240" s="20"/>
      <c r="F240" s="48"/>
      <c r="G240" s="98"/>
    </row>
    <row r="241" spans="3:7" x14ac:dyDescent="0.25">
      <c r="C241" s="24"/>
      <c r="D241" s="20"/>
      <c r="E241" s="20"/>
      <c r="F241" s="48"/>
      <c r="G241" s="98"/>
    </row>
    <row r="242" spans="3:7" x14ac:dyDescent="0.25">
      <c r="C242" s="24"/>
      <c r="D242" s="20"/>
      <c r="E242" s="20"/>
      <c r="F242" s="48"/>
      <c r="G242" s="98"/>
    </row>
    <row r="243" spans="3:7" x14ac:dyDescent="0.25">
      <c r="C243" s="24"/>
      <c r="D243" s="20"/>
      <c r="E243" s="20"/>
      <c r="F243" s="48"/>
      <c r="G243" s="98"/>
    </row>
    <row r="244" spans="3:7" x14ac:dyDescent="0.25">
      <c r="C244" s="24"/>
      <c r="D244" s="20"/>
      <c r="E244" s="20"/>
      <c r="F244" s="48"/>
      <c r="G244" s="98"/>
    </row>
    <row r="245" spans="3:7" x14ac:dyDescent="0.25">
      <c r="C245" s="24"/>
      <c r="D245" s="20"/>
      <c r="E245" s="20"/>
      <c r="F245" s="48"/>
      <c r="G245" s="98"/>
    </row>
    <row r="246" spans="3:7" x14ac:dyDescent="0.25">
      <c r="C246" s="24"/>
      <c r="D246" s="20"/>
      <c r="E246" s="20"/>
      <c r="F246" s="48"/>
      <c r="G246" s="98"/>
    </row>
    <row r="247" spans="3:7" x14ac:dyDescent="0.25">
      <c r="C247" s="24"/>
      <c r="D247" s="20"/>
      <c r="E247" s="20"/>
      <c r="F247" s="48"/>
      <c r="G247" s="98"/>
    </row>
    <row r="248" spans="3:7" x14ac:dyDescent="0.25">
      <c r="C248" s="24"/>
      <c r="D248" s="20"/>
      <c r="E248" s="20"/>
      <c r="F248" s="48"/>
      <c r="G248" s="98"/>
    </row>
    <row r="249" spans="3:7" x14ac:dyDescent="0.25">
      <c r="C249" s="24"/>
      <c r="D249" s="20"/>
      <c r="E249" s="20"/>
      <c r="F249" s="48"/>
      <c r="G249" s="98"/>
    </row>
    <row r="250" spans="3:7" x14ac:dyDescent="0.25">
      <c r="C250" s="24"/>
      <c r="D250" s="20"/>
      <c r="E250" s="20"/>
      <c r="F250" s="48"/>
      <c r="G250" s="98"/>
    </row>
    <row r="251" spans="3:7" x14ac:dyDescent="0.25">
      <c r="C251" s="24"/>
      <c r="D251" s="20"/>
      <c r="E251" s="20"/>
      <c r="F251" s="48"/>
      <c r="G251" s="98"/>
    </row>
    <row r="252" spans="3:7" x14ac:dyDescent="0.25">
      <c r="C252" s="24"/>
      <c r="D252" s="20"/>
      <c r="E252" s="20"/>
      <c r="F252" s="48"/>
      <c r="G252" s="98"/>
    </row>
    <row r="253" spans="3:7" x14ac:dyDescent="0.25">
      <c r="C253" s="24"/>
      <c r="D253" s="20"/>
      <c r="E253" s="20"/>
      <c r="F253" s="48"/>
      <c r="G253" s="98"/>
    </row>
    <row r="254" spans="3:7" x14ac:dyDescent="0.25">
      <c r="C254" s="24"/>
      <c r="D254" s="20"/>
      <c r="E254" s="20"/>
      <c r="F254" s="48"/>
      <c r="G254" s="98"/>
    </row>
    <row r="255" spans="3:7" x14ac:dyDescent="0.25">
      <c r="C255" s="24"/>
      <c r="D255" s="20"/>
      <c r="E255" s="20"/>
      <c r="F255" s="48"/>
      <c r="G255" s="98"/>
    </row>
    <row r="256" spans="3:7" x14ac:dyDescent="0.25">
      <c r="C256" s="24"/>
      <c r="D256" s="20"/>
      <c r="E256" s="20"/>
      <c r="F256" s="48"/>
      <c r="G256" s="98"/>
    </row>
    <row r="257" spans="3:7" x14ac:dyDescent="0.25">
      <c r="C257" s="24"/>
      <c r="D257" s="20"/>
      <c r="E257" s="20"/>
      <c r="F257" s="48"/>
      <c r="G257" s="98"/>
    </row>
    <row r="258" spans="3:7" x14ac:dyDescent="0.25">
      <c r="C258" s="24"/>
      <c r="D258" s="20"/>
      <c r="E258" s="20"/>
      <c r="F258" s="48"/>
      <c r="G258" s="98"/>
    </row>
    <row r="259" spans="3:7" x14ac:dyDescent="0.25">
      <c r="C259" s="24"/>
      <c r="D259" s="20"/>
      <c r="E259" s="20"/>
      <c r="F259" s="48"/>
      <c r="G259" s="98"/>
    </row>
    <row r="260" spans="3:7" x14ac:dyDescent="0.25">
      <c r="C260" s="24"/>
      <c r="D260" s="20"/>
      <c r="E260" s="20"/>
      <c r="F260" s="48"/>
      <c r="G260" s="98"/>
    </row>
    <row r="261" spans="3:7" x14ac:dyDescent="0.25">
      <c r="C261" s="24"/>
      <c r="D261" s="20"/>
      <c r="E261" s="20"/>
      <c r="F261" s="48"/>
      <c r="G261" s="98"/>
    </row>
    <row r="262" spans="3:7" x14ac:dyDescent="0.25">
      <c r="C262" s="24"/>
      <c r="D262" s="20"/>
      <c r="E262" s="20"/>
      <c r="F262" s="48"/>
      <c r="G262" s="98"/>
    </row>
    <row r="263" spans="3:7" x14ac:dyDescent="0.25">
      <c r="C263" s="24"/>
      <c r="D263" s="20"/>
      <c r="E263" s="20"/>
      <c r="F263" s="48"/>
      <c r="G263" s="98"/>
    </row>
    <row r="264" spans="3:7" x14ac:dyDescent="0.25">
      <c r="C264" s="24"/>
      <c r="D264" s="20"/>
      <c r="E264" s="20"/>
      <c r="F264" s="48"/>
      <c r="G264" s="98"/>
    </row>
    <row r="265" spans="3:7" x14ac:dyDescent="0.25">
      <c r="C265" s="24"/>
      <c r="D265" s="20"/>
      <c r="E265" s="20"/>
      <c r="F265" s="48"/>
      <c r="G265" s="98"/>
    </row>
    <row r="266" spans="3:7" x14ac:dyDescent="0.25">
      <c r="C266" s="24"/>
      <c r="D266" s="20"/>
      <c r="E266" s="20"/>
      <c r="F266" s="48"/>
      <c r="G266" s="98"/>
    </row>
    <row r="267" spans="3:7" x14ac:dyDescent="0.25">
      <c r="C267" s="24"/>
      <c r="D267" s="20"/>
      <c r="E267" s="20"/>
      <c r="F267" s="48"/>
      <c r="G267" s="98"/>
    </row>
    <row r="268" spans="3:7" x14ac:dyDescent="0.25">
      <c r="C268" s="24"/>
      <c r="D268" s="20"/>
      <c r="E268" s="20"/>
      <c r="F268" s="48"/>
      <c r="G268" s="98"/>
    </row>
    <row r="269" spans="3:7" x14ac:dyDescent="0.25">
      <c r="C269" s="24"/>
      <c r="D269" s="20"/>
      <c r="E269" s="20"/>
      <c r="F269" s="48"/>
      <c r="G269" s="98"/>
    </row>
    <row r="270" spans="3:7" x14ac:dyDescent="0.25">
      <c r="C270" s="24"/>
      <c r="D270" s="20"/>
      <c r="E270" s="20"/>
      <c r="F270" s="48"/>
      <c r="G270" s="98"/>
    </row>
    <row r="271" spans="3:7" x14ac:dyDescent="0.25">
      <c r="C271" s="24"/>
      <c r="D271" s="20"/>
      <c r="E271" s="20"/>
      <c r="F271" s="48"/>
      <c r="G271" s="98"/>
    </row>
    <row r="272" spans="3:7" x14ac:dyDescent="0.25">
      <c r="C272" s="24"/>
      <c r="D272" s="20"/>
      <c r="E272" s="20"/>
      <c r="F272" s="48"/>
      <c r="G272" s="98"/>
    </row>
    <row r="273" spans="3:7" x14ac:dyDescent="0.25">
      <c r="C273" s="24"/>
      <c r="D273" s="20"/>
      <c r="E273" s="20"/>
      <c r="F273" s="48"/>
      <c r="G273" s="98"/>
    </row>
    <row r="274" spans="3:7" x14ac:dyDescent="0.25">
      <c r="C274" s="24"/>
      <c r="D274" s="20"/>
      <c r="E274" s="20"/>
      <c r="F274" s="48"/>
      <c r="G274" s="98"/>
    </row>
    <row r="275" spans="3:7" x14ac:dyDescent="0.25">
      <c r="C275" s="24"/>
      <c r="D275" s="20"/>
      <c r="E275" s="20"/>
      <c r="F275" s="48"/>
      <c r="G275" s="98"/>
    </row>
    <row r="276" spans="3:7" x14ac:dyDescent="0.25">
      <c r="C276" s="24"/>
      <c r="D276" s="20"/>
      <c r="E276" s="20"/>
      <c r="F276" s="48"/>
      <c r="G276" s="98"/>
    </row>
    <row r="277" spans="3:7" x14ac:dyDescent="0.25">
      <c r="C277" s="24"/>
      <c r="D277" s="20"/>
      <c r="E277" s="20"/>
      <c r="F277" s="48"/>
      <c r="G277" s="98"/>
    </row>
    <row r="278" spans="3:7" x14ac:dyDescent="0.25">
      <c r="C278" s="24"/>
      <c r="D278" s="20"/>
      <c r="E278" s="20"/>
      <c r="F278" s="48"/>
      <c r="G278" s="98"/>
    </row>
    <row r="279" spans="3:7" x14ac:dyDescent="0.25">
      <c r="C279" s="24"/>
      <c r="D279" s="20"/>
      <c r="E279" s="20"/>
      <c r="F279" s="48"/>
      <c r="G279" s="98"/>
    </row>
    <row r="280" spans="3:7" x14ac:dyDescent="0.25">
      <c r="C280" s="24"/>
      <c r="D280" s="20"/>
      <c r="E280" s="20"/>
      <c r="F280" s="48"/>
      <c r="G280" s="98"/>
    </row>
    <row r="281" spans="3:7" x14ac:dyDescent="0.25">
      <c r="C281" s="24"/>
      <c r="D281" s="20"/>
      <c r="E281" s="20"/>
      <c r="F281" s="48"/>
      <c r="G281" s="98"/>
    </row>
    <row r="282" spans="3:7" x14ac:dyDescent="0.25">
      <c r="C282" s="24"/>
      <c r="D282" s="20"/>
      <c r="E282" s="20"/>
      <c r="F282" s="48"/>
      <c r="G282" s="98"/>
    </row>
    <row r="283" spans="3:7" x14ac:dyDescent="0.25">
      <c r="C283" s="24"/>
      <c r="D283" s="20"/>
      <c r="E283" s="20"/>
      <c r="F283" s="48"/>
      <c r="G283" s="98"/>
    </row>
    <row r="284" spans="3:7" x14ac:dyDescent="0.25">
      <c r="C284" s="24"/>
      <c r="D284" s="20"/>
      <c r="E284" s="20"/>
      <c r="F284" s="48"/>
      <c r="G284" s="98"/>
    </row>
    <row r="285" spans="3:7" x14ac:dyDescent="0.25">
      <c r="C285" s="24"/>
      <c r="D285" s="20"/>
      <c r="E285" s="20"/>
      <c r="F285" s="48"/>
      <c r="G285" s="98"/>
    </row>
    <row r="286" spans="3:7" x14ac:dyDescent="0.25">
      <c r="C286" s="24"/>
      <c r="D286" s="20"/>
      <c r="E286" s="20"/>
      <c r="F286" s="48"/>
      <c r="G286" s="98"/>
    </row>
    <row r="287" spans="3:7" x14ac:dyDescent="0.25">
      <c r="C287" s="24"/>
      <c r="D287" s="20"/>
      <c r="E287" s="20"/>
      <c r="F287" s="48"/>
      <c r="G287" s="98"/>
    </row>
    <row r="288" spans="3:7" x14ac:dyDescent="0.25">
      <c r="C288" s="24"/>
      <c r="D288" s="20"/>
      <c r="E288" s="20"/>
      <c r="F288" s="48"/>
      <c r="G288" s="98"/>
    </row>
    <row r="289" spans="3:7" x14ac:dyDescent="0.25">
      <c r="C289" s="24"/>
      <c r="D289" s="20"/>
      <c r="E289" s="20"/>
      <c r="F289" s="48"/>
      <c r="G289" s="98"/>
    </row>
    <row r="290" spans="3:7" x14ac:dyDescent="0.25">
      <c r="C290" s="24"/>
      <c r="D290" s="20"/>
      <c r="E290" s="20"/>
      <c r="F290" s="48"/>
      <c r="G290" s="98"/>
    </row>
    <row r="291" spans="3:7" x14ac:dyDescent="0.25">
      <c r="C291" s="24"/>
      <c r="D291" s="20"/>
      <c r="E291" s="20"/>
      <c r="F291" s="48"/>
      <c r="G291" s="98"/>
    </row>
    <row r="292" spans="3:7" x14ac:dyDescent="0.25">
      <c r="C292" s="24"/>
      <c r="D292" s="20"/>
      <c r="E292" s="20"/>
      <c r="F292" s="48"/>
      <c r="G292" s="98"/>
    </row>
    <row r="293" spans="3:7" x14ac:dyDescent="0.25">
      <c r="C293" s="24"/>
      <c r="D293" s="20"/>
      <c r="E293" s="20"/>
      <c r="F293" s="48"/>
      <c r="G293" s="98"/>
    </row>
    <row r="294" spans="3:7" x14ac:dyDescent="0.25">
      <c r="C294" s="24"/>
      <c r="D294" s="20"/>
      <c r="E294" s="20"/>
      <c r="F294" s="48"/>
      <c r="G294" s="98"/>
    </row>
    <row r="295" spans="3:7" x14ac:dyDescent="0.25">
      <c r="C295" s="24"/>
      <c r="D295" s="20"/>
      <c r="E295" s="20"/>
      <c r="F295" s="48"/>
      <c r="G295" s="98"/>
    </row>
    <row r="296" spans="3:7" x14ac:dyDescent="0.25">
      <c r="C296" s="24"/>
      <c r="D296" s="20"/>
      <c r="E296" s="20"/>
      <c r="F296" s="48"/>
      <c r="G296" s="98"/>
    </row>
    <row r="297" spans="3:7" x14ac:dyDescent="0.25">
      <c r="C297" s="24"/>
      <c r="D297" s="20"/>
      <c r="E297" s="20"/>
      <c r="F297" s="48"/>
      <c r="G297" s="98"/>
    </row>
    <row r="298" spans="3:7" x14ac:dyDescent="0.25">
      <c r="C298" s="24"/>
      <c r="D298" s="20"/>
      <c r="E298" s="20"/>
      <c r="F298" s="48"/>
      <c r="G298" s="98"/>
    </row>
    <row r="299" spans="3:7" x14ac:dyDescent="0.25">
      <c r="C299" s="24"/>
      <c r="D299" s="20"/>
      <c r="E299" s="20"/>
      <c r="F299" s="48"/>
      <c r="G299" s="98"/>
    </row>
    <row r="300" spans="3:7" x14ac:dyDescent="0.25">
      <c r="C300" s="24"/>
      <c r="D300" s="20"/>
      <c r="E300" s="20"/>
      <c r="F300" s="48"/>
      <c r="G300" s="98"/>
    </row>
    <row r="301" spans="3:7" x14ac:dyDescent="0.25">
      <c r="C301" s="24"/>
      <c r="D301" s="20"/>
      <c r="E301" s="20"/>
      <c r="F301" s="48"/>
      <c r="G301" s="98"/>
    </row>
    <row r="302" spans="3:7" x14ac:dyDescent="0.25">
      <c r="C302" s="24"/>
      <c r="D302" s="20"/>
      <c r="E302" s="20"/>
      <c r="F302" s="48"/>
      <c r="G302" s="98"/>
    </row>
    <row r="303" spans="3:7" x14ac:dyDescent="0.25">
      <c r="C303" s="24"/>
      <c r="D303" s="20"/>
      <c r="E303" s="20"/>
      <c r="F303" s="48"/>
      <c r="G303" s="98"/>
    </row>
    <row r="304" spans="3:7" x14ac:dyDescent="0.25">
      <c r="C304" s="24"/>
      <c r="D304" s="20"/>
      <c r="E304" s="20"/>
      <c r="F304" s="48"/>
      <c r="G304" s="98"/>
    </row>
    <row r="305" spans="3:7" x14ac:dyDescent="0.25">
      <c r="C305" s="24"/>
      <c r="D305" s="20"/>
      <c r="E305" s="20"/>
      <c r="F305" s="48"/>
      <c r="G305" s="98"/>
    </row>
    <row r="306" spans="3:7" x14ac:dyDescent="0.25">
      <c r="C306" s="24"/>
      <c r="D306" s="20"/>
      <c r="E306" s="20"/>
      <c r="F306" s="48"/>
      <c r="G306" s="98"/>
    </row>
    <row r="307" spans="3:7" x14ac:dyDescent="0.25">
      <c r="C307" s="24"/>
      <c r="D307" s="20"/>
      <c r="E307" s="20"/>
      <c r="F307" s="48"/>
      <c r="G307" s="98"/>
    </row>
    <row r="308" spans="3:7" x14ac:dyDescent="0.25">
      <c r="C308" s="24"/>
      <c r="D308" s="20"/>
      <c r="E308" s="20"/>
      <c r="F308" s="48"/>
      <c r="G308" s="98"/>
    </row>
    <row r="309" spans="3:7" x14ac:dyDescent="0.25">
      <c r="C309" s="24"/>
      <c r="D309" s="20"/>
      <c r="E309" s="20"/>
      <c r="F309" s="48"/>
      <c r="G309" s="98"/>
    </row>
    <row r="310" spans="3:7" x14ac:dyDescent="0.25">
      <c r="C310" s="24"/>
      <c r="D310" s="20"/>
      <c r="E310" s="20"/>
      <c r="F310" s="48"/>
      <c r="G310" s="98"/>
    </row>
    <row r="311" spans="3:7" x14ac:dyDescent="0.25">
      <c r="C311" s="24"/>
      <c r="D311" s="20"/>
      <c r="E311" s="20"/>
      <c r="F311" s="48"/>
      <c r="G311" s="98"/>
    </row>
    <row r="312" spans="3:7" x14ac:dyDescent="0.25">
      <c r="C312" s="24"/>
      <c r="D312" s="20"/>
      <c r="E312" s="20"/>
      <c r="F312" s="48"/>
      <c r="G312" s="98"/>
    </row>
    <row r="313" spans="3:7" x14ac:dyDescent="0.25">
      <c r="C313" s="24"/>
      <c r="D313" s="20"/>
      <c r="E313" s="20"/>
      <c r="F313" s="48"/>
      <c r="G313" s="98"/>
    </row>
    <row r="314" spans="3:7" x14ac:dyDescent="0.25">
      <c r="C314" s="24"/>
      <c r="D314" s="20"/>
      <c r="E314" s="20"/>
      <c r="F314" s="48"/>
      <c r="G314" s="98"/>
    </row>
    <row r="315" spans="3:7" x14ac:dyDescent="0.25">
      <c r="C315" s="24"/>
      <c r="D315" s="20"/>
      <c r="E315" s="20"/>
      <c r="F315" s="48"/>
      <c r="G315" s="98"/>
    </row>
    <row r="316" spans="3:7" x14ac:dyDescent="0.25">
      <c r="C316" s="24"/>
      <c r="D316" s="20"/>
      <c r="E316" s="20"/>
      <c r="F316" s="48"/>
      <c r="G316" s="98"/>
    </row>
    <row r="317" spans="3:7" x14ac:dyDescent="0.25">
      <c r="C317" s="24"/>
      <c r="D317" s="20"/>
      <c r="E317" s="20"/>
      <c r="F317" s="48"/>
      <c r="G317" s="98"/>
    </row>
    <row r="318" spans="3:7" x14ac:dyDescent="0.25">
      <c r="C318" s="24"/>
      <c r="D318" s="20"/>
      <c r="E318" s="20"/>
      <c r="F318" s="48"/>
      <c r="G318" s="98"/>
    </row>
    <row r="319" spans="3:7" x14ac:dyDescent="0.25">
      <c r="C319" s="24"/>
      <c r="D319" s="20"/>
      <c r="E319" s="20"/>
      <c r="F319" s="48"/>
      <c r="G319" s="98"/>
    </row>
    <row r="320" spans="3:7" x14ac:dyDescent="0.25">
      <c r="C320" s="24"/>
      <c r="D320" s="20"/>
      <c r="E320" s="20"/>
      <c r="F320" s="48"/>
      <c r="G320" s="98"/>
    </row>
    <row r="321" spans="3:7" x14ac:dyDescent="0.25">
      <c r="C321" s="24"/>
      <c r="D321" s="20"/>
      <c r="E321" s="20"/>
      <c r="F321" s="48"/>
      <c r="G321" s="98"/>
    </row>
    <row r="322" spans="3:7" x14ac:dyDescent="0.25">
      <c r="C322" s="24"/>
      <c r="D322" s="20"/>
      <c r="E322" s="20"/>
      <c r="F322" s="48"/>
      <c r="G322" s="98"/>
    </row>
    <row r="323" spans="3:7" x14ac:dyDescent="0.25">
      <c r="C323" s="24"/>
      <c r="D323" s="20"/>
      <c r="E323" s="20"/>
      <c r="F323" s="48"/>
      <c r="G323" s="98"/>
    </row>
    <row r="324" spans="3:7" x14ac:dyDescent="0.25">
      <c r="C324" s="24"/>
      <c r="D324" s="20"/>
      <c r="E324" s="20"/>
      <c r="F324" s="48"/>
      <c r="G324" s="98"/>
    </row>
    <row r="325" spans="3:7" x14ac:dyDescent="0.25">
      <c r="C325" s="24"/>
      <c r="D325" s="20"/>
      <c r="E325" s="20"/>
      <c r="F325" s="48"/>
      <c r="G325" s="98"/>
    </row>
    <row r="326" spans="3:7" x14ac:dyDescent="0.25">
      <c r="C326" s="24"/>
      <c r="D326" s="20"/>
      <c r="E326" s="20"/>
      <c r="F326" s="48"/>
      <c r="G326" s="98"/>
    </row>
    <row r="327" spans="3:7" x14ac:dyDescent="0.25">
      <c r="C327" s="24"/>
      <c r="D327" s="20"/>
      <c r="E327" s="20"/>
      <c r="F327" s="48"/>
      <c r="G327" s="98"/>
    </row>
    <row r="328" spans="3:7" x14ac:dyDescent="0.25">
      <c r="C328" s="24"/>
      <c r="D328" s="20"/>
      <c r="E328" s="20"/>
      <c r="F328" s="48"/>
      <c r="G328" s="98"/>
    </row>
    <row r="329" spans="3:7" x14ac:dyDescent="0.25">
      <c r="C329" s="24"/>
      <c r="D329" s="20"/>
      <c r="E329" s="20"/>
      <c r="F329" s="48"/>
      <c r="G329" s="98"/>
    </row>
    <row r="330" spans="3:7" x14ac:dyDescent="0.25">
      <c r="C330" s="24"/>
      <c r="D330" s="20"/>
      <c r="E330" s="20"/>
      <c r="F330" s="48"/>
      <c r="G330" s="98"/>
    </row>
    <row r="331" spans="3:7" x14ac:dyDescent="0.25">
      <c r="C331" s="24"/>
      <c r="D331" s="20"/>
      <c r="E331" s="20"/>
      <c r="F331" s="48"/>
      <c r="G331" s="98"/>
    </row>
    <row r="332" spans="3:7" x14ac:dyDescent="0.25">
      <c r="C332" s="24"/>
      <c r="D332" s="20"/>
      <c r="E332" s="20"/>
      <c r="F332" s="48"/>
      <c r="G332" s="98"/>
    </row>
    <row r="333" spans="3:7" x14ac:dyDescent="0.25">
      <c r="C333" s="24"/>
      <c r="D333" s="20"/>
      <c r="E333" s="20"/>
      <c r="F333" s="48"/>
      <c r="G333" s="98"/>
    </row>
    <row r="334" spans="3:7" x14ac:dyDescent="0.25">
      <c r="C334" s="24"/>
      <c r="D334" s="20"/>
      <c r="E334" s="20"/>
      <c r="F334" s="48"/>
      <c r="G334" s="98"/>
    </row>
    <row r="335" spans="3:7" x14ac:dyDescent="0.25">
      <c r="C335" s="24"/>
      <c r="D335" s="20"/>
      <c r="E335" s="20"/>
      <c r="F335" s="48"/>
      <c r="G335" s="98"/>
    </row>
    <row r="336" spans="3:7" x14ac:dyDescent="0.25">
      <c r="C336" s="24"/>
      <c r="D336" s="20"/>
      <c r="E336" s="20"/>
      <c r="F336" s="48"/>
      <c r="G336" s="98"/>
    </row>
    <row r="337" spans="3:7" x14ac:dyDescent="0.25">
      <c r="C337" s="24"/>
      <c r="D337" s="20"/>
      <c r="E337" s="20"/>
      <c r="F337" s="48"/>
      <c r="G337" s="98"/>
    </row>
    <row r="338" spans="3:7" x14ac:dyDescent="0.25">
      <c r="C338" s="24"/>
      <c r="D338" s="20"/>
      <c r="E338" s="20"/>
      <c r="F338" s="48"/>
      <c r="G338" s="98"/>
    </row>
    <row r="339" spans="3:7" x14ac:dyDescent="0.25">
      <c r="C339" s="24"/>
      <c r="D339" s="20"/>
      <c r="E339" s="20"/>
      <c r="F339" s="48"/>
      <c r="G339" s="98"/>
    </row>
    <row r="340" spans="3:7" x14ac:dyDescent="0.25">
      <c r="C340" s="24"/>
      <c r="D340" s="20"/>
      <c r="E340" s="20"/>
      <c r="F340" s="48"/>
      <c r="G340" s="98"/>
    </row>
    <row r="341" spans="3:7" x14ac:dyDescent="0.25">
      <c r="C341" s="24"/>
      <c r="D341" s="20"/>
      <c r="E341" s="20"/>
      <c r="F341" s="48"/>
      <c r="G341" s="98"/>
    </row>
    <row r="342" spans="3:7" x14ac:dyDescent="0.25">
      <c r="C342" s="24"/>
      <c r="D342" s="20"/>
      <c r="E342" s="20"/>
      <c r="F342" s="48"/>
      <c r="G342" s="98"/>
    </row>
    <row r="343" spans="3:7" x14ac:dyDescent="0.25">
      <c r="C343" s="24"/>
      <c r="D343" s="20"/>
      <c r="E343" s="20"/>
      <c r="F343" s="48"/>
      <c r="G343" s="98"/>
    </row>
    <row r="344" spans="3:7" x14ac:dyDescent="0.25">
      <c r="C344" s="24"/>
      <c r="D344" s="20"/>
      <c r="E344" s="20"/>
      <c r="F344" s="48"/>
      <c r="G344" s="98"/>
    </row>
    <row r="345" spans="3:7" x14ac:dyDescent="0.25">
      <c r="C345" s="24"/>
      <c r="D345" s="20"/>
      <c r="E345" s="20"/>
      <c r="F345" s="48"/>
      <c r="G345" s="98"/>
    </row>
    <row r="346" spans="3:7" x14ac:dyDescent="0.25">
      <c r="C346" s="24"/>
      <c r="D346" s="20"/>
      <c r="E346" s="20"/>
      <c r="F346" s="48"/>
      <c r="G346" s="98"/>
    </row>
    <row r="347" spans="3:7" x14ac:dyDescent="0.25">
      <c r="C347" s="24"/>
      <c r="D347" s="20"/>
      <c r="E347" s="20"/>
      <c r="F347" s="48"/>
      <c r="G347" s="98"/>
    </row>
    <row r="348" spans="3:7" x14ac:dyDescent="0.25">
      <c r="C348" s="24"/>
      <c r="D348" s="20"/>
      <c r="E348" s="20"/>
      <c r="F348" s="48"/>
      <c r="G348" s="98"/>
    </row>
    <row r="349" spans="3:7" x14ac:dyDescent="0.25">
      <c r="C349" s="24"/>
      <c r="D349" s="20"/>
      <c r="E349" s="20"/>
      <c r="F349" s="48"/>
      <c r="G349" s="98"/>
    </row>
    <row r="350" spans="3:7" x14ac:dyDescent="0.25">
      <c r="C350" s="24"/>
      <c r="D350" s="20"/>
      <c r="E350" s="20"/>
      <c r="F350" s="48"/>
      <c r="G350" s="98"/>
    </row>
    <row r="351" spans="3:7" x14ac:dyDescent="0.25">
      <c r="C351" s="24"/>
      <c r="D351" s="20"/>
      <c r="E351" s="20"/>
      <c r="F351" s="48"/>
      <c r="G351" s="98"/>
    </row>
    <row r="352" spans="3:7" x14ac:dyDescent="0.25">
      <c r="C352" s="24"/>
      <c r="D352" s="20"/>
      <c r="E352" s="20"/>
      <c r="F352" s="48"/>
      <c r="G352" s="98"/>
    </row>
    <row r="353" spans="3:7" x14ac:dyDescent="0.25">
      <c r="C353" s="24"/>
      <c r="D353" s="20"/>
      <c r="E353" s="20"/>
      <c r="F353" s="48"/>
      <c r="G353" s="98"/>
    </row>
    <row r="354" spans="3:7" x14ac:dyDescent="0.25">
      <c r="C354" s="24"/>
      <c r="D354" s="20"/>
      <c r="E354" s="20"/>
      <c r="F354" s="48"/>
      <c r="G354" s="98"/>
    </row>
    <row r="355" spans="3:7" x14ac:dyDescent="0.25">
      <c r="C355" s="24"/>
      <c r="D355" s="20"/>
      <c r="E355" s="20"/>
      <c r="F355" s="48"/>
      <c r="G355" s="98"/>
    </row>
    <row r="356" spans="3:7" x14ac:dyDescent="0.25">
      <c r="C356" s="24"/>
      <c r="D356" s="20"/>
      <c r="E356" s="20"/>
      <c r="F356" s="48"/>
      <c r="G356" s="98"/>
    </row>
    <row r="357" spans="3:7" x14ac:dyDescent="0.25">
      <c r="C357" s="24"/>
      <c r="D357" s="20"/>
      <c r="E357" s="20"/>
      <c r="F357" s="48"/>
      <c r="G357" s="98"/>
    </row>
    <row r="358" spans="3:7" x14ac:dyDescent="0.25">
      <c r="C358" s="24"/>
      <c r="D358" s="20"/>
      <c r="E358" s="20"/>
      <c r="F358" s="48"/>
      <c r="G358" s="98"/>
    </row>
    <row r="359" spans="3:7" x14ac:dyDescent="0.25">
      <c r="C359" s="24"/>
      <c r="D359" s="20"/>
      <c r="E359" s="20"/>
      <c r="F359" s="48"/>
      <c r="G359" s="98"/>
    </row>
    <row r="360" spans="3:7" x14ac:dyDescent="0.25">
      <c r="C360" s="24"/>
      <c r="D360" s="20"/>
      <c r="E360" s="20"/>
      <c r="F360" s="48"/>
      <c r="G360" s="98"/>
    </row>
    <row r="361" spans="3:7" x14ac:dyDescent="0.25">
      <c r="C361" s="24"/>
      <c r="D361" s="20"/>
      <c r="E361" s="20"/>
      <c r="F361" s="48"/>
      <c r="G361" s="98"/>
    </row>
    <row r="362" spans="3:7" x14ac:dyDescent="0.25">
      <c r="C362" s="24"/>
      <c r="D362" s="20"/>
      <c r="E362" s="20"/>
      <c r="F362" s="48"/>
      <c r="G362" s="98"/>
    </row>
    <row r="363" spans="3:7" x14ac:dyDescent="0.25">
      <c r="C363" s="24"/>
      <c r="D363" s="20"/>
      <c r="E363" s="20"/>
      <c r="F363" s="48"/>
      <c r="G363" s="98"/>
    </row>
    <row r="364" spans="3:7" x14ac:dyDescent="0.25">
      <c r="C364" s="24"/>
      <c r="D364" s="20"/>
      <c r="E364" s="20"/>
      <c r="F364" s="48"/>
      <c r="G364" s="98"/>
    </row>
    <row r="365" spans="3:7" x14ac:dyDescent="0.25">
      <c r="C365" s="24"/>
      <c r="D365" s="20"/>
      <c r="E365" s="20"/>
      <c r="F365" s="48"/>
      <c r="G365" s="98"/>
    </row>
    <row r="366" spans="3:7" x14ac:dyDescent="0.25">
      <c r="C366" s="24"/>
      <c r="D366" s="20"/>
      <c r="E366" s="20"/>
      <c r="F366" s="48"/>
      <c r="G366" s="98"/>
    </row>
    <row r="367" spans="3:7" x14ac:dyDescent="0.25">
      <c r="C367" s="24"/>
      <c r="D367" s="20"/>
      <c r="E367" s="20"/>
      <c r="F367" s="48"/>
      <c r="G367" s="98"/>
    </row>
    <row r="368" spans="3:7" x14ac:dyDescent="0.25">
      <c r="C368" s="24"/>
      <c r="D368" s="20"/>
      <c r="E368" s="20"/>
      <c r="F368" s="48"/>
      <c r="G368" s="98"/>
    </row>
    <row r="369" spans="3:7" x14ac:dyDescent="0.25">
      <c r="C369" s="24"/>
      <c r="D369" s="20"/>
      <c r="E369" s="20"/>
      <c r="F369" s="48"/>
      <c r="G369" s="98"/>
    </row>
    <row r="370" spans="3:7" x14ac:dyDescent="0.25">
      <c r="C370" s="24"/>
      <c r="D370" s="20"/>
      <c r="E370" s="20"/>
      <c r="F370" s="48"/>
      <c r="G370" s="98"/>
    </row>
    <row r="371" spans="3:7" x14ac:dyDescent="0.25">
      <c r="C371" s="24"/>
      <c r="D371" s="20"/>
      <c r="E371" s="20"/>
      <c r="F371" s="48"/>
      <c r="G371" s="98"/>
    </row>
    <row r="372" spans="3:7" x14ac:dyDescent="0.25">
      <c r="C372" s="24"/>
      <c r="D372" s="20"/>
      <c r="E372" s="20"/>
      <c r="F372" s="48"/>
      <c r="G372" s="98"/>
    </row>
    <row r="373" spans="3:7" x14ac:dyDescent="0.25">
      <c r="C373" s="24"/>
      <c r="D373" s="20"/>
      <c r="E373" s="20"/>
      <c r="F373" s="48"/>
      <c r="G373" s="98"/>
    </row>
    <row r="374" spans="3:7" x14ac:dyDescent="0.25">
      <c r="C374" s="24"/>
      <c r="D374" s="20"/>
      <c r="E374" s="20"/>
      <c r="F374" s="48"/>
      <c r="G374" s="98"/>
    </row>
    <row r="375" spans="3:7" x14ac:dyDescent="0.25">
      <c r="C375" s="24"/>
      <c r="D375" s="20"/>
      <c r="E375" s="20"/>
      <c r="F375" s="48"/>
      <c r="G375" s="98"/>
    </row>
    <row r="376" spans="3:7" x14ac:dyDescent="0.25">
      <c r="C376" s="24"/>
      <c r="D376" s="20"/>
      <c r="E376" s="20"/>
      <c r="F376" s="48"/>
      <c r="G376" s="98"/>
    </row>
    <row r="377" spans="3:7" x14ac:dyDescent="0.25">
      <c r="C377" s="24"/>
      <c r="D377" s="20"/>
      <c r="E377" s="20"/>
      <c r="F377" s="48"/>
      <c r="G377" s="98"/>
    </row>
    <row r="378" spans="3:7" x14ac:dyDescent="0.25">
      <c r="C378" s="24"/>
      <c r="D378" s="20"/>
      <c r="E378" s="20"/>
      <c r="F378" s="48"/>
      <c r="G378" s="98"/>
    </row>
    <row r="379" spans="3:7" x14ac:dyDescent="0.25">
      <c r="C379" s="24"/>
      <c r="D379" s="20"/>
      <c r="E379" s="20"/>
      <c r="F379" s="48"/>
      <c r="G379" s="98"/>
    </row>
    <row r="380" spans="3:7" x14ac:dyDescent="0.25">
      <c r="C380" s="24"/>
      <c r="D380" s="20"/>
      <c r="E380" s="20"/>
      <c r="F380" s="48"/>
      <c r="G380" s="98"/>
    </row>
    <row r="381" spans="3:7" x14ac:dyDescent="0.25">
      <c r="C381" s="24"/>
      <c r="D381" s="20"/>
      <c r="E381" s="20"/>
      <c r="F381" s="48"/>
      <c r="G381" s="98"/>
    </row>
    <row r="382" spans="3:7" x14ac:dyDescent="0.25">
      <c r="C382" s="24"/>
      <c r="D382" s="20"/>
      <c r="E382" s="20"/>
      <c r="F382" s="48"/>
      <c r="G382" s="98"/>
    </row>
    <row r="383" spans="3:7" x14ac:dyDescent="0.25">
      <c r="C383" s="24"/>
      <c r="D383" s="20"/>
      <c r="E383" s="20"/>
      <c r="F383" s="48"/>
      <c r="G383" s="98"/>
    </row>
    <row r="384" spans="3:7" x14ac:dyDescent="0.25">
      <c r="C384" s="24"/>
      <c r="D384" s="20"/>
      <c r="E384" s="20"/>
      <c r="F384" s="48"/>
      <c r="G384" s="98"/>
    </row>
    <row r="385" spans="3:7" x14ac:dyDescent="0.25">
      <c r="C385" s="24"/>
      <c r="D385" s="20"/>
      <c r="E385" s="20"/>
      <c r="F385" s="48"/>
      <c r="G385" s="98"/>
    </row>
    <row r="386" spans="3:7" x14ac:dyDescent="0.25">
      <c r="C386" s="24"/>
      <c r="D386" s="20"/>
      <c r="E386" s="20"/>
      <c r="F386" s="48"/>
      <c r="G386" s="98"/>
    </row>
    <row r="387" spans="3:7" x14ac:dyDescent="0.25">
      <c r="C387" s="24"/>
      <c r="D387" s="20"/>
      <c r="E387" s="20"/>
      <c r="F387" s="48"/>
      <c r="G387" s="98"/>
    </row>
    <row r="388" spans="3:7" x14ac:dyDescent="0.25">
      <c r="C388" s="24"/>
      <c r="D388" s="20"/>
      <c r="E388" s="20"/>
      <c r="F388" s="48"/>
      <c r="G388" s="98"/>
    </row>
    <row r="389" spans="3:7" x14ac:dyDescent="0.25">
      <c r="C389" s="24"/>
      <c r="D389" s="20"/>
      <c r="E389" s="20"/>
      <c r="F389" s="48"/>
      <c r="G389" s="98"/>
    </row>
    <row r="390" spans="3:7" x14ac:dyDescent="0.25">
      <c r="C390" s="24"/>
      <c r="D390" s="20"/>
      <c r="E390" s="20"/>
      <c r="F390" s="48"/>
      <c r="G390" s="98"/>
    </row>
    <row r="391" spans="3:7" x14ac:dyDescent="0.25">
      <c r="C391" s="24"/>
      <c r="D391" s="20"/>
      <c r="E391" s="20"/>
      <c r="F391" s="48"/>
      <c r="G391" s="98"/>
    </row>
    <row r="392" spans="3:7" x14ac:dyDescent="0.25">
      <c r="C392" s="24"/>
      <c r="D392" s="20"/>
      <c r="E392" s="20"/>
      <c r="F392" s="48"/>
      <c r="G392" s="98"/>
    </row>
    <row r="393" spans="3:7" x14ac:dyDescent="0.25">
      <c r="C393" s="24"/>
      <c r="D393" s="20"/>
      <c r="E393" s="20"/>
      <c r="F393" s="48"/>
      <c r="G393" s="98"/>
    </row>
    <row r="394" spans="3:7" x14ac:dyDescent="0.25">
      <c r="C394" s="24"/>
      <c r="D394" s="20"/>
      <c r="E394" s="20"/>
      <c r="F394" s="48"/>
      <c r="G394" s="98"/>
    </row>
    <row r="395" spans="3:7" x14ac:dyDescent="0.25">
      <c r="C395" s="24"/>
      <c r="D395" s="20"/>
      <c r="E395" s="20"/>
      <c r="F395" s="48"/>
      <c r="G395" s="98"/>
    </row>
    <row r="396" spans="3:7" x14ac:dyDescent="0.25">
      <c r="C396" s="24"/>
      <c r="D396" s="20"/>
      <c r="E396" s="20"/>
      <c r="F396" s="48"/>
      <c r="G396" s="98"/>
    </row>
    <row r="397" spans="3:7" x14ac:dyDescent="0.25">
      <c r="C397" s="24"/>
      <c r="D397" s="20"/>
      <c r="E397" s="20"/>
      <c r="F397" s="48"/>
      <c r="G397" s="98"/>
    </row>
    <row r="398" spans="3:7" x14ac:dyDescent="0.25">
      <c r="C398" s="24"/>
      <c r="D398" s="20"/>
      <c r="E398" s="20"/>
      <c r="F398" s="48"/>
      <c r="G398" s="98"/>
    </row>
    <row r="399" spans="3:7" x14ac:dyDescent="0.25">
      <c r="C399" s="24"/>
      <c r="D399" s="20"/>
      <c r="E399" s="20"/>
      <c r="F399" s="48"/>
      <c r="G399" s="98"/>
    </row>
    <row r="400" spans="3:7" x14ac:dyDescent="0.25">
      <c r="C400" s="24"/>
      <c r="D400" s="20"/>
      <c r="E400" s="20"/>
      <c r="F400" s="48"/>
      <c r="G400" s="98"/>
    </row>
    <row r="401" spans="3:7" x14ac:dyDescent="0.25">
      <c r="C401" s="24"/>
      <c r="D401" s="20"/>
      <c r="E401" s="20"/>
      <c r="F401" s="48"/>
      <c r="G401" s="98"/>
    </row>
    <row r="402" spans="3:7" x14ac:dyDescent="0.25">
      <c r="C402" s="24"/>
      <c r="D402" s="20"/>
      <c r="E402" s="20"/>
      <c r="F402" s="48"/>
      <c r="G402" s="98"/>
    </row>
    <row r="403" spans="3:7" x14ac:dyDescent="0.25">
      <c r="C403" s="24"/>
      <c r="D403" s="20"/>
      <c r="E403" s="20"/>
      <c r="F403" s="48"/>
      <c r="G403" s="98"/>
    </row>
    <row r="404" spans="3:7" x14ac:dyDescent="0.25">
      <c r="C404" s="24"/>
      <c r="D404" s="20"/>
      <c r="E404" s="20"/>
      <c r="F404" s="48"/>
      <c r="G404" s="98"/>
    </row>
    <row r="405" spans="3:7" x14ac:dyDescent="0.25">
      <c r="C405" s="24"/>
      <c r="D405" s="20"/>
      <c r="E405" s="20"/>
      <c r="F405" s="48"/>
      <c r="G405" s="98"/>
    </row>
    <row r="406" spans="3:7" x14ac:dyDescent="0.25">
      <c r="C406" s="24"/>
      <c r="D406" s="20"/>
      <c r="E406" s="20"/>
      <c r="F406" s="48"/>
      <c r="G406" s="98"/>
    </row>
    <row r="407" spans="3:7" x14ac:dyDescent="0.25">
      <c r="C407" s="24"/>
      <c r="D407" s="20"/>
      <c r="E407" s="20"/>
      <c r="F407" s="48"/>
      <c r="G407" s="98"/>
    </row>
    <row r="408" spans="3:7" x14ac:dyDescent="0.25">
      <c r="C408" s="24"/>
      <c r="D408" s="20"/>
      <c r="E408" s="20"/>
      <c r="F408" s="48"/>
      <c r="G408" s="98"/>
    </row>
    <row r="409" spans="3:7" x14ac:dyDescent="0.25">
      <c r="C409" s="24"/>
      <c r="D409" s="20"/>
      <c r="E409" s="20"/>
      <c r="F409" s="48"/>
      <c r="G409" s="98"/>
    </row>
    <row r="410" spans="3:7" x14ac:dyDescent="0.25">
      <c r="C410" s="24"/>
      <c r="D410" s="20"/>
      <c r="E410" s="20"/>
      <c r="F410" s="48"/>
      <c r="G410" s="98"/>
    </row>
    <row r="411" spans="3:7" x14ac:dyDescent="0.25">
      <c r="C411" s="24"/>
      <c r="D411" s="20"/>
      <c r="E411" s="20"/>
      <c r="F411" s="48"/>
      <c r="G411" s="98"/>
    </row>
    <row r="412" spans="3:7" x14ac:dyDescent="0.25">
      <c r="C412" s="24"/>
      <c r="D412" s="20"/>
      <c r="E412" s="20"/>
      <c r="F412" s="48"/>
      <c r="G412" s="98"/>
    </row>
    <row r="413" spans="3:7" x14ac:dyDescent="0.25">
      <c r="C413" s="24"/>
      <c r="D413" s="20"/>
      <c r="E413" s="20"/>
      <c r="F413" s="48"/>
      <c r="G413" s="98"/>
    </row>
    <row r="414" spans="3:7" x14ac:dyDescent="0.25">
      <c r="C414" s="24"/>
      <c r="D414" s="20"/>
      <c r="E414" s="20"/>
      <c r="F414" s="48"/>
      <c r="G414" s="98"/>
    </row>
    <row r="415" spans="3:7" x14ac:dyDescent="0.25">
      <c r="C415" s="24"/>
      <c r="D415" s="20"/>
      <c r="E415" s="20"/>
      <c r="F415" s="48"/>
      <c r="G415" s="98"/>
    </row>
    <row r="416" spans="3:7" x14ac:dyDescent="0.25">
      <c r="C416" s="24"/>
      <c r="D416" s="20"/>
      <c r="E416" s="20"/>
      <c r="F416" s="48"/>
      <c r="G416" s="98"/>
    </row>
    <row r="417" spans="3:7" x14ac:dyDescent="0.25">
      <c r="C417" s="24"/>
      <c r="D417" s="20"/>
      <c r="E417" s="20"/>
      <c r="F417" s="48"/>
      <c r="G417" s="98"/>
    </row>
    <row r="418" spans="3:7" x14ac:dyDescent="0.25">
      <c r="C418" s="24"/>
      <c r="D418" s="20"/>
      <c r="E418" s="20"/>
      <c r="F418" s="48"/>
      <c r="G418" s="98"/>
    </row>
    <row r="419" spans="3:7" x14ac:dyDescent="0.25">
      <c r="C419" s="24"/>
      <c r="D419" s="20"/>
      <c r="E419" s="20"/>
      <c r="F419" s="48"/>
      <c r="G419" s="98"/>
    </row>
    <row r="420" spans="3:7" x14ac:dyDescent="0.25">
      <c r="C420" s="24"/>
      <c r="D420" s="20"/>
      <c r="E420" s="20"/>
      <c r="F420" s="48"/>
      <c r="G420" s="98"/>
    </row>
    <row r="421" spans="3:7" x14ac:dyDescent="0.25">
      <c r="C421" s="24"/>
      <c r="D421" s="20"/>
      <c r="E421" s="20"/>
      <c r="F421" s="48"/>
      <c r="G421" s="98"/>
    </row>
    <row r="422" spans="3:7" x14ac:dyDescent="0.25">
      <c r="C422" s="24"/>
      <c r="D422" s="20"/>
      <c r="E422" s="20"/>
      <c r="F422" s="48"/>
      <c r="G422" s="98"/>
    </row>
    <row r="423" spans="3:7" x14ac:dyDescent="0.25">
      <c r="C423" s="24"/>
      <c r="D423" s="20"/>
      <c r="E423" s="20"/>
      <c r="F423" s="48"/>
      <c r="G423" s="98"/>
    </row>
    <row r="424" spans="3:7" x14ac:dyDescent="0.25">
      <c r="C424" s="24"/>
      <c r="D424" s="20"/>
      <c r="E424" s="20"/>
      <c r="F424" s="48"/>
      <c r="G424" s="98"/>
    </row>
    <row r="425" spans="3:7" x14ac:dyDescent="0.25">
      <c r="C425" s="24"/>
      <c r="D425" s="20"/>
      <c r="E425" s="20"/>
      <c r="F425" s="48"/>
      <c r="G425" s="98"/>
    </row>
    <row r="426" spans="3:7" x14ac:dyDescent="0.25">
      <c r="C426" s="24"/>
      <c r="D426" s="20"/>
      <c r="E426" s="20"/>
      <c r="F426" s="48"/>
      <c r="G426" s="98"/>
    </row>
    <row r="427" spans="3:7" x14ac:dyDescent="0.25">
      <c r="C427" s="24"/>
      <c r="D427" s="20"/>
      <c r="E427" s="20"/>
      <c r="F427" s="48"/>
      <c r="G427" s="98"/>
    </row>
    <row r="428" spans="3:7" x14ac:dyDescent="0.25">
      <c r="C428" s="24"/>
      <c r="D428" s="20"/>
      <c r="E428" s="20"/>
      <c r="F428" s="48"/>
      <c r="G428" s="98"/>
    </row>
    <row r="429" spans="3:7" x14ac:dyDescent="0.25">
      <c r="C429" s="24"/>
      <c r="D429" s="20"/>
      <c r="E429" s="20"/>
      <c r="F429" s="48"/>
      <c r="G429" s="98"/>
    </row>
    <row r="430" spans="3:7" x14ac:dyDescent="0.25">
      <c r="C430" s="24"/>
      <c r="D430" s="20"/>
      <c r="E430" s="20"/>
      <c r="F430" s="48"/>
      <c r="G430" s="98"/>
    </row>
    <row r="431" spans="3:7" x14ac:dyDescent="0.25">
      <c r="C431" s="24"/>
      <c r="D431" s="20"/>
      <c r="E431" s="20"/>
      <c r="F431" s="48"/>
      <c r="G431" s="98"/>
    </row>
    <row r="432" spans="3:7" x14ac:dyDescent="0.25">
      <c r="C432" s="24"/>
      <c r="D432" s="20"/>
      <c r="E432" s="20"/>
      <c r="F432" s="48"/>
      <c r="G432" s="98"/>
    </row>
    <row r="433" spans="3:7" x14ac:dyDescent="0.25">
      <c r="C433" s="24"/>
      <c r="D433" s="20"/>
      <c r="E433" s="20"/>
      <c r="F433" s="48"/>
      <c r="G433" s="98"/>
    </row>
    <row r="434" spans="3:7" x14ac:dyDescent="0.25">
      <c r="C434" s="24"/>
      <c r="D434" s="20"/>
      <c r="E434" s="20"/>
      <c r="F434" s="48"/>
      <c r="G434" s="98"/>
    </row>
    <row r="435" spans="3:7" x14ac:dyDescent="0.25">
      <c r="C435" s="24"/>
      <c r="D435" s="20"/>
      <c r="E435" s="20"/>
      <c r="F435" s="48"/>
      <c r="G435" s="98"/>
    </row>
    <row r="436" spans="3:7" x14ac:dyDescent="0.25">
      <c r="C436" s="24"/>
      <c r="D436" s="20"/>
      <c r="E436" s="20"/>
      <c r="F436" s="48"/>
      <c r="G436" s="98"/>
    </row>
    <row r="437" spans="3:7" x14ac:dyDescent="0.25">
      <c r="C437" s="24"/>
      <c r="D437" s="20"/>
      <c r="E437" s="20"/>
      <c r="F437" s="48"/>
      <c r="G437" s="98"/>
    </row>
    <row r="438" spans="3:7" x14ac:dyDescent="0.25">
      <c r="C438" s="24"/>
      <c r="D438" s="20"/>
      <c r="E438" s="20"/>
      <c r="F438" s="48"/>
      <c r="G438" s="98"/>
    </row>
    <row r="439" spans="3:7" x14ac:dyDescent="0.25">
      <c r="C439" s="24"/>
      <c r="D439" s="20"/>
      <c r="E439" s="20"/>
      <c r="F439" s="48"/>
      <c r="G439" s="98"/>
    </row>
    <row r="440" spans="3:7" x14ac:dyDescent="0.25">
      <c r="C440" s="24"/>
      <c r="D440" s="20"/>
      <c r="E440" s="20"/>
      <c r="F440" s="48"/>
      <c r="G440" s="98"/>
    </row>
    <row r="441" spans="3:7" x14ac:dyDescent="0.25">
      <c r="C441" s="24"/>
      <c r="D441" s="20"/>
      <c r="E441" s="20"/>
      <c r="F441" s="48"/>
      <c r="G441" s="98"/>
    </row>
    <row r="442" spans="3:7" x14ac:dyDescent="0.25">
      <c r="C442" s="24"/>
      <c r="D442" s="20"/>
      <c r="E442" s="20"/>
      <c r="F442" s="48"/>
      <c r="G442" s="98"/>
    </row>
    <row r="443" spans="3:7" x14ac:dyDescent="0.25">
      <c r="C443" s="24"/>
      <c r="D443" s="20"/>
      <c r="E443" s="20"/>
      <c r="F443" s="48"/>
      <c r="G443" s="98"/>
    </row>
    <row r="444" spans="3:7" x14ac:dyDescent="0.25">
      <c r="C444" s="24"/>
      <c r="D444" s="20"/>
      <c r="E444" s="20"/>
      <c r="F444" s="48"/>
      <c r="G444" s="98"/>
    </row>
    <row r="445" spans="3:7" x14ac:dyDescent="0.25">
      <c r="C445" s="24"/>
      <c r="D445" s="20"/>
      <c r="E445" s="20"/>
      <c r="F445" s="48"/>
      <c r="G445" s="98"/>
    </row>
    <row r="446" spans="3:7" x14ac:dyDescent="0.25">
      <c r="C446" s="24"/>
      <c r="D446" s="20"/>
      <c r="E446" s="20"/>
      <c r="F446" s="48"/>
      <c r="G446" s="98"/>
    </row>
    <row r="447" spans="3:7" x14ac:dyDescent="0.25">
      <c r="C447" s="24"/>
      <c r="D447" s="20"/>
      <c r="E447" s="20"/>
      <c r="F447" s="48"/>
      <c r="G447" s="98"/>
    </row>
    <row r="448" spans="3:7" x14ac:dyDescent="0.25">
      <c r="C448" s="24"/>
      <c r="D448" s="20"/>
      <c r="E448" s="20"/>
      <c r="F448" s="48"/>
      <c r="G448" s="98"/>
    </row>
    <row r="449" spans="3:7" x14ac:dyDescent="0.25">
      <c r="C449" s="24"/>
      <c r="D449" s="20"/>
      <c r="E449" s="20"/>
      <c r="F449" s="48"/>
      <c r="G449" s="98"/>
    </row>
    <row r="450" spans="3:7" x14ac:dyDescent="0.25">
      <c r="C450" s="24"/>
      <c r="D450" s="20"/>
      <c r="E450" s="20"/>
      <c r="F450" s="48"/>
      <c r="G450" s="98"/>
    </row>
    <row r="451" spans="3:7" x14ac:dyDescent="0.25">
      <c r="C451" s="24"/>
      <c r="D451" s="20"/>
      <c r="E451" s="20"/>
      <c r="F451" s="48"/>
      <c r="G451" s="98"/>
    </row>
    <row r="452" spans="3:7" x14ac:dyDescent="0.25">
      <c r="C452" s="24"/>
      <c r="D452" s="20"/>
      <c r="E452" s="20"/>
      <c r="F452" s="48"/>
      <c r="G452" s="98"/>
    </row>
    <row r="453" spans="3:7" x14ac:dyDescent="0.25">
      <c r="C453" s="24"/>
      <c r="D453" s="20"/>
      <c r="E453" s="20"/>
      <c r="F453" s="48"/>
      <c r="G453" s="98"/>
    </row>
    <row r="454" spans="3:7" x14ac:dyDescent="0.25">
      <c r="C454" s="24"/>
      <c r="D454" s="20"/>
      <c r="E454" s="20"/>
      <c r="F454" s="48"/>
      <c r="G454" s="98"/>
    </row>
    <row r="455" spans="3:7" x14ac:dyDescent="0.25">
      <c r="C455" s="24"/>
      <c r="D455" s="20"/>
      <c r="E455" s="20"/>
      <c r="F455" s="48"/>
      <c r="G455" s="98"/>
    </row>
    <row r="456" spans="3:7" x14ac:dyDescent="0.25">
      <c r="C456" s="24"/>
      <c r="D456" s="20"/>
      <c r="E456" s="20"/>
      <c r="F456" s="48"/>
      <c r="G456" s="98"/>
    </row>
    <row r="457" spans="3:7" x14ac:dyDescent="0.25">
      <c r="C457" s="24"/>
      <c r="D457" s="20"/>
      <c r="E457" s="20"/>
      <c r="F457" s="48"/>
      <c r="G457" s="98"/>
    </row>
    <row r="458" spans="3:7" x14ac:dyDescent="0.25">
      <c r="C458" s="24"/>
      <c r="D458" s="20"/>
      <c r="E458" s="20"/>
      <c r="F458" s="48"/>
      <c r="G458" s="98"/>
    </row>
    <row r="459" spans="3:7" x14ac:dyDescent="0.25">
      <c r="C459" s="24"/>
      <c r="D459" s="20"/>
      <c r="E459" s="20"/>
      <c r="F459" s="48"/>
      <c r="G459" s="98"/>
    </row>
    <row r="460" spans="3:7" x14ac:dyDescent="0.25">
      <c r="C460" s="24"/>
      <c r="D460" s="20"/>
      <c r="E460" s="20"/>
      <c r="F460" s="48"/>
      <c r="G460" s="98"/>
    </row>
    <row r="461" spans="3:7" x14ac:dyDescent="0.25">
      <c r="C461" s="24"/>
      <c r="D461" s="20"/>
      <c r="E461" s="20"/>
      <c r="F461" s="48"/>
      <c r="G461" s="98"/>
    </row>
    <row r="462" spans="3:7" x14ac:dyDescent="0.25">
      <c r="C462" s="24"/>
      <c r="D462" s="20"/>
      <c r="E462" s="20"/>
      <c r="F462" s="48"/>
      <c r="G462" s="98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232B-3945-458E-82FC-B01632B21061}">
  <sheetPr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3D38-4B8D-4452-8FC2-5A0BDB0C7EB2}">
  <sheetPr>
    <tabColor theme="9" tint="0.79998168889431442"/>
  </sheetPr>
  <dimension ref="A1:L50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41.85546875" style="1" bestFit="1" customWidth="1"/>
    <col min="4" max="4" width="24.140625" style="1" bestFit="1" customWidth="1"/>
    <col min="5" max="5" width="18.140625" style="1" bestFit="1" customWidth="1"/>
    <col min="6" max="6" width="20.7109375" style="1" bestFit="1" customWidth="1"/>
    <col min="7" max="7" width="29.42578125" style="1" bestFit="1" customWidth="1"/>
    <col min="8" max="8" width="19.140625" style="1" bestFit="1" customWidth="1"/>
    <col min="9" max="9" width="35.7109375" style="1" bestFit="1" customWidth="1"/>
    <col min="10" max="10" width="52.7109375" style="1" bestFit="1" customWidth="1"/>
    <col min="11" max="11" width="6.85546875" style="1" bestFit="1" customWidth="1"/>
    <col min="12" max="12" width="1.7109375" style="1" customWidth="1"/>
    <col min="13" max="16384" width="9.140625" style="1" hidden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x14ac:dyDescent="0.25">
      <c r="A3" s="2"/>
      <c r="B3" s="16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/>
    <row r="6" spans="1:12" x14ac:dyDescent="0.25"/>
    <row r="7" spans="1:12" x14ac:dyDescent="0.25">
      <c r="C7" s="12" t="s">
        <v>105</v>
      </c>
      <c r="D7" s="47"/>
      <c r="E7" s="13"/>
      <c r="F7" s="13"/>
      <c r="G7" s="13"/>
      <c r="H7" s="13"/>
      <c r="I7" s="13"/>
      <c r="J7" s="13"/>
      <c r="K7" s="13"/>
    </row>
    <row r="8" spans="1:12" ht="5.0999999999999996" customHeight="1" x14ac:dyDescent="0.25"/>
    <row r="9" spans="1:12" x14ac:dyDescent="0.25">
      <c r="C9" s="1" t="s">
        <v>107</v>
      </c>
      <c r="D9" s="49" t="s">
        <v>237</v>
      </c>
    </row>
    <row r="10" spans="1:12" ht="5.0999999999999996" customHeight="1" x14ac:dyDescent="0.25"/>
    <row r="11" spans="1:12" x14ac:dyDescent="0.25">
      <c r="C11" s="1" t="s">
        <v>106</v>
      </c>
      <c r="D11" s="50"/>
    </row>
    <row r="12" spans="1:12" x14ac:dyDescent="0.25"/>
    <row r="13" spans="1:12" x14ac:dyDescent="0.25">
      <c r="C13" s="12" t="s">
        <v>104</v>
      </c>
      <c r="D13" s="47"/>
      <c r="E13" s="13"/>
      <c r="F13" s="13"/>
      <c r="G13" s="13"/>
      <c r="H13" s="13"/>
      <c r="I13" s="13"/>
      <c r="J13" s="13"/>
      <c r="K13" s="13"/>
    </row>
    <row r="14" spans="1:12" ht="5.0999999999999996" customHeight="1" x14ac:dyDescent="0.25"/>
    <row r="15" spans="1:12" x14ac:dyDescent="0.25">
      <c r="C15" s="1" t="s">
        <v>224</v>
      </c>
      <c r="D15" s="53">
        <v>0.1</v>
      </c>
    </row>
    <row r="16" spans="1:12" ht="5.0999999999999996" customHeight="1" x14ac:dyDescent="0.25"/>
    <row r="17" spans="3:11" x14ac:dyDescent="0.25">
      <c r="C17" s="1" t="s">
        <v>225</v>
      </c>
      <c r="D17" s="49" t="s">
        <v>103</v>
      </c>
    </row>
    <row r="18" spans="3:11" ht="5.0999999999999996" customHeight="1" x14ac:dyDescent="0.25"/>
    <row r="19" spans="3:11" x14ac:dyDescent="0.25">
      <c r="C19" s="1" t="s">
        <v>88</v>
      </c>
      <c r="D19" s="49" t="s">
        <v>90</v>
      </c>
      <c r="E19" s="52">
        <f>_xlfn.XLOOKUP(D19, Lists!$C$64:$C$75, Lists!$D$64:$D$75, 0)</f>
        <v>1</v>
      </c>
    </row>
    <row r="20" spans="3:11" x14ac:dyDescent="0.25"/>
    <row r="21" spans="3:11" x14ac:dyDescent="0.25">
      <c r="C21" s="12" t="s">
        <v>111</v>
      </c>
      <c r="D21" s="47"/>
      <c r="E21" s="13"/>
      <c r="F21" s="13"/>
      <c r="G21" s="13"/>
      <c r="H21" s="13"/>
      <c r="I21" s="13"/>
      <c r="J21" s="13"/>
      <c r="K21" s="13"/>
    </row>
    <row r="22" spans="3:11" ht="5.0999999999999996" customHeight="1" x14ac:dyDescent="0.25"/>
    <row r="23" spans="3:11" x14ac:dyDescent="0.25">
      <c r="C23" s="8" t="s">
        <v>39</v>
      </c>
      <c r="D23" s="8" t="s">
        <v>40</v>
      </c>
      <c r="E23" s="23" t="s">
        <v>47</v>
      </c>
      <c r="F23" s="32" t="s">
        <v>41</v>
      </c>
      <c r="G23" s="23" t="s">
        <v>42</v>
      </c>
      <c r="H23" s="23" t="s">
        <v>43</v>
      </c>
      <c r="I23" s="23" t="s">
        <v>44</v>
      </c>
      <c r="J23" s="23" t="s">
        <v>45</v>
      </c>
      <c r="K23" s="32" t="s">
        <v>46</v>
      </c>
    </row>
    <row r="24" spans="3:11" x14ac:dyDescent="0.25">
      <c r="C24" s="31" t="s">
        <v>37</v>
      </c>
      <c r="D24" s="20"/>
      <c r="E24" s="34"/>
      <c r="F24" s="20"/>
      <c r="G24" s="35"/>
      <c r="H24" s="35"/>
      <c r="I24" s="36"/>
      <c r="J24" s="36"/>
      <c r="K24" s="20" t="s">
        <v>67</v>
      </c>
    </row>
    <row r="25" spans="3:11" x14ac:dyDescent="0.25">
      <c r="C25" s="31" t="s">
        <v>37</v>
      </c>
      <c r="D25" s="20"/>
      <c r="E25" s="34"/>
      <c r="F25" s="20"/>
      <c r="G25" s="35"/>
      <c r="H25" s="35"/>
      <c r="I25" s="36"/>
      <c r="J25" s="36"/>
      <c r="K25" s="20" t="s">
        <v>67</v>
      </c>
    </row>
    <row r="26" spans="3:11" x14ac:dyDescent="0.25">
      <c r="C26" s="31" t="s">
        <v>37</v>
      </c>
      <c r="D26" s="20"/>
      <c r="E26" s="34"/>
      <c r="F26" s="20"/>
      <c r="G26" s="35"/>
      <c r="H26" s="35"/>
      <c r="I26" s="36"/>
      <c r="J26" s="36"/>
      <c r="K26" s="20" t="s">
        <v>67</v>
      </c>
    </row>
    <row r="27" spans="3:11" x14ac:dyDescent="0.25">
      <c r="C27" s="31" t="s">
        <v>37</v>
      </c>
      <c r="D27" s="20"/>
      <c r="E27" s="34"/>
      <c r="F27" s="20"/>
      <c r="G27" s="35"/>
      <c r="H27" s="35"/>
      <c r="I27" s="36"/>
      <c r="J27" s="36"/>
      <c r="K27" s="20" t="s">
        <v>67</v>
      </c>
    </row>
    <row r="28" spans="3:11" x14ac:dyDescent="0.25">
      <c r="C28" s="31" t="s">
        <v>37</v>
      </c>
      <c r="D28" s="20"/>
      <c r="E28" s="34"/>
      <c r="F28" s="20"/>
      <c r="G28" s="35"/>
      <c r="H28" s="35"/>
      <c r="I28" s="36"/>
      <c r="J28" s="36"/>
      <c r="K28" s="20" t="s">
        <v>67</v>
      </c>
    </row>
    <row r="29" spans="3:11" x14ac:dyDescent="0.25">
      <c r="C29" s="31" t="s">
        <v>14</v>
      </c>
      <c r="D29" s="20"/>
      <c r="E29" s="34"/>
      <c r="F29" s="20"/>
      <c r="G29" s="35"/>
      <c r="H29" s="35"/>
      <c r="I29" s="36"/>
      <c r="J29" s="36"/>
      <c r="K29" s="20" t="s">
        <v>67</v>
      </c>
    </row>
    <row r="30" spans="3:11" x14ac:dyDescent="0.25">
      <c r="C30" s="31" t="s">
        <v>14</v>
      </c>
      <c r="D30" s="20"/>
      <c r="E30" s="34"/>
      <c r="F30" s="20"/>
      <c r="G30" s="35"/>
      <c r="H30" s="35"/>
      <c r="I30" s="36"/>
      <c r="J30" s="36"/>
      <c r="K30" s="20" t="s">
        <v>67</v>
      </c>
    </row>
    <row r="31" spans="3:11" x14ac:dyDescent="0.25">
      <c r="C31" s="31" t="s">
        <v>14</v>
      </c>
      <c r="D31" s="20"/>
      <c r="E31" s="34"/>
      <c r="F31" s="20"/>
      <c r="G31" s="35"/>
      <c r="H31" s="35"/>
      <c r="I31" s="36"/>
      <c r="J31" s="36"/>
      <c r="K31" s="20" t="s">
        <v>67</v>
      </c>
    </row>
    <row r="32" spans="3:11" x14ac:dyDescent="0.25">
      <c r="C32" s="31" t="s">
        <v>17</v>
      </c>
      <c r="D32" s="20"/>
      <c r="E32" s="34"/>
      <c r="F32" s="20"/>
      <c r="G32" s="35"/>
      <c r="H32" s="35"/>
      <c r="I32" s="36"/>
      <c r="J32" s="36"/>
      <c r="K32" s="20" t="s">
        <v>67</v>
      </c>
    </row>
    <row r="33" spans="3:11" x14ac:dyDescent="0.25">
      <c r="C33" s="31" t="s">
        <v>17</v>
      </c>
      <c r="D33" s="20"/>
      <c r="E33" s="34"/>
      <c r="F33" s="20"/>
      <c r="G33" s="35"/>
      <c r="H33" s="35"/>
      <c r="I33" s="36"/>
      <c r="J33" s="36"/>
      <c r="K33" s="20" t="s">
        <v>67</v>
      </c>
    </row>
    <row r="34" spans="3:11" x14ac:dyDescent="0.25">
      <c r="C34" s="31" t="s">
        <v>17</v>
      </c>
      <c r="D34" s="20"/>
      <c r="E34" s="34"/>
      <c r="F34" s="20"/>
      <c r="G34" s="35"/>
      <c r="H34" s="35"/>
      <c r="I34" s="36"/>
      <c r="J34" s="36"/>
      <c r="K34" s="20" t="s">
        <v>67</v>
      </c>
    </row>
    <row r="35" spans="3:11" x14ac:dyDescent="0.25">
      <c r="C35" s="31" t="s">
        <v>17</v>
      </c>
      <c r="D35" s="20"/>
      <c r="E35" s="34"/>
      <c r="F35" s="20"/>
      <c r="G35" s="35"/>
      <c r="H35" s="35"/>
      <c r="I35" s="36"/>
      <c r="J35" s="36"/>
      <c r="K35" s="20" t="s">
        <v>67</v>
      </c>
    </row>
    <row r="36" spans="3:11" x14ac:dyDescent="0.25">
      <c r="C36" s="31" t="s">
        <v>17</v>
      </c>
      <c r="D36" s="20"/>
      <c r="E36" s="34"/>
      <c r="F36" s="20"/>
      <c r="G36" s="35"/>
      <c r="H36" s="35"/>
      <c r="I36" s="36"/>
      <c r="J36" s="36"/>
      <c r="K36" s="20" t="s">
        <v>67</v>
      </c>
    </row>
    <row r="37" spans="3:11" x14ac:dyDescent="0.25">
      <c r="C37" s="31" t="s">
        <v>17</v>
      </c>
      <c r="D37" s="20"/>
      <c r="E37" s="34"/>
      <c r="F37" s="20"/>
      <c r="G37" s="35"/>
      <c r="H37" s="35"/>
      <c r="I37" s="36"/>
      <c r="J37" s="36"/>
      <c r="K37" s="20" t="s">
        <v>67</v>
      </c>
    </row>
    <row r="38" spans="3:11" x14ac:dyDescent="0.25">
      <c r="C38" s="31" t="s">
        <v>17</v>
      </c>
      <c r="D38" s="20"/>
      <c r="E38" s="34"/>
      <c r="F38" s="20"/>
      <c r="G38" s="35"/>
      <c r="H38" s="35"/>
      <c r="I38" s="36"/>
      <c r="J38" s="36"/>
      <c r="K38" s="20" t="s">
        <v>67</v>
      </c>
    </row>
    <row r="39" spans="3:11" x14ac:dyDescent="0.25">
      <c r="C39" s="31" t="s">
        <v>17</v>
      </c>
      <c r="D39" s="20"/>
      <c r="E39" s="34"/>
      <c r="F39" s="20"/>
      <c r="G39" s="35"/>
      <c r="H39" s="35"/>
      <c r="I39" s="36"/>
      <c r="J39" s="36"/>
      <c r="K39" s="20" t="s">
        <v>67</v>
      </c>
    </row>
    <row r="40" spans="3:11" x14ac:dyDescent="0.25">
      <c r="C40" s="31" t="s">
        <v>17</v>
      </c>
      <c r="D40" s="20"/>
      <c r="E40" s="34"/>
      <c r="F40" s="20"/>
      <c r="G40" s="35"/>
      <c r="H40" s="35"/>
      <c r="I40" s="36"/>
      <c r="J40" s="36"/>
      <c r="K40" s="20" t="s">
        <v>67</v>
      </c>
    </row>
    <row r="41" spans="3:11" x14ac:dyDescent="0.25">
      <c r="C41" s="31" t="s">
        <v>17</v>
      </c>
      <c r="D41" s="20"/>
      <c r="E41" s="34"/>
      <c r="F41" s="20"/>
      <c r="G41" s="35"/>
      <c r="H41" s="35"/>
      <c r="I41" s="36"/>
      <c r="J41" s="36"/>
      <c r="K41" s="20" t="s">
        <v>67</v>
      </c>
    </row>
    <row r="42" spans="3:11" x14ac:dyDescent="0.25">
      <c r="C42" s="31" t="s">
        <v>17</v>
      </c>
      <c r="D42" s="20"/>
      <c r="E42" s="34"/>
      <c r="F42" s="20"/>
      <c r="G42" s="35"/>
      <c r="H42" s="35"/>
      <c r="I42" s="36"/>
      <c r="J42" s="36"/>
      <c r="K42" s="20" t="s">
        <v>67</v>
      </c>
    </row>
    <row r="43" spans="3:11" x14ac:dyDescent="0.25">
      <c r="C43" s="31" t="s">
        <v>17</v>
      </c>
      <c r="D43" s="20"/>
      <c r="E43" s="34"/>
      <c r="F43" s="20"/>
      <c r="G43" s="35"/>
      <c r="H43" s="35"/>
      <c r="I43" s="36"/>
      <c r="J43" s="36"/>
      <c r="K43" s="20" t="s">
        <v>67</v>
      </c>
    </row>
    <row r="44" spans="3:11" x14ac:dyDescent="0.25">
      <c r="C44" s="31" t="s">
        <v>21</v>
      </c>
      <c r="D44" s="20"/>
      <c r="E44" s="34"/>
      <c r="F44" s="20"/>
      <c r="G44" s="35"/>
      <c r="H44" s="35"/>
      <c r="I44" s="36"/>
      <c r="J44" s="36"/>
      <c r="K44" s="20" t="s">
        <v>67</v>
      </c>
    </row>
    <row r="45" spans="3:11" x14ac:dyDescent="0.25">
      <c r="C45" s="31" t="s">
        <v>21</v>
      </c>
      <c r="D45" s="20"/>
      <c r="E45" s="34"/>
      <c r="F45" s="20"/>
      <c r="G45" s="35"/>
      <c r="H45" s="35"/>
      <c r="I45" s="36"/>
      <c r="J45" s="36"/>
      <c r="K45" s="20" t="s">
        <v>67</v>
      </c>
    </row>
    <row r="46" spans="3:11" x14ac:dyDescent="0.25">
      <c r="C46" s="31" t="s">
        <v>21</v>
      </c>
      <c r="D46" s="20"/>
      <c r="E46" s="34"/>
      <c r="F46" s="20"/>
      <c r="G46" s="35"/>
      <c r="H46" s="35"/>
      <c r="I46" s="36"/>
      <c r="J46" s="36"/>
      <c r="K46" s="20" t="s">
        <v>67</v>
      </c>
    </row>
    <row r="47" spans="3:11" x14ac:dyDescent="0.25">
      <c r="C47" s="31" t="s">
        <v>19</v>
      </c>
      <c r="D47" s="20"/>
      <c r="E47" s="34"/>
      <c r="F47" s="20"/>
      <c r="G47" s="35"/>
      <c r="H47" s="35"/>
      <c r="I47" s="36"/>
      <c r="J47" s="36"/>
      <c r="K47" s="20" t="s">
        <v>67</v>
      </c>
    </row>
    <row r="48" spans="3:11" x14ac:dyDescent="0.25">
      <c r="C48" s="31" t="s">
        <v>19</v>
      </c>
      <c r="D48" s="20"/>
      <c r="E48" s="34"/>
      <c r="F48" s="20"/>
      <c r="G48" s="35"/>
      <c r="H48" s="35"/>
      <c r="I48" s="36"/>
      <c r="J48" s="36"/>
      <c r="K48" s="20" t="s">
        <v>67</v>
      </c>
    </row>
    <row r="49" spans="3:11" x14ac:dyDescent="0.25">
      <c r="C49" s="31" t="s">
        <v>19</v>
      </c>
      <c r="D49" s="20"/>
      <c r="E49" s="34"/>
      <c r="F49" s="20"/>
      <c r="G49" s="35"/>
      <c r="H49" s="35"/>
      <c r="I49" s="36"/>
      <c r="J49" s="36"/>
      <c r="K49" s="20" t="s">
        <v>67</v>
      </c>
    </row>
    <row r="50" spans="3:11" x14ac:dyDescent="0.25"/>
  </sheetData>
  <conditionalFormatting sqref="G24:H49">
    <cfRule type="expression" dxfId="6" priority="7">
      <formula>F24 = "Quarterly"</formula>
    </cfRule>
    <cfRule type="expression" dxfId="5" priority="8">
      <formula>F24 = "Specific day of month"</formula>
    </cfRule>
  </conditionalFormatting>
  <conditionalFormatting sqref="H24:H49">
    <cfRule type="expression" dxfId="4" priority="9">
      <formula>F24 = "Quarterly"</formula>
    </cfRule>
  </conditionalFormatting>
  <conditionalFormatting sqref="I24:J49">
    <cfRule type="expression" dxfId="3" priority="1">
      <formula>F24 = "Every 3 weeks"</formula>
    </cfRule>
    <cfRule type="expression" dxfId="2" priority="2">
      <formula>F24 = "Every 2 weeks"</formula>
    </cfRule>
  </conditionalFormatting>
  <conditionalFormatting sqref="J24:J49">
    <cfRule type="expression" dxfId="1" priority="3">
      <formula>F24 = "Last X day of month"</formula>
    </cfRule>
    <cfRule type="expression" dxfId="0" priority="4">
      <formula xml:space="preserve"> F24 = "Weekly"</formula>
    </cfRule>
  </conditionalFormatting>
  <dataValidations count="2">
    <dataValidation type="list" allowBlank="1" showInputMessage="1" showErrorMessage="1" sqref="K24:K49" xr:uid="{088EB79B-0858-4FC1-82D8-D2CDBDC4DB41}">
      <formula1>"On, Off"</formula1>
    </dataValidation>
    <dataValidation type="list" allowBlank="1" showInputMessage="1" showErrorMessage="1" sqref="D17" xr:uid="{AB5F7714-88C4-4F18-B3E8-F12B1A9D19EA}">
      <formula1>"Monthly, Quarterly"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9206CDA-75B2-44E5-8D51-A13379E5A44E}">
          <x14:formula1>
            <xm:f>Lists!$C$41:$C$49</xm:f>
          </x14:formula1>
          <xm:sqref>F24:F49</xm:sqref>
        </x14:dataValidation>
        <x14:dataValidation type="list" allowBlank="1" showInputMessage="1" showErrorMessage="1" xr:uid="{FB95EFBA-8656-4891-943E-856CC6BC8B70}">
          <x14:formula1>
            <xm:f>Lists!$C$8:$C$38</xm:f>
          </x14:formula1>
          <xm:sqref>G24:G49</xm:sqref>
        </x14:dataValidation>
        <x14:dataValidation type="list" allowBlank="1" showInputMessage="1" showErrorMessage="1" xr:uid="{C9A5D6C6-1469-4122-8D54-16DA2D1AA738}">
          <x14:formula1>
            <xm:f>Lists!$C$52:$C$54</xm:f>
          </x14:formula1>
          <xm:sqref>H24:H49</xm:sqref>
        </x14:dataValidation>
        <x14:dataValidation type="list" allowBlank="1" showInputMessage="1" showErrorMessage="1" xr:uid="{A25908B9-773A-4D57-AFAC-FF630906C946}">
          <x14:formula1>
            <xm:f>Lists!$C$57:$C$61</xm:f>
          </x14:formula1>
          <xm:sqref>J24:J49</xm:sqref>
        </x14:dataValidation>
        <x14:dataValidation type="list" allowBlank="1" showInputMessage="1" showErrorMessage="1" xr:uid="{52EFF74D-CBE3-4FF2-871B-E5BE9D52388C}">
          <x14:formula1>
            <xm:f>Lists!$C$64:$C$75</xm:f>
          </x14:formula1>
          <xm:sqref>D19</xm:sqref>
        </x14:dataValidation>
        <x14:dataValidation type="list" allowBlank="1" showInputMessage="1" showErrorMessage="1" xr:uid="{195EECB9-6916-4AEA-914C-C90CA325F4C3}">
          <x14:formula1>
            <xm:f>Lists!$C$78:$C$582</xm:f>
          </x14:formula1>
          <xm:sqref>D11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D676-176A-41FD-829A-FCF974B3DD67}">
  <sheetPr>
    <tabColor theme="9" tint="0.79998168889431442"/>
  </sheetPr>
  <dimension ref="A1:AU338"/>
  <sheetViews>
    <sheetView showGridLines="0" zoomScaleNormal="100" workbookViewId="0"/>
  </sheetViews>
  <sheetFormatPr defaultColWidth="0" defaultRowHeight="13.5" x14ac:dyDescent="0.25"/>
  <cols>
    <col min="1" max="2" width="1.7109375" style="1" customWidth="1"/>
    <col min="3" max="3" width="10.28515625" style="1" bestFit="1" customWidth="1"/>
    <col min="4" max="4" width="80" style="1" customWidth="1"/>
    <col min="5" max="6" width="12.85546875" style="1" bestFit="1" customWidth="1"/>
    <col min="7" max="7" width="17.140625" style="1" bestFit="1" customWidth="1"/>
    <col min="8" max="8" width="16.42578125" style="1" bestFit="1" customWidth="1"/>
    <col min="9" max="9" width="21.85546875" style="1" bestFit="1" customWidth="1"/>
    <col min="10" max="10" width="19.85546875" style="1" bestFit="1" customWidth="1"/>
    <col min="11" max="11" width="23.28515625" style="1" bestFit="1" customWidth="1"/>
    <col min="12" max="12" width="23.140625" style="1" bestFit="1" customWidth="1"/>
    <col min="13" max="13" width="24.140625" style="1" bestFit="1" customWidth="1"/>
    <col min="14" max="14" width="10.7109375" style="1" customWidth="1"/>
    <col min="15" max="15" width="59.5703125" style="1" bestFit="1" customWidth="1"/>
    <col min="16" max="16" width="23.140625" style="1" bestFit="1" customWidth="1"/>
    <col min="17" max="17" width="24.140625" style="1" bestFit="1" customWidth="1"/>
    <col min="18" max="18" width="1.7109375" style="1" customWidth="1"/>
    <col min="19" max="47" width="0" style="1" hidden="1" customWidth="1"/>
    <col min="48" max="16384" width="9.140625" style="1" hidden="1"/>
  </cols>
  <sheetData>
    <row r="1" spans="1:18" x14ac:dyDescent="0.25">
      <c r="A1" s="2"/>
      <c r="B1" s="2"/>
      <c r="C1" s="2"/>
      <c r="D1" s="7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17" t="str">
        <f>Assumptions!$D$9</f>
        <v>Example Company Australia</v>
      </c>
      <c r="C2" s="2"/>
      <c r="D2" s="7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16" t="s">
        <v>150</v>
      </c>
      <c r="C3" s="2"/>
      <c r="D3" s="7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7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7" spans="1:18" x14ac:dyDescent="0.25">
      <c r="C7" s="79" t="s">
        <v>151</v>
      </c>
      <c r="D7" s="80"/>
      <c r="E7" s="80"/>
      <c r="F7" s="81"/>
      <c r="G7" s="82" t="s">
        <v>152</v>
      </c>
      <c r="H7" s="83"/>
      <c r="I7" s="83"/>
      <c r="J7" s="83"/>
      <c r="K7" s="83"/>
      <c r="L7" s="83"/>
      <c r="M7" s="84"/>
      <c r="O7" s="85" t="s">
        <v>153</v>
      </c>
      <c r="P7" s="85"/>
      <c r="Q7" s="85"/>
    </row>
    <row r="8" spans="1:18" ht="5.0999999999999996" customHeight="1" x14ac:dyDescent="0.25"/>
    <row r="9" spans="1:18" x14ac:dyDescent="0.25">
      <c r="C9" s="3" t="s">
        <v>32</v>
      </c>
      <c r="D9" s="3" t="s">
        <v>32</v>
      </c>
      <c r="E9" s="3" t="s">
        <v>32</v>
      </c>
      <c r="F9" s="3" t="s">
        <v>32</v>
      </c>
      <c r="G9" s="3" t="s">
        <v>87</v>
      </c>
      <c r="H9" s="3" t="s">
        <v>87</v>
      </c>
      <c r="I9" s="3" t="s">
        <v>87</v>
      </c>
      <c r="J9" s="3" t="s">
        <v>33</v>
      </c>
      <c r="K9" s="3" t="s">
        <v>33</v>
      </c>
      <c r="L9" s="3" t="s">
        <v>87</v>
      </c>
      <c r="M9" s="3" t="s">
        <v>87</v>
      </c>
      <c r="O9" s="3" t="s">
        <v>32</v>
      </c>
      <c r="P9" s="3" t="s">
        <v>32</v>
      </c>
      <c r="Q9" s="3" t="s">
        <v>32</v>
      </c>
    </row>
    <row r="10" spans="1:18" x14ac:dyDescent="0.25">
      <c r="C10" s="26" t="s">
        <v>154</v>
      </c>
      <c r="D10" s="26" t="s">
        <v>155</v>
      </c>
      <c r="E10" s="40" t="s">
        <v>162</v>
      </c>
      <c r="F10" s="40" t="s">
        <v>163</v>
      </c>
      <c r="G10" s="86" t="s">
        <v>47</v>
      </c>
      <c r="H10" s="87" t="s">
        <v>71</v>
      </c>
      <c r="I10" s="87" t="s">
        <v>156</v>
      </c>
      <c r="J10" s="88" t="s">
        <v>157</v>
      </c>
      <c r="K10" s="88" t="s">
        <v>158</v>
      </c>
      <c r="L10" s="88" t="s">
        <v>159</v>
      </c>
      <c r="M10" s="88" t="s">
        <v>160</v>
      </c>
      <c r="O10" s="25" t="s">
        <v>161</v>
      </c>
      <c r="P10" s="26" t="s">
        <v>71</v>
      </c>
      <c r="Q10" s="40" t="s">
        <v>156</v>
      </c>
    </row>
    <row r="11" spans="1:18" x14ac:dyDescent="0.25">
      <c r="C11" s="4"/>
      <c r="D11" s="20"/>
      <c r="E11" s="37"/>
      <c r="F11" s="37"/>
      <c r="G11" s="89">
        <f>-Bank_postings[[#This Row],[Payment amount]] + Bank_postings[[#This Row],[Receipt amount]]</f>
        <v>0</v>
      </c>
      <c r="H11" s="90" t="e" cm="1">
        <f t="array" ref="H11">INDEX(Payment_categorisations[Category], MATCH(TRUE, ISNUMBER(SEARCH(Payment_categorisations[Contains keywords], Bank_postings[[#This Row],[Narrative]])), 0))</f>
        <v>#N/A</v>
      </c>
      <c r="I11" s="90" t="e" cm="1">
        <f t="array" ref="I11">INDEX(Payment_categorisations[Sub-category], MATCH(TRUE, ISNUMBER(SEARCH(Payment_categorisations[Contains keywords], Bank_postings[[#This Row],[Narrative]])), 0))</f>
        <v>#N/A</v>
      </c>
      <c r="J11" s="20"/>
      <c r="K11" s="21"/>
      <c r="L11" s="31" t="e">
        <f>IF(Bank_postings[[#This Row],[Manual override category]] &lt;&gt; "", Bank_postings[[#This Row],[Manual override category]], Bank_postings[[#This Row],[Category]])</f>
        <v>#N/A</v>
      </c>
      <c r="M11" s="31" t="e">
        <f>IF(Bank_postings[[#This Row],[Manual override sub-category]] &lt;&gt; "", Bank_postings[[#This Row],[Manual override sub-category]], Bank_postings[[#This Row],[Sub-category]])</f>
        <v>#N/A</v>
      </c>
      <c r="O11" s="24" t="s">
        <v>166</v>
      </c>
      <c r="P11" s="20" t="s">
        <v>77</v>
      </c>
      <c r="Q11" s="21" t="s">
        <v>20</v>
      </c>
    </row>
    <row r="12" spans="1:18" x14ac:dyDescent="0.25">
      <c r="C12" s="4"/>
      <c r="D12" s="20"/>
      <c r="E12" s="37"/>
      <c r="F12" s="37"/>
      <c r="G12" s="91">
        <f>-Bank_postings[[#This Row],[Payment amount]] + Bank_postings[[#This Row],[Receipt amount]]</f>
        <v>0</v>
      </c>
      <c r="H12" s="31" t="e" cm="1">
        <f t="array" ref="H12">INDEX(Payment_categorisations[Category], MATCH(TRUE, ISNUMBER(SEARCH(Payment_categorisations[Contains keywords], Bank_postings[[#This Row],[Narrative]])), 0))</f>
        <v>#N/A</v>
      </c>
      <c r="I12" s="31" t="e" cm="1">
        <f t="array" ref="I12">INDEX(Payment_categorisations[Sub-category], MATCH(TRUE, ISNUMBER(SEARCH(Payment_categorisations[Contains keywords], Bank_postings[[#This Row],[Narrative]])), 0))</f>
        <v>#N/A</v>
      </c>
      <c r="J12" s="20"/>
      <c r="K12" s="20"/>
      <c r="L12" s="31" t="e">
        <f>IF(Bank_postings[[#This Row],[Manual override category]] &lt;&gt; "", Bank_postings[[#This Row],[Manual override category]], Bank_postings[[#This Row],[Category]])</f>
        <v>#N/A</v>
      </c>
      <c r="M12" s="31" t="e">
        <f>IF(Bank_postings[[#This Row],[Manual override sub-category]] &lt;&gt; "", Bank_postings[[#This Row],[Manual override sub-category]], Bank_postings[[#This Row],[Sub-category]])</f>
        <v>#N/A</v>
      </c>
      <c r="O12" s="24" t="s">
        <v>172</v>
      </c>
      <c r="P12" s="20" t="s">
        <v>75</v>
      </c>
      <c r="Q12" s="21" t="s">
        <v>142</v>
      </c>
    </row>
    <row r="13" spans="1:18" x14ac:dyDescent="0.25">
      <c r="C13" s="4"/>
      <c r="D13" s="20"/>
      <c r="E13" s="37"/>
      <c r="F13" s="37"/>
      <c r="G13" s="91">
        <f>-Bank_postings[[#This Row],[Payment amount]] + Bank_postings[[#This Row],[Receipt amount]]</f>
        <v>0</v>
      </c>
      <c r="H13" s="31" t="e" cm="1">
        <f t="array" ref="H13">INDEX(Payment_categorisations[Category], MATCH(TRUE, ISNUMBER(SEARCH(Payment_categorisations[Contains keywords], Bank_postings[[#This Row],[Narrative]])), 0))</f>
        <v>#N/A</v>
      </c>
      <c r="I13" s="31" t="e" cm="1">
        <f t="array" ref="I13">INDEX(Payment_categorisations[Sub-category], MATCH(TRUE, ISNUMBER(SEARCH(Payment_categorisations[Contains keywords], Bank_postings[[#This Row],[Narrative]])), 0))</f>
        <v>#N/A</v>
      </c>
      <c r="J13" s="20"/>
      <c r="K13" s="20"/>
      <c r="L13" s="31" t="e">
        <f>IF(Bank_postings[[#This Row],[Manual override category]] &lt;&gt; "", Bank_postings[[#This Row],[Manual override category]], Bank_postings[[#This Row],[Category]])</f>
        <v>#N/A</v>
      </c>
      <c r="M13" s="31" t="e">
        <f>IF(Bank_postings[[#This Row],[Manual override sub-category]] &lt;&gt; "", Bank_postings[[#This Row],[Manual override sub-category]], Bank_postings[[#This Row],[Sub-category]])</f>
        <v>#N/A</v>
      </c>
      <c r="O13" s="24" t="s">
        <v>173</v>
      </c>
      <c r="P13" s="20" t="s">
        <v>75</v>
      </c>
      <c r="Q13" s="21" t="s">
        <v>142</v>
      </c>
    </row>
    <row r="14" spans="1:18" x14ac:dyDescent="0.25">
      <c r="C14" s="4"/>
      <c r="D14" s="20"/>
      <c r="E14" s="37"/>
      <c r="F14" s="37"/>
      <c r="G14" s="91">
        <f>-Bank_postings[[#This Row],[Payment amount]] + Bank_postings[[#This Row],[Receipt amount]]</f>
        <v>0</v>
      </c>
      <c r="H14" s="31" t="e" cm="1">
        <f t="array" ref="H14">INDEX(Payment_categorisations[Category], MATCH(TRUE, ISNUMBER(SEARCH(Payment_categorisations[Contains keywords], Bank_postings[[#This Row],[Narrative]])), 0))</f>
        <v>#N/A</v>
      </c>
      <c r="I14" s="31" t="e" cm="1">
        <f t="array" ref="I14">INDEX(Payment_categorisations[Sub-category], MATCH(TRUE, ISNUMBER(SEARCH(Payment_categorisations[Contains keywords], Bank_postings[[#This Row],[Narrative]])), 0))</f>
        <v>#N/A</v>
      </c>
      <c r="J14" s="20"/>
      <c r="K14" s="20"/>
      <c r="L14" s="31" t="e">
        <f>IF(Bank_postings[[#This Row],[Manual override category]] &lt;&gt; "", Bank_postings[[#This Row],[Manual override category]], Bank_postings[[#This Row],[Category]])</f>
        <v>#N/A</v>
      </c>
      <c r="M14" s="31" t="e">
        <f>IF(Bank_postings[[#This Row],[Manual override sub-category]] &lt;&gt; "", Bank_postings[[#This Row],[Manual override sub-category]], Bank_postings[[#This Row],[Sub-category]])</f>
        <v>#N/A</v>
      </c>
      <c r="O14" s="24" t="s">
        <v>171</v>
      </c>
      <c r="P14" s="20" t="s">
        <v>79</v>
      </c>
      <c r="Q14" s="21" t="s">
        <v>15</v>
      </c>
    </row>
    <row r="15" spans="1:18" x14ac:dyDescent="0.25">
      <c r="C15" s="4"/>
      <c r="D15" s="20"/>
      <c r="E15" s="37"/>
      <c r="F15" s="37"/>
      <c r="G15" s="91">
        <f>-Bank_postings[[#This Row],[Payment amount]] + Bank_postings[[#This Row],[Receipt amount]]</f>
        <v>0</v>
      </c>
      <c r="H15" s="31" t="e" cm="1">
        <f t="array" ref="H15">INDEX(Payment_categorisations[Category], MATCH(TRUE, ISNUMBER(SEARCH(Payment_categorisations[Contains keywords], Bank_postings[[#This Row],[Narrative]])), 0))</f>
        <v>#N/A</v>
      </c>
      <c r="I15" s="31" t="e" cm="1">
        <f t="array" ref="I15">INDEX(Payment_categorisations[Sub-category], MATCH(TRUE, ISNUMBER(SEARCH(Payment_categorisations[Contains keywords], Bank_postings[[#This Row],[Narrative]])), 0))</f>
        <v>#N/A</v>
      </c>
      <c r="J15" s="20"/>
      <c r="K15" s="20"/>
      <c r="L15" s="31" t="e">
        <f>IF(Bank_postings[[#This Row],[Manual override category]] &lt;&gt; "", Bank_postings[[#This Row],[Manual override category]], Bank_postings[[#This Row],[Category]])</f>
        <v>#N/A</v>
      </c>
      <c r="M15" s="31" t="e">
        <f>IF(Bank_postings[[#This Row],[Manual override sub-category]] &lt;&gt; "", Bank_postings[[#This Row],[Manual override sub-category]], Bank_postings[[#This Row],[Sub-category]])</f>
        <v>#N/A</v>
      </c>
      <c r="O15" s="24" t="s">
        <v>167</v>
      </c>
      <c r="P15" s="20" t="s">
        <v>79</v>
      </c>
      <c r="Q15" s="21" t="s">
        <v>15</v>
      </c>
    </row>
    <row r="16" spans="1:18" x14ac:dyDescent="0.25">
      <c r="C16" s="4"/>
      <c r="D16" s="20"/>
      <c r="E16" s="37"/>
      <c r="F16" s="37"/>
      <c r="G16" s="91">
        <f>-Bank_postings[[#This Row],[Payment amount]] + Bank_postings[[#This Row],[Receipt amount]]</f>
        <v>0</v>
      </c>
      <c r="H16" s="31" t="e" cm="1">
        <f t="array" ref="H16">INDEX(Payment_categorisations[Category], MATCH(TRUE, ISNUMBER(SEARCH(Payment_categorisations[Contains keywords], Bank_postings[[#This Row],[Narrative]])), 0))</f>
        <v>#N/A</v>
      </c>
      <c r="I16" s="31" t="e" cm="1">
        <f t="array" ref="I16">INDEX(Payment_categorisations[Sub-category], MATCH(TRUE, ISNUMBER(SEARCH(Payment_categorisations[Contains keywords], Bank_postings[[#This Row],[Narrative]])), 0))</f>
        <v>#N/A</v>
      </c>
      <c r="J16" s="20"/>
      <c r="K16" s="20"/>
      <c r="L16" s="31" t="e">
        <f>IF(Bank_postings[[#This Row],[Manual override category]] &lt;&gt; "", Bank_postings[[#This Row],[Manual override category]], Bank_postings[[#This Row],[Category]])</f>
        <v>#N/A</v>
      </c>
      <c r="M16" s="31" t="e">
        <f>IF(Bank_postings[[#This Row],[Manual override sub-category]] &lt;&gt; "", Bank_postings[[#This Row],[Manual override sub-category]], Bank_postings[[#This Row],[Sub-category]])</f>
        <v>#N/A</v>
      </c>
      <c r="O16" s="24" t="s">
        <v>168</v>
      </c>
      <c r="P16" s="20" t="s">
        <v>79</v>
      </c>
      <c r="Q16" s="21" t="s">
        <v>16</v>
      </c>
    </row>
    <row r="17" spans="3:17" x14ac:dyDescent="0.25">
      <c r="C17" s="4"/>
      <c r="D17" s="20"/>
      <c r="E17" s="37"/>
      <c r="F17" s="37"/>
      <c r="G17" s="91">
        <f>-Bank_postings[[#This Row],[Payment amount]] + Bank_postings[[#This Row],[Receipt amount]]</f>
        <v>0</v>
      </c>
      <c r="H17" s="31" t="e" cm="1">
        <f t="array" ref="H17">INDEX(Payment_categorisations[Category], MATCH(TRUE, ISNUMBER(SEARCH(Payment_categorisations[Contains keywords], Bank_postings[[#This Row],[Narrative]])), 0))</f>
        <v>#N/A</v>
      </c>
      <c r="I17" s="31" t="e" cm="1">
        <f t="array" ref="I17">INDEX(Payment_categorisations[Sub-category], MATCH(TRUE, ISNUMBER(SEARCH(Payment_categorisations[Contains keywords], Bank_postings[[#This Row],[Narrative]])), 0))</f>
        <v>#N/A</v>
      </c>
      <c r="J17" s="20"/>
      <c r="K17" s="20"/>
      <c r="L17" s="31" t="e">
        <f>IF(Bank_postings[[#This Row],[Manual override category]] &lt;&gt; "", Bank_postings[[#This Row],[Manual override category]], Bank_postings[[#This Row],[Category]])</f>
        <v>#N/A</v>
      </c>
      <c r="M17" s="31" t="e">
        <f>IF(Bank_postings[[#This Row],[Manual override sub-category]] &lt;&gt; "", Bank_postings[[#This Row],[Manual override sub-category]], Bank_postings[[#This Row],[Sub-category]])</f>
        <v>#N/A</v>
      </c>
      <c r="O17" s="24" t="s">
        <v>169</v>
      </c>
      <c r="P17" s="20" t="s">
        <v>17</v>
      </c>
      <c r="Q17" s="21" t="s">
        <v>10</v>
      </c>
    </row>
    <row r="18" spans="3:17" x14ac:dyDescent="0.25">
      <c r="C18" s="4"/>
      <c r="D18" s="20"/>
      <c r="E18" s="37"/>
      <c r="F18" s="37"/>
      <c r="G18" s="91">
        <f>-Bank_postings[[#This Row],[Payment amount]] + Bank_postings[[#This Row],[Receipt amount]]</f>
        <v>0</v>
      </c>
      <c r="H18" s="31" t="e" cm="1">
        <f t="array" ref="H18">INDEX(Payment_categorisations[Category], MATCH(TRUE, ISNUMBER(SEARCH(Payment_categorisations[Contains keywords], Bank_postings[[#This Row],[Narrative]])), 0))</f>
        <v>#N/A</v>
      </c>
      <c r="I18" s="31" t="e" cm="1">
        <f t="array" ref="I18">INDEX(Payment_categorisations[Sub-category], MATCH(TRUE, ISNUMBER(SEARCH(Payment_categorisations[Contains keywords], Bank_postings[[#This Row],[Narrative]])), 0))</f>
        <v>#N/A</v>
      </c>
      <c r="J18" s="20"/>
      <c r="K18" s="20"/>
      <c r="L18" s="31" t="e">
        <f>IF(Bank_postings[[#This Row],[Manual override category]] &lt;&gt; "", Bank_postings[[#This Row],[Manual override category]], Bank_postings[[#This Row],[Category]])</f>
        <v>#N/A</v>
      </c>
      <c r="M18" s="31" t="e">
        <f>IF(Bank_postings[[#This Row],[Manual override sub-category]] &lt;&gt; "", Bank_postings[[#This Row],[Manual override sub-category]], Bank_postings[[#This Row],[Sub-category]])</f>
        <v>#N/A</v>
      </c>
      <c r="O18" s="24" t="s">
        <v>170</v>
      </c>
      <c r="P18" s="20" t="s">
        <v>17</v>
      </c>
      <c r="Q18" s="21" t="s">
        <v>12</v>
      </c>
    </row>
    <row r="19" spans="3:17" x14ac:dyDescent="0.25">
      <c r="C19" s="4"/>
      <c r="D19" s="20"/>
      <c r="E19" s="37"/>
      <c r="F19" s="37"/>
      <c r="G19" s="91">
        <f>-Bank_postings[[#This Row],[Payment amount]] + Bank_postings[[#This Row],[Receipt amount]]</f>
        <v>0</v>
      </c>
      <c r="H19" s="31" t="e" cm="1">
        <f t="array" ref="H19">INDEX(Payment_categorisations[Category], MATCH(TRUE, ISNUMBER(SEARCH(Payment_categorisations[Contains keywords], Bank_postings[[#This Row],[Narrative]])), 0))</f>
        <v>#N/A</v>
      </c>
      <c r="I19" s="31" t="e" cm="1">
        <f t="array" ref="I19">INDEX(Payment_categorisations[Sub-category], MATCH(TRUE, ISNUMBER(SEARCH(Payment_categorisations[Contains keywords], Bank_postings[[#This Row],[Narrative]])), 0))</f>
        <v>#N/A</v>
      </c>
      <c r="J19" s="20"/>
      <c r="K19" s="20"/>
      <c r="L19" s="31" t="e">
        <f>IF(Bank_postings[[#This Row],[Manual override category]] &lt;&gt; "", Bank_postings[[#This Row],[Manual override category]], Bank_postings[[#This Row],[Category]])</f>
        <v>#N/A</v>
      </c>
      <c r="M19" s="31" t="e">
        <f>IF(Bank_postings[[#This Row],[Manual override sub-category]] &lt;&gt; "", Bank_postings[[#This Row],[Manual override sub-category]], Bank_postings[[#This Row],[Sub-category]])</f>
        <v>#N/A</v>
      </c>
      <c r="O19" s="24" t="s">
        <v>174</v>
      </c>
      <c r="P19" s="20" t="s">
        <v>79</v>
      </c>
      <c r="Q19" s="21" t="s">
        <v>15</v>
      </c>
    </row>
    <row r="20" spans="3:17" x14ac:dyDescent="0.25">
      <c r="C20" s="4"/>
      <c r="D20" s="20"/>
      <c r="E20" s="37"/>
      <c r="F20" s="37"/>
      <c r="G20" s="91">
        <f>-Bank_postings[[#This Row],[Payment amount]] + Bank_postings[[#This Row],[Receipt amount]]</f>
        <v>0</v>
      </c>
      <c r="H20" s="31" t="e" cm="1">
        <f t="array" ref="H20">INDEX(Payment_categorisations[Category], MATCH(TRUE, ISNUMBER(SEARCH(Payment_categorisations[Contains keywords], Bank_postings[[#This Row],[Narrative]])), 0))</f>
        <v>#N/A</v>
      </c>
      <c r="I20" s="31" t="e" cm="1">
        <f t="array" ref="I20">INDEX(Payment_categorisations[Sub-category], MATCH(TRUE, ISNUMBER(SEARCH(Payment_categorisations[Contains keywords], Bank_postings[[#This Row],[Narrative]])), 0))</f>
        <v>#N/A</v>
      </c>
      <c r="J20" s="20"/>
      <c r="K20" s="20"/>
      <c r="L20" s="31" t="e">
        <f>IF(Bank_postings[[#This Row],[Manual override category]] &lt;&gt; "", Bank_postings[[#This Row],[Manual override category]], Bank_postings[[#This Row],[Category]])</f>
        <v>#N/A</v>
      </c>
      <c r="M20" s="31" t="e">
        <f>IF(Bank_postings[[#This Row],[Manual override sub-category]] &lt;&gt; "", Bank_postings[[#This Row],[Manual override sub-category]], Bank_postings[[#This Row],[Sub-category]])</f>
        <v>#N/A</v>
      </c>
      <c r="O20" s="24" t="s">
        <v>175</v>
      </c>
      <c r="P20" s="20" t="s">
        <v>79</v>
      </c>
      <c r="Q20" s="21" t="s">
        <v>16</v>
      </c>
    </row>
    <row r="21" spans="3:17" x14ac:dyDescent="0.25">
      <c r="C21" s="4"/>
      <c r="D21" s="20"/>
      <c r="E21" s="37"/>
      <c r="F21" s="37"/>
      <c r="G21" s="91">
        <f>-Bank_postings[[#This Row],[Payment amount]] + Bank_postings[[#This Row],[Receipt amount]]</f>
        <v>0</v>
      </c>
      <c r="H21" s="31" t="e" cm="1">
        <f t="array" ref="H21">INDEX(Payment_categorisations[Category], MATCH(TRUE, ISNUMBER(SEARCH(Payment_categorisations[Contains keywords], Bank_postings[[#This Row],[Narrative]])), 0))</f>
        <v>#N/A</v>
      </c>
      <c r="I21" s="31" t="e" cm="1">
        <f t="array" ref="I21">INDEX(Payment_categorisations[Sub-category], MATCH(TRUE, ISNUMBER(SEARCH(Payment_categorisations[Contains keywords], Bank_postings[[#This Row],[Narrative]])), 0))</f>
        <v>#N/A</v>
      </c>
      <c r="J21" s="20"/>
      <c r="K21" s="20"/>
      <c r="L21" s="31" t="e">
        <f>IF(Bank_postings[[#This Row],[Manual override category]] &lt;&gt; "", Bank_postings[[#This Row],[Manual override category]], Bank_postings[[#This Row],[Category]])</f>
        <v>#N/A</v>
      </c>
      <c r="M21" s="31" t="e">
        <f>IF(Bank_postings[[#This Row],[Manual override sub-category]] &lt;&gt; "", Bank_postings[[#This Row],[Manual override sub-category]], Bank_postings[[#This Row],[Sub-category]])</f>
        <v>#N/A</v>
      </c>
      <c r="O21" s="24" t="s">
        <v>176</v>
      </c>
      <c r="P21" s="20" t="s">
        <v>17</v>
      </c>
      <c r="Q21" s="21" t="s">
        <v>9</v>
      </c>
    </row>
    <row r="22" spans="3:17" x14ac:dyDescent="0.25">
      <c r="C22" s="4"/>
      <c r="D22" s="20"/>
      <c r="E22" s="37"/>
      <c r="F22" s="37"/>
      <c r="G22" s="91">
        <f>-Bank_postings[[#This Row],[Payment amount]] + Bank_postings[[#This Row],[Receipt amount]]</f>
        <v>0</v>
      </c>
      <c r="H22" s="31" t="e" cm="1">
        <f t="array" ref="H22">INDEX(Payment_categorisations[Category], MATCH(TRUE, ISNUMBER(SEARCH(Payment_categorisations[Contains keywords], Bank_postings[[#This Row],[Narrative]])), 0))</f>
        <v>#N/A</v>
      </c>
      <c r="I22" s="31" t="e" cm="1">
        <f t="array" ref="I22">INDEX(Payment_categorisations[Sub-category], MATCH(TRUE, ISNUMBER(SEARCH(Payment_categorisations[Contains keywords], Bank_postings[[#This Row],[Narrative]])), 0))</f>
        <v>#N/A</v>
      </c>
      <c r="J22" s="20"/>
      <c r="K22" s="20"/>
      <c r="L22" s="31" t="e">
        <f>IF(Bank_postings[[#This Row],[Manual override category]] &lt;&gt; "", Bank_postings[[#This Row],[Manual override category]], Bank_postings[[#This Row],[Category]])</f>
        <v>#N/A</v>
      </c>
      <c r="M22" s="31" t="e">
        <f>IF(Bank_postings[[#This Row],[Manual override sub-category]] &lt;&gt; "", Bank_postings[[#This Row],[Manual override sub-category]], Bank_postings[[#This Row],[Sub-category]])</f>
        <v>#N/A</v>
      </c>
      <c r="O22" s="24" t="s">
        <v>177</v>
      </c>
      <c r="P22" s="20" t="s">
        <v>17</v>
      </c>
      <c r="Q22" s="21" t="s">
        <v>18</v>
      </c>
    </row>
    <row r="23" spans="3:17" x14ac:dyDescent="0.25">
      <c r="C23" s="4"/>
      <c r="D23" s="20"/>
      <c r="E23" s="37"/>
      <c r="F23" s="37"/>
      <c r="G23" s="91">
        <f>-Bank_postings[[#This Row],[Payment amount]] + Bank_postings[[#This Row],[Receipt amount]]</f>
        <v>0</v>
      </c>
      <c r="H23" s="31" t="e" cm="1">
        <f t="array" ref="H23">INDEX(Payment_categorisations[Category], MATCH(TRUE, ISNUMBER(SEARCH(Payment_categorisations[Contains keywords], Bank_postings[[#This Row],[Narrative]])), 0))</f>
        <v>#N/A</v>
      </c>
      <c r="I23" s="31" t="e" cm="1">
        <f t="array" ref="I23">INDEX(Payment_categorisations[Sub-category], MATCH(TRUE, ISNUMBER(SEARCH(Payment_categorisations[Contains keywords], Bank_postings[[#This Row],[Narrative]])), 0))</f>
        <v>#N/A</v>
      </c>
      <c r="J23" s="20"/>
      <c r="K23" s="20"/>
      <c r="L23" s="31" t="e">
        <f>IF(Bank_postings[[#This Row],[Manual override category]] &lt;&gt; "", Bank_postings[[#This Row],[Manual override category]], Bank_postings[[#This Row],[Category]])</f>
        <v>#N/A</v>
      </c>
      <c r="M23" s="31" t="e">
        <f>IF(Bank_postings[[#This Row],[Manual override sub-category]] &lt;&gt; "", Bank_postings[[#This Row],[Manual override sub-category]], Bank_postings[[#This Row],[Sub-category]])</f>
        <v>#N/A</v>
      </c>
      <c r="O23" s="24" t="s">
        <v>178</v>
      </c>
      <c r="P23" s="20" t="s">
        <v>79</v>
      </c>
      <c r="Q23" s="21" t="s">
        <v>15</v>
      </c>
    </row>
    <row r="24" spans="3:17" x14ac:dyDescent="0.25">
      <c r="C24" s="4"/>
      <c r="D24" s="20"/>
      <c r="E24" s="37"/>
      <c r="F24" s="37"/>
      <c r="G24" s="91">
        <f>-Bank_postings[[#This Row],[Payment amount]] + Bank_postings[[#This Row],[Receipt amount]]</f>
        <v>0</v>
      </c>
      <c r="H24" s="31" t="e" cm="1">
        <f t="array" ref="H24">INDEX(Payment_categorisations[Category], MATCH(TRUE, ISNUMBER(SEARCH(Payment_categorisations[Contains keywords], Bank_postings[[#This Row],[Narrative]])), 0))</f>
        <v>#N/A</v>
      </c>
      <c r="I24" s="31" t="e" cm="1">
        <f t="array" ref="I24">INDEX(Payment_categorisations[Sub-category], MATCH(TRUE, ISNUMBER(SEARCH(Payment_categorisations[Contains keywords], Bank_postings[[#This Row],[Narrative]])), 0))</f>
        <v>#N/A</v>
      </c>
      <c r="J24" s="20"/>
      <c r="K24" s="20"/>
      <c r="L24" s="31" t="e">
        <f>IF(Bank_postings[[#This Row],[Manual override category]] &lt;&gt; "", Bank_postings[[#This Row],[Manual override category]], Bank_postings[[#This Row],[Category]])</f>
        <v>#N/A</v>
      </c>
      <c r="M24" s="31" t="e">
        <f>IF(Bank_postings[[#This Row],[Manual override sub-category]] &lt;&gt; "", Bank_postings[[#This Row],[Manual override sub-category]], Bank_postings[[#This Row],[Sub-category]])</f>
        <v>#N/A</v>
      </c>
      <c r="O24" s="24" t="s">
        <v>179</v>
      </c>
      <c r="P24" s="20" t="s">
        <v>79</v>
      </c>
      <c r="Q24" s="21" t="s">
        <v>15</v>
      </c>
    </row>
    <row r="25" spans="3:17" x14ac:dyDescent="0.25">
      <c r="C25" s="4"/>
      <c r="D25" s="20"/>
      <c r="E25" s="37"/>
      <c r="F25" s="37"/>
      <c r="G25" s="91">
        <f>-Bank_postings[[#This Row],[Payment amount]] + Bank_postings[[#This Row],[Receipt amount]]</f>
        <v>0</v>
      </c>
      <c r="H25" s="31" t="e" cm="1">
        <f t="array" ref="H25">INDEX(Payment_categorisations[Category], MATCH(TRUE, ISNUMBER(SEARCH(Payment_categorisations[Contains keywords], Bank_postings[[#This Row],[Narrative]])), 0))</f>
        <v>#N/A</v>
      </c>
      <c r="I25" s="31" t="e" cm="1">
        <f t="array" ref="I25">INDEX(Payment_categorisations[Sub-category], MATCH(TRUE, ISNUMBER(SEARCH(Payment_categorisations[Contains keywords], Bank_postings[[#This Row],[Narrative]])), 0))</f>
        <v>#N/A</v>
      </c>
      <c r="J25" s="20"/>
      <c r="K25" s="20"/>
      <c r="L25" s="31" t="e">
        <f>IF(Bank_postings[[#This Row],[Manual override category]] &lt;&gt; "", Bank_postings[[#This Row],[Manual override category]], Bank_postings[[#This Row],[Category]])</f>
        <v>#N/A</v>
      </c>
      <c r="M25" s="31" t="e">
        <f>IF(Bank_postings[[#This Row],[Manual override sub-category]] &lt;&gt; "", Bank_postings[[#This Row],[Manual override sub-category]], Bank_postings[[#This Row],[Sub-category]])</f>
        <v>#N/A</v>
      </c>
      <c r="O25" s="24" t="s">
        <v>180</v>
      </c>
      <c r="P25" s="20" t="s">
        <v>79</v>
      </c>
      <c r="Q25" s="21" t="s">
        <v>16</v>
      </c>
    </row>
    <row r="26" spans="3:17" x14ac:dyDescent="0.25">
      <c r="C26" s="4"/>
      <c r="D26" s="20"/>
      <c r="E26" s="37"/>
      <c r="F26" s="37"/>
      <c r="G26" s="91">
        <f>-Bank_postings[[#This Row],[Payment amount]] + Bank_postings[[#This Row],[Receipt amount]]</f>
        <v>0</v>
      </c>
      <c r="H26" s="31" t="e" cm="1">
        <f t="array" ref="H26">INDEX(Payment_categorisations[Category], MATCH(TRUE, ISNUMBER(SEARCH(Payment_categorisations[Contains keywords], Bank_postings[[#This Row],[Narrative]])), 0))</f>
        <v>#N/A</v>
      </c>
      <c r="I26" s="31" t="e" cm="1">
        <f t="array" ref="I26">INDEX(Payment_categorisations[Sub-category], MATCH(TRUE, ISNUMBER(SEARCH(Payment_categorisations[Contains keywords], Bank_postings[[#This Row],[Narrative]])), 0))</f>
        <v>#N/A</v>
      </c>
      <c r="J26" s="20"/>
      <c r="K26" s="20"/>
      <c r="L26" s="31" t="e">
        <f>IF(Bank_postings[[#This Row],[Manual override category]] &lt;&gt; "", Bank_postings[[#This Row],[Manual override category]], Bank_postings[[#This Row],[Category]])</f>
        <v>#N/A</v>
      </c>
      <c r="M26" s="31" t="e">
        <f>IF(Bank_postings[[#This Row],[Manual override sub-category]] &lt;&gt; "", Bank_postings[[#This Row],[Manual override sub-category]], Bank_postings[[#This Row],[Sub-category]])</f>
        <v>#N/A</v>
      </c>
      <c r="O26" s="24" t="s">
        <v>181</v>
      </c>
      <c r="P26" s="20" t="s">
        <v>17</v>
      </c>
      <c r="Q26" s="21" t="s">
        <v>11</v>
      </c>
    </row>
    <row r="27" spans="3:17" x14ac:dyDescent="0.25">
      <c r="C27" s="4"/>
      <c r="D27" s="20"/>
      <c r="E27" s="37"/>
      <c r="F27" s="37"/>
      <c r="G27" s="91">
        <f>-Bank_postings[[#This Row],[Payment amount]] + Bank_postings[[#This Row],[Receipt amount]]</f>
        <v>0</v>
      </c>
      <c r="H27" s="31" t="e" cm="1">
        <f t="array" ref="H27">INDEX(Payment_categorisations[Category], MATCH(TRUE, ISNUMBER(SEARCH(Payment_categorisations[Contains keywords], Bank_postings[[#This Row],[Narrative]])), 0))</f>
        <v>#N/A</v>
      </c>
      <c r="I27" s="31" t="e" cm="1">
        <f t="array" ref="I27">INDEX(Payment_categorisations[Sub-category], MATCH(TRUE, ISNUMBER(SEARCH(Payment_categorisations[Contains keywords], Bank_postings[[#This Row],[Narrative]])), 0))</f>
        <v>#N/A</v>
      </c>
      <c r="J27" s="20"/>
      <c r="K27" s="20"/>
      <c r="L27" s="31" t="e">
        <f>IF(Bank_postings[[#This Row],[Manual override category]] &lt;&gt; "", Bank_postings[[#This Row],[Manual override category]], Bank_postings[[#This Row],[Category]])</f>
        <v>#N/A</v>
      </c>
      <c r="M27" s="31" t="e">
        <f>IF(Bank_postings[[#This Row],[Manual override sub-category]] &lt;&gt; "", Bank_postings[[#This Row],[Manual override sub-category]], Bank_postings[[#This Row],[Sub-category]])</f>
        <v>#N/A</v>
      </c>
      <c r="O27" s="24" t="s">
        <v>182</v>
      </c>
      <c r="P27" s="20" t="s">
        <v>17</v>
      </c>
      <c r="Q27" s="21" t="s">
        <v>13</v>
      </c>
    </row>
    <row r="28" spans="3:17" x14ac:dyDescent="0.25">
      <c r="C28" s="4"/>
      <c r="D28" s="20"/>
      <c r="E28" s="37"/>
      <c r="F28" s="37"/>
      <c r="G28" s="91">
        <f>-Bank_postings[[#This Row],[Payment amount]] + Bank_postings[[#This Row],[Receipt amount]]</f>
        <v>0</v>
      </c>
      <c r="H28" s="31" t="e" cm="1">
        <f t="array" ref="H28">INDEX(Payment_categorisations[Category], MATCH(TRUE, ISNUMBER(SEARCH(Payment_categorisations[Contains keywords], Bank_postings[[#This Row],[Narrative]])), 0))</f>
        <v>#N/A</v>
      </c>
      <c r="I28" s="31" t="e" cm="1">
        <f t="array" ref="I28">INDEX(Payment_categorisations[Sub-category], MATCH(TRUE, ISNUMBER(SEARCH(Payment_categorisations[Contains keywords], Bank_postings[[#This Row],[Narrative]])), 0))</f>
        <v>#N/A</v>
      </c>
      <c r="J28" s="20"/>
      <c r="K28" s="20"/>
      <c r="L28" s="31" t="e">
        <f>IF(Bank_postings[[#This Row],[Manual override category]] &lt;&gt; "", Bank_postings[[#This Row],[Manual override category]], Bank_postings[[#This Row],[Category]])</f>
        <v>#N/A</v>
      </c>
      <c r="M28" s="31" t="e">
        <f>IF(Bank_postings[[#This Row],[Manual override sub-category]] &lt;&gt; "", Bank_postings[[#This Row],[Manual override sub-category]], Bank_postings[[#This Row],[Sub-category]])</f>
        <v>#N/A</v>
      </c>
      <c r="O28" s="24" t="s">
        <v>183</v>
      </c>
      <c r="P28" s="20" t="s">
        <v>76</v>
      </c>
      <c r="Q28" s="21" t="s">
        <v>38</v>
      </c>
    </row>
    <row r="29" spans="3:17" x14ac:dyDescent="0.25">
      <c r="C29" s="4"/>
      <c r="D29" s="20"/>
      <c r="E29" s="37"/>
      <c r="F29" s="37"/>
      <c r="G29" s="91">
        <f>-Bank_postings[[#This Row],[Payment amount]] + Bank_postings[[#This Row],[Receipt amount]]</f>
        <v>0</v>
      </c>
      <c r="H29" s="31" t="e" cm="1">
        <f t="array" ref="H29">INDEX(Payment_categorisations[Category], MATCH(TRUE, ISNUMBER(SEARCH(Payment_categorisations[Contains keywords], Bank_postings[[#This Row],[Narrative]])), 0))</f>
        <v>#N/A</v>
      </c>
      <c r="I29" s="31" t="e" cm="1">
        <f t="array" ref="I29">INDEX(Payment_categorisations[Sub-category], MATCH(TRUE, ISNUMBER(SEARCH(Payment_categorisations[Contains keywords], Bank_postings[[#This Row],[Narrative]])), 0))</f>
        <v>#N/A</v>
      </c>
      <c r="J29" s="20"/>
      <c r="K29" s="20"/>
      <c r="L29" s="31" t="e">
        <f>IF(Bank_postings[[#This Row],[Manual override category]] &lt;&gt; "", Bank_postings[[#This Row],[Manual override category]], Bank_postings[[#This Row],[Category]])</f>
        <v>#N/A</v>
      </c>
      <c r="M29" s="31" t="e">
        <f>IF(Bank_postings[[#This Row],[Manual override sub-category]] &lt;&gt; "", Bank_postings[[#This Row],[Manual override sub-category]], Bank_postings[[#This Row],[Sub-category]])</f>
        <v>#N/A</v>
      </c>
      <c r="O29" s="24" t="s">
        <v>184</v>
      </c>
      <c r="P29" s="20" t="s">
        <v>79</v>
      </c>
      <c r="Q29" s="21" t="s">
        <v>15</v>
      </c>
    </row>
    <row r="30" spans="3:17" x14ac:dyDescent="0.25">
      <c r="C30" s="4"/>
      <c r="D30" s="20"/>
      <c r="E30" s="37"/>
      <c r="F30" s="37"/>
      <c r="G30" s="91">
        <f>-Bank_postings[[#This Row],[Payment amount]] + Bank_postings[[#This Row],[Receipt amount]]</f>
        <v>0</v>
      </c>
      <c r="H30" s="31" t="e" cm="1">
        <f t="array" ref="H30">INDEX(Payment_categorisations[Category], MATCH(TRUE, ISNUMBER(SEARCH(Payment_categorisations[Contains keywords], Bank_postings[[#This Row],[Narrative]])), 0))</f>
        <v>#N/A</v>
      </c>
      <c r="I30" s="31" t="e" cm="1">
        <f t="array" ref="I30">INDEX(Payment_categorisations[Sub-category], MATCH(TRUE, ISNUMBER(SEARCH(Payment_categorisations[Contains keywords], Bank_postings[[#This Row],[Narrative]])), 0))</f>
        <v>#N/A</v>
      </c>
      <c r="J30" s="20"/>
      <c r="K30" s="20"/>
      <c r="L30" s="31" t="e">
        <f>IF(Bank_postings[[#This Row],[Manual override category]] &lt;&gt; "", Bank_postings[[#This Row],[Manual override category]], Bank_postings[[#This Row],[Category]])</f>
        <v>#N/A</v>
      </c>
      <c r="M30" s="31" t="e">
        <f>IF(Bank_postings[[#This Row],[Manual override sub-category]] &lt;&gt; "", Bank_postings[[#This Row],[Manual override sub-category]], Bank_postings[[#This Row],[Sub-category]])</f>
        <v>#N/A</v>
      </c>
      <c r="O30" s="24" t="s">
        <v>185</v>
      </c>
      <c r="P30" s="20" t="s">
        <v>79</v>
      </c>
      <c r="Q30" s="21" t="s">
        <v>15</v>
      </c>
    </row>
    <row r="31" spans="3:17" x14ac:dyDescent="0.25">
      <c r="C31" s="4"/>
      <c r="D31" s="20"/>
      <c r="E31" s="37"/>
      <c r="F31" s="37"/>
      <c r="G31" s="91">
        <f>-Bank_postings[[#This Row],[Payment amount]] + Bank_postings[[#This Row],[Receipt amount]]</f>
        <v>0</v>
      </c>
      <c r="H31" s="31" t="e" cm="1">
        <f t="array" ref="H31">INDEX(Payment_categorisations[Category], MATCH(TRUE, ISNUMBER(SEARCH(Payment_categorisations[Contains keywords], Bank_postings[[#This Row],[Narrative]])), 0))</f>
        <v>#N/A</v>
      </c>
      <c r="I31" s="31" t="e" cm="1">
        <f t="array" ref="I31">INDEX(Payment_categorisations[Sub-category], MATCH(TRUE, ISNUMBER(SEARCH(Payment_categorisations[Contains keywords], Bank_postings[[#This Row],[Narrative]])), 0))</f>
        <v>#N/A</v>
      </c>
      <c r="J31" s="20"/>
      <c r="K31" s="20"/>
      <c r="L31" s="31" t="e">
        <f>IF(Bank_postings[[#This Row],[Manual override category]] &lt;&gt; "", Bank_postings[[#This Row],[Manual override category]], Bank_postings[[#This Row],[Category]])</f>
        <v>#N/A</v>
      </c>
      <c r="M31" s="31" t="e">
        <f>IF(Bank_postings[[#This Row],[Manual override sub-category]] &lt;&gt; "", Bank_postings[[#This Row],[Manual override sub-category]], Bank_postings[[#This Row],[Sub-category]])</f>
        <v>#N/A</v>
      </c>
      <c r="O31" s="24" t="s">
        <v>186</v>
      </c>
      <c r="P31" s="20" t="s">
        <v>79</v>
      </c>
      <c r="Q31" s="21" t="s">
        <v>16</v>
      </c>
    </row>
    <row r="32" spans="3:17" x14ac:dyDescent="0.25">
      <c r="C32" s="4"/>
      <c r="D32" s="20"/>
      <c r="E32" s="37"/>
      <c r="F32" s="37"/>
      <c r="G32" s="91">
        <f>-Bank_postings[[#This Row],[Payment amount]] + Bank_postings[[#This Row],[Receipt amount]]</f>
        <v>0</v>
      </c>
      <c r="H32" s="31" t="e" cm="1">
        <f t="array" ref="H32">INDEX(Payment_categorisations[Category], MATCH(TRUE, ISNUMBER(SEARCH(Payment_categorisations[Contains keywords], Bank_postings[[#This Row],[Narrative]])), 0))</f>
        <v>#N/A</v>
      </c>
      <c r="I32" s="31" t="e" cm="1">
        <f t="array" ref="I32">INDEX(Payment_categorisations[Sub-category], MATCH(TRUE, ISNUMBER(SEARCH(Payment_categorisations[Contains keywords], Bank_postings[[#This Row],[Narrative]])), 0))</f>
        <v>#N/A</v>
      </c>
      <c r="J32" s="20"/>
      <c r="K32" s="20"/>
      <c r="L32" s="31" t="e">
        <f>IF(Bank_postings[[#This Row],[Manual override category]] &lt;&gt; "", Bank_postings[[#This Row],[Manual override category]], Bank_postings[[#This Row],[Category]])</f>
        <v>#N/A</v>
      </c>
      <c r="M32" s="31" t="e">
        <f>IF(Bank_postings[[#This Row],[Manual override sub-category]] &lt;&gt; "", Bank_postings[[#This Row],[Manual override sub-category]], Bank_postings[[#This Row],[Sub-category]])</f>
        <v>#N/A</v>
      </c>
      <c r="O32" s="24" t="s">
        <v>187</v>
      </c>
      <c r="P32" s="20" t="s">
        <v>79</v>
      </c>
      <c r="Q32" s="21" t="s">
        <v>15</v>
      </c>
    </row>
    <row r="33" spans="3:17" x14ac:dyDescent="0.25">
      <c r="C33" s="4"/>
      <c r="D33" s="20"/>
      <c r="E33" s="37"/>
      <c r="F33" s="37"/>
      <c r="G33" s="91">
        <f>-Bank_postings[[#This Row],[Payment amount]] + Bank_postings[[#This Row],[Receipt amount]]</f>
        <v>0</v>
      </c>
      <c r="H33" s="31" t="e" cm="1">
        <f t="array" ref="H33">INDEX(Payment_categorisations[Category], MATCH(TRUE, ISNUMBER(SEARCH(Payment_categorisations[Contains keywords], Bank_postings[[#This Row],[Narrative]])), 0))</f>
        <v>#N/A</v>
      </c>
      <c r="I33" s="31" t="e" cm="1">
        <f t="array" ref="I33">INDEX(Payment_categorisations[Sub-category], MATCH(TRUE, ISNUMBER(SEARCH(Payment_categorisations[Contains keywords], Bank_postings[[#This Row],[Narrative]])), 0))</f>
        <v>#N/A</v>
      </c>
      <c r="J33" s="20"/>
      <c r="K33" s="20"/>
      <c r="L33" s="31" t="e">
        <f>IF(Bank_postings[[#This Row],[Manual override category]] &lt;&gt; "", Bank_postings[[#This Row],[Manual override category]], Bank_postings[[#This Row],[Category]])</f>
        <v>#N/A</v>
      </c>
      <c r="M33" s="31" t="e">
        <f>IF(Bank_postings[[#This Row],[Manual override sub-category]] &lt;&gt; "", Bank_postings[[#This Row],[Manual override sub-category]], Bank_postings[[#This Row],[Sub-category]])</f>
        <v>#N/A</v>
      </c>
      <c r="O33" s="24" t="s">
        <v>188</v>
      </c>
      <c r="P33" s="20" t="s">
        <v>17</v>
      </c>
      <c r="Q33" s="21" t="s">
        <v>12</v>
      </c>
    </row>
    <row r="34" spans="3:17" x14ac:dyDescent="0.25">
      <c r="C34" s="4"/>
      <c r="D34" s="20"/>
      <c r="E34" s="37"/>
      <c r="F34" s="37"/>
      <c r="G34" s="91">
        <f>-Bank_postings[[#This Row],[Payment amount]] + Bank_postings[[#This Row],[Receipt amount]]</f>
        <v>0</v>
      </c>
      <c r="H34" s="31" t="e" cm="1">
        <f t="array" ref="H34">INDEX(Payment_categorisations[Category], MATCH(TRUE, ISNUMBER(SEARCH(Payment_categorisations[Contains keywords], Bank_postings[[#This Row],[Narrative]])), 0))</f>
        <v>#N/A</v>
      </c>
      <c r="I34" s="31" t="e" cm="1">
        <f t="array" ref="I34">INDEX(Payment_categorisations[Sub-category], MATCH(TRUE, ISNUMBER(SEARCH(Payment_categorisations[Contains keywords], Bank_postings[[#This Row],[Narrative]])), 0))</f>
        <v>#N/A</v>
      </c>
      <c r="J34" s="20"/>
      <c r="K34" s="20"/>
      <c r="L34" s="31" t="e">
        <f>IF(Bank_postings[[#This Row],[Manual override category]] &lt;&gt; "", Bank_postings[[#This Row],[Manual override category]], Bank_postings[[#This Row],[Category]])</f>
        <v>#N/A</v>
      </c>
      <c r="M34" s="31" t="e">
        <f>IF(Bank_postings[[#This Row],[Manual override sub-category]] &lt;&gt; "", Bank_postings[[#This Row],[Manual override sub-category]], Bank_postings[[#This Row],[Sub-category]])</f>
        <v>#N/A</v>
      </c>
      <c r="O34" s="24" t="s">
        <v>189</v>
      </c>
      <c r="P34" s="20" t="s">
        <v>75</v>
      </c>
      <c r="Q34" s="21" t="s">
        <v>142</v>
      </c>
    </row>
    <row r="35" spans="3:17" x14ac:dyDescent="0.25">
      <c r="C35" s="4"/>
      <c r="D35" s="20"/>
      <c r="E35" s="37"/>
      <c r="F35" s="37"/>
      <c r="G35" s="91">
        <f>-Bank_postings[[#This Row],[Payment amount]] + Bank_postings[[#This Row],[Receipt amount]]</f>
        <v>0</v>
      </c>
      <c r="H35" s="31" t="e" cm="1">
        <f t="array" ref="H35">INDEX(Payment_categorisations[Category], MATCH(TRUE, ISNUMBER(SEARCH(Payment_categorisations[Contains keywords], Bank_postings[[#This Row],[Narrative]])), 0))</f>
        <v>#N/A</v>
      </c>
      <c r="I35" s="31" t="e" cm="1">
        <f t="array" ref="I35">INDEX(Payment_categorisations[Sub-category], MATCH(TRUE, ISNUMBER(SEARCH(Payment_categorisations[Contains keywords], Bank_postings[[#This Row],[Narrative]])), 0))</f>
        <v>#N/A</v>
      </c>
      <c r="J35" s="20"/>
      <c r="K35" s="20"/>
      <c r="L35" s="31" t="e">
        <f>IF(Bank_postings[[#This Row],[Manual override category]] &lt;&gt; "", Bank_postings[[#This Row],[Manual override category]], Bank_postings[[#This Row],[Category]])</f>
        <v>#N/A</v>
      </c>
      <c r="M35" s="31" t="e">
        <f>IF(Bank_postings[[#This Row],[Manual override sub-category]] &lt;&gt; "", Bank_postings[[#This Row],[Manual override sub-category]], Bank_postings[[#This Row],[Sub-category]])</f>
        <v>#N/A</v>
      </c>
      <c r="O35" s="24"/>
      <c r="P35" s="20"/>
      <c r="Q35" s="21"/>
    </row>
    <row r="36" spans="3:17" x14ac:dyDescent="0.25">
      <c r="C36" s="4"/>
      <c r="D36" s="20"/>
      <c r="E36" s="37"/>
      <c r="F36" s="37"/>
      <c r="G36" s="91">
        <f>-Bank_postings[[#This Row],[Payment amount]] + Bank_postings[[#This Row],[Receipt amount]]</f>
        <v>0</v>
      </c>
      <c r="H36" s="31" t="e" cm="1">
        <f t="array" ref="H36">INDEX(Payment_categorisations[Category], MATCH(TRUE, ISNUMBER(SEARCH(Payment_categorisations[Contains keywords], Bank_postings[[#This Row],[Narrative]])), 0))</f>
        <v>#N/A</v>
      </c>
      <c r="I36" s="31" t="e" cm="1">
        <f t="array" ref="I36">INDEX(Payment_categorisations[Sub-category], MATCH(TRUE, ISNUMBER(SEARCH(Payment_categorisations[Contains keywords], Bank_postings[[#This Row],[Narrative]])), 0))</f>
        <v>#N/A</v>
      </c>
      <c r="J36" s="20"/>
      <c r="K36" s="20"/>
      <c r="L36" s="31" t="e">
        <f>IF(Bank_postings[[#This Row],[Manual override category]] &lt;&gt; "", Bank_postings[[#This Row],[Manual override category]], Bank_postings[[#This Row],[Category]])</f>
        <v>#N/A</v>
      </c>
      <c r="M36" s="31" t="e">
        <f>IF(Bank_postings[[#This Row],[Manual override sub-category]] &lt;&gt; "", Bank_postings[[#This Row],[Manual override sub-category]], Bank_postings[[#This Row],[Sub-category]])</f>
        <v>#N/A</v>
      </c>
      <c r="O36" s="24"/>
      <c r="P36" s="20"/>
      <c r="Q36" s="21"/>
    </row>
    <row r="37" spans="3:17" x14ac:dyDescent="0.25">
      <c r="C37" s="4"/>
      <c r="D37" s="20"/>
      <c r="E37" s="37"/>
      <c r="F37" s="37"/>
      <c r="G37" s="91">
        <f>-Bank_postings[[#This Row],[Payment amount]] + Bank_postings[[#This Row],[Receipt amount]]</f>
        <v>0</v>
      </c>
      <c r="H37" s="31" t="e" cm="1">
        <f t="array" ref="H37">INDEX(Payment_categorisations[Category], MATCH(TRUE, ISNUMBER(SEARCH(Payment_categorisations[Contains keywords], Bank_postings[[#This Row],[Narrative]])), 0))</f>
        <v>#N/A</v>
      </c>
      <c r="I37" s="31" t="e" cm="1">
        <f t="array" ref="I37">INDEX(Payment_categorisations[Sub-category], MATCH(TRUE, ISNUMBER(SEARCH(Payment_categorisations[Contains keywords], Bank_postings[[#This Row],[Narrative]])), 0))</f>
        <v>#N/A</v>
      </c>
      <c r="J37" s="20"/>
      <c r="K37" s="20"/>
      <c r="L37" s="31" t="e">
        <f>IF(Bank_postings[[#This Row],[Manual override category]] &lt;&gt; "", Bank_postings[[#This Row],[Manual override category]], Bank_postings[[#This Row],[Category]])</f>
        <v>#N/A</v>
      </c>
      <c r="M37" s="31" t="e">
        <f>IF(Bank_postings[[#This Row],[Manual override sub-category]] &lt;&gt; "", Bank_postings[[#This Row],[Manual override sub-category]], Bank_postings[[#This Row],[Sub-category]])</f>
        <v>#N/A</v>
      </c>
      <c r="O37" s="24"/>
      <c r="P37" s="20"/>
      <c r="Q37" s="21"/>
    </row>
    <row r="38" spans="3:17" x14ac:dyDescent="0.25">
      <c r="C38" s="4"/>
      <c r="D38" s="20"/>
      <c r="E38" s="37"/>
      <c r="F38" s="37"/>
      <c r="G38" s="91">
        <f>-Bank_postings[[#This Row],[Payment amount]] + Bank_postings[[#This Row],[Receipt amount]]</f>
        <v>0</v>
      </c>
      <c r="H38" s="31" t="e" cm="1">
        <f t="array" ref="H38">INDEX(Payment_categorisations[Category], MATCH(TRUE, ISNUMBER(SEARCH(Payment_categorisations[Contains keywords], Bank_postings[[#This Row],[Narrative]])), 0))</f>
        <v>#N/A</v>
      </c>
      <c r="I38" s="31" t="e" cm="1">
        <f t="array" ref="I38">INDEX(Payment_categorisations[Sub-category], MATCH(TRUE, ISNUMBER(SEARCH(Payment_categorisations[Contains keywords], Bank_postings[[#This Row],[Narrative]])), 0))</f>
        <v>#N/A</v>
      </c>
      <c r="J38" s="20"/>
      <c r="K38" s="20"/>
      <c r="L38" s="31" t="e">
        <f>IF(Bank_postings[[#This Row],[Manual override category]] &lt;&gt; "", Bank_postings[[#This Row],[Manual override category]], Bank_postings[[#This Row],[Category]])</f>
        <v>#N/A</v>
      </c>
      <c r="M38" s="31" t="e">
        <f>IF(Bank_postings[[#This Row],[Manual override sub-category]] &lt;&gt; "", Bank_postings[[#This Row],[Manual override sub-category]], Bank_postings[[#This Row],[Sub-category]])</f>
        <v>#N/A</v>
      </c>
      <c r="O38" s="24"/>
      <c r="P38" s="20"/>
      <c r="Q38" s="21"/>
    </row>
    <row r="39" spans="3:17" x14ac:dyDescent="0.25">
      <c r="C39" s="4"/>
      <c r="D39" s="20"/>
      <c r="E39" s="37"/>
      <c r="F39" s="37"/>
      <c r="G39" s="91">
        <f>-Bank_postings[[#This Row],[Payment amount]] + Bank_postings[[#This Row],[Receipt amount]]</f>
        <v>0</v>
      </c>
      <c r="H39" s="31" t="e" cm="1">
        <f t="array" ref="H39">INDEX(Payment_categorisations[Category], MATCH(TRUE, ISNUMBER(SEARCH(Payment_categorisations[Contains keywords], Bank_postings[[#This Row],[Narrative]])), 0))</f>
        <v>#N/A</v>
      </c>
      <c r="I39" s="31" t="e" cm="1">
        <f t="array" ref="I39">INDEX(Payment_categorisations[Sub-category], MATCH(TRUE, ISNUMBER(SEARCH(Payment_categorisations[Contains keywords], Bank_postings[[#This Row],[Narrative]])), 0))</f>
        <v>#N/A</v>
      </c>
      <c r="J39" s="20"/>
      <c r="K39" s="20"/>
      <c r="L39" s="31" t="e">
        <f>IF(Bank_postings[[#This Row],[Manual override category]] &lt;&gt; "", Bank_postings[[#This Row],[Manual override category]], Bank_postings[[#This Row],[Category]])</f>
        <v>#N/A</v>
      </c>
      <c r="M39" s="31" t="e">
        <f>IF(Bank_postings[[#This Row],[Manual override sub-category]] &lt;&gt; "", Bank_postings[[#This Row],[Manual override sub-category]], Bank_postings[[#This Row],[Sub-category]])</f>
        <v>#N/A</v>
      </c>
      <c r="O39" s="24"/>
      <c r="P39" s="20"/>
      <c r="Q39" s="21"/>
    </row>
    <row r="40" spans="3:17" x14ac:dyDescent="0.25">
      <c r="C40" s="4"/>
      <c r="D40" s="20"/>
      <c r="E40" s="37"/>
      <c r="F40" s="37"/>
      <c r="G40" s="91">
        <f>-Bank_postings[[#This Row],[Payment amount]] + Bank_postings[[#This Row],[Receipt amount]]</f>
        <v>0</v>
      </c>
      <c r="H40" s="31" t="e" cm="1">
        <f t="array" ref="H40">INDEX(Payment_categorisations[Category], MATCH(TRUE, ISNUMBER(SEARCH(Payment_categorisations[Contains keywords], Bank_postings[[#This Row],[Narrative]])), 0))</f>
        <v>#N/A</v>
      </c>
      <c r="I40" s="31" t="e" cm="1">
        <f t="array" ref="I40">INDEX(Payment_categorisations[Sub-category], MATCH(TRUE, ISNUMBER(SEARCH(Payment_categorisations[Contains keywords], Bank_postings[[#This Row],[Narrative]])), 0))</f>
        <v>#N/A</v>
      </c>
      <c r="J40" s="20"/>
      <c r="K40" s="20"/>
      <c r="L40" s="31" t="e">
        <f>IF(Bank_postings[[#This Row],[Manual override category]] &lt;&gt; "", Bank_postings[[#This Row],[Manual override category]], Bank_postings[[#This Row],[Category]])</f>
        <v>#N/A</v>
      </c>
      <c r="M40" s="31" t="e">
        <f>IF(Bank_postings[[#This Row],[Manual override sub-category]] &lt;&gt; "", Bank_postings[[#This Row],[Manual override sub-category]], Bank_postings[[#This Row],[Sub-category]])</f>
        <v>#N/A</v>
      </c>
      <c r="O40" s="24"/>
      <c r="P40" s="20"/>
      <c r="Q40" s="21"/>
    </row>
    <row r="41" spans="3:17" x14ac:dyDescent="0.25">
      <c r="C41" s="4"/>
      <c r="D41" s="20"/>
      <c r="E41" s="37"/>
      <c r="F41" s="37"/>
      <c r="G41" s="91">
        <f>-Bank_postings[[#This Row],[Payment amount]] + Bank_postings[[#This Row],[Receipt amount]]</f>
        <v>0</v>
      </c>
      <c r="H41" s="31" t="e" cm="1">
        <f t="array" ref="H41">INDEX(Payment_categorisations[Category], MATCH(TRUE, ISNUMBER(SEARCH(Payment_categorisations[Contains keywords], Bank_postings[[#This Row],[Narrative]])), 0))</f>
        <v>#N/A</v>
      </c>
      <c r="I41" s="31" t="e" cm="1">
        <f t="array" ref="I41">INDEX(Payment_categorisations[Sub-category], MATCH(TRUE, ISNUMBER(SEARCH(Payment_categorisations[Contains keywords], Bank_postings[[#This Row],[Narrative]])), 0))</f>
        <v>#N/A</v>
      </c>
      <c r="J41" s="20"/>
      <c r="K41" s="20"/>
      <c r="L41" s="31" t="e">
        <f>IF(Bank_postings[[#This Row],[Manual override category]] &lt;&gt; "", Bank_postings[[#This Row],[Manual override category]], Bank_postings[[#This Row],[Category]])</f>
        <v>#N/A</v>
      </c>
      <c r="M41" s="31" t="e">
        <f>IF(Bank_postings[[#This Row],[Manual override sub-category]] &lt;&gt; "", Bank_postings[[#This Row],[Manual override sub-category]], Bank_postings[[#This Row],[Sub-category]])</f>
        <v>#N/A</v>
      </c>
      <c r="O41" s="24"/>
      <c r="P41" s="20"/>
      <c r="Q41" s="21"/>
    </row>
    <row r="42" spans="3:17" x14ac:dyDescent="0.25">
      <c r="C42" s="4"/>
      <c r="D42" s="20"/>
      <c r="E42" s="37"/>
      <c r="F42" s="37"/>
      <c r="G42" s="91">
        <f>-Bank_postings[[#This Row],[Payment amount]] + Bank_postings[[#This Row],[Receipt amount]]</f>
        <v>0</v>
      </c>
      <c r="H42" s="31" t="e" cm="1">
        <f t="array" ref="H42">INDEX(Payment_categorisations[Category], MATCH(TRUE, ISNUMBER(SEARCH(Payment_categorisations[Contains keywords], Bank_postings[[#This Row],[Narrative]])), 0))</f>
        <v>#N/A</v>
      </c>
      <c r="I42" s="31" t="e" cm="1">
        <f t="array" ref="I42">INDEX(Payment_categorisations[Sub-category], MATCH(TRUE, ISNUMBER(SEARCH(Payment_categorisations[Contains keywords], Bank_postings[[#This Row],[Narrative]])), 0))</f>
        <v>#N/A</v>
      </c>
      <c r="J42" s="20"/>
      <c r="K42" s="20"/>
      <c r="L42" s="31" t="e">
        <f>IF(Bank_postings[[#This Row],[Manual override category]] &lt;&gt; "", Bank_postings[[#This Row],[Manual override category]], Bank_postings[[#This Row],[Category]])</f>
        <v>#N/A</v>
      </c>
      <c r="M42" s="31" t="e">
        <f>IF(Bank_postings[[#This Row],[Manual override sub-category]] &lt;&gt; "", Bank_postings[[#This Row],[Manual override sub-category]], Bank_postings[[#This Row],[Sub-category]])</f>
        <v>#N/A</v>
      </c>
      <c r="O42" s="24"/>
      <c r="P42" s="20"/>
      <c r="Q42" s="21"/>
    </row>
    <row r="43" spans="3:17" x14ac:dyDescent="0.25">
      <c r="C43" s="4"/>
      <c r="D43" s="20"/>
      <c r="E43" s="37"/>
      <c r="F43" s="37"/>
      <c r="G43" s="91">
        <f>-Bank_postings[[#This Row],[Payment amount]] + Bank_postings[[#This Row],[Receipt amount]]</f>
        <v>0</v>
      </c>
      <c r="H43" s="31" t="e" cm="1">
        <f t="array" ref="H43">INDEX(Payment_categorisations[Category], MATCH(TRUE, ISNUMBER(SEARCH(Payment_categorisations[Contains keywords], Bank_postings[[#This Row],[Narrative]])), 0))</f>
        <v>#N/A</v>
      </c>
      <c r="I43" s="31" t="e" cm="1">
        <f t="array" ref="I43">INDEX(Payment_categorisations[Sub-category], MATCH(TRUE, ISNUMBER(SEARCH(Payment_categorisations[Contains keywords], Bank_postings[[#This Row],[Narrative]])), 0))</f>
        <v>#N/A</v>
      </c>
      <c r="J43" s="20"/>
      <c r="K43" s="20"/>
      <c r="L43" s="31" t="e">
        <f>IF(Bank_postings[[#This Row],[Manual override category]] &lt;&gt; "", Bank_postings[[#This Row],[Manual override category]], Bank_postings[[#This Row],[Category]])</f>
        <v>#N/A</v>
      </c>
      <c r="M43" s="31" t="e">
        <f>IF(Bank_postings[[#This Row],[Manual override sub-category]] &lt;&gt; "", Bank_postings[[#This Row],[Manual override sub-category]], Bank_postings[[#This Row],[Sub-category]])</f>
        <v>#N/A</v>
      </c>
      <c r="O43" s="24"/>
      <c r="P43" s="20"/>
      <c r="Q43" s="21"/>
    </row>
    <row r="44" spans="3:17" x14ac:dyDescent="0.25">
      <c r="C44" s="4"/>
      <c r="D44" s="20"/>
      <c r="E44" s="37"/>
      <c r="F44" s="37"/>
      <c r="G44" s="91">
        <f>-Bank_postings[[#This Row],[Payment amount]] + Bank_postings[[#This Row],[Receipt amount]]</f>
        <v>0</v>
      </c>
      <c r="H44" s="31" t="e" cm="1">
        <f t="array" ref="H44">INDEX(Payment_categorisations[Category], MATCH(TRUE, ISNUMBER(SEARCH(Payment_categorisations[Contains keywords], Bank_postings[[#This Row],[Narrative]])), 0))</f>
        <v>#N/A</v>
      </c>
      <c r="I44" s="31" t="e" cm="1">
        <f t="array" ref="I44">INDEX(Payment_categorisations[Sub-category], MATCH(TRUE, ISNUMBER(SEARCH(Payment_categorisations[Contains keywords], Bank_postings[[#This Row],[Narrative]])), 0))</f>
        <v>#N/A</v>
      </c>
      <c r="J44" s="20"/>
      <c r="K44" s="20"/>
      <c r="L44" s="31" t="e">
        <f>IF(Bank_postings[[#This Row],[Manual override category]] &lt;&gt; "", Bank_postings[[#This Row],[Manual override category]], Bank_postings[[#This Row],[Category]])</f>
        <v>#N/A</v>
      </c>
      <c r="M44" s="31" t="e">
        <f>IF(Bank_postings[[#This Row],[Manual override sub-category]] &lt;&gt; "", Bank_postings[[#This Row],[Manual override sub-category]], Bank_postings[[#This Row],[Sub-category]])</f>
        <v>#N/A</v>
      </c>
      <c r="O44" s="24"/>
      <c r="P44" s="20"/>
      <c r="Q44" s="21"/>
    </row>
    <row r="45" spans="3:17" x14ac:dyDescent="0.25">
      <c r="C45" s="4"/>
      <c r="D45" s="20"/>
      <c r="E45" s="37"/>
      <c r="F45" s="37"/>
      <c r="G45" s="91">
        <f>-Bank_postings[[#This Row],[Payment amount]] + Bank_postings[[#This Row],[Receipt amount]]</f>
        <v>0</v>
      </c>
      <c r="H45" s="31" t="e" cm="1">
        <f t="array" ref="H45">INDEX(Payment_categorisations[Category], MATCH(TRUE, ISNUMBER(SEARCH(Payment_categorisations[Contains keywords], Bank_postings[[#This Row],[Narrative]])), 0))</f>
        <v>#N/A</v>
      </c>
      <c r="I45" s="31" t="e" cm="1">
        <f t="array" ref="I45">INDEX(Payment_categorisations[Sub-category], MATCH(TRUE, ISNUMBER(SEARCH(Payment_categorisations[Contains keywords], Bank_postings[[#This Row],[Narrative]])), 0))</f>
        <v>#N/A</v>
      </c>
      <c r="J45" s="20"/>
      <c r="K45" s="20"/>
      <c r="L45" s="31" t="e">
        <f>IF(Bank_postings[[#This Row],[Manual override category]] &lt;&gt; "", Bank_postings[[#This Row],[Manual override category]], Bank_postings[[#This Row],[Category]])</f>
        <v>#N/A</v>
      </c>
      <c r="M45" s="31" t="e">
        <f>IF(Bank_postings[[#This Row],[Manual override sub-category]] &lt;&gt; "", Bank_postings[[#This Row],[Manual override sub-category]], Bank_postings[[#This Row],[Sub-category]])</f>
        <v>#N/A</v>
      </c>
      <c r="O45" s="24"/>
      <c r="P45" s="20"/>
      <c r="Q45" s="21"/>
    </row>
    <row r="46" spans="3:17" x14ac:dyDescent="0.25">
      <c r="C46" s="4"/>
      <c r="D46" s="20"/>
      <c r="E46" s="37"/>
      <c r="F46" s="98"/>
      <c r="G46" s="91">
        <f>-Bank_postings[[#This Row],[Payment amount]] + Bank_postings[[#This Row],[Receipt amount]]</f>
        <v>0</v>
      </c>
      <c r="H46" s="31" t="e" cm="1">
        <f t="array" ref="H46">INDEX(Payment_categorisations[Category], MATCH(TRUE, ISNUMBER(SEARCH(Payment_categorisations[Contains keywords], Bank_postings[[#This Row],[Narrative]])), 0))</f>
        <v>#N/A</v>
      </c>
      <c r="I46" s="31" t="e" cm="1">
        <f t="array" ref="I46">INDEX(Payment_categorisations[Sub-category], MATCH(TRUE, ISNUMBER(SEARCH(Payment_categorisations[Contains keywords], Bank_postings[[#This Row],[Narrative]])), 0))</f>
        <v>#N/A</v>
      </c>
      <c r="J46" s="20"/>
      <c r="K46" s="20"/>
      <c r="L46" s="31" t="e">
        <f>IF(Bank_postings[[#This Row],[Manual override category]] &lt;&gt; "", Bank_postings[[#This Row],[Manual override category]], Bank_postings[[#This Row],[Category]])</f>
        <v>#N/A</v>
      </c>
      <c r="M46" s="31" t="e">
        <f>IF(Bank_postings[[#This Row],[Manual override sub-category]] &lt;&gt; "", Bank_postings[[#This Row],[Manual override sub-category]], Bank_postings[[#This Row],[Sub-category]])</f>
        <v>#N/A</v>
      </c>
      <c r="O46" s="24"/>
      <c r="P46" s="20"/>
      <c r="Q46" s="21"/>
    </row>
    <row r="47" spans="3:17" x14ac:dyDescent="0.25">
      <c r="C47" s="4"/>
      <c r="D47" s="20"/>
      <c r="E47" s="37"/>
      <c r="F47" s="98"/>
      <c r="G47" s="91">
        <f>-Bank_postings[[#This Row],[Payment amount]] + Bank_postings[[#This Row],[Receipt amount]]</f>
        <v>0</v>
      </c>
      <c r="H47" s="31" t="e" cm="1">
        <f t="array" ref="H47">INDEX(Payment_categorisations[Category], MATCH(TRUE, ISNUMBER(SEARCH(Payment_categorisations[Contains keywords], Bank_postings[[#This Row],[Narrative]])), 0))</f>
        <v>#N/A</v>
      </c>
      <c r="I47" s="31" t="e" cm="1">
        <f t="array" ref="I47">INDEX(Payment_categorisations[Sub-category], MATCH(TRUE, ISNUMBER(SEARCH(Payment_categorisations[Contains keywords], Bank_postings[[#This Row],[Narrative]])), 0))</f>
        <v>#N/A</v>
      </c>
      <c r="J47" s="20"/>
      <c r="K47" s="20"/>
      <c r="L47" s="31" t="e">
        <f>IF(Bank_postings[[#This Row],[Manual override category]] &lt;&gt; "", Bank_postings[[#This Row],[Manual override category]], Bank_postings[[#This Row],[Category]])</f>
        <v>#N/A</v>
      </c>
      <c r="M47" s="31" t="e">
        <f>IF(Bank_postings[[#This Row],[Manual override sub-category]] &lt;&gt; "", Bank_postings[[#This Row],[Manual override sub-category]], Bank_postings[[#This Row],[Sub-category]])</f>
        <v>#N/A</v>
      </c>
      <c r="O47" s="24"/>
      <c r="P47" s="20"/>
      <c r="Q47" s="21"/>
    </row>
    <row r="48" spans="3:17" x14ac:dyDescent="0.25">
      <c r="C48" s="4"/>
      <c r="D48" s="20"/>
      <c r="E48" s="37"/>
      <c r="F48" s="98"/>
      <c r="G48" s="91">
        <f>-Bank_postings[[#This Row],[Payment amount]] + Bank_postings[[#This Row],[Receipt amount]]</f>
        <v>0</v>
      </c>
      <c r="H48" s="31" t="e" cm="1">
        <f t="array" ref="H48">INDEX(Payment_categorisations[Category], MATCH(TRUE, ISNUMBER(SEARCH(Payment_categorisations[Contains keywords], Bank_postings[[#This Row],[Narrative]])), 0))</f>
        <v>#N/A</v>
      </c>
      <c r="I48" s="31" t="e" cm="1">
        <f t="array" ref="I48">INDEX(Payment_categorisations[Sub-category], MATCH(TRUE, ISNUMBER(SEARCH(Payment_categorisations[Contains keywords], Bank_postings[[#This Row],[Narrative]])), 0))</f>
        <v>#N/A</v>
      </c>
      <c r="J48" s="20"/>
      <c r="K48" s="20"/>
      <c r="L48" s="31" t="e">
        <f>IF(Bank_postings[[#This Row],[Manual override category]] &lt;&gt; "", Bank_postings[[#This Row],[Manual override category]], Bank_postings[[#This Row],[Category]])</f>
        <v>#N/A</v>
      </c>
      <c r="M48" s="31" t="e">
        <f>IF(Bank_postings[[#This Row],[Manual override sub-category]] &lt;&gt; "", Bank_postings[[#This Row],[Manual override sub-category]], Bank_postings[[#This Row],[Sub-category]])</f>
        <v>#N/A</v>
      </c>
      <c r="O48" s="24"/>
      <c r="P48" s="20"/>
      <c r="Q48" s="21"/>
    </row>
    <row r="49" spans="3:17" x14ac:dyDescent="0.25">
      <c r="C49" s="4"/>
      <c r="D49" s="20"/>
      <c r="E49" s="37"/>
      <c r="F49" s="98"/>
      <c r="G49" s="91">
        <f>-Bank_postings[[#This Row],[Payment amount]] + Bank_postings[[#This Row],[Receipt amount]]</f>
        <v>0</v>
      </c>
      <c r="H49" s="31" t="e" cm="1">
        <f t="array" ref="H49">INDEX(Payment_categorisations[Category], MATCH(TRUE, ISNUMBER(SEARCH(Payment_categorisations[Contains keywords], Bank_postings[[#This Row],[Narrative]])), 0))</f>
        <v>#N/A</v>
      </c>
      <c r="I49" s="31" t="e" cm="1">
        <f t="array" ref="I49">INDEX(Payment_categorisations[Sub-category], MATCH(TRUE, ISNUMBER(SEARCH(Payment_categorisations[Contains keywords], Bank_postings[[#This Row],[Narrative]])), 0))</f>
        <v>#N/A</v>
      </c>
      <c r="J49" s="20"/>
      <c r="K49" s="20"/>
      <c r="L49" s="31" t="e">
        <f>IF(Bank_postings[[#This Row],[Manual override category]] &lt;&gt; "", Bank_postings[[#This Row],[Manual override category]], Bank_postings[[#This Row],[Category]])</f>
        <v>#N/A</v>
      </c>
      <c r="M49" s="31" t="e">
        <f>IF(Bank_postings[[#This Row],[Manual override sub-category]] &lt;&gt; "", Bank_postings[[#This Row],[Manual override sub-category]], Bank_postings[[#This Row],[Sub-category]])</f>
        <v>#N/A</v>
      </c>
      <c r="O49" s="24"/>
      <c r="P49" s="20"/>
      <c r="Q49" s="21"/>
    </row>
    <row r="50" spans="3:17" x14ac:dyDescent="0.25">
      <c r="C50" s="4"/>
      <c r="D50" s="20"/>
      <c r="E50" s="37"/>
      <c r="F50" s="98"/>
      <c r="G50" s="91">
        <f>-Bank_postings[[#This Row],[Payment amount]] + Bank_postings[[#This Row],[Receipt amount]]</f>
        <v>0</v>
      </c>
      <c r="H50" s="31" t="e" cm="1">
        <f t="array" ref="H50">INDEX(Payment_categorisations[Category], MATCH(TRUE, ISNUMBER(SEARCH(Payment_categorisations[Contains keywords], Bank_postings[[#This Row],[Narrative]])), 0))</f>
        <v>#N/A</v>
      </c>
      <c r="I50" s="31" t="e" cm="1">
        <f t="array" ref="I50">INDEX(Payment_categorisations[Sub-category], MATCH(TRUE, ISNUMBER(SEARCH(Payment_categorisations[Contains keywords], Bank_postings[[#This Row],[Narrative]])), 0))</f>
        <v>#N/A</v>
      </c>
      <c r="J50" s="20"/>
      <c r="K50" s="20"/>
      <c r="L50" s="31" t="e">
        <f>IF(Bank_postings[[#This Row],[Manual override category]] &lt;&gt; "", Bank_postings[[#This Row],[Manual override category]], Bank_postings[[#This Row],[Category]])</f>
        <v>#N/A</v>
      </c>
      <c r="M50" s="31" t="e">
        <f>IF(Bank_postings[[#This Row],[Manual override sub-category]] &lt;&gt; "", Bank_postings[[#This Row],[Manual override sub-category]], Bank_postings[[#This Row],[Sub-category]])</f>
        <v>#N/A</v>
      </c>
      <c r="O50" s="24"/>
      <c r="P50" s="20"/>
      <c r="Q50" s="21"/>
    </row>
    <row r="51" spans="3:17" x14ac:dyDescent="0.25">
      <c r="C51" s="4"/>
      <c r="D51" s="20"/>
      <c r="E51" s="37"/>
      <c r="F51" s="98"/>
      <c r="G51" s="91">
        <f>-Bank_postings[[#This Row],[Payment amount]] + Bank_postings[[#This Row],[Receipt amount]]</f>
        <v>0</v>
      </c>
      <c r="H51" s="31" t="e" cm="1">
        <f t="array" ref="H51">INDEX(Payment_categorisations[Category], MATCH(TRUE, ISNUMBER(SEARCH(Payment_categorisations[Contains keywords], Bank_postings[[#This Row],[Narrative]])), 0))</f>
        <v>#N/A</v>
      </c>
      <c r="I51" s="31" t="e" cm="1">
        <f t="array" ref="I51">INDEX(Payment_categorisations[Sub-category], MATCH(TRUE, ISNUMBER(SEARCH(Payment_categorisations[Contains keywords], Bank_postings[[#This Row],[Narrative]])), 0))</f>
        <v>#N/A</v>
      </c>
      <c r="J51" s="20"/>
      <c r="K51" s="20"/>
      <c r="L51" s="31" t="e">
        <f>IF(Bank_postings[[#This Row],[Manual override category]] &lt;&gt; "", Bank_postings[[#This Row],[Manual override category]], Bank_postings[[#This Row],[Category]])</f>
        <v>#N/A</v>
      </c>
      <c r="M51" s="31" t="e">
        <f>IF(Bank_postings[[#This Row],[Manual override sub-category]] &lt;&gt; "", Bank_postings[[#This Row],[Manual override sub-category]], Bank_postings[[#This Row],[Sub-category]])</f>
        <v>#N/A</v>
      </c>
      <c r="O51" s="24"/>
      <c r="P51" s="20"/>
      <c r="Q51" s="21"/>
    </row>
    <row r="52" spans="3:17" x14ac:dyDescent="0.25">
      <c r="C52" s="4"/>
      <c r="D52" s="20"/>
      <c r="E52" s="37"/>
      <c r="F52" s="98"/>
      <c r="G52" s="91">
        <f>-Bank_postings[[#This Row],[Payment amount]] + Bank_postings[[#This Row],[Receipt amount]]</f>
        <v>0</v>
      </c>
      <c r="H52" s="31" t="e" cm="1">
        <f t="array" ref="H52">INDEX(Payment_categorisations[Category], MATCH(TRUE, ISNUMBER(SEARCH(Payment_categorisations[Contains keywords], Bank_postings[[#This Row],[Narrative]])), 0))</f>
        <v>#N/A</v>
      </c>
      <c r="I52" s="31" t="e" cm="1">
        <f t="array" ref="I52">INDEX(Payment_categorisations[Sub-category], MATCH(TRUE, ISNUMBER(SEARCH(Payment_categorisations[Contains keywords], Bank_postings[[#This Row],[Narrative]])), 0))</f>
        <v>#N/A</v>
      </c>
      <c r="J52" s="20"/>
      <c r="K52" s="20"/>
      <c r="L52" s="31" t="e">
        <f>IF(Bank_postings[[#This Row],[Manual override category]] &lt;&gt; "", Bank_postings[[#This Row],[Manual override category]], Bank_postings[[#This Row],[Category]])</f>
        <v>#N/A</v>
      </c>
      <c r="M52" s="31" t="e">
        <f>IF(Bank_postings[[#This Row],[Manual override sub-category]] &lt;&gt; "", Bank_postings[[#This Row],[Manual override sub-category]], Bank_postings[[#This Row],[Sub-category]])</f>
        <v>#N/A</v>
      </c>
      <c r="O52" s="24"/>
      <c r="P52" s="20"/>
      <c r="Q52" s="21"/>
    </row>
    <row r="53" spans="3:17" x14ac:dyDescent="0.25">
      <c r="C53" s="4"/>
      <c r="D53" s="20"/>
      <c r="E53" s="37"/>
      <c r="F53" s="98"/>
      <c r="G53" s="91">
        <f>-Bank_postings[[#This Row],[Payment amount]] + Bank_postings[[#This Row],[Receipt amount]]</f>
        <v>0</v>
      </c>
      <c r="H53" s="31" t="e" cm="1">
        <f t="array" ref="H53">INDEX(Payment_categorisations[Category], MATCH(TRUE, ISNUMBER(SEARCH(Payment_categorisations[Contains keywords], Bank_postings[[#This Row],[Narrative]])), 0))</f>
        <v>#N/A</v>
      </c>
      <c r="I53" s="31" t="e" cm="1">
        <f t="array" ref="I53">INDEX(Payment_categorisations[Sub-category], MATCH(TRUE, ISNUMBER(SEARCH(Payment_categorisations[Contains keywords], Bank_postings[[#This Row],[Narrative]])), 0))</f>
        <v>#N/A</v>
      </c>
      <c r="J53" s="20"/>
      <c r="K53" s="20"/>
      <c r="L53" s="31" t="e">
        <f>IF(Bank_postings[[#This Row],[Manual override category]] &lt;&gt; "", Bank_postings[[#This Row],[Manual override category]], Bank_postings[[#This Row],[Category]])</f>
        <v>#N/A</v>
      </c>
      <c r="M53" s="31" t="e">
        <f>IF(Bank_postings[[#This Row],[Manual override sub-category]] &lt;&gt; "", Bank_postings[[#This Row],[Manual override sub-category]], Bank_postings[[#This Row],[Sub-category]])</f>
        <v>#N/A</v>
      </c>
      <c r="O53" s="24"/>
      <c r="P53" s="20"/>
      <c r="Q53" s="21"/>
    </row>
    <row r="54" spans="3:17" x14ac:dyDescent="0.25">
      <c r="C54" s="4"/>
      <c r="D54" s="20"/>
      <c r="E54" s="37"/>
      <c r="F54" s="98"/>
      <c r="G54" s="91">
        <f>-Bank_postings[[#This Row],[Payment amount]] + Bank_postings[[#This Row],[Receipt amount]]</f>
        <v>0</v>
      </c>
      <c r="H54" s="31" t="e" cm="1">
        <f t="array" ref="H54">INDEX(Payment_categorisations[Category], MATCH(TRUE, ISNUMBER(SEARCH(Payment_categorisations[Contains keywords], Bank_postings[[#This Row],[Narrative]])), 0))</f>
        <v>#N/A</v>
      </c>
      <c r="I54" s="31" t="e" cm="1">
        <f t="array" ref="I54">INDEX(Payment_categorisations[Sub-category], MATCH(TRUE, ISNUMBER(SEARCH(Payment_categorisations[Contains keywords], Bank_postings[[#This Row],[Narrative]])), 0))</f>
        <v>#N/A</v>
      </c>
      <c r="J54" s="20"/>
      <c r="K54" s="20"/>
      <c r="L54" s="31" t="e">
        <f>IF(Bank_postings[[#This Row],[Manual override category]] &lt;&gt; "", Bank_postings[[#This Row],[Manual override category]], Bank_postings[[#This Row],[Category]])</f>
        <v>#N/A</v>
      </c>
      <c r="M54" s="31" t="e">
        <f>IF(Bank_postings[[#This Row],[Manual override sub-category]] &lt;&gt; "", Bank_postings[[#This Row],[Manual override sub-category]], Bank_postings[[#This Row],[Sub-category]])</f>
        <v>#N/A</v>
      </c>
      <c r="O54" s="24"/>
      <c r="P54" s="20"/>
      <c r="Q54" s="21"/>
    </row>
    <row r="55" spans="3:17" x14ac:dyDescent="0.25">
      <c r="C55" s="4"/>
      <c r="D55" s="20"/>
      <c r="E55" s="37"/>
      <c r="F55" s="98"/>
      <c r="G55" s="91">
        <f>-Bank_postings[[#This Row],[Payment amount]] + Bank_postings[[#This Row],[Receipt amount]]</f>
        <v>0</v>
      </c>
      <c r="H55" s="31" t="e" cm="1">
        <f t="array" ref="H55">INDEX(Payment_categorisations[Category], MATCH(TRUE, ISNUMBER(SEARCH(Payment_categorisations[Contains keywords], Bank_postings[[#This Row],[Narrative]])), 0))</f>
        <v>#N/A</v>
      </c>
      <c r="I55" s="31" t="e" cm="1">
        <f t="array" ref="I55">INDEX(Payment_categorisations[Sub-category], MATCH(TRUE, ISNUMBER(SEARCH(Payment_categorisations[Contains keywords], Bank_postings[[#This Row],[Narrative]])), 0))</f>
        <v>#N/A</v>
      </c>
      <c r="J55" s="20"/>
      <c r="K55" s="20"/>
      <c r="L55" s="31" t="e">
        <f>IF(Bank_postings[[#This Row],[Manual override category]] &lt;&gt; "", Bank_postings[[#This Row],[Manual override category]], Bank_postings[[#This Row],[Category]])</f>
        <v>#N/A</v>
      </c>
      <c r="M55" s="31" t="e">
        <f>IF(Bank_postings[[#This Row],[Manual override sub-category]] &lt;&gt; "", Bank_postings[[#This Row],[Manual override sub-category]], Bank_postings[[#This Row],[Sub-category]])</f>
        <v>#N/A</v>
      </c>
      <c r="O55" s="24"/>
      <c r="P55" s="20"/>
      <c r="Q55" s="21"/>
    </row>
    <row r="56" spans="3:17" x14ac:dyDescent="0.25">
      <c r="C56" s="4"/>
      <c r="D56" s="20"/>
      <c r="E56" s="37"/>
      <c r="F56" s="98"/>
      <c r="G56" s="91">
        <f>-Bank_postings[[#This Row],[Payment amount]] + Bank_postings[[#This Row],[Receipt amount]]</f>
        <v>0</v>
      </c>
      <c r="H56" s="31" t="e" cm="1">
        <f t="array" ref="H56">INDEX(Payment_categorisations[Category], MATCH(TRUE, ISNUMBER(SEARCH(Payment_categorisations[Contains keywords], Bank_postings[[#This Row],[Narrative]])), 0))</f>
        <v>#N/A</v>
      </c>
      <c r="I56" s="31" t="e" cm="1">
        <f t="array" ref="I56">INDEX(Payment_categorisations[Sub-category], MATCH(TRUE, ISNUMBER(SEARCH(Payment_categorisations[Contains keywords], Bank_postings[[#This Row],[Narrative]])), 0))</f>
        <v>#N/A</v>
      </c>
      <c r="J56" s="20"/>
      <c r="K56" s="20"/>
      <c r="L56" s="31" t="e">
        <f>IF(Bank_postings[[#This Row],[Manual override category]] &lt;&gt; "", Bank_postings[[#This Row],[Manual override category]], Bank_postings[[#This Row],[Category]])</f>
        <v>#N/A</v>
      </c>
      <c r="M56" s="31" t="e">
        <f>IF(Bank_postings[[#This Row],[Manual override sub-category]] &lt;&gt; "", Bank_postings[[#This Row],[Manual override sub-category]], Bank_postings[[#This Row],[Sub-category]])</f>
        <v>#N/A</v>
      </c>
      <c r="O56" s="24"/>
      <c r="P56" s="20"/>
      <c r="Q56" s="21"/>
    </row>
    <row r="57" spans="3:17" x14ac:dyDescent="0.25">
      <c r="C57" s="4"/>
      <c r="D57" s="20"/>
      <c r="E57" s="37"/>
      <c r="F57" s="98"/>
      <c r="G57" s="91">
        <f>-Bank_postings[[#This Row],[Payment amount]] + Bank_postings[[#This Row],[Receipt amount]]</f>
        <v>0</v>
      </c>
      <c r="H57" s="31" t="e" cm="1">
        <f t="array" ref="H57">INDEX(Payment_categorisations[Category], MATCH(TRUE, ISNUMBER(SEARCH(Payment_categorisations[Contains keywords], Bank_postings[[#This Row],[Narrative]])), 0))</f>
        <v>#N/A</v>
      </c>
      <c r="I57" s="31" t="e" cm="1">
        <f t="array" ref="I57">INDEX(Payment_categorisations[Sub-category], MATCH(TRUE, ISNUMBER(SEARCH(Payment_categorisations[Contains keywords], Bank_postings[[#This Row],[Narrative]])), 0))</f>
        <v>#N/A</v>
      </c>
      <c r="J57" s="20"/>
      <c r="K57" s="20"/>
      <c r="L57" s="31" t="e">
        <f>IF(Bank_postings[[#This Row],[Manual override category]] &lt;&gt; "", Bank_postings[[#This Row],[Manual override category]], Bank_postings[[#This Row],[Category]])</f>
        <v>#N/A</v>
      </c>
      <c r="M57" s="31" t="e">
        <f>IF(Bank_postings[[#This Row],[Manual override sub-category]] &lt;&gt; "", Bank_postings[[#This Row],[Manual override sub-category]], Bank_postings[[#This Row],[Sub-category]])</f>
        <v>#N/A</v>
      </c>
      <c r="O57" s="24"/>
      <c r="P57" s="20"/>
      <c r="Q57" s="21"/>
    </row>
    <row r="58" spans="3:17" x14ac:dyDescent="0.25">
      <c r="C58" s="4"/>
      <c r="D58" s="20"/>
      <c r="E58" s="37"/>
      <c r="F58" s="98"/>
      <c r="G58" s="91">
        <f>-Bank_postings[[#This Row],[Payment amount]] + Bank_postings[[#This Row],[Receipt amount]]</f>
        <v>0</v>
      </c>
      <c r="H58" s="31" t="e" cm="1">
        <f t="array" ref="H58">INDEX(Payment_categorisations[Category], MATCH(TRUE, ISNUMBER(SEARCH(Payment_categorisations[Contains keywords], Bank_postings[[#This Row],[Narrative]])), 0))</f>
        <v>#N/A</v>
      </c>
      <c r="I58" s="31" t="e" cm="1">
        <f t="array" ref="I58">INDEX(Payment_categorisations[Sub-category], MATCH(TRUE, ISNUMBER(SEARCH(Payment_categorisations[Contains keywords], Bank_postings[[#This Row],[Narrative]])), 0))</f>
        <v>#N/A</v>
      </c>
      <c r="J58" s="20"/>
      <c r="K58" s="20"/>
      <c r="L58" s="31" t="e">
        <f>IF(Bank_postings[[#This Row],[Manual override category]] &lt;&gt; "", Bank_postings[[#This Row],[Manual override category]], Bank_postings[[#This Row],[Category]])</f>
        <v>#N/A</v>
      </c>
      <c r="M58" s="31" t="e">
        <f>IF(Bank_postings[[#This Row],[Manual override sub-category]] &lt;&gt; "", Bank_postings[[#This Row],[Manual override sub-category]], Bank_postings[[#This Row],[Sub-category]])</f>
        <v>#N/A</v>
      </c>
      <c r="O58" s="24"/>
      <c r="P58" s="20"/>
      <c r="Q58" s="21"/>
    </row>
    <row r="59" spans="3:17" x14ac:dyDescent="0.25">
      <c r="C59" s="4"/>
      <c r="D59" s="20"/>
      <c r="E59" s="37"/>
      <c r="F59" s="98"/>
      <c r="G59" s="91">
        <f>-Bank_postings[[#This Row],[Payment amount]] + Bank_postings[[#This Row],[Receipt amount]]</f>
        <v>0</v>
      </c>
      <c r="H59" s="31" t="e" cm="1">
        <f t="array" ref="H59">INDEX(Payment_categorisations[Category], MATCH(TRUE, ISNUMBER(SEARCH(Payment_categorisations[Contains keywords], Bank_postings[[#This Row],[Narrative]])), 0))</f>
        <v>#N/A</v>
      </c>
      <c r="I59" s="31" t="e" cm="1">
        <f t="array" ref="I59">INDEX(Payment_categorisations[Sub-category], MATCH(TRUE, ISNUMBER(SEARCH(Payment_categorisations[Contains keywords], Bank_postings[[#This Row],[Narrative]])), 0))</f>
        <v>#N/A</v>
      </c>
      <c r="J59" s="20"/>
      <c r="K59" s="20"/>
      <c r="L59" s="31" t="e">
        <f>IF(Bank_postings[[#This Row],[Manual override category]] &lt;&gt; "", Bank_postings[[#This Row],[Manual override category]], Bank_postings[[#This Row],[Category]])</f>
        <v>#N/A</v>
      </c>
      <c r="M59" s="31" t="e">
        <f>IF(Bank_postings[[#This Row],[Manual override sub-category]] &lt;&gt; "", Bank_postings[[#This Row],[Manual override sub-category]], Bank_postings[[#This Row],[Sub-category]])</f>
        <v>#N/A</v>
      </c>
      <c r="O59" s="24"/>
      <c r="P59" s="20"/>
      <c r="Q59" s="21"/>
    </row>
    <row r="60" spans="3:17" x14ac:dyDescent="0.25">
      <c r="C60" s="4"/>
      <c r="D60" s="20"/>
      <c r="E60" s="37"/>
      <c r="F60" s="98"/>
      <c r="G60" s="91">
        <f>-Bank_postings[[#This Row],[Payment amount]] + Bank_postings[[#This Row],[Receipt amount]]</f>
        <v>0</v>
      </c>
      <c r="H60" s="31" t="e" cm="1">
        <f t="array" ref="H60">INDEX(Payment_categorisations[Category], MATCH(TRUE, ISNUMBER(SEARCH(Payment_categorisations[Contains keywords], Bank_postings[[#This Row],[Narrative]])), 0))</f>
        <v>#N/A</v>
      </c>
      <c r="I60" s="31" t="e" cm="1">
        <f t="array" ref="I60">INDEX(Payment_categorisations[Sub-category], MATCH(TRUE, ISNUMBER(SEARCH(Payment_categorisations[Contains keywords], Bank_postings[[#This Row],[Narrative]])), 0))</f>
        <v>#N/A</v>
      </c>
      <c r="J60" s="20"/>
      <c r="K60" s="20"/>
      <c r="L60" s="31" t="e">
        <f>IF(Bank_postings[[#This Row],[Manual override category]] &lt;&gt; "", Bank_postings[[#This Row],[Manual override category]], Bank_postings[[#This Row],[Category]])</f>
        <v>#N/A</v>
      </c>
      <c r="M60" s="31" t="e">
        <f>IF(Bank_postings[[#This Row],[Manual override sub-category]] &lt;&gt; "", Bank_postings[[#This Row],[Manual override sub-category]], Bank_postings[[#This Row],[Sub-category]])</f>
        <v>#N/A</v>
      </c>
      <c r="O60" s="24"/>
      <c r="P60" s="20"/>
      <c r="Q60" s="21"/>
    </row>
    <row r="61" spans="3:17" x14ac:dyDescent="0.25">
      <c r="C61" s="4"/>
      <c r="D61" s="20"/>
      <c r="E61" s="37"/>
      <c r="F61" s="98"/>
      <c r="G61" s="91">
        <f>-Bank_postings[[#This Row],[Payment amount]] + Bank_postings[[#This Row],[Receipt amount]]</f>
        <v>0</v>
      </c>
      <c r="H61" s="31" t="e" cm="1">
        <f t="array" ref="H61">INDEX(Payment_categorisations[Category], MATCH(TRUE, ISNUMBER(SEARCH(Payment_categorisations[Contains keywords], Bank_postings[[#This Row],[Narrative]])), 0))</f>
        <v>#N/A</v>
      </c>
      <c r="I61" s="31" t="e" cm="1">
        <f t="array" ref="I61">INDEX(Payment_categorisations[Sub-category], MATCH(TRUE, ISNUMBER(SEARCH(Payment_categorisations[Contains keywords], Bank_postings[[#This Row],[Narrative]])), 0))</f>
        <v>#N/A</v>
      </c>
      <c r="J61" s="20"/>
      <c r="K61" s="20"/>
      <c r="L61" s="31" t="e">
        <f>IF(Bank_postings[[#This Row],[Manual override category]] &lt;&gt; "", Bank_postings[[#This Row],[Manual override category]], Bank_postings[[#This Row],[Category]])</f>
        <v>#N/A</v>
      </c>
      <c r="M61" s="31" t="e">
        <f>IF(Bank_postings[[#This Row],[Manual override sub-category]] &lt;&gt; "", Bank_postings[[#This Row],[Manual override sub-category]], Bank_postings[[#This Row],[Sub-category]])</f>
        <v>#N/A</v>
      </c>
      <c r="O61" s="24"/>
      <c r="P61" s="20"/>
      <c r="Q61" s="21"/>
    </row>
    <row r="62" spans="3:17" x14ac:dyDescent="0.25">
      <c r="C62" s="4"/>
      <c r="D62" s="20"/>
      <c r="E62" s="37"/>
      <c r="F62" s="98"/>
      <c r="G62" s="91">
        <f>-Bank_postings[[#This Row],[Payment amount]] + Bank_postings[[#This Row],[Receipt amount]]</f>
        <v>0</v>
      </c>
      <c r="H62" s="31" t="e" cm="1">
        <f t="array" ref="H62">INDEX(Payment_categorisations[Category], MATCH(TRUE, ISNUMBER(SEARCH(Payment_categorisations[Contains keywords], Bank_postings[[#This Row],[Narrative]])), 0))</f>
        <v>#N/A</v>
      </c>
      <c r="I62" s="31" t="e" cm="1">
        <f t="array" ref="I62">INDEX(Payment_categorisations[Sub-category], MATCH(TRUE, ISNUMBER(SEARCH(Payment_categorisations[Contains keywords], Bank_postings[[#This Row],[Narrative]])), 0))</f>
        <v>#N/A</v>
      </c>
      <c r="J62" s="20"/>
      <c r="K62" s="20"/>
      <c r="L62" s="31" t="e">
        <f>IF(Bank_postings[[#This Row],[Manual override category]] &lt;&gt; "", Bank_postings[[#This Row],[Manual override category]], Bank_postings[[#This Row],[Category]])</f>
        <v>#N/A</v>
      </c>
      <c r="M62" s="31" t="e">
        <f>IF(Bank_postings[[#This Row],[Manual override sub-category]] &lt;&gt; "", Bank_postings[[#This Row],[Manual override sub-category]], Bank_postings[[#This Row],[Sub-category]])</f>
        <v>#N/A</v>
      </c>
      <c r="O62" s="24"/>
      <c r="P62" s="20"/>
      <c r="Q62" s="21"/>
    </row>
    <row r="63" spans="3:17" x14ac:dyDescent="0.25">
      <c r="C63" s="4"/>
      <c r="D63" s="20"/>
      <c r="E63" s="37"/>
      <c r="F63" s="98"/>
      <c r="G63" s="91">
        <f>-Bank_postings[[#This Row],[Payment amount]] + Bank_postings[[#This Row],[Receipt amount]]</f>
        <v>0</v>
      </c>
      <c r="H63" s="31" t="e" cm="1">
        <f t="array" ref="H63">INDEX(Payment_categorisations[Category], MATCH(TRUE, ISNUMBER(SEARCH(Payment_categorisations[Contains keywords], Bank_postings[[#This Row],[Narrative]])), 0))</f>
        <v>#N/A</v>
      </c>
      <c r="I63" s="31" t="e" cm="1">
        <f t="array" ref="I63">INDEX(Payment_categorisations[Sub-category], MATCH(TRUE, ISNUMBER(SEARCH(Payment_categorisations[Contains keywords], Bank_postings[[#This Row],[Narrative]])), 0))</f>
        <v>#N/A</v>
      </c>
      <c r="J63" s="20"/>
      <c r="K63" s="20"/>
      <c r="L63" s="31" t="e">
        <f>IF(Bank_postings[[#This Row],[Manual override category]] &lt;&gt; "", Bank_postings[[#This Row],[Manual override category]], Bank_postings[[#This Row],[Category]])</f>
        <v>#N/A</v>
      </c>
      <c r="M63" s="31" t="e">
        <f>IF(Bank_postings[[#This Row],[Manual override sub-category]] &lt;&gt; "", Bank_postings[[#This Row],[Manual override sub-category]], Bank_postings[[#This Row],[Sub-category]])</f>
        <v>#N/A</v>
      </c>
      <c r="O63" s="24"/>
      <c r="P63" s="20"/>
      <c r="Q63" s="21"/>
    </row>
    <row r="64" spans="3:17" x14ac:dyDescent="0.25">
      <c r="C64" s="4"/>
      <c r="D64" s="20"/>
      <c r="E64" s="37"/>
      <c r="F64" s="98"/>
      <c r="G64" s="91">
        <f>-Bank_postings[[#This Row],[Payment amount]] + Bank_postings[[#This Row],[Receipt amount]]</f>
        <v>0</v>
      </c>
      <c r="H64" s="31" t="e" cm="1">
        <f t="array" ref="H64">INDEX(Payment_categorisations[Category], MATCH(TRUE, ISNUMBER(SEARCH(Payment_categorisations[Contains keywords], Bank_postings[[#This Row],[Narrative]])), 0))</f>
        <v>#N/A</v>
      </c>
      <c r="I64" s="31" t="e" cm="1">
        <f t="array" ref="I64">INDEX(Payment_categorisations[Sub-category], MATCH(TRUE, ISNUMBER(SEARCH(Payment_categorisations[Contains keywords], Bank_postings[[#This Row],[Narrative]])), 0))</f>
        <v>#N/A</v>
      </c>
      <c r="J64" s="20"/>
      <c r="K64" s="20"/>
      <c r="L64" s="31" t="e">
        <f>IF(Bank_postings[[#This Row],[Manual override category]] &lt;&gt; "", Bank_postings[[#This Row],[Manual override category]], Bank_postings[[#This Row],[Category]])</f>
        <v>#N/A</v>
      </c>
      <c r="M64" s="31" t="e">
        <f>IF(Bank_postings[[#This Row],[Manual override sub-category]] &lt;&gt; "", Bank_postings[[#This Row],[Manual override sub-category]], Bank_postings[[#This Row],[Sub-category]])</f>
        <v>#N/A</v>
      </c>
      <c r="O64" s="24"/>
      <c r="P64" s="20"/>
      <c r="Q64" s="21"/>
    </row>
    <row r="65" spans="3:17" x14ac:dyDescent="0.25">
      <c r="C65" s="4"/>
      <c r="D65" s="20"/>
      <c r="E65" s="37"/>
      <c r="F65" s="98"/>
      <c r="G65" s="91">
        <f>-Bank_postings[[#This Row],[Payment amount]] + Bank_postings[[#This Row],[Receipt amount]]</f>
        <v>0</v>
      </c>
      <c r="H65" s="31" t="e" cm="1">
        <f t="array" ref="H65">INDEX(Payment_categorisations[Category], MATCH(TRUE, ISNUMBER(SEARCH(Payment_categorisations[Contains keywords], Bank_postings[[#This Row],[Narrative]])), 0))</f>
        <v>#N/A</v>
      </c>
      <c r="I65" s="31" t="e" cm="1">
        <f t="array" ref="I65">INDEX(Payment_categorisations[Sub-category], MATCH(TRUE, ISNUMBER(SEARCH(Payment_categorisations[Contains keywords], Bank_postings[[#This Row],[Narrative]])), 0))</f>
        <v>#N/A</v>
      </c>
      <c r="J65" s="20"/>
      <c r="K65" s="20"/>
      <c r="L65" s="31" t="e">
        <f>IF(Bank_postings[[#This Row],[Manual override category]] &lt;&gt; "", Bank_postings[[#This Row],[Manual override category]], Bank_postings[[#This Row],[Category]])</f>
        <v>#N/A</v>
      </c>
      <c r="M65" s="31" t="e">
        <f>IF(Bank_postings[[#This Row],[Manual override sub-category]] &lt;&gt; "", Bank_postings[[#This Row],[Manual override sub-category]], Bank_postings[[#This Row],[Sub-category]])</f>
        <v>#N/A</v>
      </c>
      <c r="O65" s="24"/>
      <c r="P65" s="20"/>
      <c r="Q65" s="21"/>
    </row>
    <row r="66" spans="3:17" x14ac:dyDescent="0.25">
      <c r="C66" s="4"/>
      <c r="D66" s="20"/>
      <c r="E66" s="37"/>
      <c r="F66" s="98"/>
      <c r="G66" s="91">
        <f>-Bank_postings[[#This Row],[Payment amount]] + Bank_postings[[#This Row],[Receipt amount]]</f>
        <v>0</v>
      </c>
      <c r="H66" s="31" t="e" cm="1">
        <f t="array" ref="H66">INDEX(Payment_categorisations[Category], MATCH(TRUE, ISNUMBER(SEARCH(Payment_categorisations[Contains keywords], Bank_postings[[#This Row],[Narrative]])), 0))</f>
        <v>#N/A</v>
      </c>
      <c r="I66" s="31" t="e" cm="1">
        <f t="array" ref="I66">INDEX(Payment_categorisations[Sub-category], MATCH(TRUE, ISNUMBER(SEARCH(Payment_categorisations[Contains keywords], Bank_postings[[#This Row],[Narrative]])), 0))</f>
        <v>#N/A</v>
      </c>
      <c r="J66" s="20"/>
      <c r="K66" s="20"/>
      <c r="L66" s="31" t="e">
        <f>IF(Bank_postings[[#This Row],[Manual override category]] &lt;&gt; "", Bank_postings[[#This Row],[Manual override category]], Bank_postings[[#This Row],[Category]])</f>
        <v>#N/A</v>
      </c>
      <c r="M66" s="31" t="e">
        <f>IF(Bank_postings[[#This Row],[Manual override sub-category]] &lt;&gt; "", Bank_postings[[#This Row],[Manual override sub-category]], Bank_postings[[#This Row],[Sub-category]])</f>
        <v>#N/A</v>
      </c>
      <c r="O66" s="24"/>
      <c r="P66" s="20"/>
      <c r="Q66" s="21"/>
    </row>
    <row r="67" spans="3:17" x14ac:dyDescent="0.25">
      <c r="C67" s="4"/>
      <c r="D67" s="20"/>
      <c r="E67" s="37"/>
      <c r="F67" s="98"/>
      <c r="G67" s="91">
        <f>-Bank_postings[[#This Row],[Payment amount]] + Bank_postings[[#This Row],[Receipt amount]]</f>
        <v>0</v>
      </c>
      <c r="H67" s="31" t="e" cm="1">
        <f t="array" ref="H67">INDEX(Payment_categorisations[Category], MATCH(TRUE, ISNUMBER(SEARCH(Payment_categorisations[Contains keywords], Bank_postings[[#This Row],[Narrative]])), 0))</f>
        <v>#N/A</v>
      </c>
      <c r="I67" s="31" t="e" cm="1">
        <f t="array" ref="I67">INDEX(Payment_categorisations[Sub-category], MATCH(TRUE, ISNUMBER(SEARCH(Payment_categorisations[Contains keywords], Bank_postings[[#This Row],[Narrative]])), 0))</f>
        <v>#N/A</v>
      </c>
      <c r="J67" s="20"/>
      <c r="K67" s="20"/>
      <c r="L67" s="31" t="e">
        <f>IF(Bank_postings[[#This Row],[Manual override category]] &lt;&gt; "", Bank_postings[[#This Row],[Manual override category]], Bank_postings[[#This Row],[Category]])</f>
        <v>#N/A</v>
      </c>
      <c r="M67" s="31" t="e">
        <f>IF(Bank_postings[[#This Row],[Manual override sub-category]] &lt;&gt; "", Bank_postings[[#This Row],[Manual override sub-category]], Bank_postings[[#This Row],[Sub-category]])</f>
        <v>#N/A</v>
      </c>
      <c r="O67" s="24"/>
      <c r="P67" s="20"/>
      <c r="Q67" s="21"/>
    </row>
    <row r="68" spans="3:17" x14ac:dyDescent="0.25">
      <c r="C68" s="4"/>
      <c r="D68" s="20"/>
      <c r="E68" s="37"/>
      <c r="F68" s="98"/>
      <c r="G68" s="91">
        <f>-Bank_postings[[#This Row],[Payment amount]] + Bank_postings[[#This Row],[Receipt amount]]</f>
        <v>0</v>
      </c>
      <c r="H68" s="31" t="e" cm="1">
        <f t="array" ref="H68">INDEX(Payment_categorisations[Category], MATCH(TRUE, ISNUMBER(SEARCH(Payment_categorisations[Contains keywords], Bank_postings[[#This Row],[Narrative]])), 0))</f>
        <v>#N/A</v>
      </c>
      <c r="I68" s="31" t="e" cm="1">
        <f t="array" ref="I68">INDEX(Payment_categorisations[Sub-category], MATCH(TRUE, ISNUMBER(SEARCH(Payment_categorisations[Contains keywords], Bank_postings[[#This Row],[Narrative]])), 0))</f>
        <v>#N/A</v>
      </c>
      <c r="J68" s="20"/>
      <c r="K68" s="20"/>
      <c r="L68" s="31" t="e">
        <f>IF(Bank_postings[[#This Row],[Manual override category]] &lt;&gt; "", Bank_postings[[#This Row],[Manual override category]], Bank_postings[[#This Row],[Category]])</f>
        <v>#N/A</v>
      </c>
      <c r="M68" s="31" t="e">
        <f>IF(Bank_postings[[#This Row],[Manual override sub-category]] &lt;&gt; "", Bank_postings[[#This Row],[Manual override sub-category]], Bank_postings[[#This Row],[Sub-category]])</f>
        <v>#N/A</v>
      </c>
      <c r="O68" s="24"/>
      <c r="P68" s="20"/>
      <c r="Q68" s="21"/>
    </row>
    <row r="69" spans="3:17" x14ac:dyDescent="0.25">
      <c r="C69" s="4"/>
      <c r="D69" s="20"/>
      <c r="E69" s="37"/>
      <c r="F69" s="98"/>
      <c r="G69" s="91">
        <f>-Bank_postings[[#This Row],[Payment amount]] + Bank_postings[[#This Row],[Receipt amount]]</f>
        <v>0</v>
      </c>
      <c r="H69" s="31" t="e" cm="1">
        <f t="array" ref="H69">INDEX(Payment_categorisations[Category], MATCH(TRUE, ISNUMBER(SEARCH(Payment_categorisations[Contains keywords], Bank_postings[[#This Row],[Narrative]])), 0))</f>
        <v>#N/A</v>
      </c>
      <c r="I69" s="31" t="e" cm="1">
        <f t="array" ref="I69">INDEX(Payment_categorisations[Sub-category], MATCH(TRUE, ISNUMBER(SEARCH(Payment_categorisations[Contains keywords], Bank_postings[[#This Row],[Narrative]])), 0))</f>
        <v>#N/A</v>
      </c>
      <c r="J69" s="20"/>
      <c r="K69" s="20"/>
      <c r="L69" s="31" t="e">
        <f>IF(Bank_postings[[#This Row],[Manual override category]] &lt;&gt; "", Bank_postings[[#This Row],[Manual override category]], Bank_postings[[#This Row],[Category]])</f>
        <v>#N/A</v>
      </c>
      <c r="M69" s="31" t="e">
        <f>IF(Bank_postings[[#This Row],[Manual override sub-category]] &lt;&gt; "", Bank_postings[[#This Row],[Manual override sub-category]], Bank_postings[[#This Row],[Sub-category]])</f>
        <v>#N/A</v>
      </c>
      <c r="O69" s="24"/>
      <c r="P69" s="20"/>
      <c r="Q69" s="21"/>
    </row>
    <row r="70" spans="3:17" x14ac:dyDescent="0.25">
      <c r="C70" s="4"/>
      <c r="D70" s="20"/>
      <c r="E70" s="37"/>
      <c r="F70" s="98"/>
      <c r="G70" s="91">
        <f>-Bank_postings[[#This Row],[Payment amount]] + Bank_postings[[#This Row],[Receipt amount]]</f>
        <v>0</v>
      </c>
      <c r="H70" s="31" t="e" cm="1">
        <f t="array" ref="H70">INDEX(Payment_categorisations[Category], MATCH(TRUE, ISNUMBER(SEARCH(Payment_categorisations[Contains keywords], Bank_postings[[#This Row],[Narrative]])), 0))</f>
        <v>#N/A</v>
      </c>
      <c r="I70" s="31" t="e" cm="1">
        <f t="array" ref="I70">INDEX(Payment_categorisations[Sub-category], MATCH(TRUE, ISNUMBER(SEARCH(Payment_categorisations[Contains keywords], Bank_postings[[#This Row],[Narrative]])), 0))</f>
        <v>#N/A</v>
      </c>
      <c r="J70" s="20"/>
      <c r="K70" s="20"/>
      <c r="L70" s="31" t="e">
        <f>IF(Bank_postings[[#This Row],[Manual override category]] &lt;&gt; "", Bank_postings[[#This Row],[Manual override category]], Bank_postings[[#This Row],[Category]])</f>
        <v>#N/A</v>
      </c>
      <c r="M70" s="31" t="e">
        <f>IF(Bank_postings[[#This Row],[Manual override sub-category]] &lt;&gt; "", Bank_postings[[#This Row],[Manual override sub-category]], Bank_postings[[#This Row],[Sub-category]])</f>
        <v>#N/A</v>
      </c>
      <c r="O70" s="24"/>
      <c r="P70" s="20"/>
      <c r="Q70" s="21"/>
    </row>
    <row r="71" spans="3:17" x14ac:dyDescent="0.25">
      <c r="C71" s="4"/>
      <c r="D71" s="20"/>
      <c r="E71" s="37"/>
      <c r="F71" s="98"/>
      <c r="G71" s="91">
        <f>-Bank_postings[[#This Row],[Payment amount]] + Bank_postings[[#This Row],[Receipt amount]]</f>
        <v>0</v>
      </c>
      <c r="H71" s="31" t="e" cm="1">
        <f t="array" ref="H71">INDEX(Payment_categorisations[Category], MATCH(TRUE, ISNUMBER(SEARCH(Payment_categorisations[Contains keywords], Bank_postings[[#This Row],[Narrative]])), 0))</f>
        <v>#N/A</v>
      </c>
      <c r="I71" s="31" t="e" cm="1">
        <f t="array" ref="I71">INDEX(Payment_categorisations[Sub-category], MATCH(TRUE, ISNUMBER(SEARCH(Payment_categorisations[Contains keywords], Bank_postings[[#This Row],[Narrative]])), 0))</f>
        <v>#N/A</v>
      </c>
      <c r="J71" s="20"/>
      <c r="K71" s="20"/>
      <c r="L71" s="31" t="e">
        <f>IF(Bank_postings[[#This Row],[Manual override category]] &lt;&gt; "", Bank_postings[[#This Row],[Manual override category]], Bank_postings[[#This Row],[Category]])</f>
        <v>#N/A</v>
      </c>
      <c r="M71" s="31" t="e">
        <f>IF(Bank_postings[[#This Row],[Manual override sub-category]] &lt;&gt; "", Bank_postings[[#This Row],[Manual override sub-category]], Bank_postings[[#This Row],[Sub-category]])</f>
        <v>#N/A</v>
      </c>
      <c r="O71" s="24"/>
      <c r="P71" s="20"/>
      <c r="Q71" s="21"/>
    </row>
    <row r="72" spans="3:17" x14ac:dyDescent="0.25">
      <c r="C72" s="4"/>
      <c r="D72" s="20"/>
      <c r="E72" s="37"/>
      <c r="F72" s="98"/>
      <c r="G72" s="91">
        <f>-Bank_postings[[#This Row],[Payment amount]] + Bank_postings[[#This Row],[Receipt amount]]</f>
        <v>0</v>
      </c>
      <c r="H72" s="31" t="e" cm="1">
        <f t="array" ref="H72">INDEX(Payment_categorisations[Category], MATCH(TRUE, ISNUMBER(SEARCH(Payment_categorisations[Contains keywords], Bank_postings[[#This Row],[Narrative]])), 0))</f>
        <v>#N/A</v>
      </c>
      <c r="I72" s="31" t="e" cm="1">
        <f t="array" ref="I72">INDEX(Payment_categorisations[Sub-category], MATCH(TRUE, ISNUMBER(SEARCH(Payment_categorisations[Contains keywords], Bank_postings[[#This Row],[Narrative]])), 0))</f>
        <v>#N/A</v>
      </c>
      <c r="J72" s="20"/>
      <c r="K72" s="20"/>
      <c r="L72" s="31" t="e">
        <f>IF(Bank_postings[[#This Row],[Manual override category]] &lt;&gt; "", Bank_postings[[#This Row],[Manual override category]], Bank_postings[[#This Row],[Category]])</f>
        <v>#N/A</v>
      </c>
      <c r="M72" s="31" t="e">
        <f>IF(Bank_postings[[#This Row],[Manual override sub-category]] &lt;&gt; "", Bank_postings[[#This Row],[Manual override sub-category]], Bank_postings[[#This Row],[Sub-category]])</f>
        <v>#N/A</v>
      </c>
      <c r="O72" s="24"/>
      <c r="P72" s="20"/>
      <c r="Q72" s="21"/>
    </row>
    <row r="73" spans="3:17" x14ac:dyDescent="0.25">
      <c r="C73" s="4"/>
      <c r="D73" s="20"/>
      <c r="E73" s="37"/>
      <c r="F73" s="98"/>
      <c r="G73" s="91">
        <f>-Bank_postings[[#This Row],[Payment amount]] + Bank_postings[[#This Row],[Receipt amount]]</f>
        <v>0</v>
      </c>
      <c r="H73" s="31" t="e" cm="1">
        <f t="array" ref="H73">INDEX(Payment_categorisations[Category], MATCH(TRUE, ISNUMBER(SEARCH(Payment_categorisations[Contains keywords], Bank_postings[[#This Row],[Narrative]])), 0))</f>
        <v>#N/A</v>
      </c>
      <c r="I73" s="31" t="e" cm="1">
        <f t="array" ref="I73">INDEX(Payment_categorisations[Sub-category], MATCH(TRUE, ISNUMBER(SEARCH(Payment_categorisations[Contains keywords], Bank_postings[[#This Row],[Narrative]])), 0))</f>
        <v>#N/A</v>
      </c>
      <c r="J73" s="20"/>
      <c r="K73" s="20"/>
      <c r="L73" s="31" t="e">
        <f>IF(Bank_postings[[#This Row],[Manual override category]] &lt;&gt; "", Bank_postings[[#This Row],[Manual override category]], Bank_postings[[#This Row],[Category]])</f>
        <v>#N/A</v>
      </c>
      <c r="M73" s="31" t="e">
        <f>IF(Bank_postings[[#This Row],[Manual override sub-category]] &lt;&gt; "", Bank_postings[[#This Row],[Manual override sub-category]], Bank_postings[[#This Row],[Sub-category]])</f>
        <v>#N/A</v>
      </c>
      <c r="O73" s="24"/>
      <c r="P73" s="20"/>
      <c r="Q73" s="21"/>
    </row>
    <row r="74" spans="3:17" x14ac:dyDescent="0.25">
      <c r="C74" s="4"/>
      <c r="D74" s="20"/>
      <c r="E74" s="37"/>
      <c r="F74" s="98"/>
      <c r="G74" s="91">
        <f>-Bank_postings[[#This Row],[Payment amount]] + Bank_postings[[#This Row],[Receipt amount]]</f>
        <v>0</v>
      </c>
      <c r="H74" s="31" t="e" cm="1">
        <f t="array" ref="H74">INDEX(Payment_categorisations[Category], MATCH(TRUE, ISNUMBER(SEARCH(Payment_categorisations[Contains keywords], Bank_postings[[#This Row],[Narrative]])), 0))</f>
        <v>#N/A</v>
      </c>
      <c r="I74" s="31" t="e" cm="1">
        <f t="array" ref="I74">INDEX(Payment_categorisations[Sub-category], MATCH(TRUE, ISNUMBER(SEARCH(Payment_categorisations[Contains keywords], Bank_postings[[#This Row],[Narrative]])), 0))</f>
        <v>#N/A</v>
      </c>
      <c r="J74" s="20"/>
      <c r="K74" s="20"/>
      <c r="L74" s="31" t="e">
        <f>IF(Bank_postings[[#This Row],[Manual override category]] &lt;&gt; "", Bank_postings[[#This Row],[Manual override category]], Bank_postings[[#This Row],[Category]])</f>
        <v>#N/A</v>
      </c>
      <c r="M74" s="31" t="e">
        <f>IF(Bank_postings[[#This Row],[Manual override sub-category]] &lt;&gt; "", Bank_postings[[#This Row],[Manual override sub-category]], Bank_postings[[#This Row],[Sub-category]])</f>
        <v>#N/A</v>
      </c>
      <c r="O74" s="24"/>
      <c r="P74" s="20"/>
      <c r="Q74" s="21"/>
    </row>
    <row r="75" spans="3:17" x14ac:dyDescent="0.25">
      <c r="C75" s="4"/>
      <c r="D75" s="20"/>
      <c r="E75" s="37"/>
      <c r="F75" s="98"/>
      <c r="G75" s="91">
        <f>-Bank_postings[[#This Row],[Payment amount]] + Bank_postings[[#This Row],[Receipt amount]]</f>
        <v>0</v>
      </c>
      <c r="H75" s="31" t="e" cm="1">
        <f t="array" ref="H75">INDEX(Payment_categorisations[Category], MATCH(TRUE, ISNUMBER(SEARCH(Payment_categorisations[Contains keywords], Bank_postings[[#This Row],[Narrative]])), 0))</f>
        <v>#N/A</v>
      </c>
      <c r="I75" s="31" t="e" cm="1">
        <f t="array" ref="I75">INDEX(Payment_categorisations[Sub-category], MATCH(TRUE, ISNUMBER(SEARCH(Payment_categorisations[Contains keywords], Bank_postings[[#This Row],[Narrative]])), 0))</f>
        <v>#N/A</v>
      </c>
      <c r="J75" s="20"/>
      <c r="K75" s="20"/>
      <c r="L75" s="31" t="e">
        <f>IF(Bank_postings[[#This Row],[Manual override category]] &lt;&gt; "", Bank_postings[[#This Row],[Manual override category]], Bank_postings[[#This Row],[Category]])</f>
        <v>#N/A</v>
      </c>
      <c r="M75" s="31" t="e">
        <f>IF(Bank_postings[[#This Row],[Manual override sub-category]] &lt;&gt; "", Bank_postings[[#This Row],[Manual override sub-category]], Bank_postings[[#This Row],[Sub-category]])</f>
        <v>#N/A</v>
      </c>
      <c r="O75" s="24"/>
      <c r="P75" s="20"/>
      <c r="Q75" s="21"/>
    </row>
    <row r="76" spans="3:17" x14ac:dyDescent="0.25">
      <c r="C76" s="4"/>
      <c r="D76" s="20"/>
      <c r="E76" s="37"/>
      <c r="F76" s="98"/>
      <c r="G76" s="91">
        <f>-Bank_postings[[#This Row],[Payment amount]] + Bank_postings[[#This Row],[Receipt amount]]</f>
        <v>0</v>
      </c>
      <c r="H76" s="31" t="e" cm="1">
        <f t="array" ref="H76">INDEX(Payment_categorisations[Category], MATCH(TRUE, ISNUMBER(SEARCH(Payment_categorisations[Contains keywords], Bank_postings[[#This Row],[Narrative]])), 0))</f>
        <v>#N/A</v>
      </c>
      <c r="I76" s="31" t="e" cm="1">
        <f t="array" ref="I76">INDEX(Payment_categorisations[Sub-category], MATCH(TRUE, ISNUMBER(SEARCH(Payment_categorisations[Contains keywords], Bank_postings[[#This Row],[Narrative]])), 0))</f>
        <v>#N/A</v>
      </c>
      <c r="J76" s="20"/>
      <c r="K76" s="20"/>
      <c r="L76" s="31" t="e">
        <f>IF(Bank_postings[[#This Row],[Manual override category]] &lt;&gt; "", Bank_postings[[#This Row],[Manual override category]], Bank_postings[[#This Row],[Category]])</f>
        <v>#N/A</v>
      </c>
      <c r="M76" s="31" t="e">
        <f>IF(Bank_postings[[#This Row],[Manual override sub-category]] &lt;&gt; "", Bank_postings[[#This Row],[Manual override sub-category]], Bank_postings[[#This Row],[Sub-category]])</f>
        <v>#N/A</v>
      </c>
      <c r="O76" s="24"/>
      <c r="P76" s="20"/>
      <c r="Q76" s="21"/>
    </row>
    <row r="77" spans="3:17" x14ac:dyDescent="0.25">
      <c r="C77" s="4"/>
      <c r="D77" s="20"/>
      <c r="E77" s="37"/>
      <c r="F77" s="98"/>
      <c r="G77" s="91">
        <f>-Bank_postings[[#This Row],[Payment amount]] + Bank_postings[[#This Row],[Receipt amount]]</f>
        <v>0</v>
      </c>
      <c r="H77" s="31" t="e" cm="1">
        <f t="array" ref="H77">INDEX(Payment_categorisations[Category], MATCH(TRUE, ISNUMBER(SEARCH(Payment_categorisations[Contains keywords], Bank_postings[[#This Row],[Narrative]])), 0))</f>
        <v>#N/A</v>
      </c>
      <c r="I77" s="31" t="e" cm="1">
        <f t="array" ref="I77">INDEX(Payment_categorisations[Sub-category], MATCH(TRUE, ISNUMBER(SEARCH(Payment_categorisations[Contains keywords], Bank_postings[[#This Row],[Narrative]])), 0))</f>
        <v>#N/A</v>
      </c>
      <c r="J77" s="20"/>
      <c r="K77" s="20"/>
      <c r="L77" s="31" t="e">
        <f>IF(Bank_postings[[#This Row],[Manual override category]] &lt;&gt; "", Bank_postings[[#This Row],[Manual override category]], Bank_postings[[#This Row],[Category]])</f>
        <v>#N/A</v>
      </c>
      <c r="M77" s="31" t="e">
        <f>IF(Bank_postings[[#This Row],[Manual override sub-category]] &lt;&gt; "", Bank_postings[[#This Row],[Manual override sub-category]], Bank_postings[[#This Row],[Sub-category]])</f>
        <v>#N/A</v>
      </c>
      <c r="O77" s="24"/>
      <c r="P77" s="20"/>
      <c r="Q77" s="21"/>
    </row>
    <row r="78" spans="3:17" x14ac:dyDescent="0.25">
      <c r="C78" s="4"/>
      <c r="D78" s="20"/>
      <c r="E78" s="37"/>
      <c r="F78" s="98"/>
      <c r="G78" s="91">
        <f>-Bank_postings[[#This Row],[Payment amount]] + Bank_postings[[#This Row],[Receipt amount]]</f>
        <v>0</v>
      </c>
      <c r="H78" s="31" t="e" cm="1">
        <f t="array" ref="H78">INDEX(Payment_categorisations[Category], MATCH(TRUE, ISNUMBER(SEARCH(Payment_categorisations[Contains keywords], Bank_postings[[#This Row],[Narrative]])), 0))</f>
        <v>#N/A</v>
      </c>
      <c r="I78" s="31" t="e" cm="1">
        <f t="array" ref="I78">INDEX(Payment_categorisations[Sub-category], MATCH(TRUE, ISNUMBER(SEARCH(Payment_categorisations[Contains keywords], Bank_postings[[#This Row],[Narrative]])), 0))</f>
        <v>#N/A</v>
      </c>
      <c r="J78" s="20"/>
      <c r="K78" s="20"/>
      <c r="L78" s="31" t="e">
        <f>IF(Bank_postings[[#This Row],[Manual override category]] &lt;&gt; "", Bank_postings[[#This Row],[Manual override category]], Bank_postings[[#This Row],[Category]])</f>
        <v>#N/A</v>
      </c>
      <c r="M78" s="31" t="e">
        <f>IF(Bank_postings[[#This Row],[Manual override sub-category]] &lt;&gt; "", Bank_postings[[#This Row],[Manual override sub-category]], Bank_postings[[#This Row],[Sub-category]])</f>
        <v>#N/A</v>
      </c>
      <c r="O78" s="24"/>
      <c r="P78" s="20"/>
      <c r="Q78" s="21"/>
    </row>
    <row r="79" spans="3:17" x14ac:dyDescent="0.25">
      <c r="C79" s="4"/>
      <c r="D79" s="20"/>
      <c r="E79" s="37"/>
      <c r="F79" s="98"/>
      <c r="G79" s="91">
        <f>-Bank_postings[[#This Row],[Payment amount]] + Bank_postings[[#This Row],[Receipt amount]]</f>
        <v>0</v>
      </c>
      <c r="H79" s="31" t="e" cm="1">
        <f t="array" ref="H79">INDEX(Payment_categorisations[Category], MATCH(TRUE, ISNUMBER(SEARCH(Payment_categorisations[Contains keywords], Bank_postings[[#This Row],[Narrative]])), 0))</f>
        <v>#N/A</v>
      </c>
      <c r="I79" s="31" t="e" cm="1">
        <f t="array" ref="I79">INDEX(Payment_categorisations[Sub-category], MATCH(TRUE, ISNUMBER(SEARCH(Payment_categorisations[Contains keywords], Bank_postings[[#This Row],[Narrative]])), 0))</f>
        <v>#N/A</v>
      </c>
      <c r="J79" s="20"/>
      <c r="K79" s="20"/>
      <c r="L79" s="31" t="e">
        <f>IF(Bank_postings[[#This Row],[Manual override category]] &lt;&gt; "", Bank_postings[[#This Row],[Manual override category]], Bank_postings[[#This Row],[Category]])</f>
        <v>#N/A</v>
      </c>
      <c r="M79" s="31" t="e">
        <f>IF(Bank_postings[[#This Row],[Manual override sub-category]] &lt;&gt; "", Bank_postings[[#This Row],[Manual override sub-category]], Bank_postings[[#This Row],[Sub-category]])</f>
        <v>#N/A</v>
      </c>
      <c r="O79" s="24"/>
      <c r="P79" s="20"/>
      <c r="Q79" s="21"/>
    </row>
    <row r="80" spans="3:17" x14ac:dyDescent="0.25">
      <c r="C80" s="4"/>
      <c r="D80" s="20"/>
      <c r="E80" s="37"/>
      <c r="F80" s="98"/>
      <c r="G80" s="91">
        <f>-Bank_postings[[#This Row],[Payment amount]] + Bank_postings[[#This Row],[Receipt amount]]</f>
        <v>0</v>
      </c>
      <c r="H80" s="31" t="e" cm="1">
        <f t="array" ref="H80">INDEX(Payment_categorisations[Category], MATCH(TRUE, ISNUMBER(SEARCH(Payment_categorisations[Contains keywords], Bank_postings[[#This Row],[Narrative]])), 0))</f>
        <v>#N/A</v>
      </c>
      <c r="I80" s="31" t="e" cm="1">
        <f t="array" ref="I80">INDEX(Payment_categorisations[Sub-category], MATCH(TRUE, ISNUMBER(SEARCH(Payment_categorisations[Contains keywords], Bank_postings[[#This Row],[Narrative]])), 0))</f>
        <v>#N/A</v>
      </c>
      <c r="J80" s="20"/>
      <c r="K80" s="20"/>
      <c r="L80" s="31" t="e">
        <f>IF(Bank_postings[[#This Row],[Manual override category]] &lt;&gt; "", Bank_postings[[#This Row],[Manual override category]], Bank_postings[[#This Row],[Category]])</f>
        <v>#N/A</v>
      </c>
      <c r="M80" s="31" t="e">
        <f>IF(Bank_postings[[#This Row],[Manual override sub-category]] &lt;&gt; "", Bank_postings[[#This Row],[Manual override sub-category]], Bank_postings[[#This Row],[Sub-category]])</f>
        <v>#N/A</v>
      </c>
      <c r="O80" s="24"/>
      <c r="P80" s="20"/>
      <c r="Q80" s="21"/>
    </row>
    <row r="81" spans="3:17" x14ac:dyDescent="0.25">
      <c r="C81" s="4"/>
      <c r="D81" s="20"/>
      <c r="E81" s="37"/>
      <c r="F81" s="98"/>
      <c r="G81" s="91">
        <f>-Bank_postings[[#This Row],[Payment amount]] + Bank_postings[[#This Row],[Receipt amount]]</f>
        <v>0</v>
      </c>
      <c r="H81" s="31" t="e" cm="1">
        <f t="array" ref="H81">INDEX(Payment_categorisations[Category], MATCH(TRUE, ISNUMBER(SEARCH(Payment_categorisations[Contains keywords], Bank_postings[[#This Row],[Narrative]])), 0))</f>
        <v>#N/A</v>
      </c>
      <c r="I81" s="31" t="e" cm="1">
        <f t="array" ref="I81">INDEX(Payment_categorisations[Sub-category], MATCH(TRUE, ISNUMBER(SEARCH(Payment_categorisations[Contains keywords], Bank_postings[[#This Row],[Narrative]])), 0))</f>
        <v>#N/A</v>
      </c>
      <c r="J81" s="20"/>
      <c r="K81" s="20"/>
      <c r="L81" s="31" t="e">
        <f>IF(Bank_postings[[#This Row],[Manual override category]] &lt;&gt; "", Bank_postings[[#This Row],[Manual override category]], Bank_postings[[#This Row],[Category]])</f>
        <v>#N/A</v>
      </c>
      <c r="M81" s="31" t="e">
        <f>IF(Bank_postings[[#This Row],[Manual override sub-category]] &lt;&gt; "", Bank_postings[[#This Row],[Manual override sub-category]], Bank_postings[[#This Row],[Sub-category]])</f>
        <v>#N/A</v>
      </c>
      <c r="O81" s="24"/>
      <c r="P81" s="20"/>
      <c r="Q81" s="21"/>
    </row>
    <row r="82" spans="3:17" x14ac:dyDescent="0.25">
      <c r="C82" s="4"/>
      <c r="D82" s="20"/>
      <c r="E82" s="37"/>
      <c r="F82" s="98"/>
      <c r="G82" s="91">
        <f>-Bank_postings[[#This Row],[Payment amount]] + Bank_postings[[#This Row],[Receipt amount]]</f>
        <v>0</v>
      </c>
      <c r="H82" s="31" t="e" cm="1">
        <f t="array" ref="H82">INDEX(Payment_categorisations[Category], MATCH(TRUE, ISNUMBER(SEARCH(Payment_categorisations[Contains keywords], Bank_postings[[#This Row],[Narrative]])), 0))</f>
        <v>#N/A</v>
      </c>
      <c r="I82" s="31" t="e" cm="1">
        <f t="array" ref="I82">INDEX(Payment_categorisations[Sub-category], MATCH(TRUE, ISNUMBER(SEARCH(Payment_categorisations[Contains keywords], Bank_postings[[#This Row],[Narrative]])), 0))</f>
        <v>#N/A</v>
      </c>
      <c r="J82" s="20"/>
      <c r="K82" s="20"/>
      <c r="L82" s="31" t="e">
        <f>IF(Bank_postings[[#This Row],[Manual override category]] &lt;&gt; "", Bank_postings[[#This Row],[Manual override category]], Bank_postings[[#This Row],[Category]])</f>
        <v>#N/A</v>
      </c>
      <c r="M82" s="31" t="e">
        <f>IF(Bank_postings[[#This Row],[Manual override sub-category]] &lt;&gt; "", Bank_postings[[#This Row],[Manual override sub-category]], Bank_postings[[#This Row],[Sub-category]])</f>
        <v>#N/A</v>
      </c>
      <c r="O82" s="24"/>
      <c r="P82" s="20"/>
      <c r="Q82" s="21"/>
    </row>
    <row r="83" spans="3:17" x14ac:dyDescent="0.25">
      <c r="C83" s="4"/>
      <c r="D83" s="20"/>
      <c r="E83" s="37"/>
      <c r="F83" s="98"/>
      <c r="G83" s="91">
        <f>-Bank_postings[[#This Row],[Payment amount]] + Bank_postings[[#This Row],[Receipt amount]]</f>
        <v>0</v>
      </c>
      <c r="H83" s="31" t="e" cm="1">
        <f t="array" ref="H83">INDEX(Payment_categorisations[Category], MATCH(TRUE, ISNUMBER(SEARCH(Payment_categorisations[Contains keywords], Bank_postings[[#This Row],[Narrative]])), 0))</f>
        <v>#N/A</v>
      </c>
      <c r="I83" s="31" t="e" cm="1">
        <f t="array" ref="I83">INDEX(Payment_categorisations[Sub-category], MATCH(TRUE, ISNUMBER(SEARCH(Payment_categorisations[Contains keywords], Bank_postings[[#This Row],[Narrative]])), 0))</f>
        <v>#N/A</v>
      </c>
      <c r="J83" s="20"/>
      <c r="K83" s="20"/>
      <c r="L83" s="31" t="e">
        <f>IF(Bank_postings[[#This Row],[Manual override category]] &lt;&gt; "", Bank_postings[[#This Row],[Manual override category]], Bank_postings[[#This Row],[Category]])</f>
        <v>#N/A</v>
      </c>
      <c r="M83" s="31" t="e">
        <f>IF(Bank_postings[[#This Row],[Manual override sub-category]] &lt;&gt; "", Bank_postings[[#This Row],[Manual override sub-category]], Bank_postings[[#This Row],[Sub-category]])</f>
        <v>#N/A</v>
      </c>
      <c r="O83" s="24"/>
      <c r="P83" s="20"/>
      <c r="Q83" s="21"/>
    </row>
    <row r="84" spans="3:17" x14ac:dyDescent="0.25">
      <c r="C84" s="4"/>
      <c r="D84" s="20"/>
      <c r="E84" s="37"/>
      <c r="F84" s="98"/>
      <c r="G84" s="91">
        <f>-Bank_postings[[#This Row],[Payment amount]] + Bank_postings[[#This Row],[Receipt amount]]</f>
        <v>0</v>
      </c>
      <c r="H84" s="31" t="e" cm="1">
        <f t="array" ref="H84">INDEX(Payment_categorisations[Category], MATCH(TRUE, ISNUMBER(SEARCH(Payment_categorisations[Contains keywords], Bank_postings[[#This Row],[Narrative]])), 0))</f>
        <v>#N/A</v>
      </c>
      <c r="I84" s="31" t="e" cm="1">
        <f t="array" ref="I84">INDEX(Payment_categorisations[Sub-category], MATCH(TRUE, ISNUMBER(SEARCH(Payment_categorisations[Contains keywords], Bank_postings[[#This Row],[Narrative]])), 0))</f>
        <v>#N/A</v>
      </c>
      <c r="J84" s="20"/>
      <c r="K84" s="20"/>
      <c r="L84" s="31" t="e">
        <f>IF(Bank_postings[[#This Row],[Manual override category]] &lt;&gt; "", Bank_postings[[#This Row],[Manual override category]], Bank_postings[[#This Row],[Category]])</f>
        <v>#N/A</v>
      </c>
      <c r="M84" s="31" t="e">
        <f>IF(Bank_postings[[#This Row],[Manual override sub-category]] &lt;&gt; "", Bank_postings[[#This Row],[Manual override sub-category]], Bank_postings[[#This Row],[Sub-category]])</f>
        <v>#N/A</v>
      </c>
      <c r="O84" s="24"/>
      <c r="P84" s="20"/>
      <c r="Q84" s="21"/>
    </row>
    <row r="85" spans="3:17" x14ac:dyDescent="0.25">
      <c r="C85" s="4"/>
      <c r="D85" s="20"/>
      <c r="E85" s="37"/>
      <c r="F85" s="98"/>
      <c r="G85" s="91">
        <f>-Bank_postings[[#This Row],[Payment amount]] + Bank_postings[[#This Row],[Receipt amount]]</f>
        <v>0</v>
      </c>
      <c r="H85" s="31" t="e" cm="1">
        <f t="array" ref="H85">INDEX(Payment_categorisations[Category], MATCH(TRUE, ISNUMBER(SEARCH(Payment_categorisations[Contains keywords], Bank_postings[[#This Row],[Narrative]])), 0))</f>
        <v>#N/A</v>
      </c>
      <c r="I85" s="31" t="e" cm="1">
        <f t="array" ref="I85">INDEX(Payment_categorisations[Sub-category], MATCH(TRUE, ISNUMBER(SEARCH(Payment_categorisations[Contains keywords], Bank_postings[[#This Row],[Narrative]])), 0))</f>
        <v>#N/A</v>
      </c>
      <c r="J85" s="20"/>
      <c r="K85" s="20"/>
      <c r="L85" s="31" t="e">
        <f>IF(Bank_postings[[#This Row],[Manual override category]] &lt;&gt; "", Bank_postings[[#This Row],[Manual override category]], Bank_postings[[#This Row],[Category]])</f>
        <v>#N/A</v>
      </c>
      <c r="M85" s="31" t="e">
        <f>IF(Bank_postings[[#This Row],[Manual override sub-category]] &lt;&gt; "", Bank_postings[[#This Row],[Manual override sub-category]], Bank_postings[[#This Row],[Sub-category]])</f>
        <v>#N/A</v>
      </c>
      <c r="O85" s="24"/>
      <c r="P85" s="20"/>
      <c r="Q85" s="21"/>
    </row>
    <row r="86" spans="3:17" x14ac:dyDescent="0.25">
      <c r="C86" s="4"/>
      <c r="D86" s="20"/>
      <c r="E86" s="37"/>
      <c r="F86" s="98"/>
      <c r="G86" s="91">
        <f>-Bank_postings[[#This Row],[Payment amount]] + Bank_postings[[#This Row],[Receipt amount]]</f>
        <v>0</v>
      </c>
      <c r="H86" s="31" t="e" cm="1">
        <f t="array" ref="H86">INDEX(Payment_categorisations[Category], MATCH(TRUE, ISNUMBER(SEARCH(Payment_categorisations[Contains keywords], Bank_postings[[#This Row],[Narrative]])), 0))</f>
        <v>#N/A</v>
      </c>
      <c r="I86" s="31" t="e" cm="1">
        <f t="array" ref="I86">INDEX(Payment_categorisations[Sub-category], MATCH(TRUE, ISNUMBER(SEARCH(Payment_categorisations[Contains keywords], Bank_postings[[#This Row],[Narrative]])), 0))</f>
        <v>#N/A</v>
      </c>
      <c r="J86" s="20"/>
      <c r="K86" s="20"/>
      <c r="L86" s="31" t="e">
        <f>IF(Bank_postings[[#This Row],[Manual override category]] &lt;&gt; "", Bank_postings[[#This Row],[Manual override category]], Bank_postings[[#This Row],[Category]])</f>
        <v>#N/A</v>
      </c>
      <c r="M86" s="31" t="e">
        <f>IF(Bank_postings[[#This Row],[Manual override sub-category]] &lt;&gt; "", Bank_postings[[#This Row],[Manual override sub-category]], Bank_postings[[#This Row],[Sub-category]])</f>
        <v>#N/A</v>
      </c>
      <c r="O86" s="24"/>
      <c r="P86" s="20"/>
      <c r="Q86" s="21"/>
    </row>
    <row r="87" spans="3:17" x14ac:dyDescent="0.25">
      <c r="C87" s="4"/>
      <c r="D87" s="20"/>
      <c r="E87" s="37"/>
      <c r="F87" s="98"/>
      <c r="G87" s="91">
        <f>-Bank_postings[[#This Row],[Payment amount]] + Bank_postings[[#This Row],[Receipt amount]]</f>
        <v>0</v>
      </c>
      <c r="H87" s="31" t="e" cm="1">
        <f t="array" ref="H87">INDEX(Payment_categorisations[Category], MATCH(TRUE, ISNUMBER(SEARCH(Payment_categorisations[Contains keywords], Bank_postings[[#This Row],[Narrative]])), 0))</f>
        <v>#N/A</v>
      </c>
      <c r="I87" s="31" t="e" cm="1">
        <f t="array" ref="I87">INDEX(Payment_categorisations[Sub-category], MATCH(TRUE, ISNUMBER(SEARCH(Payment_categorisations[Contains keywords], Bank_postings[[#This Row],[Narrative]])), 0))</f>
        <v>#N/A</v>
      </c>
      <c r="J87" s="20"/>
      <c r="K87" s="20"/>
      <c r="L87" s="31" t="e">
        <f>IF(Bank_postings[[#This Row],[Manual override category]] &lt;&gt; "", Bank_postings[[#This Row],[Manual override category]], Bank_postings[[#This Row],[Category]])</f>
        <v>#N/A</v>
      </c>
      <c r="M87" s="31" t="e">
        <f>IF(Bank_postings[[#This Row],[Manual override sub-category]] &lt;&gt; "", Bank_postings[[#This Row],[Manual override sub-category]], Bank_postings[[#This Row],[Sub-category]])</f>
        <v>#N/A</v>
      </c>
      <c r="O87" s="24"/>
      <c r="P87" s="20"/>
      <c r="Q87" s="21"/>
    </row>
    <row r="88" spans="3:17" x14ac:dyDescent="0.25">
      <c r="C88" s="4"/>
      <c r="D88" s="20"/>
      <c r="E88" s="37"/>
      <c r="F88" s="98"/>
      <c r="G88" s="91">
        <f>-Bank_postings[[#This Row],[Payment amount]] + Bank_postings[[#This Row],[Receipt amount]]</f>
        <v>0</v>
      </c>
      <c r="H88" s="31" t="e" cm="1">
        <f t="array" ref="H88">INDEX(Payment_categorisations[Category], MATCH(TRUE, ISNUMBER(SEARCH(Payment_categorisations[Contains keywords], Bank_postings[[#This Row],[Narrative]])), 0))</f>
        <v>#N/A</v>
      </c>
      <c r="I88" s="31" t="e" cm="1">
        <f t="array" ref="I88">INDEX(Payment_categorisations[Sub-category], MATCH(TRUE, ISNUMBER(SEARCH(Payment_categorisations[Contains keywords], Bank_postings[[#This Row],[Narrative]])), 0))</f>
        <v>#N/A</v>
      </c>
      <c r="J88" s="20"/>
      <c r="K88" s="20"/>
      <c r="L88" s="31" t="e">
        <f>IF(Bank_postings[[#This Row],[Manual override category]] &lt;&gt; "", Bank_postings[[#This Row],[Manual override category]], Bank_postings[[#This Row],[Category]])</f>
        <v>#N/A</v>
      </c>
      <c r="M88" s="31" t="e">
        <f>IF(Bank_postings[[#This Row],[Manual override sub-category]] &lt;&gt; "", Bank_postings[[#This Row],[Manual override sub-category]], Bank_postings[[#This Row],[Sub-category]])</f>
        <v>#N/A</v>
      </c>
      <c r="O88" s="24"/>
      <c r="P88" s="20"/>
      <c r="Q88" s="21"/>
    </row>
    <row r="89" spans="3:17" x14ac:dyDescent="0.25">
      <c r="C89" s="4"/>
      <c r="D89" s="20"/>
      <c r="E89" s="37"/>
      <c r="F89" s="98"/>
      <c r="G89" s="91">
        <f>-Bank_postings[[#This Row],[Payment amount]] + Bank_postings[[#This Row],[Receipt amount]]</f>
        <v>0</v>
      </c>
      <c r="H89" s="31" t="e" cm="1">
        <f t="array" ref="H89">INDEX(Payment_categorisations[Category], MATCH(TRUE, ISNUMBER(SEARCH(Payment_categorisations[Contains keywords], Bank_postings[[#This Row],[Narrative]])), 0))</f>
        <v>#N/A</v>
      </c>
      <c r="I89" s="31" t="e" cm="1">
        <f t="array" ref="I89">INDEX(Payment_categorisations[Sub-category], MATCH(TRUE, ISNUMBER(SEARCH(Payment_categorisations[Contains keywords], Bank_postings[[#This Row],[Narrative]])), 0))</f>
        <v>#N/A</v>
      </c>
      <c r="J89" s="20"/>
      <c r="K89" s="20"/>
      <c r="L89" s="31" t="e">
        <f>IF(Bank_postings[[#This Row],[Manual override category]] &lt;&gt; "", Bank_postings[[#This Row],[Manual override category]], Bank_postings[[#This Row],[Category]])</f>
        <v>#N/A</v>
      </c>
      <c r="M89" s="31" t="e">
        <f>IF(Bank_postings[[#This Row],[Manual override sub-category]] &lt;&gt; "", Bank_postings[[#This Row],[Manual override sub-category]], Bank_postings[[#This Row],[Sub-category]])</f>
        <v>#N/A</v>
      </c>
      <c r="O89" s="24"/>
      <c r="P89" s="20"/>
      <c r="Q89" s="21"/>
    </row>
    <row r="90" spans="3:17" x14ac:dyDescent="0.25">
      <c r="C90" s="4"/>
      <c r="D90" s="20"/>
      <c r="E90" s="37"/>
      <c r="F90" s="98"/>
      <c r="G90" s="91">
        <f>-Bank_postings[[#This Row],[Payment amount]] + Bank_postings[[#This Row],[Receipt amount]]</f>
        <v>0</v>
      </c>
      <c r="H90" s="31" t="e" cm="1">
        <f t="array" ref="H90">INDEX(Payment_categorisations[Category], MATCH(TRUE, ISNUMBER(SEARCH(Payment_categorisations[Contains keywords], Bank_postings[[#This Row],[Narrative]])), 0))</f>
        <v>#N/A</v>
      </c>
      <c r="I90" s="31" t="e" cm="1">
        <f t="array" ref="I90">INDEX(Payment_categorisations[Sub-category], MATCH(TRUE, ISNUMBER(SEARCH(Payment_categorisations[Contains keywords], Bank_postings[[#This Row],[Narrative]])), 0))</f>
        <v>#N/A</v>
      </c>
      <c r="J90" s="20"/>
      <c r="K90" s="20"/>
      <c r="L90" s="31" t="e">
        <f>IF(Bank_postings[[#This Row],[Manual override category]] &lt;&gt; "", Bank_postings[[#This Row],[Manual override category]], Bank_postings[[#This Row],[Category]])</f>
        <v>#N/A</v>
      </c>
      <c r="M90" s="31" t="e">
        <f>IF(Bank_postings[[#This Row],[Manual override sub-category]] &lt;&gt; "", Bank_postings[[#This Row],[Manual override sub-category]], Bank_postings[[#This Row],[Sub-category]])</f>
        <v>#N/A</v>
      </c>
      <c r="O90" s="24"/>
      <c r="P90" s="20"/>
      <c r="Q90" s="21"/>
    </row>
    <row r="91" spans="3:17" x14ac:dyDescent="0.25">
      <c r="C91" s="4"/>
      <c r="D91" s="20"/>
      <c r="E91" s="37"/>
      <c r="F91" s="98"/>
      <c r="G91" s="91">
        <f>-Bank_postings[[#This Row],[Payment amount]] + Bank_postings[[#This Row],[Receipt amount]]</f>
        <v>0</v>
      </c>
      <c r="H91" s="31" t="e" cm="1">
        <f t="array" ref="H91">INDEX(Payment_categorisations[Category], MATCH(TRUE, ISNUMBER(SEARCH(Payment_categorisations[Contains keywords], Bank_postings[[#This Row],[Narrative]])), 0))</f>
        <v>#N/A</v>
      </c>
      <c r="I91" s="31" t="e" cm="1">
        <f t="array" ref="I91">INDEX(Payment_categorisations[Sub-category], MATCH(TRUE, ISNUMBER(SEARCH(Payment_categorisations[Contains keywords], Bank_postings[[#This Row],[Narrative]])), 0))</f>
        <v>#N/A</v>
      </c>
      <c r="J91" s="20"/>
      <c r="K91" s="20"/>
      <c r="L91" s="31" t="e">
        <f>IF(Bank_postings[[#This Row],[Manual override category]] &lt;&gt; "", Bank_postings[[#This Row],[Manual override category]], Bank_postings[[#This Row],[Category]])</f>
        <v>#N/A</v>
      </c>
      <c r="M91" s="31" t="e">
        <f>IF(Bank_postings[[#This Row],[Manual override sub-category]] &lt;&gt; "", Bank_postings[[#This Row],[Manual override sub-category]], Bank_postings[[#This Row],[Sub-category]])</f>
        <v>#N/A</v>
      </c>
      <c r="O91" s="24"/>
      <c r="P91" s="20"/>
      <c r="Q91" s="21"/>
    </row>
    <row r="92" spans="3:17" x14ac:dyDescent="0.25">
      <c r="C92" s="4"/>
      <c r="D92" s="20"/>
      <c r="E92" s="37"/>
      <c r="F92" s="98"/>
      <c r="G92" s="91">
        <f>-Bank_postings[[#This Row],[Payment amount]] + Bank_postings[[#This Row],[Receipt amount]]</f>
        <v>0</v>
      </c>
      <c r="H92" s="31" t="e" cm="1">
        <f t="array" ref="H92">INDEX(Payment_categorisations[Category], MATCH(TRUE, ISNUMBER(SEARCH(Payment_categorisations[Contains keywords], Bank_postings[[#This Row],[Narrative]])), 0))</f>
        <v>#N/A</v>
      </c>
      <c r="I92" s="31" t="e" cm="1">
        <f t="array" ref="I92">INDEX(Payment_categorisations[Sub-category], MATCH(TRUE, ISNUMBER(SEARCH(Payment_categorisations[Contains keywords], Bank_postings[[#This Row],[Narrative]])), 0))</f>
        <v>#N/A</v>
      </c>
      <c r="J92" s="20"/>
      <c r="K92" s="20"/>
      <c r="L92" s="31" t="e">
        <f>IF(Bank_postings[[#This Row],[Manual override category]] &lt;&gt; "", Bank_postings[[#This Row],[Manual override category]], Bank_postings[[#This Row],[Category]])</f>
        <v>#N/A</v>
      </c>
      <c r="M92" s="31" t="e">
        <f>IF(Bank_postings[[#This Row],[Manual override sub-category]] &lt;&gt; "", Bank_postings[[#This Row],[Manual override sub-category]], Bank_postings[[#This Row],[Sub-category]])</f>
        <v>#N/A</v>
      </c>
      <c r="O92" s="24"/>
      <c r="P92" s="20"/>
      <c r="Q92" s="21"/>
    </row>
    <row r="93" spans="3:17" x14ac:dyDescent="0.25">
      <c r="C93" s="4"/>
      <c r="D93" s="20"/>
      <c r="E93" s="37"/>
      <c r="F93" s="98"/>
      <c r="G93" s="91">
        <f>-Bank_postings[[#This Row],[Payment amount]] + Bank_postings[[#This Row],[Receipt amount]]</f>
        <v>0</v>
      </c>
      <c r="H93" s="31" t="e" cm="1">
        <f t="array" ref="H93">INDEX(Payment_categorisations[Category], MATCH(TRUE, ISNUMBER(SEARCH(Payment_categorisations[Contains keywords], Bank_postings[[#This Row],[Narrative]])), 0))</f>
        <v>#N/A</v>
      </c>
      <c r="I93" s="31" t="e" cm="1">
        <f t="array" ref="I93">INDEX(Payment_categorisations[Sub-category], MATCH(TRUE, ISNUMBER(SEARCH(Payment_categorisations[Contains keywords], Bank_postings[[#This Row],[Narrative]])), 0))</f>
        <v>#N/A</v>
      </c>
      <c r="J93" s="20"/>
      <c r="K93" s="20"/>
      <c r="L93" s="31" t="e">
        <f>IF(Bank_postings[[#This Row],[Manual override category]] &lt;&gt; "", Bank_postings[[#This Row],[Manual override category]], Bank_postings[[#This Row],[Category]])</f>
        <v>#N/A</v>
      </c>
      <c r="M93" s="31" t="e">
        <f>IF(Bank_postings[[#This Row],[Manual override sub-category]] &lt;&gt; "", Bank_postings[[#This Row],[Manual override sub-category]], Bank_postings[[#This Row],[Sub-category]])</f>
        <v>#N/A</v>
      </c>
      <c r="O93" s="24"/>
      <c r="P93" s="20"/>
      <c r="Q93" s="21"/>
    </row>
    <row r="94" spans="3:17" x14ac:dyDescent="0.25">
      <c r="C94" s="4"/>
      <c r="D94" s="20"/>
      <c r="E94" s="37"/>
      <c r="F94" s="98"/>
      <c r="G94" s="91">
        <f>-Bank_postings[[#This Row],[Payment amount]] + Bank_postings[[#This Row],[Receipt amount]]</f>
        <v>0</v>
      </c>
      <c r="H94" s="31" t="e" cm="1">
        <f t="array" ref="H94">INDEX(Payment_categorisations[Category], MATCH(TRUE, ISNUMBER(SEARCH(Payment_categorisations[Contains keywords], Bank_postings[[#This Row],[Narrative]])), 0))</f>
        <v>#N/A</v>
      </c>
      <c r="I94" s="31" t="e" cm="1">
        <f t="array" ref="I94">INDEX(Payment_categorisations[Sub-category], MATCH(TRUE, ISNUMBER(SEARCH(Payment_categorisations[Contains keywords], Bank_postings[[#This Row],[Narrative]])), 0))</f>
        <v>#N/A</v>
      </c>
      <c r="J94" s="20"/>
      <c r="K94" s="20"/>
      <c r="L94" s="31" t="e">
        <f>IF(Bank_postings[[#This Row],[Manual override category]] &lt;&gt; "", Bank_postings[[#This Row],[Manual override category]], Bank_postings[[#This Row],[Category]])</f>
        <v>#N/A</v>
      </c>
      <c r="M94" s="31" t="e">
        <f>IF(Bank_postings[[#This Row],[Manual override sub-category]] &lt;&gt; "", Bank_postings[[#This Row],[Manual override sub-category]], Bank_postings[[#This Row],[Sub-category]])</f>
        <v>#N/A</v>
      </c>
      <c r="O94" s="24"/>
      <c r="P94" s="20"/>
      <c r="Q94" s="21"/>
    </row>
    <row r="95" spans="3:17" x14ac:dyDescent="0.25">
      <c r="C95" s="4"/>
      <c r="D95" s="20"/>
      <c r="E95" s="37"/>
      <c r="F95" s="98"/>
      <c r="G95" s="91">
        <f>-Bank_postings[[#This Row],[Payment amount]] + Bank_postings[[#This Row],[Receipt amount]]</f>
        <v>0</v>
      </c>
      <c r="H95" s="31" t="e" cm="1">
        <f t="array" ref="H95">INDEX(Payment_categorisations[Category], MATCH(TRUE, ISNUMBER(SEARCH(Payment_categorisations[Contains keywords], Bank_postings[[#This Row],[Narrative]])), 0))</f>
        <v>#N/A</v>
      </c>
      <c r="I95" s="31" t="e" cm="1">
        <f t="array" ref="I95">INDEX(Payment_categorisations[Sub-category], MATCH(TRUE, ISNUMBER(SEARCH(Payment_categorisations[Contains keywords], Bank_postings[[#This Row],[Narrative]])), 0))</f>
        <v>#N/A</v>
      </c>
      <c r="J95" s="20"/>
      <c r="K95" s="20"/>
      <c r="L95" s="31" t="e">
        <f>IF(Bank_postings[[#This Row],[Manual override category]] &lt;&gt; "", Bank_postings[[#This Row],[Manual override category]], Bank_postings[[#This Row],[Category]])</f>
        <v>#N/A</v>
      </c>
      <c r="M95" s="31" t="e">
        <f>IF(Bank_postings[[#This Row],[Manual override sub-category]] &lt;&gt; "", Bank_postings[[#This Row],[Manual override sub-category]], Bank_postings[[#This Row],[Sub-category]])</f>
        <v>#N/A</v>
      </c>
      <c r="O95" s="24"/>
      <c r="P95" s="20"/>
      <c r="Q95" s="21"/>
    </row>
    <row r="96" spans="3:17" x14ac:dyDescent="0.25">
      <c r="C96" s="4"/>
      <c r="D96" s="20"/>
      <c r="E96" s="37"/>
      <c r="F96" s="98"/>
      <c r="G96" s="91">
        <f>-Bank_postings[[#This Row],[Payment amount]] + Bank_postings[[#This Row],[Receipt amount]]</f>
        <v>0</v>
      </c>
      <c r="H96" s="31" t="e" cm="1">
        <f t="array" ref="H96">INDEX(Payment_categorisations[Category], MATCH(TRUE, ISNUMBER(SEARCH(Payment_categorisations[Contains keywords], Bank_postings[[#This Row],[Narrative]])), 0))</f>
        <v>#N/A</v>
      </c>
      <c r="I96" s="31" t="e" cm="1">
        <f t="array" ref="I96">INDEX(Payment_categorisations[Sub-category], MATCH(TRUE, ISNUMBER(SEARCH(Payment_categorisations[Contains keywords], Bank_postings[[#This Row],[Narrative]])), 0))</f>
        <v>#N/A</v>
      </c>
      <c r="J96" s="20"/>
      <c r="K96" s="20"/>
      <c r="L96" s="31" t="e">
        <f>IF(Bank_postings[[#This Row],[Manual override category]] &lt;&gt; "", Bank_postings[[#This Row],[Manual override category]], Bank_postings[[#This Row],[Category]])</f>
        <v>#N/A</v>
      </c>
      <c r="M96" s="31" t="e">
        <f>IF(Bank_postings[[#This Row],[Manual override sub-category]] &lt;&gt; "", Bank_postings[[#This Row],[Manual override sub-category]], Bank_postings[[#This Row],[Sub-category]])</f>
        <v>#N/A</v>
      </c>
      <c r="O96" s="24"/>
      <c r="P96" s="20"/>
      <c r="Q96" s="21"/>
    </row>
    <row r="97" spans="3:17" x14ac:dyDescent="0.25">
      <c r="C97" s="4"/>
      <c r="D97" s="20"/>
      <c r="E97" s="37"/>
      <c r="F97" s="98"/>
      <c r="G97" s="91">
        <f>-Bank_postings[[#This Row],[Payment amount]] + Bank_postings[[#This Row],[Receipt amount]]</f>
        <v>0</v>
      </c>
      <c r="H97" s="31" t="e" cm="1">
        <f t="array" ref="H97">INDEX(Payment_categorisations[Category], MATCH(TRUE, ISNUMBER(SEARCH(Payment_categorisations[Contains keywords], Bank_postings[[#This Row],[Narrative]])), 0))</f>
        <v>#N/A</v>
      </c>
      <c r="I97" s="31" t="e" cm="1">
        <f t="array" ref="I97">INDEX(Payment_categorisations[Sub-category], MATCH(TRUE, ISNUMBER(SEARCH(Payment_categorisations[Contains keywords], Bank_postings[[#This Row],[Narrative]])), 0))</f>
        <v>#N/A</v>
      </c>
      <c r="J97" s="20"/>
      <c r="K97" s="20"/>
      <c r="L97" s="31" t="e">
        <f>IF(Bank_postings[[#This Row],[Manual override category]] &lt;&gt; "", Bank_postings[[#This Row],[Manual override category]], Bank_postings[[#This Row],[Category]])</f>
        <v>#N/A</v>
      </c>
      <c r="M97" s="31" t="e">
        <f>IF(Bank_postings[[#This Row],[Manual override sub-category]] &lt;&gt; "", Bank_postings[[#This Row],[Manual override sub-category]], Bank_postings[[#This Row],[Sub-category]])</f>
        <v>#N/A</v>
      </c>
      <c r="O97" s="24"/>
      <c r="P97" s="20"/>
      <c r="Q97" s="21"/>
    </row>
    <row r="98" spans="3:17" x14ac:dyDescent="0.25">
      <c r="C98" s="4"/>
      <c r="D98" s="20"/>
      <c r="E98" s="37"/>
      <c r="F98" s="98"/>
      <c r="G98" s="91">
        <f>-Bank_postings[[#This Row],[Payment amount]] + Bank_postings[[#This Row],[Receipt amount]]</f>
        <v>0</v>
      </c>
      <c r="H98" s="31" t="e" cm="1">
        <f t="array" ref="H98">INDEX(Payment_categorisations[Category], MATCH(TRUE, ISNUMBER(SEARCH(Payment_categorisations[Contains keywords], Bank_postings[[#This Row],[Narrative]])), 0))</f>
        <v>#N/A</v>
      </c>
      <c r="I98" s="31" t="e" cm="1">
        <f t="array" ref="I98">INDEX(Payment_categorisations[Sub-category], MATCH(TRUE, ISNUMBER(SEARCH(Payment_categorisations[Contains keywords], Bank_postings[[#This Row],[Narrative]])), 0))</f>
        <v>#N/A</v>
      </c>
      <c r="J98" s="20"/>
      <c r="K98" s="20"/>
      <c r="L98" s="31" t="e">
        <f>IF(Bank_postings[[#This Row],[Manual override category]] &lt;&gt; "", Bank_postings[[#This Row],[Manual override category]], Bank_postings[[#This Row],[Category]])</f>
        <v>#N/A</v>
      </c>
      <c r="M98" s="31" t="e">
        <f>IF(Bank_postings[[#This Row],[Manual override sub-category]] &lt;&gt; "", Bank_postings[[#This Row],[Manual override sub-category]], Bank_postings[[#This Row],[Sub-category]])</f>
        <v>#N/A</v>
      </c>
      <c r="O98" s="24"/>
      <c r="P98" s="20"/>
      <c r="Q98" s="21"/>
    </row>
    <row r="99" spans="3:17" x14ac:dyDescent="0.25">
      <c r="C99" s="4"/>
      <c r="D99" s="20"/>
      <c r="E99" s="37"/>
      <c r="F99" s="98"/>
      <c r="G99" s="91">
        <f>-Bank_postings[[#This Row],[Payment amount]] + Bank_postings[[#This Row],[Receipt amount]]</f>
        <v>0</v>
      </c>
      <c r="H99" s="31" t="e" cm="1">
        <f t="array" ref="H99">INDEX(Payment_categorisations[Category], MATCH(TRUE, ISNUMBER(SEARCH(Payment_categorisations[Contains keywords], Bank_postings[[#This Row],[Narrative]])), 0))</f>
        <v>#N/A</v>
      </c>
      <c r="I99" s="31" t="e" cm="1">
        <f t="array" ref="I99">INDEX(Payment_categorisations[Sub-category], MATCH(TRUE, ISNUMBER(SEARCH(Payment_categorisations[Contains keywords], Bank_postings[[#This Row],[Narrative]])), 0))</f>
        <v>#N/A</v>
      </c>
      <c r="J99" s="20"/>
      <c r="K99" s="20"/>
      <c r="L99" s="31" t="e">
        <f>IF(Bank_postings[[#This Row],[Manual override category]] &lt;&gt; "", Bank_postings[[#This Row],[Manual override category]], Bank_postings[[#This Row],[Category]])</f>
        <v>#N/A</v>
      </c>
      <c r="M99" s="31" t="e">
        <f>IF(Bank_postings[[#This Row],[Manual override sub-category]] &lt;&gt; "", Bank_postings[[#This Row],[Manual override sub-category]], Bank_postings[[#This Row],[Sub-category]])</f>
        <v>#N/A</v>
      </c>
      <c r="O99" s="24"/>
      <c r="P99" s="20"/>
      <c r="Q99" s="21"/>
    </row>
    <row r="100" spans="3:17" x14ac:dyDescent="0.25">
      <c r="C100" s="4"/>
      <c r="D100" s="20"/>
      <c r="E100" s="37"/>
      <c r="F100" s="98"/>
      <c r="G100" s="91">
        <f>-Bank_postings[[#This Row],[Payment amount]] + Bank_postings[[#This Row],[Receipt amount]]</f>
        <v>0</v>
      </c>
      <c r="H100" s="31" t="e" cm="1">
        <f t="array" ref="H100">INDEX(Payment_categorisations[Category], MATCH(TRUE, ISNUMBER(SEARCH(Payment_categorisations[Contains keywords], Bank_postings[[#This Row],[Narrative]])), 0))</f>
        <v>#N/A</v>
      </c>
      <c r="I100" s="31" t="e" cm="1">
        <f t="array" ref="I100">INDEX(Payment_categorisations[Sub-category], MATCH(TRUE, ISNUMBER(SEARCH(Payment_categorisations[Contains keywords], Bank_postings[[#This Row],[Narrative]])), 0))</f>
        <v>#N/A</v>
      </c>
      <c r="J100" s="20"/>
      <c r="K100" s="20"/>
      <c r="L100" s="31" t="e">
        <f>IF(Bank_postings[[#This Row],[Manual override category]] &lt;&gt; "", Bank_postings[[#This Row],[Manual override category]], Bank_postings[[#This Row],[Category]])</f>
        <v>#N/A</v>
      </c>
      <c r="M100" s="31" t="e">
        <f>IF(Bank_postings[[#This Row],[Manual override sub-category]] &lt;&gt; "", Bank_postings[[#This Row],[Manual override sub-category]], Bank_postings[[#This Row],[Sub-category]])</f>
        <v>#N/A</v>
      </c>
      <c r="O100" s="24"/>
      <c r="P100" s="20"/>
      <c r="Q100" s="21"/>
    </row>
    <row r="101" spans="3:17" x14ac:dyDescent="0.25">
      <c r="C101" s="4"/>
      <c r="D101" s="20"/>
      <c r="E101" s="37"/>
      <c r="F101" s="98"/>
      <c r="G101" s="91">
        <f>-Bank_postings[[#This Row],[Payment amount]] + Bank_postings[[#This Row],[Receipt amount]]</f>
        <v>0</v>
      </c>
      <c r="H101" s="31" t="e" cm="1">
        <f t="array" ref="H101">INDEX(Payment_categorisations[Category], MATCH(TRUE, ISNUMBER(SEARCH(Payment_categorisations[Contains keywords], Bank_postings[[#This Row],[Narrative]])), 0))</f>
        <v>#N/A</v>
      </c>
      <c r="I101" s="31" t="e" cm="1">
        <f t="array" ref="I101">INDEX(Payment_categorisations[Sub-category], MATCH(TRUE, ISNUMBER(SEARCH(Payment_categorisations[Contains keywords], Bank_postings[[#This Row],[Narrative]])), 0))</f>
        <v>#N/A</v>
      </c>
      <c r="J101" s="20"/>
      <c r="K101" s="20"/>
      <c r="L101" s="31" t="e">
        <f>IF(Bank_postings[[#This Row],[Manual override category]] &lt;&gt; "", Bank_postings[[#This Row],[Manual override category]], Bank_postings[[#This Row],[Category]])</f>
        <v>#N/A</v>
      </c>
      <c r="M101" s="31" t="e">
        <f>IF(Bank_postings[[#This Row],[Manual override sub-category]] &lt;&gt; "", Bank_postings[[#This Row],[Manual override sub-category]], Bank_postings[[#This Row],[Sub-category]])</f>
        <v>#N/A</v>
      </c>
      <c r="O101" s="24"/>
      <c r="P101" s="20"/>
      <c r="Q101" s="21"/>
    </row>
    <row r="102" spans="3:17" x14ac:dyDescent="0.25">
      <c r="C102" s="4"/>
      <c r="D102" s="20"/>
      <c r="E102" s="37"/>
      <c r="F102" s="98"/>
      <c r="G102" s="91">
        <f>-Bank_postings[[#This Row],[Payment amount]] + Bank_postings[[#This Row],[Receipt amount]]</f>
        <v>0</v>
      </c>
      <c r="H102" s="31" t="e" cm="1">
        <f t="array" ref="H102">INDEX(Payment_categorisations[Category], MATCH(TRUE, ISNUMBER(SEARCH(Payment_categorisations[Contains keywords], Bank_postings[[#This Row],[Narrative]])), 0))</f>
        <v>#N/A</v>
      </c>
      <c r="I102" s="31" t="e" cm="1">
        <f t="array" ref="I102">INDEX(Payment_categorisations[Sub-category], MATCH(TRUE, ISNUMBER(SEARCH(Payment_categorisations[Contains keywords], Bank_postings[[#This Row],[Narrative]])), 0))</f>
        <v>#N/A</v>
      </c>
      <c r="J102" s="20"/>
      <c r="K102" s="20"/>
      <c r="L102" s="31" t="e">
        <f>IF(Bank_postings[[#This Row],[Manual override category]] &lt;&gt; "", Bank_postings[[#This Row],[Manual override category]], Bank_postings[[#This Row],[Category]])</f>
        <v>#N/A</v>
      </c>
      <c r="M102" s="31" t="e">
        <f>IF(Bank_postings[[#This Row],[Manual override sub-category]] &lt;&gt; "", Bank_postings[[#This Row],[Manual override sub-category]], Bank_postings[[#This Row],[Sub-category]])</f>
        <v>#N/A</v>
      </c>
      <c r="O102" s="24"/>
      <c r="P102" s="20"/>
      <c r="Q102" s="21"/>
    </row>
    <row r="103" spans="3:17" x14ac:dyDescent="0.25">
      <c r="C103" s="4"/>
      <c r="D103" s="20"/>
      <c r="E103" s="37"/>
      <c r="F103" s="98"/>
      <c r="G103" s="91">
        <f>-Bank_postings[[#This Row],[Payment amount]] + Bank_postings[[#This Row],[Receipt amount]]</f>
        <v>0</v>
      </c>
      <c r="H103" s="31" t="e" cm="1">
        <f t="array" ref="H103">INDEX(Payment_categorisations[Category], MATCH(TRUE, ISNUMBER(SEARCH(Payment_categorisations[Contains keywords], Bank_postings[[#This Row],[Narrative]])), 0))</f>
        <v>#N/A</v>
      </c>
      <c r="I103" s="31" t="e" cm="1">
        <f t="array" ref="I103">INDEX(Payment_categorisations[Sub-category], MATCH(TRUE, ISNUMBER(SEARCH(Payment_categorisations[Contains keywords], Bank_postings[[#This Row],[Narrative]])), 0))</f>
        <v>#N/A</v>
      </c>
      <c r="J103" s="20"/>
      <c r="K103" s="20"/>
      <c r="L103" s="31" t="e">
        <f>IF(Bank_postings[[#This Row],[Manual override category]] &lt;&gt; "", Bank_postings[[#This Row],[Manual override category]], Bank_postings[[#This Row],[Category]])</f>
        <v>#N/A</v>
      </c>
      <c r="M103" s="31" t="e">
        <f>IF(Bank_postings[[#This Row],[Manual override sub-category]] &lt;&gt; "", Bank_postings[[#This Row],[Manual override sub-category]], Bank_postings[[#This Row],[Sub-category]])</f>
        <v>#N/A</v>
      </c>
      <c r="O103" s="24"/>
      <c r="P103" s="20"/>
      <c r="Q103" s="21"/>
    </row>
    <row r="104" spans="3:17" x14ac:dyDescent="0.25">
      <c r="C104" s="4"/>
      <c r="D104" s="20"/>
      <c r="E104" s="37"/>
      <c r="F104" s="98"/>
      <c r="G104" s="91">
        <f>-Bank_postings[[#This Row],[Payment amount]] + Bank_postings[[#This Row],[Receipt amount]]</f>
        <v>0</v>
      </c>
      <c r="H104" s="31" t="e" cm="1">
        <f t="array" ref="H104">INDEX(Payment_categorisations[Category], MATCH(TRUE, ISNUMBER(SEARCH(Payment_categorisations[Contains keywords], Bank_postings[[#This Row],[Narrative]])), 0))</f>
        <v>#N/A</v>
      </c>
      <c r="I104" s="31" t="e" cm="1">
        <f t="array" ref="I104">INDEX(Payment_categorisations[Sub-category], MATCH(TRUE, ISNUMBER(SEARCH(Payment_categorisations[Contains keywords], Bank_postings[[#This Row],[Narrative]])), 0))</f>
        <v>#N/A</v>
      </c>
      <c r="J104" s="20"/>
      <c r="K104" s="20"/>
      <c r="L104" s="31" t="e">
        <f>IF(Bank_postings[[#This Row],[Manual override category]] &lt;&gt; "", Bank_postings[[#This Row],[Manual override category]], Bank_postings[[#This Row],[Category]])</f>
        <v>#N/A</v>
      </c>
      <c r="M104" s="31" t="e">
        <f>IF(Bank_postings[[#This Row],[Manual override sub-category]] &lt;&gt; "", Bank_postings[[#This Row],[Manual override sub-category]], Bank_postings[[#This Row],[Sub-category]])</f>
        <v>#N/A</v>
      </c>
      <c r="O104" s="24"/>
      <c r="P104" s="20"/>
      <c r="Q104" s="21"/>
    </row>
    <row r="105" spans="3:17" x14ac:dyDescent="0.25">
      <c r="C105" s="4"/>
      <c r="D105" s="20"/>
      <c r="E105" s="37"/>
      <c r="F105" s="98"/>
      <c r="G105" s="91">
        <f>-Bank_postings[[#This Row],[Payment amount]] + Bank_postings[[#This Row],[Receipt amount]]</f>
        <v>0</v>
      </c>
      <c r="H105" s="31" t="e" cm="1">
        <f t="array" ref="H105">INDEX(Payment_categorisations[Category], MATCH(TRUE, ISNUMBER(SEARCH(Payment_categorisations[Contains keywords], Bank_postings[[#This Row],[Narrative]])), 0))</f>
        <v>#N/A</v>
      </c>
      <c r="I105" s="31" t="e" cm="1">
        <f t="array" ref="I105">INDEX(Payment_categorisations[Sub-category], MATCH(TRUE, ISNUMBER(SEARCH(Payment_categorisations[Contains keywords], Bank_postings[[#This Row],[Narrative]])), 0))</f>
        <v>#N/A</v>
      </c>
      <c r="J105" s="20"/>
      <c r="K105" s="20"/>
      <c r="L105" s="31" t="e">
        <f>IF(Bank_postings[[#This Row],[Manual override category]] &lt;&gt; "", Bank_postings[[#This Row],[Manual override category]], Bank_postings[[#This Row],[Category]])</f>
        <v>#N/A</v>
      </c>
      <c r="M105" s="31" t="e">
        <f>IF(Bank_postings[[#This Row],[Manual override sub-category]] &lt;&gt; "", Bank_postings[[#This Row],[Manual override sub-category]], Bank_postings[[#This Row],[Sub-category]])</f>
        <v>#N/A</v>
      </c>
      <c r="O105" s="24"/>
      <c r="P105" s="20"/>
      <c r="Q105" s="21"/>
    </row>
    <row r="106" spans="3:17" x14ac:dyDescent="0.25">
      <c r="C106" s="4"/>
      <c r="D106" s="20"/>
      <c r="E106" s="37"/>
      <c r="F106" s="98"/>
      <c r="G106" s="91">
        <f>-Bank_postings[[#This Row],[Payment amount]] + Bank_postings[[#This Row],[Receipt amount]]</f>
        <v>0</v>
      </c>
      <c r="H106" s="31" t="e" cm="1">
        <f t="array" ref="H106">INDEX(Payment_categorisations[Category], MATCH(TRUE, ISNUMBER(SEARCH(Payment_categorisations[Contains keywords], Bank_postings[[#This Row],[Narrative]])), 0))</f>
        <v>#N/A</v>
      </c>
      <c r="I106" s="31" t="e" cm="1">
        <f t="array" ref="I106">INDEX(Payment_categorisations[Sub-category], MATCH(TRUE, ISNUMBER(SEARCH(Payment_categorisations[Contains keywords], Bank_postings[[#This Row],[Narrative]])), 0))</f>
        <v>#N/A</v>
      </c>
      <c r="J106" s="20"/>
      <c r="K106" s="20"/>
      <c r="L106" s="31" t="e">
        <f>IF(Bank_postings[[#This Row],[Manual override category]] &lt;&gt; "", Bank_postings[[#This Row],[Manual override category]], Bank_postings[[#This Row],[Category]])</f>
        <v>#N/A</v>
      </c>
      <c r="M106" s="31" t="e">
        <f>IF(Bank_postings[[#This Row],[Manual override sub-category]] &lt;&gt; "", Bank_postings[[#This Row],[Manual override sub-category]], Bank_postings[[#This Row],[Sub-category]])</f>
        <v>#N/A</v>
      </c>
      <c r="O106" s="24"/>
      <c r="P106" s="20"/>
      <c r="Q106" s="21"/>
    </row>
    <row r="107" spans="3:17" x14ac:dyDescent="0.25">
      <c r="C107" s="4"/>
      <c r="D107" s="20"/>
      <c r="E107" s="37"/>
      <c r="F107" s="98"/>
      <c r="G107" s="91">
        <f>-Bank_postings[[#This Row],[Payment amount]] + Bank_postings[[#This Row],[Receipt amount]]</f>
        <v>0</v>
      </c>
      <c r="H107" s="31" t="e" cm="1">
        <f t="array" ref="H107">INDEX(Payment_categorisations[Category], MATCH(TRUE, ISNUMBER(SEARCH(Payment_categorisations[Contains keywords], Bank_postings[[#This Row],[Narrative]])), 0))</f>
        <v>#N/A</v>
      </c>
      <c r="I107" s="31" t="e" cm="1">
        <f t="array" ref="I107">INDEX(Payment_categorisations[Sub-category], MATCH(TRUE, ISNUMBER(SEARCH(Payment_categorisations[Contains keywords], Bank_postings[[#This Row],[Narrative]])), 0))</f>
        <v>#N/A</v>
      </c>
      <c r="J107" s="20"/>
      <c r="K107" s="20"/>
      <c r="L107" s="31" t="e">
        <f>IF(Bank_postings[[#This Row],[Manual override category]] &lt;&gt; "", Bank_postings[[#This Row],[Manual override category]], Bank_postings[[#This Row],[Category]])</f>
        <v>#N/A</v>
      </c>
      <c r="M107" s="31" t="e">
        <f>IF(Bank_postings[[#This Row],[Manual override sub-category]] &lt;&gt; "", Bank_postings[[#This Row],[Manual override sub-category]], Bank_postings[[#This Row],[Sub-category]])</f>
        <v>#N/A</v>
      </c>
      <c r="O107" s="24"/>
      <c r="P107" s="20"/>
      <c r="Q107" s="21"/>
    </row>
    <row r="108" spans="3:17" x14ac:dyDescent="0.25">
      <c r="C108" s="4"/>
      <c r="D108" s="20"/>
      <c r="E108" s="37"/>
      <c r="F108" s="98"/>
      <c r="G108" s="91">
        <f>-Bank_postings[[#This Row],[Payment amount]] + Bank_postings[[#This Row],[Receipt amount]]</f>
        <v>0</v>
      </c>
      <c r="H108" s="31" t="e" cm="1">
        <f t="array" ref="H108">INDEX(Payment_categorisations[Category], MATCH(TRUE, ISNUMBER(SEARCH(Payment_categorisations[Contains keywords], Bank_postings[[#This Row],[Narrative]])), 0))</f>
        <v>#N/A</v>
      </c>
      <c r="I108" s="31" t="e" cm="1">
        <f t="array" ref="I108">INDEX(Payment_categorisations[Sub-category], MATCH(TRUE, ISNUMBER(SEARCH(Payment_categorisations[Contains keywords], Bank_postings[[#This Row],[Narrative]])), 0))</f>
        <v>#N/A</v>
      </c>
      <c r="J108" s="20"/>
      <c r="K108" s="20"/>
      <c r="L108" s="31" t="e">
        <f>IF(Bank_postings[[#This Row],[Manual override category]] &lt;&gt; "", Bank_postings[[#This Row],[Manual override category]], Bank_postings[[#This Row],[Category]])</f>
        <v>#N/A</v>
      </c>
      <c r="M108" s="31" t="e">
        <f>IF(Bank_postings[[#This Row],[Manual override sub-category]] &lt;&gt; "", Bank_postings[[#This Row],[Manual override sub-category]], Bank_postings[[#This Row],[Sub-category]])</f>
        <v>#N/A</v>
      </c>
      <c r="O108" s="24"/>
      <c r="P108" s="20"/>
      <c r="Q108" s="21"/>
    </row>
    <row r="109" spans="3:17" x14ac:dyDescent="0.25">
      <c r="C109" s="4"/>
      <c r="D109" s="20"/>
      <c r="E109" s="37"/>
      <c r="F109" s="98"/>
      <c r="G109" s="91">
        <f>-Bank_postings[[#This Row],[Payment amount]] + Bank_postings[[#This Row],[Receipt amount]]</f>
        <v>0</v>
      </c>
      <c r="H109" s="31" t="e" cm="1">
        <f t="array" ref="H109">INDEX(Payment_categorisations[Category], MATCH(TRUE, ISNUMBER(SEARCH(Payment_categorisations[Contains keywords], Bank_postings[[#This Row],[Narrative]])), 0))</f>
        <v>#N/A</v>
      </c>
      <c r="I109" s="31" t="e" cm="1">
        <f t="array" ref="I109">INDEX(Payment_categorisations[Sub-category], MATCH(TRUE, ISNUMBER(SEARCH(Payment_categorisations[Contains keywords], Bank_postings[[#This Row],[Narrative]])), 0))</f>
        <v>#N/A</v>
      </c>
      <c r="J109" s="20"/>
      <c r="K109" s="20"/>
      <c r="L109" s="31" t="e">
        <f>IF(Bank_postings[[#This Row],[Manual override category]] &lt;&gt; "", Bank_postings[[#This Row],[Manual override category]], Bank_postings[[#This Row],[Category]])</f>
        <v>#N/A</v>
      </c>
      <c r="M109" s="31" t="e">
        <f>IF(Bank_postings[[#This Row],[Manual override sub-category]] &lt;&gt; "", Bank_postings[[#This Row],[Manual override sub-category]], Bank_postings[[#This Row],[Sub-category]])</f>
        <v>#N/A</v>
      </c>
      <c r="O109" s="24"/>
      <c r="P109" s="20"/>
      <c r="Q109" s="21"/>
    </row>
    <row r="110" spans="3:17" x14ac:dyDescent="0.25">
      <c r="C110" s="4"/>
      <c r="D110" s="20"/>
      <c r="E110" s="37"/>
      <c r="F110" s="98"/>
      <c r="G110" s="91">
        <f>-Bank_postings[[#This Row],[Payment amount]] + Bank_postings[[#This Row],[Receipt amount]]</f>
        <v>0</v>
      </c>
      <c r="H110" s="31" t="e" cm="1">
        <f t="array" ref="H110">INDEX(Payment_categorisations[Category], MATCH(TRUE, ISNUMBER(SEARCH(Payment_categorisations[Contains keywords], Bank_postings[[#This Row],[Narrative]])), 0))</f>
        <v>#N/A</v>
      </c>
      <c r="I110" s="31" t="e" cm="1">
        <f t="array" ref="I110">INDEX(Payment_categorisations[Sub-category], MATCH(TRUE, ISNUMBER(SEARCH(Payment_categorisations[Contains keywords], Bank_postings[[#This Row],[Narrative]])), 0))</f>
        <v>#N/A</v>
      </c>
      <c r="J110" s="20"/>
      <c r="K110" s="20"/>
      <c r="L110" s="31" t="e">
        <f>IF(Bank_postings[[#This Row],[Manual override category]] &lt;&gt; "", Bank_postings[[#This Row],[Manual override category]], Bank_postings[[#This Row],[Category]])</f>
        <v>#N/A</v>
      </c>
      <c r="M110" s="31" t="e">
        <f>IF(Bank_postings[[#This Row],[Manual override sub-category]] &lt;&gt; "", Bank_postings[[#This Row],[Manual override sub-category]], Bank_postings[[#This Row],[Sub-category]])</f>
        <v>#N/A</v>
      </c>
      <c r="O110" s="28"/>
      <c r="P110" s="20"/>
      <c r="Q110" s="21"/>
    </row>
    <row r="111" spans="3:17" x14ac:dyDescent="0.25">
      <c r="C111" s="4"/>
      <c r="D111" s="20"/>
      <c r="E111" s="37"/>
      <c r="F111" s="98"/>
      <c r="G111" s="91">
        <f>-Bank_postings[[#This Row],[Payment amount]] + Bank_postings[[#This Row],[Receipt amount]]</f>
        <v>0</v>
      </c>
      <c r="H111" s="31" t="e" cm="1">
        <f t="array" ref="H111">INDEX(Payment_categorisations[Category], MATCH(TRUE, ISNUMBER(SEARCH(Payment_categorisations[Contains keywords], Bank_postings[[#This Row],[Narrative]])), 0))</f>
        <v>#N/A</v>
      </c>
      <c r="I111" s="31" t="e" cm="1">
        <f t="array" ref="I111">INDEX(Payment_categorisations[Sub-category], MATCH(TRUE, ISNUMBER(SEARCH(Payment_categorisations[Contains keywords], Bank_postings[[#This Row],[Narrative]])), 0))</f>
        <v>#N/A</v>
      </c>
      <c r="J111" s="20"/>
      <c r="K111" s="20"/>
      <c r="L111" s="31" t="e">
        <f>IF(Bank_postings[[#This Row],[Manual override category]] &lt;&gt; "", Bank_postings[[#This Row],[Manual override category]], Bank_postings[[#This Row],[Category]])</f>
        <v>#N/A</v>
      </c>
      <c r="M111" s="31" t="e">
        <f>IF(Bank_postings[[#This Row],[Manual override sub-category]] &lt;&gt; "", Bank_postings[[#This Row],[Manual override sub-category]], Bank_postings[[#This Row],[Sub-category]])</f>
        <v>#N/A</v>
      </c>
    </row>
    <row r="112" spans="3:17" x14ac:dyDescent="0.25">
      <c r="C112" s="4"/>
      <c r="D112" s="20"/>
      <c r="E112" s="37"/>
      <c r="F112" s="98"/>
      <c r="G112" s="91">
        <f>-Bank_postings[[#This Row],[Payment amount]] + Bank_postings[[#This Row],[Receipt amount]]</f>
        <v>0</v>
      </c>
      <c r="H112" s="31" t="e" cm="1">
        <f t="array" ref="H112">INDEX(Payment_categorisations[Category], MATCH(TRUE, ISNUMBER(SEARCH(Payment_categorisations[Contains keywords], Bank_postings[[#This Row],[Narrative]])), 0))</f>
        <v>#N/A</v>
      </c>
      <c r="I112" s="31" t="e" cm="1">
        <f t="array" ref="I112">INDEX(Payment_categorisations[Sub-category], MATCH(TRUE, ISNUMBER(SEARCH(Payment_categorisations[Contains keywords], Bank_postings[[#This Row],[Narrative]])), 0))</f>
        <v>#N/A</v>
      </c>
      <c r="J112" s="20"/>
      <c r="K112" s="20"/>
      <c r="L112" s="31" t="e">
        <f>IF(Bank_postings[[#This Row],[Manual override category]] &lt;&gt; "", Bank_postings[[#This Row],[Manual override category]], Bank_postings[[#This Row],[Category]])</f>
        <v>#N/A</v>
      </c>
      <c r="M112" s="31" t="e">
        <f>IF(Bank_postings[[#This Row],[Manual override sub-category]] &lt;&gt; "", Bank_postings[[#This Row],[Manual override sub-category]], Bank_postings[[#This Row],[Sub-category]])</f>
        <v>#N/A</v>
      </c>
    </row>
    <row r="113" spans="3:13" x14ac:dyDescent="0.25">
      <c r="C113" s="4"/>
      <c r="D113" s="20"/>
      <c r="E113" s="37"/>
      <c r="F113" s="98"/>
      <c r="G113" s="91">
        <f>-Bank_postings[[#This Row],[Payment amount]] + Bank_postings[[#This Row],[Receipt amount]]</f>
        <v>0</v>
      </c>
      <c r="H113" s="31" t="e" cm="1">
        <f t="array" ref="H113">INDEX(Payment_categorisations[Category], MATCH(TRUE, ISNUMBER(SEARCH(Payment_categorisations[Contains keywords], Bank_postings[[#This Row],[Narrative]])), 0))</f>
        <v>#N/A</v>
      </c>
      <c r="I113" s="31" t="e" cm="1">
        <f t="array" ref="I113">INDEX(Payment_categorisations[Sub-category], MATCH(TRUE, ISNUMBER(SEARCH(Payment_categorisations[Contains keywords], Bank_postings[[#This Row],[Narrative]])), 0))</f>
        <v>#N/A</v>
      </c>
      <c r="J113" s="20"/>
      <c r="K113" s="20"/>
      <c r="L113" s="31" t="e">
        <f>IF(Bank_postings[[#This Row],[Manual override category]] &lt;&gt; "", Bank_postings[[#This Row],[Manual override category]], Bank_postings[[#This Row],[Category]])</f>
        <v>#N/A</v>
      </c>
      <c r="M113" s="31" t="e">
        <f>IF(Bank_postings[[#This Row],[Manual override sub-category]] &lt;&gt; "", Bank_postings[[#This Row],[Manual override sub-category]], Bank_postings[[#This Row],[Sub-category]])</f>
        <v>#N/A</v>
      </c>
    </row>
    <row r="114" spans="3:13" x14ac:dyDescent="0.25">
      <c r="C114" s="4"/>
      <c r="D114" s="20"/>
      <c r="E114" s="37"/>
      <c r="F114" s="98"/>
      <c r="G114" s="91">
        <f>-Bank_postings[[#This Row],[Payment amount]] + Bank_postings[[#This Row],[Receipt amount]]</f>
        <v>0</v>
      </c>
      <c r="H114" s="31" t="e" cm="1">
        <f t="array" ref="H114">INDEX(Payment_categorisations[Category], MATCH(TRUE, ISNUMBER(SEARCH(Payment_categorisations[Contains keywords], Bank_postings[[#This Row],[Narrative]])), 0))</f>
        <v>#N/A</v>
      </c>
      <c r="I114" s="31" t="e" cm="1">
        <f t="array" ref="I114">INDEX(Payment_categorisations[Sub-category], MATCH(TRUE, ISNUMBER(SEARCH(Payment_categorisations[Contains keywords], Bank_postings[[#This Row],[Narrative]])), 0))</f>
        <v>#N/A</v>
      </c>
      <c r="J114" s="20"/>
      <c r="K114" s="20"/>
      <c r="L114" s="31" t="e">
        <f>IF(Bank_postings[[#This Row],[Manual override category]] &lt;&gt; "", Bank_postings[[#This Row],[Manual override category]], Bank_postings[[#This Row],[Category]])</f>
        <v>#N/A</v>
      </c>
      <c r="M114" s="31" t="e">
        <f>IF(Bank_postings[[#This Row],[Manual override sub-category]] &lt;&gt; "", Bank_postings[[#This Row],[Manual override sub-category]], Bank_postings[[#This Row],[Sub-category]])</f>
        <v>#N/A</v>
      </c>
    </row>
    <row r="115" spans="3:13" x14ac:dyDescent="0.25">
      <c r="C115" s="4"/>
      <c r="D115" s="20"/>
      <c r="E115" s="37"/>
      <c r="F115" s="98"/>
      <c r="G115" s="91">
        <f>-Bank_postings[[#This Row],[Payment amount]] + Bank_postings[[#This Row],[Receipt amount]]</f>
        <v>0</v>
      </c>
      <c r="H115" s="31" t="e" cm="1">
        <f t="array" ref="H115">INDEX(Payment_categorisations[Category], MATCH(TRUE, ISNUMBER(SEARCH(Payment_categorisations[Contains keywords], Bank_postings[[#This Row],[Narrative]])), 0))</f>
        <v>#N/A</v>
      </c>
      <c r="I115" s="31" t="e" cm="1">
        <f t="array" ref="I115">INDEX(Payment_categorisations[Sub-category], MATCH(TRUE, ISNUMBER(SEARCH(Payment_categorisations[Contains keywords], Bank_postings[[#This Row],[Narrative]])), 0))</f>
        <v>#N/A</v>
      </c>
      <c r="J115" s="20"/>
      <c r="K115" s="20"/>
      <c r="L115" s="31" t="e">
        <f>IF(Bank_postings[[#This Row],[Manual override category]] &lt;&gt; "", Bank_postings[[#This Row],[Manual override category]], Bank_postings[[#This Row],[Category]])</f>
        <v>#N/A</v>
      </c>
      <c r="M115" s="31" t="e">
        <f>IF(Bank_postings[[#This Row],[Manual override sub-category]] &lt;&gt; "", Bank_postings[[#This Row],[Manual override sub-category]], Bank_postings[[#This Row],[Sub-category]])</f>
        <v>#N/A</v>
      </c>
    </row>
    <row r="116" spans="3:13" x14ac:dyDescent="0.25">
      <c r="C116" s="4"/>
      <c r="D116" s="20"/>
      <c r="E116" s="37"/>
      <c r="F116" s="98"/>
      <c r="G116" s="91">
        <f>-Bank_postings[[#This Row],[Payment amount]] + Bank_postings[[#This Row],[Receipt amount]]</f>
        <v>0</v>
      </c>
      <c r="H116" s="31" t="e" cm="1">
        <f t="array" ref="H116">INDEX(Payment_categorisations[Category], MATCH(TRUE, ISNUMBER(SEARCH(Payment_categorisations[Contains keywords], Bank_postings[[#This Row],[Narrative]])), 0))</f>
        <v>#N/A</v>
      </c>
      <c r="I116" s="31" t="e" cm="1">
        <f t="array" ref="I116">INDEX(Payment_categorisations[Sub-category], MATCH(TRUE, ISNUMBER(SEARCH(Payment_categorisations[Contains keywords], Bank_postings[[#This Row],[Narrative]])), 0))</f>
        <v>#N/A</v>
      </c>
      <c r="J116" s="20"/>
      <c r="K116" s="20"/>
      <c r="L116" s="31" t="e">
        <f>IF(Bank_postings[[#This Row],[Manual override category]] &lt;&gt; "", Bank_postings[[#This Row],[Manual override category]], Bank_postings[[#This Row],[Category]])</f>
        <v>#N/A</v>
      </c>
      <c r="M116" s="31" t="e">
        <f>IF(Bank_postings[[#This Row],[Manual override sub-category]] &lt;&gt; "", Bank_postings[[#This Row],[Manual override sub-category]], Bank_postings[[#This Row],[Sub-category]])</f>
        <v>#N/A</v>
      </c>
    </row>
    <row r="117" spans="3:13" x14ac:dyDescent="0.25">
      <c r="C117" s="4"/>
      <c r="D117" s="20"/>
      <c r="E117" s="37"/>
      <c r="F117" s="98"/>
      <c r="G117" s="91">
        <f>-Bank_postings[[#This Row],[Payment amount]] + Bank_postings[[#This Row],[Receipt amount]]</f>
        <v>0</v>
      </c>
      <c r="H117" s="31" t="e" cm="1">
        <f t="array" ref="H117">INDEX(Payment_categorisations[Category], MATCH(TRUE, ISNUMBER(SEARCH(Payment_categorisations[Contains keywords], Bank_postings[[#This Row],[Narrative]])), 0))</f>
        <v>#N/A</v>
      </c>
      <c r="I117" s="31" t="e" cm="1">
        <f t="array" ref="I117">INDEX(Payment_categorisations[Sub-category], MATCH(TRUE, ISNUMBER(SEARCH(Payment_categorisations[Contains keywords], Bank_postings[[#This Row],[Narrative]])), 0))</f>
        <v>#N/A</v>
      </c>
      <c r="J117" s="20"/>
      <c r="K117" s="20"/>
      <c r="L117" s="31" t="e">
        <f>IF(Bank_postings[[#This Row],[Manual override category]] &lt;&gt; "", Bank_postings[[#This Row],[Manual override category]], Bank_postings[[#This Row],[Category]])</f>
        <v>#N/A</v>
      </c>
      <c r="M117" s="31" t="e">
        <f>IF(Bank_postings[[#This Row],[Manual override sub-category]] &lt;&gt; "", Bank_postings[[#This Row],[Manual override sub-category]], Bank_postings[[#This Row],[Sub-category]])</f>
        <v>#N/A</v>
      </c>
    </row>
    <row r="118" spans="3:13" x14ac:dyDescent="0.25">
      <c r="C118" s="4"/>
      <c r="D118" s="20"/>
      <c r="E118" s="37"/>
      <c r="F118" s="98"/>
      <c r="G118" s="91">
        <f>-Bank_postings[[#This Row],[Payment amount]] + Bank_postings[[#This Row],[Receipt amount]]</f>
        <v>0</v>
      </c>
      <c r="H118" s="31" t="e" cm="1">
        <f t="array" ref="H118">INDEX(Payment_categorisations[Category], MATCH(TRUE, ISNUMBER(SEARCH(Payment_categorisations[Contains keywords], Bank_postings[[#This Row],[Narrative]])), 0))</f>
        <v>#N/A</v>
      </c>
      <c r="I118" s="31" t="e" cm="1">
        <f t="array" ref="I118">INDEX(Payment_categorisations[Sub-category], MATCH(TRUE, ISNUMBER(SEARCH(Payment_categorisations[Contains keywords], Bank_postings[[#This Row],[Narrative]])), 0))</f>
        <v>#N/A</v>
      </c>
      <c r="J118" s="20"/>
      <c r="K118" s="20"/>
      <c r="L118" s="31" t="e">
        <f>IF(Bank_postings[[#This Row],[Manual override category]] &lt;&gt; "", Bank_postings[[#This Row],[Manual override category]], Bank_postings[[#This Row],[Category]])</f>
        <v>#N/A</v>
      </c>
      <c r="M118" s="31" t="e">
        <f>IF(Bank_postings[[#This Row],[Manual override sub-category]] &lt;&gt; "", Bank_postings[[#This Row],[Manual override sub-category]], Bank_postings[[#This Row],[Sub-category]])</f>
        <v>#N/A</v>
      </c>
    </row>
    <row r="119" spans="3:13" x14ac:dyDescent="0.25">
      <c r="C119" s="4"/>
      <c r="D119" s="20"/>
      <c r="E119" s="37"/>
      <c r="F119" s="98"/>
      <c r="G119" s="91">
        <f>-Bank_postings[[#This Row],[Payment amount]] + Bank_postings[[#This Row],[Receipt amount]]</f>
        <v>0</v>
      </c>
      <c r="H119" s="31" t="e" cm="1">
        <f t="array" ref="H119">INDEX(Payment_categorisations[Category], MATCH(TRUE, ISNUMBER(SEARCH(Payment_categorisations[Contains keywords], Bank_postings[[#This Row],[Narrative]])), 0))</f>
        <v>#N/A</v>
      </c>
      <c r="I119" s="31" t="e" cm="1">
        <f t="array" ref="I119">INDEX(Payment_categorisations[Sub-category], MATCH(TRUE, ISNUMBER(SEARCH(Payment_categorisations[Contains keywords], Bank_postings[[#This Row],[Narrative]])), 0))</f>
        <v>#N/A</v>
      </c>
      <c r="J119" s="20"/>
      <c r="K119" s="20"/>
      <c r="L119" s="31" t="e">
        <f>IF(Bank_postings[[#This Row],[Manual override category]] &lt;&gt; "", Bank_postings[[#This Row],[Manual override category]], Bank_postings[[#This Row],[Category]])</f>
        <v>#N/A</v>
      </c>
      <c r="M119" s="31" t="e">
        <f>IF(Bank_postings[[#This Row],[Manual override sub-category]] &lt;&gt; "", Bank_postings[[#This Row],[Manual override sub-category]], Bank_postings[[#This Row],[Sub-category]])</f>
        <v>#N/A</v>
      </c>
    </row>
    <row r="120" spans="3:13" x14ac:dyDescent="0.25">
      <c r="C120" s="4"/>
      <c r="D120" s="20"/>
      <c r="E120" s="37"/>
      <c r="F120" s="98"/>
      <c r="G120" s="91">
        <f>-Bank_postings[[#This Row],[Payment amount]] + Bank_postings[[#This Row],[Receipt amount]]</f>
        <v>0</v>
      </c>
      <c r="H120" s="31" t="e" cm="1">
        <f t="array" ref="H120">INDEX(Payment_categorisations[Category], MATCH(TRUE, ISNUMBER(SEARCH(Payment_categorisations[Contains keywords], Bank_postings[[#This Row],[Narrative]])), 0))</f>
        <v>#N/A</v>
      </c>
      <c r="I120" s="31" t="e" cm="1">
        <f t="array" ref="I120">INDEX(Payment_categorisations[Sub-category], MATCH(TRUE, ISNUMBER(SEARCH(Payment_categorisations[Contains keywords], Bank_postings[[#This Row],[Narrative]])), 0))</f>
        <v>#N/A</v>
      </c>
      <c r="J120" s="20"/>
      <c r="K120" s="20"/>
      <c r="L120" s="31" t="e">
        <f>IF(Bank_postings[[#This Row],[Manual override category]] &lt;&gt; "", Bank_postings[[#This Row],[Manual override category]], Bank_postings[[#This Row],[Category]])</f>
        <v>#N/A</v>
      </c>
      <c r="M120" s="31" t="e">
        <f>IF(Bank_postings[[#This Row],[Manual override sub-category]] &lt;&gt; "", Bank_postings[[#This Row],[Manual override sub-category]], Bank_postings[[#This Row],[Sub-category]])</f>
        <v>#N/A</v>
      </c>
    </row>
    <row r="121" spans="3:13" x14ac:dyDescent="0.25">
      <c r="C121" s="4"/>
      <c r="D121" s="20"/>
      <c r="E121" s="37"/>
      <c r="F121" s="98"/>
      <c r="G121" s="91">
        <f>-Bank_postings[[#This Row],[Payment amount]] + Bank_postings[[#This Row],[Receipt amount]]</f>
        <v>0</v>
      </c>
      <c r="H121" s="31" t="e" cm="1">
        <f t="array" ref="H121">INDEX(Payment_categorisations[Category], MATCH(TRUE, ISNUMBER(SEARCH(Payment_categorisations[Contains keywords], Bank_postings[[#This Row],[Narrative]])), 0))</f>
        <v>#N/A</v>
      </c>
      <c r="I121" s="31" t="e" cm="1">
        <f t="array" ref="I121">INDEX(Payment_categorisations[Sub-category], MATCH(TRUE, ISNUMBER(SEARCH(Payment_categorisations[Contains keywords], Bank_postings[[#This Row],[Narrative]])), 0))</f>
        <v>#N/A</v>
      </c>
      <c r="J121" s="20"/>
      <c r="K121" s="20"/>
      <c r="L121" s="31" t="e">
        <f>IF(Bank_postings[[#This Row],[Manual override category]] &lt;&gt; "", Bank_postings[[#This Row],[Manual override category]], Bank_postings[[#This Row],[Category]])</f>
        <v>#N/A</v>
      </c>
      <c r="M121" s="31" t="e">
        <f>IF(Bank_postings[[#This Row],[Manual override sub-category]] &lt;&gt; "", Bank_postings[[#This Row],[Manual override sub-category]], Bank_postings[[#This Row],[Sub-category]])</f>
        <v>#N/A</v>
      </c>
    </row>
    <row r="122" spans="3:13" x14ac:dyDescent="0.25">
      <c r="C122" s="4"/>
      <c r="D122" s="20"/>
      <c r="E122" s="37"/>
      <c r="F122" s="98"/>
      <c r="G122" s="91">
        <f>-Bank_postings[[#This Row],[Payment amount]] + Bank_postings[[#This Row],[Receipt amount]]</f>
        <v>0</v>
      </c>
      <c r="H122" s="31" t="e" cm="1">
        <f t="array" ref="H122">INDEX(Payment_categorisations[Category], MATCH(TRUE, ISNUMBER(SEARCH(Payment_categorisations[Contains keywords], Bank_postings[[#This Row],[Narrative]])), 0))</f>
        <v>#N/A</v>
      </c>
      <c r="I122" s="31" t="e" cm="1">
        <f t="array" ref="I122">INDEX(Payment_categorisations[Sub-category], MATCH(TRUE, ISNUMBER(SEARCH(Payment_categorisations[Contains keywords], Bank_postings[[#This Row],[Narrative]])), 0))</f>
        <v>#N/A</v>
      </c>
      <c r="J122" s="20"/>
      <c r="K122" s="20"/>
      <c r="L122" s="31" t="e">
        <f>IF(Bank_postings[[#This Row],[Manual override category]] &lt;&gt; "", Bank_postings[[#This Row],[Manual override category]], Bank_postings[[#This Row],[Category]])</f>
        <v>#N/A</v>
      </c>
      <c r="M122" s="31" t="e">
        <f>IF(Bank_postings[[#This Row],[Manual override sub-category]] &lt;&gt; "", Bank_postings[[#This Row],[Manual override sub-category]], Bank_postings[[#This Row],[Sub-category]])</f>
        <v>#N/A</v>
      </c>
    </row>
    <row r="123" spans="3:13" x14ac:dyDescent="0.25">
      <c r="C123" s="4"/>
      <c r="D123" s="20"/>
      <c r="E123" s="37"/>
      <c r="F123" s="98"/>
      <c r="G123" s="91">
        <f>-Bank_postings[[#This Row],[Payment amount]] + Bank_postings[[#This Row],[Receipt amount]]</f>
        <v>0</v>
      </c>
      <c r="H123" s="31" t="e" cm="1">
        <f t="array" ref="H123">INDEX(Payment_categorisations[Category], MATCH(TRUE, ISNUMBER(SEARCH(Payment_categorisations[Contains keywords], Bank_postings[[#This Row],[Narrative]])), 0))</f>
        <v>#N/A</v>
      </c>
      <c r="I123" s="31" t="e" cm="1">
        <f t="array" ref="I123">INDEX(Payment_categorisations[Sub-category], MATCH(TRUE, ISNUMBER(SEARCH(Payment_categorisations[Contains keywords], Bank_postings[[#This Row],[Narrative]])), 0))</f>
        <v>#N/A</v>
      </c>
      <c r="J123" s="20"/>
      <c r="K123" s="20"/>
      <c r="L123" s="31" t="e">
        <f>IF(Bank_postings[[#This Row],[Manual override category]] &lt;&gt; "", Bank_postings[[#This Row],[Manual override category]], Bank_postings[[#This Row],[Category]])</f>
        <v>#N/A</v>
      </c>
      <c r="M123" s="31" t="e">
        <f>IF(Bank_postings[[#This Row],[Manual override sub-category]] &lt;&gt; "", Bank_postings[[#This Row],[Manual override sub-category]], Bank_postings[[#This Row],[Sub-category]])</f>
        <v>#N/A</v>
      </c>
    </row>
    <row r="124" spans="3:13" x14ac:dyDescent="0.25">
      <c r="C124" s="4"/>
      <c r="D124" s="20"/>
      <c r="E124" s="37"/>
      <c r="F124" s="98"/>
      <c r="G124" s="91">
        <f>-Bank_postings[[#This Row],[Payment amount]] + Bank_postings[[#This Row],[Receipt amount]]</f>
        <v>0</v>
      </c>
      <c r="H124" s="31" t="e" cm="1">
        <f t="array" ref="H124">INDEX(Payment_categorisations[Category], MATCH(TRUE, ISNUMBER(SEARCH(Payment_categorisations[Contains keywords], Bank_postings[[#This Row],[Narrative]])), 0))</f>
        <v>#N/A</v>
      </c>
      <c r="I124" s="31" t="e" cm="1">
        <f t="array" ref="I124">INDEX(Payment_categorisations[Sub-category], MATCH(TRUE, ISNUMBER(SEARCH(Payment_categorisations[Contains keywords], Bank_postings[[#This Row],[Narrative]])), 0))</f>
        <v>#N/A</v>
      </c>
      <c r="J124" s="20"/>
      <c r="K124" s="20"/>
      <c r="L124" s="31" t="e">
        <f>IF(Bank_postings[[#This Row],[Manual override category]] &lt;&gt; "", Bank_postings[[#This Row],[Manual override category]], Bank_postings[[#This Row],[Category]])</f>
        <v>#N/A</v>
      </c>
      <c r="M124" s="31" t="e">
        <f>IF(Bank_postings[[#This Row],[Manual override sub-category]] &lt;&gt; "", Bank_postings[[#This Row],[Manual override sub-category]], Bank_postings[[#This Row],[Sub-category]])</f>
        <v>#N/A</v>
      </c>
    </row>
    <row r="125" spans="3:13" x14ac:dyDescent="0.25">
      <c r="C125" s="4"/>
      <c r="D125" s="20"/>
      <c r="E125" s="37"/>
      <c r="F125" s="98"/>
      <c r="G125" s="91">
        <f>-Bank_postings[[#This Row],[Payment amount]] + Bank_postings[[#This Row],[Receipt amount]]</f>
        <v>0</v>
      </c>
      <c r="H125" s="31" t="e" cm="1">
        <f t="array" ref="H125">INDEX(Payment_categorisations[Category], MATCH(TRUE, ISNUMBER(SEARCH(Payment_categorisations[Contains keywords], Bank_postings[[#This Row],[Narrative]])), 0))</f>
        <v>#N/A</v>
      </c>
      <c r="I125" s="31" t="e" cm="1">
        <f t="array" ref="I125">INDEX(Payment_categorisations[Sub-category], MATCH(TRUE, ISNUMBER(SEARCH(Payment_categorisations[Contains keywords], Bank_postings[[#This Row],[Narrative]])), 0))</f>
        <v>#N/A</v>
      </c>
      <c r="J125" s="20"/>
      <c r="K125" s="20"/>
      <c r="L125" s="31" t="e">
        <f>IF(Bank_postings[[#This Row],[Manual override category]] &lt;&gt; "", Bank_postings[[#This Row],[Manual override category]], Bank_postings[[#This Row],[Category]])</f>
        <v>#N/A</v>
      </c>
      <c r="M125" s="31" t="e">
        <f>IF(Bank_postings[[#This Row],[Manual override sub-category]] &lt;&gt; "", Bank_postings[[#This Row],[Manual override sub-category]], Bank_postings[[#This Row],[Sub-category]])</f>
        <v>#N/A</v>
      </c>
    </row>
    <row r="126" spans="3:13" x14ac:dyDescent="0.25">
      <c r="C126" s="4"/>
      <c r="D126" s="20"/>
      <c r="E126" s="37"/>
      <c r="F126" s="98"/>
      <c r="G126" s="91">
        <f>-Bank_postings[[#This Row],[Payment amount]] + Bank_postings[[#This Row],[Receipt amount]]</f>
        <v>0</v>
      </c>
      <c r="H126" s="31" t="e" cm="1">
        <f t="array" ref="H126">INDEX(Payment_categorisations[Category], MATCH(TRUE, ISNUMBER(SEARCH(Payment_categorisations[Contains keywords], Bank_postings[[#This Row],[Narrative]])), 0))</f>
        <v>#N/A</v>
      </c>
      <c r="I126" s="31" t="e" cm="1">
        <f t="array" ref="I126">INDEX(Payment_categorisations[Sub-category], MATCH(TRUE, ISNUMBER(SEARCH(Payment_categorisations[Contains keywords], Bank_postings[[#This Row],[Narrative]])), 0))</f>
        <v>#N/A</v>
      </c>
      <c r="J126" s="20"/>
      <c r="K126" s="20"/>
      <c r="L126" s="31" t="e">
        <f>IF(Bank_postings[[#This Row],[Manual override category]] &lt;&gt; "", Bank_postings[[#This Row],[Manual override category]], Bank_postings[[#This Row],[Category]])</f>
        <v>#N/A</v>
      </c>
      <c r="M126" s="31" t="e">
        <f>IF(Bank_postings[[#This Row],[Manual override sub-category]] &lt;&gt; "", Bank_postings[[#This Row],[Manual override sub-category]], Bank_postings[[#This Row],[Sub-category]])</f>
        <v>#N/A</v>
      </c>
    </row>
    <row r="127" spans="3:13" x14ac:dyDescent="0.25">
      <c r="C127" s="4"/>
      <c r="D127" s="20"/>
      <c r="E127" s="37"/>
      <c r="F127" s="98"/>
      <c r="G127" s="91">
        <f>-Bank_postings[[#This Row],[Payment amount]] + Bank_postings[[#This Row],[Receipt amount]]</f>
        <v>0</v>
      </c>
      <c r="H127" s="31" t="e" cm="1">
        <f t="array" ref="H127">INDEX(Payment_categorisations[Category], MATCH(TRUE, ISNUMBER(SEARCH(Payment_categorisations[Contains keywords], Bank_postings[[#This Row],[Narrative]])), 0))</f>
        <v>#N/A</v>
      </c>
      <c r="I127" s="31" t="e" cm="1">
        <f t="array" ref="I127">INDEX(Payment_categorisations[Sub-category], MATCH(TRUE, ISNUMBER(SEARCH(Payment_categorisations[Contains keywords], Bank_postings[[#This Row],[Narrative]])), 0))</f>
        <v>#N/A</v>
      </c>
      <c r="J127" s="20"/>
      <c r="K127" s="20"/>
      <c r="L127" s="31" t="e">
        <f>IF(Bank_postings[[#This Row],[Manual override category]] &lt;&gt; "", Bank_postings[[#This Row],[Manual override category]], Bank_postings[[#This Row],[Category]])</f>
        <v>#N/A</v>
      </c>
      <c r="M127" s="31" t="e">
        <f>IF(Bank_postings[[#This Row],[Manual override sub-category]] &lt;&gt; "", Bank_postings[[#This Row],[Manual override sub-category]], Bank_postings[[#This Row],[Sub-category]])</f>
        <v>#N/A</v>
      </c>
    </row>
    <row r="128" spans="3:13" x14ac:dyDescent="0.25">
      <c r="C128" s="4"/>
      <c r="D128" s="20"/>
      <c r="E128" s="37"/>
      <c r="F128" s="98"/>
      <c r="G128" s="91">
        <f>-Bank_postings[[#This Row],[Payment amount]] + Bank_postings[[#This Row],[Receipt amount]]</f>
        <v>0</v>
      </c>
      <c r="H128" s="31" t="e" cm="1">
        <f t="array" ref="H128">INDEX(Payment_categorisations[Category], MATCH(TRUE, ISNUMBER(SEARCH(Payment_categorisations[Contains keywords], Bank_postings[[#This Row],[Narrative]])), 0))</f>
        <v>#N/A</v>
      </c>
      <c r="I128" s="31" t="e" cm="1">
        <f t="array" ref="I128">INDEX(Payment_categorisations[Sub-category], MATCH(TRUE, ISNUMBER(SEARCH(Payment_categorisations[Contains keywords], Bank_postings[[#This Row],[Narrative]])), 0))</f>
        <v>#N/A</v>
      </c>
      <c r="J128" s="20"/>
      <c r="K128" s="20"/>
      <c r="L128" s="31" t="e">
        <f>IF(Bank_postings[[#This Row],[Manual override category]] &lt;&gt; "", Bank_postings[[#This Row],[Manual override category]], Bank_postings[[#This Row],[Category]])</f>
        <v>#N/A</v>
      </c>
      <c r="M128" s="31" t="e">
        <f>IF(Bank_postings[[#This Row],[Manual override sub-category]] &lt;&gt; "", Bank_postings[[#This Row],[Manual override sub-category]], Bank_postings[[#This Row],[Sub-category]])</f>
        <v>#N/A</v>
      </c>
    </row>
    <row r="129" spans="3:13" x14ac:dyDescent="0.25">
      <c r="C129" s="4"/>
      <c r="D129" s="20"/>
      <c r="E129" s="37"/>
      <c r="F129" s="98"/>
      <c r="G129" s="91">
        <f>-Bank_postings[[#This Row],[Payment amount]] + Bank_postings[[#This Row],[Receipt amount]]</f>
        <v>0</v>
      </c>
      <c r="H129" s="31" t="e" cm="1">
        <f t="array" ref="H129">INDEX(Payment_categorisations[Category], MATCH(TRUE, ISNUMBER(SEARCH(Payment_categorisations[Contains keywords], Bank_postings[[#This Row],[Narrative]])), 0))</f>
        <v>#N/A</v>
      </c>
      <c r="I129" s="31" t="e" cm="1">
        <f t="array" ref="I129">INDEX(Payment_categorisations[Sub-category], MATCH(TRUE, ISNUMBER(SEARCH(Payment_categorisations[Contains keywords], Bank_postings[[#This Row],[Narrative]])), 0))</f>
        <v>#N/A</v>
      </c>
      <c r="J129" s="20"/>
      <c r="K129" s="20"/>
      <c r="L129" s="31" t="e">
        <f>IF(Bank_postings[[#This Row],[Manual override category]] &lt;&gt; "", Bank_postings[[#This Row],[Manual override category]], Bank_postings[[#This Row],[Category]])</f>
        <v>#N/A</v>
      </c>
      <c r="M129" s="31" t="e">
        <f>IF(Bank_postings[[#This Row],[Manual override sub-category]] &lt;&gt; "", Bank_postings[[#This Row],[Manual override sub-category]], Bank_postings[[#This Row],[Sub-category]])</f>
        <v>#N/A</v>
      </c>
    </row>
    <row r="130" spans="3:13" x14ac:dyDescent="0.25">
      <c r="C130" s="4"/>
      <c r="D130" s="20"/>
      <c r="E130" s="37"/>
      <c r="F130" s="98"/>
      <c r="G130" s="91">
        <f>-Bank_postings[[#This Row],[Payment amount]] + Bank_postings[[#This Row],[Receipt amount]]</f>
        <v>0</v>
      </c>
      <c r="H130" s="31" t="e" cm="1">
        <f t="array" ref="H130">INDEX(Payment_categorisations[Category], MATCH(TRUE, ISNUMBER(SEARCH(Payment_categorisations[Contains keywords], Bank_postings[[#This Row],[Narrative]])), 0))</f>
        <v>#N/A</v>
      </c>
      <c r="I130" s="31" t="e" cm="1">
        <f t="array" ref="I130">INDEX(Payment_categorisations[Sub-category], MATCH(TRUE, ISNUMBER(SEARCH(Payment_categorisations[Contains keywords], Bank_postings[[#This Row],[Narrative]])), 0))</f>
        <v>#N/A</v>
      </c>
      <c r="J130" s="20"/>
      <c r="K130" s="20"/>
      <c r="L130" s="31" t="e">
        <f>IF(Bank_postings[[#This Row],[Manual override category]] &lt;&gt; "", Bank_postings[[#This Row],[Manual override category]], Bank_postings[[#This Row],[Category]])</f>
        <v>#N/A</v>
      </c>
      <c r="M130" s="31" t="e">
        <f>IF(Bank_postings[[#This Row],[Manual override sub-category]] &lt;&gt; "", Bank_postings[[#This Row],[Manual override sub-category]], Bank_postings[[#This Row],[Sub-category]])</f>
        <v>#N/A</v>
      </c>
    </row>
    <row r="131" spans="3:13" x14ac:dyDescent="0.25">
      <c r="C131" s="4"/>
      <c r="D131" s="20"/>
      <c r="E131" s="37"/>
      <c r="F131" s="98"/>
      <c r="G131" s="91">
        <f>-Bank_postings[[#This Row],[Payment amount]] + Bank_postings[[#This Row],[Receipt amount]]</f>
        <v>0</v>
      </c>
      <c r="H131" s="31" t="e" cm="1">
        <f t="array" ref="H131">INDEX(Payment_categorisations[Category], MATCH(TRUE, ISNUMBER(SEARCH(Payment_categorisations[Contains keywords], Bank_postings[[#This Row],[Narrative]])), 0))</f>
        <v>#N/A</v>
      </c>
      <c r="I131" s="31" t="e" cm="1">
        <f t="array" ref="I131">INDEX(Payment_categorisations[Sub-category], MATCH(TRUE, ISNUMBER(SEARCH(Payment_categorisations[Contains keywords], Bank_postings[[#This Row],[Narrative]])), 0))</f>
        <v>#N/A</v>
      </c>
      <c r="J131" s="20"/>
      <c r="K131" s="20"/>
      <c r="L131" s="31" t="e">
        <f>IF(Bank_postings[[#This Row],[Manual override category]] &lt;&gt; "", Bank_postings[[#This Row],[Manual override category]], Bank_postings[[#This Row],[Category]])</f>
        <v>#N/A</v>
      </c>
      <c r="M131" s="31" t="e">
        <f>IF(Bank_postings[[#This Row],[Manual override sub-category]] &lt;&gt; "", Bank_postings[[#This Row],[Manual override sub-category]], Bank_postings[[#This Row],[Sub-category]])</f>
        <v>#N/A</v>
      </c>
    </row>
    <row r="132" spans="3:13" x14ac:dyDescent="0.25">
      <c r="C132" s="4"/>
      <c r="D132" s="20"/>
      <c r="E132" s="37"/>
      <c r="F132" s="98"/>
      <c r="G132" s="91">
        <f>-Bank_postings[[#This Row],[Payment amount]] + Bank_postings[[#This Row],[Receipt amount]]</f>
        <v>0</v>
      </c>
      <c r="H132" s="31" t="e" cm="1">
        <f t="array" ref="H132">INDEX(Payment_categorisations[Category], MATCH(TRUE, ISNUMBER(SEARCH(Payment_categorisations[Contains keywords], Bank_postings[[#This Row],[Narrative]])), 0))</f>
        <v>#N/A</v>
      </c>
      <c r="I132" s="31" t="e" cm="1">
        <f t="array" ref="I132">INDEX(Payment_categorisations[Sub-category], MATCH(TRUE, ISNUMBER(SEARCH(Payment_categorisations[Contains keywords], Bank_postings[[#This Row],[Narrative]])), 0))</f>
        <v>#N/A</v>
      </c>
      <c r="J132" s="20"/>
      <c r="K132" s="20"/>
      <c r="L132" s="31" t="e">
        <f>IF(Bank_postings[[#This Row],[Manual override category]] &lt;&gt; "", Bank_postings[[#This Row],[Manual override category]], Bank_postings[[#This Row],[Category]])</f>
        <v>#N/A</v>
      </c>
      <c r="M132" s="31" t="e">
        <f>IF(Bank_postings[[#This Row],[Manual override sub-category]] &lt;&gt; "", Bank_postings[[#This Row],[Manual override sub-category]], Bank_postings[[#This Row],[Sub-category]])</f>
        <v>#N/A</v>
      </c>
    </row>
    <row r="133" spans="3:13" x14ac:dyDescent="0.25">
      <c r="C133" s="4"/>
      <c r="D133" s="20"/>
      <c r="E133" s="37"/>
      <c r="F133" s="98"/>
      <c r="G133" s="91">
        <f>-Bank_postings[[#This Row],[Payment amount]] + Bank_postings[[#This Row],[Receipt amount]]</f>
        <v>0</v>
      </c>
      <c r="H133" s="31" t="e" cm="1">
        <f t="array" ref="H133">INDEX(Payment_categorisations[Category], MATCH(TRUE, ISNUMBER(SEARCH(Payment_categorisations[Contains keywords], Bank_postings[[#This Row],[Narrative]])), 0))</f>
        <v>#N/A</v>
      </c>
      <c r="I133" s="31" t="e" cm="1">
        <f t="array" ref="I133">INDEX(Payment_categorisations[Sub-category], MATCH(TRUE, ISNUMBER(SEARCH(Payment_categorisations[Contains keywords], Bank_postings[[#This Row],[Narrative]])), 0))</f>
        <v>#N/A</v>
      </c>
      <c r="J133" s="20"/>
      <c r="K133" s="20"/>
      <c r="L133" s="31" t="e">
        <f>IF(Bank_postings[[#This Row],[Manual override category]] &lt;&gt; "", Bank_postings[[#This Row],[Manual override category]], Bank_postings[[#This Row],[Category]])</f>
        <v>#N/A</v>
      </c>
      <c r="M133" s="31" t="e">
        <f>IF(Bank_postings[[#This Row],[Manual override sub-category]] &lt;&gt; "", Bank_postings[[#This Row],[Manual override sub-category]], Bank_postings[[#This Row],[Sub-category]])</f>
        <v>#N/A</v>
      </c>
    </row>
    <row r="134" spans="3:13" x14ac:dyDescent="0.25">
      <c r="C134" s="4"/>
      <c r="D134" s="20"/>
      <c r="E134" s="37"/>
      <c r="F134" s="98"/>
      <c r="G134" s="91">
        <f>-Bank_postings[[#This Row],[Payment amount]] + Bank_postings[[#This Row],[Receipt amount]]</f>
        <v>0</v>
      </c>
      <c r="H134" s="31" t="e" cm="1">
        <f t="array" ref="H134">INDEX(Payment_categorisations[Category], MATCH(TRUE, ISNUMBER(SEARCH(Payment_categorisations[Contains keywords], Bank_postings[[#This Row],[Narrative]])), 0))</f>
        <v>#N/A</v>
      </c>
      <c r="I134" s="31" t="e" cm="1">
        <f t="array" ref="I134">INDEX(Payment_categorisations[Sub-category], MATCH(TRUE, ISNUMBER(SEARCH(Payment_categorisations[Contains keywords], Bank_postings[[#This Row],[Narrative]])), 0))</f>
        <v>#N/A</v>
      </c>
      <c r="J134" s="20"/>
      <c r="K134" s="20"/>
      <c r="L134" s="31" t="e">
        <f>IF(Bank_postings[[#This Row],[Manual override category]] &lt;&gt; "", Bank_postings[[#This Row],[Manual override category]], Bank_postings[[#This Row],[Category]])</f>
        <v>#N/A</v>
      </c>
      <c r="M134" s="31" t="e">
        <f>IF(Bank_postings[[#This Row],[Manual override sub-category]] &lt;&gt; "", Bank_postings[[#This Row],[Manual override sub-category]], Bank_postings[[#This Row],[Sub-category]])</f>
        <v>#N/A</v>
      </c>
    </row>
    <row r="135" spans="3:13" x14ac:dyDescent="0.25">
      <c r="C135" s="4"/>
      <c r="D135" s="20"/>
      <c r="E135" s="37"/>
      <c r="F135" s="98"/>
      <c r="G135" s="91">
        <f>-Bank_postings[[#This Row],[Payment amount]] + Bank_postings[[#This Row],[Receipt amount]]</f>
        <v>0</v>
      </c>
      <c r="H135" s="31" t="e" cm="1">
        <f t="array" ref="H135">INDEX(Payment_categorisations[Category], MATCH(TRUE, ISNUMBER(SEARCH(Payment_categorisations[Contains keywords], Bank_postings[[#This Row],[Narrative]])), 0))</f>
        <v>#N/A</v>
      </c>
      <c r="I135" s="31" t="e" cm="1">
        <f t="array" ref="I135">INDEX(Payment_categorisations[Sub-category], MATCH(TRUE, ISNUMBER(SEARCH(Payment_categorisations[Contains keywords], Bank_postings[[#This Row],[Narrative]])), 0))</f>
        <v>#N/A</v>
      </c>
      <c r="J135" s="20"/>
      <c r="K135" s="20"/>
      <c r="L135" s="31" t="e">
        <f>IF(Bank_postings[[#This Row],[Manual override category]] &lt;&gt; "", Bank_postings[[#This Row],[Manual override category]], Bank_postings[[#This Row],[Category]])</f>
        <v>#N/A</v>
      </c>
      <c r="M135" s="31" t="e">
        <f>IF(Bank_postings[[#This Row],[Manual override sub-category]] &lt;&gt; "", Bank_postings[[#This Row],[Manual override sub-category]], Bank_postings[[#This Row],[Sub-category]])</f>
        <v>#N/A</v>
      </c>
    </row>
    <row r="136" spans="3:13" x14ac:dyDescent="0.25">
      <c r="C136" s="4"/>
      <c r="D136" s="20"/>
      <c r="E136" s="37"/>
      <c r="F136" s="98"/>
      <c r="G136" s="91">
        <f>-Bank_postings[[#This Row],[Payment amount]] + Bank_postings[[#This Row],[Receipt amount]]</f>
        <v>0</v>
      </c>
      <c r="H136" s="31" t="e" cm="1">
        <f t="array" ref="H136">INDEX(Payment_categorisations[Category], MATCH(TRUE, ISNUMBER(SEARCH(Payment_categorisations[Contains keywords], Bank_postings[[#This Row],[Narrative]])), 0))</f>
        <v>#N/A</v>
      </c>
      <c r="I136" s="31" t="e" cm="1">
        <f t="array" ref="I136">INDEX(Payment_categorisations[Sub-category], MATCH(TRUE, ISNUMBER(SEARCH(Payment_categorisations[Contains keywords], Bank_postings[[#This Row],[Narrative]])), 0))</f>
        <v>#N/A</v>
      </c>
      <c r="J136" s="20"/>
      <c r="K136" s="20"/>
      <c r="L136" s="31" t="e">
        <f>IF(Bank_postings[[#This Row],[Manual override category]] &lt;&gt; "", Bank_postings[[#This Row],[Manual override category]], Bank_postings[[#This Row],[Category]])</f>
        <v>#N/A</v>
      </c>
      <c r="M136" s="31" t="e">
        <f>IF(Bank_postings[[#This Row],[Manual override sub-category]] &lt;&gt; "", Bank_postings[[#This Row],[Manual override sub-category]], Bank_postings[[#This Row],[Sub-category]])</f>
        <v>#N/A</v>
      </c>
    </row>
    <row r="137" spans="3:13" x14ac:dyDescent="0.25">
      <c r="C137" s="4"/>
      <c r="D137" s="20"/>
      <c r="E137" s="37"/>
      <c r="F137" s="98"/>
      <c r="G137" s="91">
        <f>-Bank_postings[[#This Row],[Payment amount]] + Bank_postings[[#This Row],[Receipt amount]]</f>
        <v>0</v>
      </c>
      <c r="H137" s="31" t="e" cm="1">
        <f t="array" ref="H137">INDEX(Payment_categorisations[Category], MATCH(TRUE, ISNUMBER(SEARCH(Payment_categorisations[Contains keywords], Bank_postings[[#This Row],[Narrative]])), 0))</f>
        <v>#N/A</v>
      </c>
      <c r="I137" s="31" t="e" cm="1">
        <f t="array" ref="I137">INDEX(Payment_categorisations[Sub-category], MATCH(TRUE, ISNUMBER(SEARCH(Payment_categorisations[Contains keywords], Bank_postings[[#This Row],[Narrative]])), 0))</f>
        <v>#N/A</v>
      </c>
      <c r="J137" s="20"/>
      <c r="K137" s="20"/>
      <c r="L137" s="31" t="e">
        <f>IF(Bank_postings[[#This Row],[Manual override category]] &lt;&gt; "", Bank_postings[[#This Row],[Manual override category]], Bank_postings[[#This Row],[Category]])</f>
        <v>#N/A</v>
      </c>
      <c r="M137" s="31" t="e">
        <f>IF(Bank_postings[[#This Row],[Manual override sub-category]] &lt;&gt; "", Bank_postings[[#This Row],[Manual override sub-category]], Bank_postings[[#This Row],[Sub-category]])</f>
        <v>#N/A</v>
      </c>
    </row>
    <row r="138" spans="3:13" x14ac:dyDescent="0.25">
      <c r="C138" s="4"/>
      <c r="D138" s="20"/>
      <c r="E138" s="37"/>
      <c r="F138" s="98"/>
      <c r="G138" s="91">
        <f>-Bank_postings[[#This Row],[Payment amount]] + Bank_postings[[#This Row],[Receipt amount]]</f>
        <v>0</v>
      </c>
      <c r="H138" s="31" t="e" cm="1">
        <f t="array" ref="H138">INDEX(Payment_categorisations[Category], MATCH(TRUE, ISNUMBER(SEARCH(Payment_categorisations[Contains keywords], Bank_postings[[#This Row],[Narrative]])), 0))</f>
        <v>#N/A</v>
      </c>
      <c r="I138" s="31" t="e" cm="1">
        <f t="array" ref="I138">INDEX(Payment_categorisations[Sub-category], MATCH(TRUE, ISNUMBER(SEARCH(Payment_categorisations[Contains keywords], Bank_postings[[#This Row],[Narrative]])), 0))</f>
        <v>#N/A</v>
      </c>
      <c r="J138" s="20"/>
      <c r="K138" s="20"/>
      <c r="L138" s="31" t="e">
        <f>IF(Bank_postings[[#This Row],[Manual override category]] &lt;&gt; "", Bank_postings[[#This Row],[Manual override category]], Bank_postings[[#This Row],[Category]])</f>
        <v>#N/A</v>
      </c>
      <c r="M138" s="31" t="e">
        <f>IF(Bank_postings[[#This Row],[Manual override sub-category]] &lt;&gt; "", Bank_postings[[#This Row],[Manual override sub-category]], Bank_postings[[#This Row],[Sub-category]])</f>
        <v>#N/A</v>
      </c>
    </row>
    <row r="139" spans="3:13" x14ac:dyDescent="0.25">
      <c r="C139" s="4"/>
      <c r="D139" s="20"/>
      <c r="E139" s="37"/>
      <c r="F139" s="98"/>
      <c r="G139" s="91">
        <f>-Bank_postings[[#This Row],[Payment amount]] + Bank_postings[[#This Row],[Receipt amount]]</f>
        <v>0</v>
      </c>
      <c r="H139" s="31" t="e" cm="1">
        <f t="array" ref="H139">INDEX(Payment_categorisations[Category], MATCH(TRUE, ISNUMBER(SEARCH(Payment_categorisations[Contains keywords], Bank_postings[[#This Row],[Narrative]])), 0))</f>
        <v>#N/A</v>
      </c>
      <c r="I139" s="31" t="e" cm="1">
        <f t="array" ref="I139">INDEX(Payment_categorisations[Sub-category], MATCH(TRUE, ISNUMBER(SEARCH(Payment_categorisations[Contains keywords], Bank_postings[[#This Row],[Narrative]])), 0))</f>
        <v>#N/A</v>
      </c>
      <c r="J139" s="20"/>
      <c r="K139" s="20"/>
      <c r="L139" s="31" t="e">
        <f>IF(Bank_postings[[#This Row],[Manual override category]] &lt;&gt; "", Bank_postings[[#This Row],[Manual override category]], Bank_postings[[#This Row],[Category]])</f>
        <v>#N/A</v>
      </c>
      <c r="M139" s="31" t="e">
        <f>IF(Bank_postings[[#This Row],[Manual override sub-category]] &lt;&gt; "", Bank_postings[[#This Row],[Manual override sub-category]], Bank_postings[[#This Row],[Sub-category]])</f>
        <v>#N/A</v>
      </c>
    </row>
    <row r="140" spans="3:13" x14ac:dyDescent="0.25">
      <c r="C140" s="4"/>
      <c r="D140" s="20"/>
      <c r="E140" s="37"/>
      <c r="F140" s="98"/>
      <c r="G140" s="91">
        <f>-Bank_postings[[#This Row],[Payment amount]] + Bank_postings[[#This Row],[Receipt amount]]</f>
        <v>0</v>
      </c>
      <c r="H140" s="31" t="e" cm="1">
        <f t="array" ref="H140">INDEX(Payment_categorisations[Category], MATCH(TRUE, ISNUMBER(SEARCH(Payment_categorisations[Contains keywords], Bank_postings[[#This Row],[Narrative]])), 0))</f>
        <v>#N/A</v>
      </c>
      <c r="I140" s="31" t="e" cm="1">
        <f t="array" ref="I140">INDEX(Payment_categorisations[Sub-category], MATCH(TRUE, ISNUMBER(SEARCH(Payment_categorisations[Contains keywords], Bank_postings[[#This Row],[Narrative]])), 0))</f>
        <v>#N/A</v>
      </c>
      <c r="J140" s="20"/>
      <c r="K140" s="20"/>
      <c r="L140" s="31" t="e">
        <f>IF(Bank_postings[[#This Row],[Manual override category]] &lt;&gt; "", Bank_postings[[#This Row],[Manual override category]], Bank_postings[[#This Row],[Category]])</f>
        <v>#N/A</v>
      </c>
      <c r="M140" s="31" t="e">
        <f>IF(Bank_postings[[#This Row],[Manual override sub-category]] &lt;&gt; "", Bank_postings[[#This Row],[Manual override sub-category]], Bank_postings[[#This Row],[Sub-category]])</f>
        <v>#N/A</v>
      </c>
    </row>
    <row r="141" spans="3:13" x14ac:dyDescent="0.25">
      <c r="C141" s="4"/>
      <c r="D141" s="20"/>
      <c r="E141" s="37"/>
      <c r="F141" s="98"/>
      <c r="G141" s="91">
        <f>-Bank_postings[[#This Row],[Payment amount]] + Bank_postings[[#This Row],[Receipt amount]]</f>
        <v>0</v>
      </c>
      <c r="H141" s="31" t="e" cm="1">
        <f t="array" ref="H141">INDEX(Payment_categorisations[Category], MATCH(TRUE, ISNUMBER(SEARCH(Payment_categorisations[Contains keywords], Bank_postings[[#This Row],[Narrative]])), 0))</f>
        <v>#N/A</v>
      </c>
      <c r="I141" s="31" t="e" cm="1">
        <f t="array" ref="I141">INDEX(Payment_categorisations[Sub-category], MATCH(TRUE, ISNUMBER(SEARCH(Payment_categorisations[Contains keywords], Bank_postings[[#This Row],[Narrative]])), 0))</f>
        <v>#N/A</v>
      </c>
      <c r="J141" s="20"/>
      <c r="K141" s="20"/>
      <c r="L141" s="31" t="e">
        <f>IF(Bank_postings[[#This Row],[Manual override category]] &lt;&gt; "", Bank_postings[[#This Row],[Manual override category]], Bank_postings[[#This Row],[Category]])</f>
        <v>#N/A</v>
      </c>
      <c r="M141" s="31" t="e">
        <f>IF(Bank_postings[[#This Row],[Manual override sub-category]] &lt;&gt; "", Bank_postings[[#This Row],[Manual override sub-category]], Bank_postings[[#This Row],[Sub-category]])</f>
        <v>#N/A</v>
      </c>
    </row>
    <row r="142" spans="3:13" x14ac:dyDescent="0.25">
      <c r="C142" s="4"/>
      <c r="D142" s="20"/>
      <c r="E142" s="37"/>
      <c r="F142" s="98"/>
      <c r="G142" s="91">
        <f>-Bank_postings[[#This Row],[Payment amount]] + Bank_postings[[#This Row],[Receipt amount]]</f>
        <v>0</v>
      </c>
      <c r="H142" s="31" t="e" cm="1">
        <f t="array" ref="H142">INDEX(Payment_categorisations[Category], MATCH(TRUE, ISNUMBER(SEARCH(Payment_categorisations[Contains keywords], Bank_postings[[#This Row],[Narrative]])), 0))</f>
        <v>#N/A</v>
      </c>
      <c r="I142" s="31" t="e" cm="1">
        <f t="array" ref="I142">INDEX(Payment_categorisations[Sub-category], MATCH(TRUE, ISNUMBER(SEARCH(Payment_categorisations[Contains keywords], Bank_postings[[#This Row],[Narrative]])), 0))</f>
        <v>#N/A</v>
      </c>
      <c r="J142" s="20"/>
      <c r="K142" s="20"/>
      <c r="L142" s="31" t="e">
        <f>IF(Bank_postings[[#This Row],[Manual override category]] &lt;&gt; "", Bank_postings[[#This Row],[Manual override category]], Bank_postings[[#This Row],[Category]])</f>
        <v>#N/A</v>
      </c>
      <c r="M142" s="31" t="e">
        <f>IF(Bank_postings[[#This Row],[Manual override sub-category]] &lt;&gt; "", Bank_postings[[#This Row],[Manual override sub-category]], Bank_postings[[#This Row],[Sub-category]])</f>
        <v>#N/A</v>
      </c>
    </row>
    <row r="143" spans="3:13" x14ac:dyDescent="0.25">
      <c r="C143" s="4"/>
      <c r="D143" s="20"/>
      <c r="E143" s="37"/>
      <c r="F143" s="98"/>
      <c r="G143" s="91">
        <f>-Bank_postings[[#This Row],[Payment amount]] + Bank_postings[[#This Row],[Receipt amount]]</f>
        <v>0</v>
      </c>
      <c r="H143" s="31" t="e" cm="1">
        <f t="array" ref="H143">INDEX(Payment_categorisations[Category], MATCH(TRUE, ISNUMBER(SEARCH(Payment_categorisations[Contains keywords], Bank_postings[[#This Row],[Narrative]])), 0))</f>
        <v>#N/A</v>
      </c>
      <c r="I143" s="31" t="e" cm="1">
        <f t="array" ref="I143">INDEX(Payment_categorisations[Sub-category], MATCH(TRUE, ISNUMBER(SEARCH(Payment_categorisations[Contains keywords], Bank_postings[[#This Row],[Narrative]])), 0))</f>
        <v>#N/A</v>
      </c>
      <c r="J143" s="20"/>
      <c r="K143" s="20"/>
      <c r="L143" s="31" t="e">
        <f>IF(Bank_postings[[#This Row],[Manual override category]] &lt;&gt; "", Bank_postings[[#This Row],[Manual override category]], Bank_postings[[#This Row],[Category]])</f>
        <v>#N/A</v>
      </c>
      <c r="M143" s="31" t="e">
        <f>IF(Bank_postings[[#This Row],[Manual override sub-category]] &lt;&gt; "", Bank_postings[[#This Row],[Manual override sub-category]], Bank_postings[[#This Row],[Sub-category]])</f>
        <v>#N/A</v>
      </c>
    </row>
    <row r="144" spans="3:13" x14ac:dyDescent="0.25">
      <c r="C144" s="4"/>
      <c r="D144" s="20"/>
      <c r="E144" s="37"/>
      <c r="F144" s="98"/>
      <c r="G144" s="91">
        <f>-Bank_postings[[#This Row],[Payment amount]] + Bank_postings[[#This Row],[Receipt amount]]</f>
        <v>0</v>
      </c>
      <c r="H144" s="31" t="e" cm="1">
        <f t="array" ref="H144">INDEX(Payment_categorisations[Category], MATCH(TRUE, ISNUMBER(SEARCH(Payment_categorisations[Contains keywords], Bank_postings[[#This Row],[Narrative]])), 0))</f>
        <v>#N/A</v>
      </c>
      <c r="I144" s="31" t="e" cm="1">
        <f t="array" ref="I144">INDEX(Payment_categorisations[Sub-category], MATCH(TRUE, ISNUMBER(SEARCH(Payment_categorisations[Contains keywords], Bank_postings[[#This Row],[Narrative]])), 0))</f>
        <v>#N/A</v>
      </c>
      <c r="J144" s="20"/>
      <c r="K144" s="20"/>
      <c r="L144" s="31" t="e">
        <f>IF(Bank_postings[[#This Row],[Manual override category]] &lt;&gt; "", Bank_postings[[#This Row],[Manual override category]], Bank_postings[[#This Row],[Category]])</f>
        <v>#N/A</v>
      </c>
      <c r="M144" s="31" t="e">
        <f>IF(Bank_postings[[#This Row],[Manual override sub-category]] &lt;&gt; "", Bank_postings[[#This Row],[Manual override sub-category]], Bank_postings[[#This Row],[Sub-category]])</f>
        <v>#N/A</v>
      </c>
    </row>
    <row r="145" spans="3:13" x14ac:dyDescent="0.25">
      <c r="C145" s="4"/>
      <c r="D145" s="20"/>
      <c r="E145" s="37"/>
      <c r="F145" s="98"/>
      <c r="G145" s="91">
        <f>-Bank_postings[[#This Row],[Payment amount]] + Bank_postings[[#This Row],[Receipt amount]]</f>
        <v>0</v>
      </c>
      <c r="H145" s="31" t="e" cm="1">
        <f t="array" ref="H145">INDEX(Payment_categorisations[Category], MATCH(TRUE, ISNUMBER(SEARCH(Payment_categorisations[Contains keywords], Bank_postings[[#This Row],[Narrative]])), 0))</f>
        <v>#N/A</v>
      </c>
      <c r="I145" s="31" t="e" cm="1">
        <f t="array" ref="I145">INDEX(Payment_categorisations[Sub-category], MATCH(TRUE, ISNUMBER(SEARCH(Payment_categorisations[Contains keywords], Bank_postings[[#This Row],[Narrative]])), 0))</f>
        <v>#N/A</v>
      </c>
      <c r="J145" s="20"/>
      <c r="K145" s="20"/>
      <c r="L145" s="31" t="e">
        <f>IF(Bank_postings[[#This Row],[Manual override category]] &lt;&gt; "", Bank_postings[[#This Row],[Manual override category]], Bank_postings[[#This Row],[Category]])</f>
        <v>#N/A</v>
      </c>
      <c r="M145" s="31" t="e">
        <f>IF(Bank_postings[[#This Row],[Manual override sub-category]] &lt;&gt; "", Bank_postings[[#This Row],[Manual override sub-category]], Bank_postings[[#This Row],[Sub-category]])</f>
        <v>#N/A</v>
      </c>
    </row>
    <row r="146" spans="3:13" x14ac:dyDescent="0.25">
      <c r="C146" s="4"/>
      <c r="D146" s="20"/>
      <c r="E146" s="37"/>
      <c r="F146" s="98"/>
      <c r="G146" s="91">
        <f>-Bank_postings[[#This Row],[Payment amount]] + Bank_postings[[#This Row],[Receipt amount]]</f>
        <v>0</v>
      </c>
      <c r="H146" s="31" t="e" cm="1">
        <f t="array" ref="H146">INDEX(Payment_categorisations[Category], MATCH(TRUE, ISNUMBER(SEARCH(Payment_categorisations[Contains keywords], Bank_postings[[#This Row],[Narrative]])), 0))</f>
        <v>#N/A</v>
      </c>
      <c r="I146" s="31" t="e" cm="1">
        <f t="array" ref="I146">INDEX(Payment_categorisations[Sub-category], MATCH(TRUE, ISNUMBER(SEARCH(Payment_categorisations[Contains keywords], Bank_postings[[#This Row],[Narrative]])), 0))</f>
        <v>#N/A</v>
      </c>
      <c r="J146" s="20"/>
      <c r="K146" s="20"/>
      <c r="L146" s="31" t="e">
        <f>IF(Bank_postings[[#This Row],[Manual override category]] &lt;&gt; "", Bank_postings[[#This Row],[Manual override category]], Bank_postings[[#This Row],[Category]])</f>
        <v>#N/A</v>
      </c>
      <c r="M146" s="31" t="e">
        <f>IF(Bank_postings[[#This Row],[Manual override sub-category]] &lt;&gt; "", Bank_postings[[#This Row],[Manual override sub-category]], Bank_postings[[#This Row],[Sub-category]])</f>
        <v>#N/A</v>
      </c>
    </row>
    <row r="147" spans="3:13" x14ac:dyDescent="0.25">
      <c r="C147" s="4"/>
      <c r="D147" s="20"/>
      <c r="E147" s="37"/>
      <c r="F147" s="98"/>
      <c r="G147" s="91">
        <f>-Bank_postings[[#This Row],[Payment amount]] + Bank_postings[[#This Row],[Receipt amount]]</f>
        <v>0</v>
      </c>
      <c r="H147" s="31" t="e" cm="1">
        <f t="array" ref="H147">INDEX(Payment_categorisations[Category], MATCH(TRUE, ISNUMBER(SEARCH(Payment_categorisations[Contains keywords], Bank_postings[[#This Row],[Narrative]])), 0))</f>
        <v>#N/A</v>
      </c>
      <c r="I147" s="31" t="e" cm="1">
        <f t="array" ref="I147">INDEX(Payment_categorisations[Sub-category], MATCH(TRUE, ISNUMBER(SEARCH(Payment_categorisations[Contains keywords], Bank_postings[[#This Row],[Narrative]])), 0))</f>
        <v>#N/A</v>
      </c>
      <c r="J147" s="20"/>
      <c r="K147" s="20"/>
      <c r="L147" s="31" t="e">
        <f>IF(Bank_postings[[#This Row],[Manual override category]] &lt;&gt; "", Bank_postings[[#This Row],[Manual override category]], Bank_postings[[#This Row],[Category]])</f>
        <v>#N/A</v>
      </c>
      <c r="M147" s="31" t="e">
        <f>IF(Bank_postings[[#This Row],[Manual override sub-category]] &lt;&gt; "", Bank_postings[[#This Row],[Manual override sub-category]], Bank_postings[[#This Row],[Sub-category]])</f>
        <v>#N/A</v>
      </c>
    </row>
    <row r="148" spans="3:13" x14ac:dyDescent="0.25">
      <c r="C148" s="4"/>
      <c r="D148" s="20"/>
      <c r="E148" s="37"/>
      <c r="F148" s="98"/>
      <c r="G148" s="91">
        <f>-Bank_postings[[#This Row],[Payment amount]] + Bank_postings[[#This Row],[Receipt amount]]</f>
        <v>0</v>
      </c>
      <c r="H148" s="31" t="e" cm="1">
        <f t="array" ref="H148">INDEX(Payment_categorisations[Category], MATCH(TRUE, ISNUMBER(SEARCH(Payment_categorisations[Contains keywords], Bank_postings[[#This Row],[Narrative]])), 0))</f>
        <v>#N/A</v>
      </c>
      <c r="I148" s="31" t="e" cm="1">
        <f t="array" ref="I148">INDEX(Payment_categorisations[Sub-category], MATCH(TRUE, ISNUMBER(SEARCH(Payment_categorisations[Contains keywords], Bank_postings[[#This Row],[Narrative]])), 0))</f>
        <v>#N/A</v>
      </c>
      <c r="J148" s="20"/>
      <c r="K148" s="20"/>
      <c r="L148" s="31" t="e">
        <f>IF(Bank_postings[[#This Row],[Manual override category]] &lt;&gt; "", Bank_postings[[#This Row],[Manual override category]], Bank_postings[[#This Row],[Category]])</f>
        <v>#N/A</v>
      </c>
      <c r="M148" s="31" t="e">
        <f>IF(Bank_postings[[#This Row],[Manual override sub-category]] &lt;&gt; "", Bank_postings[[#This Row],[Manual override sub-category]], Bank_postings[[#This Row],[Sub-category]])</f>
        <v>#N/A</v>
      </c>
    </row>
    <row r="149" spans="3:13" x14ac:dyDescent="0.25">
      <c r="C149" s="4"/>
      <c r="D149" s="20"/>
      <c r="E149" s="37"/>
      <c r="F149" s="98"/>
      <c r="G149" s="91">
        <f>-Bank_postings[[#This Row],[Payment amount]] + Bank_postings[[#This Row],[Receipt amount]]</f>
        <v>0</v>
      </c>
      <c r="H149" s="31" t="e" cm="1">
        <f t="array" ref="H149">INDEX(Payment_categorisations[Category], MATCH(TRUE, ISNUMBER(SEARCH(Payment_categorisations[Contains keywords], Bank_postings[[#This Row],[Narrative]])), 0))</f>
        <v>#N/A</v>
      </c>
      <c r="I149" s="31" t="e" cm="1">
        <f t="array" ref="I149">INDEX(Payment_categorisations[Sub-category], MATCH(TRUE, ISNUMBER(SEARCH(Payment_categorisations[Contains keywords], Bank_postings[[#This Row],[Narrative]])), 0))</f>
        <v>#N/A</v>
      </c>
      <c r="J149" s="20"/>
      <c r="K149" s="20"/>
      <c r="L149" s="31" t="e">
        <f>IF(Bank_postings[[#This Row],[Manual override category]] &lt;&gt; "", Bank_postings[[#This Row],[Manual override category]], Bank_postings[[#This Row],[Category]])</f>
        <v>#N/A</v>
      </c>
      <c r="M149" s="31" t="e">
        <f>IF(Bank_postings[[#This Row],[Manual override sub-category]] &lt;&gt; "", Bank_postings[[#This Row],[Manual override sub-category]], Bank_postings[[#This Row],[Sub-category]])</f>
        <v>#N/A</v>
      </c>
    </row>
    <row r="150" spans="3:13" x14ac:dyDescent="0.25">
      <c r="C150" s="4"/>
      <c r="D150" s="20"/>
      <c r="E150" s="37"/>
      <c r="F150" s="98"/>
      <c r="G150" s="91">
        <f>-Bank_postings[[#This Row],[Payment amount]] + Bank_postings[[#This Row],[Receipt amount]]</f>
        <v>0</v>
      </c>
      <c r="H150" s="31" t="e" cm="1">
        <f t="array" ref="H150">INDEX(Payment_categorisations[Category], MATCH(TRUE, ISNUMBER(SEARCH(Payment_categorisations[Contains keywords], Bank_postings[[#This Row],[Narrative]])), 0))</f>
        <v>#N/A</v>
      </c>
      <c r="I150" s="31" t="e" cm="1">
        <f t="array" ref="I150">INDEX(Payment_categorisations[Sub-category], MATCH(TRUE, ISNUMBER(SEARCH(Payment_categorisations[Contains keywords], Bank_postings[[#This Row],[Narrative]])), 0))</f>
        <v>#N/A</v>
      </c>
      <c r="J150" s="20"/>
      <c r="K150" s="20"/>
      <c r="L150" s="31" t="e">
        <f>IF(Bank_postings[[#This Row],[Manual override category]] &lt;&gt; "", Bank_postings[[#This Row],[Manual override category]], Bank_postings[[#This Row],[Category]])</f>
        <v>#N/A</v>
      </c>
      <c r="M150" s="31" t="e">
        <f>IF(Bank_postings[[#This Row],[Manual override sub-category]] &lt;&gt; "", Bank_postings[[#This Row],[Manual override sub-category]], Bank_postings[[#This Row],[Sub-category]])</f>
        <v>#N/A</v>
      </c>
    </row>
    <row r="151" spans="3:13" x14ac:dyDescent="0.25">
      <c r="C151" s="4"/>
      <c r="D151" s="20"/>
      <c r="E151" s="37"/>
      <c r="F151" s="98"/>
      <c r="G151" s="91">
        <f>-Bank_postings[[#This Row],[Payment amount]] + Bank_postings[[#This Row],[Receipt amount]]</f>
        <v>0</v>
      </c>
      <c r="H151" s="31" t="e" cm="1">
        <f t="array" ref="H151">INDEX(Payment_categorisations[Category], MATCH(TRUE, ISNUMBER(SEARCH(Payment_categorisations[Contains keywords], Bank_postings[[#This Row],[Narrative]])), 0))</f>
        <v>#N/A</v>
      </c>
      <c r="I151" s="31" t="e" cm="1">
        <f t="array" ref="I151">INDEX(Payment_categorisations[Sub-category], MATCH(TRUE, ISNUMBER(SEARCH(Payment_categorisations[Contains keywords], Bank_postings[[#This Row],[Narrative]])), 0))</f>
        <v>#N/A</v>
      </c>
      <c r="J151" s="20"/>
      <c r="K151" s="20"/>
      <c r="L151" s="31" t="e">
        <f>IF(Bank_postings[[#This Row],[Manual override category]] &lt;&gt; "", Bank_postings[[#This Row],[Manual override category]], Bank_postings[[#This Row],[Category]])</f>
        <v>#N/A</v>
      </c>
      <c r="M151" s="31" t="e">
        <f>IF(Bank_postings[[#This Row],[Manual override sub-category]] &lt;&gt; "", Bank_postings[[#This Row],[Manual override sub-category]], Bank_postings[[#This Row],[Sub-category]])</f>
        <v>#N/A</v>
      </c>
    </row>
    <row r="152" spans="3:13" x14ac:dyDescent="0.25">
      <c r="C152" s="4"/>
      <c r="D152" s="20"/>
      <c r="E152" s="37"/>
      <c r="F152" s="98"/>
      <c r="G152" s="91">
        <f>-Bank_postings[[#This Row],[Payment amount]] + Bank_postings[[#This Row],[Receipt amount]]</f>
        <v>0</v>
      </c>
      <c r="H152" s="31" t="e" cm="1">
        <f t="array" ref="H152">INDEX(Payment_categorisations[Category], MATCH(TRUE, ISNUMBER(SEARCH(Payment_categorisations[Contains keywords], Bank_postings[[#This Row],[Narrative]])), 0))</f>
        <v>#N/A</v>
      </c>
      <c r="I152" s="31" t="e" cm="1">
        <f t="array" ref="I152">INDEX(Payment_categorisations[Sub-category], MATCH(TRUE, ISNUMBER(SEARCH(Payment_categorisations[Contains keywords], Bank_postings[[#This Row],[Narrative]])), 0))</f>
        <v>#N/A</v>
      </c>
      <c r="J152" s="20"/>
      <c r="K152" s="20"/>
      <c r="L152" s="31" t="e">
        <f>IF(Bank_postings[[#This Row],[Manual override category]] &lt;&gt; "", Bank_postings[[#This Row],[Manual override category]], Bank_postings[[#This Row],[Category]])</f>
        <v>#N/A</v>
      </c>
      <c r="M152" s="31" t="e">
        <f>IF(Bank_postings[[#This Row],[Manual override sub-category]] &lt;&gt; "", Bank_postings[[#This Row],[Manual override sub-category]], Bank_postings[[#This Row],[Sub-category]])</f>
        <v>#N/A</v>
      </c>
    </row>
    <row r="153" spans="3:13" x14ac:dyDescent="0.25">
      <c r="C153" s="4"/>
      <c r="D153" s="20"/>
      <c r="E153" s="37"/>
      <c r="F153" s="98"/>
      <c r="G153" s="91">
        <f>-Bank_postings[[#This Row],[Payment amount]] + Bank_postings[[#This Row],[Receipt amount]]</f>
        <v>0</v>
      </c>
      <c r="H153" s="31" t="e" cm="1">
        <f t="array" ref="H153">INDEX(Payment_categorisations[Category], MATCH(TRUE, ISNUMBER(SEARCH(Payment_categorisations[Contains keywords], Bank_postings[[#This Row],[Narrative]])), 0))</f>
        <v>#N/A</v>
      </c>
      <c r="I153" s="31" t="e" cm="1">
        <f t="array" ref="I153">INDEX(Payment_categorisations[Sub-category], MATCH(TRUE, ISNUMBER(SEARCH(Payment_categorisations[Contains keywords], Bank_postings[[#This Row],[Narrative]])), 0))</f>
        <v>#N/A</v>
      </c>
      <c r="J153" s="20"/>
      <c r="K153" s="20"/>
      <c r="L153" s="31" t="e">
        <f>IF(Bank_postings[[#This Row],[Manual override category]] &lt;&gt; "", Bank_postings[[#This Row],[Manual override category]], Bank_postings[[#This Row],[Category]])</f>
        <v>#N/A</v>
      </c>
      <c r="M153" s="31" t="e">
        <f>IF(Bank_postings[[#This Row],[Manual override sub-category]] &lt;&gt; "", Bank_postings[[#This Row],[Manual override sub-category]], Bank_postings[[#This Row],[Sub-category]])</f>
        <v>#N/A</v>
      </c>
    </row>
    <row r="154" spans="3:13" x14ac:dyDescent="0.25">
      <c r="C154" s="4"/>
      <c r="D154" s="20"/>
      <c r="E154" s="37"/>
      <c r="F154" s="98"/>
      <c r="G154" s="91">
        <f>-Bank_postings[[#This Row],[Payment amount]] + Bank_postings[[#This Row],[Receipt amount]]</f>
        <v>0</v>
      </c>
      <c r="H154" s="31" t="e" cm="1">
        <f t="array" ref="H154">INDEX(Payment_categorisations[Category], MATCH(TRUE, ISNUMBER(SEARCH(Payment_categorisations[Contains keywords], Bank_postings[[#This Row],[Narrative]])), 0))</f>
        <v>#N/A</v>
      </c>
      <c r="I154" s="31" t="e" cm="1">
        <f t="array" ref="I154">INDEX(Payment_categorisations[Sub-category], MATCH(TRUE, ISNUMBER(SEARCH(Payment_categorisations[Contains keywords], Bank_postings[[#This Row],[Narrative]])), 0))</f>
        <v>#N/A</v>
      </c>
      <c r="J154" s="20"/>
      <c r="K154" s="20"/>
      <c r="L154" s="31" t="e">
        <f>IF(Bank_postings[[#This Row],[Manual override category]] &lt;&gt; "", Bank_postings[[#This Row],[Manual override category]], Bank_postings[[#This Row],[Category]])</f>
        <v>#N/A</v>
      </c>
      <c r="M154" s="31" t="e">
        <f>IF(Bank_postings[[#This Row],[Manual override sub-category]] &lt;&gt; "", Bank_postings[[#This Row],[Manual override sub-category]], Bank_postings[[#This Row],[Sub-category]])</f>
        <v>#N/A</v>
      </c>
    </row>
    <row r="155" spans="3:13" x14ac:dyDescent="0.25">
      <c r="C155" s="4"/>
      <c r="D155" s="20"/>
      <c r="E155" s="37"/>
      <c r="F155" s="98"/>
      <c r="G155" s="91">
        <f>-Bank_postings[[#This Row],[Payment amount]] + Bank_postings[[#This Row],[Receipt amount]]</f>
        <v>0</v>
      </c>
      <c r="H155" s="31" t="e" cm="1">
        <f t="array" ref="H155">INDEX(Payment_categorisations[Category], MATCH(TRUE, ISNUMBER(SEARCH(Payment_categorisations[Contains keywords], Bank_postings[[#This Row],[Narrative]])), 0))</f>
        <v>#N/A</v>
      </c>
      <c r="I155" s="31" t="e" cm="1">
        <f t="array" ref="I155">INDEX(Payment_categorisations[Sub-category], MATCH(TRUE, ISNUMBER(SEARCH(Payment_categorisations[Contains keywords], Bank_postings[[#This Row],[Narrative]])), 0))</f>
        <v>#N/A</v>
      </c>
      <c r="J155" s="20"/>
      <c r="K155" s="20"/>
      <c r="L155" s="31" t="e">
        <f>IF(Bank_postings[[#This Row],[Manual override category]] &lt;&gt; "", Bank_postings[[#This Row],[Manual override category]], Bank_postings[[#This Row],[Category]])</f>
        <v>#N/A</v>
      </c>
      <c r="M155" s="31" t="e">
        <f>IF(Bank_postings[[#This Row],[Manual override sub-category]] &lt;&gt; "", Bank_postings[[#This Row],[Manual override sub-category]], Bank_postings[[#This Row],[Sub-category]])</f>
        <v>#N/A</v>
      </c>
    </row>
    <row r="156" spans="3:13" x14ac:dyDescent="0.25">
      <c r="C156" s="4"/>
      <c r="D156" s="20"/>
      <c r="E156" s="37"/>
      <c r="F156" s="98"/>
      <c r="G156" s="91">
        <f>-Bank_postings[[#This Row],[Payment amount]] + Bank_postings[[#This Row],[Receipt amount]]</f>
        <v>0</v>
      </c>
      <c r="H156" s="31" t="e" cm="1">
        <f t="array" ref="H156">INDEX(Payment_categorisations[Category], MATCH(TRUE, ISNUMBER(SEARCH(Payment_categorisations[Contains keywords], Bank_postings[[#This Row],[Narrative]])), 0))</f>
        <v>#N/A</v>
      </c>
      <c r="I156" s="31" t="e" cm="1">
        <f t="array" ref="I156">INDEX(Payment_categorisations[Sub-category], MATCH(TRUE, ISNUMBER(SEARCH(Payment_categorisations[Contains keywords], Bank_postings[[#This Row],[Narrative]])), 0))</f>
        <v>#N/A</v>
      </c>
      <c r="J156" s="20"/>
      <c r="K156" s="20"/>
      <c r="L156" s="31" t="e">
        <f>IF(Bank_postings[[#This Row],[Manual override category]] &lt;&gt; "", Bank_postings[[#This Row],[Manual override category]], Bank_postings[[#This Row],[Category]])</f>
        <v>#N/A</v>
      </c>
      <c r="M156" s="31" t="e">
        <f>IF(Bank_postings[[#This Row],[Manual override sub-category]] &lt;&gt; "", Bank_postings[[#This Row],[Manual override sub-category]], Bank_postings[[#This Row],[Sub-category]])</f>
        <v>#N/A</v>
      </c>
    </row>
    <row r="157" spans="3:13" x14ac:dyDescent="0.25">
      <c r="C157" s="4"/>
      <c r="D157" s="20"/>
      <c r="E157" s="37"/>
      <c r="F157" s="98"/>
      <c r="G157" s="91">
        <f>-Bank_postings[[#This Row],[Payment amount]] + Bank_postings[[#This Row],[Receipt amount]]</f>
        <v>0</v>
      </c>
      <c r="H157" s="31" t="e" cm="1">
        <f t="array" ref="H157">INDEX(Payment_categorisations[Category], MATCH(TRUE, ISNUMBER(SEARCH(Payment_categorisations[Contains keywords], Bank_postings[[#This Row],[Narrative]])), 0))</f>
        <v>#N/A</v>
      </c>
      <c r="I157" s="31" t="e" cm="1">
        <f t="array" ref="I157">INDEX(Payment_categorisations[Sub-category], MATCH(TRUE, ISNUMBER(SEARCH(Payment_categorisations[Contains keywords], Bank_postings[[#This Row],[Narrative]])), 0))</f>
        <v>#N/A</v>
      </c>
      <c r="J157" s="20"/>
      <c r="K157" s="20"/>
      <c r="L157" s="31" t="e">
        <f>IF(Bank_postings[[#This Row],[Manual override category]] &lt;&gt; "", Bank_postings[[#This Row],[Manual override category]], Bank_postings[[#This Row],[Category]])</f>
        <v>#N/A</v>
      </c>
      <c r="M157" s="31" t="e">
        <f>IF(Bank_postings[[#This Row],[Manual override sub-category]] &lt;&gt; "", Bank_postings[[#This Row],[Manual override sub-category]], Bank_postings[[#This Row],[Sub-category]])</f>
        <v>#N/A</v>
      </c>
    </row>
    <row r="158" spans="3:13" x14ac:dyDescent="0.25">
      <c r="C158" s="4"/>
      <c r="D158" s="20"/>
      <c r="E158" s="37"/>
      <c r="F158" s="98"/>
      <c r="G158" s="91">
        <f>-Bank_postings[[#This Row],[Payment amount]] + Bank_postings[[#This Row],[Receipt amount]]</f>
        <v>0</v>
      </c>
      <c r="H158" s="31" t="e" cm="1">
        <f t="array" ref="H158">INDEX(Payment_categorisations[Category], MATCH(TRUE, ISNUMBER(SEARCH(Payment_categorisations[Contains keywords], Bank_postings[[#This Row],[Narrative]])), 0))</f>
        <v>#N/A</v>
      </c>
      <c r="I158" s="31" t="e" cm="1">
        <f t="array" ref="I158">INDEX(Payment_categorisations[Sub-category], MATCH(TRUE, ISNUMBER(SEARCH(Payment_categorisations[Contains keywords], Bank_postings[[#This Row],[Narrative]])), 0))</f>
        <v>#N/A</v>
      </c>
      <c r="J158" s="20"/>
      <c r="K158" s="20"/>
      <c r="L158" s="31" t="e">
        <f>IF(Bank_postings[[#This Row],[Manual override category]] &lt;&gt; "", Bank_postings[[#This Row],[Manual override category]], Bank_postings[[#This Row],[Category]])</f>
        <v>#N/A</v>
      </c>
      <c r="M158" s="31" t="e">
        <f>IF(Bank_postings[[#This Row],[Manual override sub-category]] &lt;&gt; "", Bank_postings[[#This Row],[Manual override sub-category]], Bank_postings[[#This Row],[Sub-category]])</f>
        <v>#N/A</v>
      </c>
    </row>
    <row r="159" spans="3:13" x14ac:dyDescent="0.25">
      <c r="C159" s="4"/>
      <c r="D159" s="20"/>
      <c r="E159" s="37"/>
      <c r="F159" s="98"/>
      <c r="G159" s="91">
        <f>-Bank_postings[[#This Row],[Payment amount]] + Bank_postings[[#This Row],[Receipt amount]]</f>
        <v>0</v>
      </c>
      <c r="H159" s="31" t="e" cm="1">
        <f t="array" ref="H159">INDEX(Payment_categorisations[Category], MATCH(TRUE, ISNUMBER(SEARCH(Payment_categorisations[Contains keywords], Bank_postings[[#This Row],[Narrative]])), 0))</f>
        <v>#N/A</v>
      </c>
      <c r="I159" s="31" t="e" cm="1">
        <f t="array" ref="I159">INDEX(Payment_categorisations[Sub-category], MATCH(TRUE, ISNUMBER(SEARCH(Payment_categorisations[Contains keywords], Bank_postings[[#This Row],[Narrative]])), 0))</f>
        <v>#N/A</v>
      </c>
      <c r="J159" s="20"/>
      <c r="K159" s="20"/>
      <c r="L159" s="31" t="e">
        <f>IF(Bank_postings[[#This Row],[Manual override category]] &lt;&gt; "", Bank_postings[[#This Row],[Manual override category]], Bank_postings[[#This Row],[Category]])</f>
        <v>#N/A</v>
      </c>
      <c r="M159" s="31" t="e">
        <f>IF(Bank_postings[[#This Row],[Manual override sub-category]] &lt;&gt; "", Bank_postings[[#This Row],[Manual override sub-category]], Bank_postings[[#This Row],[Sub-category]])</f>
        <v>#N/A</v>
      </c>
    </row>
    <row r="160" spans="3:13" x14ac:dyDescent="0.25">
      <c r="C160" s="4"/>
      <c r="D160" s="20"/>
      <c r="E160" s="37"/>
      <c r="F160" s="98"/>
      <c r="G160" s="91">
        <f>-Bank_postings[[#This Row],[Payment amount]] + Bank_postings[[#This Row],[Receipt amount]]</f>
        <v>0</v>
      </c>
      <c r="H160" s="31" t="e" cm="1">
        <f t="array" ref="H160">INDEX(Payment_categorisations[Category], MATCH(TRUE, ISNUMBER(SEARCH(Payment_categorisations[Contains keywords], Bank_postings[[#This Row],[Narrative]])), 0))</f>
        <v>#N/A</v>
      </c>
      <c r="I160" s="31" t="e" cm="1">
        <f t="array" ref="I160">INDEX(Payment_categorisations[Sub-category], MATCH(TRUE, ISNUMBER(SEARCH(Payment_categorisations[Contains keywords], Bank_postings[[#This Row],[Narrative]])), 0))</f>
        <v>#N/A</v>
      </c>
      <c r="J160" s="20"/>
      <c r="K160" s="20"/>
      <c r="L160" s="31" t="e">
        <f>IF(Bank_postings[[#This Row],[Manual override category]] &lt;&gt; "", Bank_postings[[#This Row],[Manual override category]], Bank_postings[[#This Row],[Category]])</f>
        <v>#N/A</v>
      </c>
      <c r="M160" s="31" t="e">
        <f>IF(Bank_postings[[#This Row],[Manual override sub-category]] &lt;&gt; "", Bank_postings[[#This Row],[Manual override sub-category]], Bank_postings[[#This Row],[Sub-category]])</f>
        <v>#N/A</v>
      </c>
    </row>
    <row r="161" spans="3:13" x14ac:dyDescent="0.25">
      <c r="C161" s="4"/>
      <c r="D161" s="20"/>
      <c r="E161" s="37"/>
      <c r="F161" s="98"/>
      <c r="G161" s="91">
        <f>-Bank_postings[[#This Row],[Payment amount]] + Bank_postings[[#This Row],[Receipt amount]]</f>
        <v>0</v>
      </c>
      <c r="H161" s="31" t="e" cm="1">
        <f t="array" ref="H161">INDEX(Payment_categorisations[Category], MATCH(TRUE, ISNUMBER(SEARCH(Payment_categorisations[Contains keywords], Bank_postings[[#This Row],[Narrative]])), 0))</f>
        <v>#N/A</v>
      </c>
      <c r="I161" s="31" t="e" cm="1">
        <f t="array" ref="I161">INDEX(Payment_categorisations[Sub-category], MATCH(TRUE, ISNUMBER(SEARCH(Payment_categorisations[Contains keywords], Bank_postings[[#This Row],[Narrative]])), 0))</f>
        <v>#N/A</v>
      </c>
      <c r="J161" s="20"/>
      <c r="K161" s="20"/>
      <c r="L161" s="31" t="e">
        <f>IF(Bank_postings[[#This Row],[Manual override category]] &lt;&gt; "", Bank_postings[[#This Row],[Manual override category]], Bank_postings[[#This Row],[Category]])</f>
        <v>#N/A</v>
      </c>
      <c r="M161" s="31" t="e">
        <f>IF(Bank_postings[[#This Row],[Manual override sub-category]] &lt;&gt; "", Bank_postings[[#This Row],[Manual override sub-category]], Bank_postings[[#This Row],[Sub-category]])</f>
        <v>#N/A</v>
      </c>
    </row>
    <row r="162" spans="3:13" x14ac:dyDescent="0.25">
      <c r="C162" s="4"/>
      <c r="D162" s="20"/>
      <c r="E162" s="37"/>
      <c r="F162" s="98"/>
      <c r="G162" s="91">
        <f>-Bank_postings[[#This Row],[Payment amount]] + Bank_postings[[#This Row],[Receipt amount]]</f>
        <v>0</v>
      </c>
      <c r="H162" s="31" t="e" cm="1">
        <f t="array" ref="H162">INDEX(Payment_categorisations[Category], MATCH(TRUE, ISNUMBER(SEARCH(Payment_categorisations[Contains keywords], Bank_postings[[#This Row],[Narrative]])), 0))</f>
        <v>#N/A</v>
      </c>
      <c r="I162" s="31" t="e" cm="1">
        <f t="array" ref="I162">INDEX(Payment_categorisations[Sub-category], MATCH(TRUE, ISNUMBER(SEARCH(Payment_categorisations[Contains keywords], Bank_postings[[#This Row],[Narrative]])), 0))</f>
        <v>#N/A</v>
      </c>
      <c r="J162" s="20"/>
      <c r="K162" s="20"/>
      <c r="L162" s="31" t="e">
        <f>IF(Bank_postings[[#This Row],[Manual override category]] &lt;&gt; "", Bank_postings[[#This Row],[Manual override category]], Bank_postings[[#This Row],[Category]])</f>
        <v>#N/A</v>
      </c>
      <c r="M162" s="31" t="e">
        <f>IF(Bank_postings[[#This Row],[Manual override sub-category]] &lt;&gt; "", Bank_postings[[#This Row],[Manual override sub-category]], Bank_postings[[#This Row],[Sub-category]])</f>
        <v>#N/A</v>
      </c>
    </row>
    <row r="163" spans="3:13" x14ac:dyDescent="0.25">
      <c r="C163" s="4"/>
      <c r="D163" s="20"/>
      <c r="E163" s="37"/>
      <c r="F163" s="98"/>
      <c r="G163" s="91">
        <f>-Bank_postings[[#This Row],[Payment amount]] + Bank_postings[[#This Row],[Receipt amount]]</f>
        <v>0</v>
      </c>
      <c r="H163" s="31" t="e" cm="1">
        <f t="array" ref="H163">INDEX(Payment_categorisations[Category], MATCH(TRUE, ISNUMBER(SEARCH(Payment_categorisations[Contains keywords], Bank_postings[[#This Row],[Narrative]])), 0))</f>
        <v>#N/A</v>
      </c>
      <c r="I163" s="31" t="e" cm="1">
        <f t="array" ref="I163">INDEX(Payment_categorisations[Sub-category], MATCH(TRUE, ISNUMBER(SEARCH(Payment_categorisations[Contains keywords], Bank_postings[[#This Row],[Narrative]])), 0))</f>
        <v>#N/A</v>
      </c>
      <c r="J163" s="20"/>
      <c r="K163" s="20"/>
      <c r="L163" s="31" t="e">
        <f>IF(Bank_postings[[#This Row],[Manual override category]] &lt;&gt; "", Bank_postings[[#This Row],[Manual override category]], Bank_postings[[#This Row],[Category]])</f>
        <v>#N/A</v>
      </c>
      <c r="M163" s="31" t="e">
        <f>IF(Bank_postings[[#This Row],[Manual override sub-category]] &lt;&gt; "", Bank_postings[[#This Row],[Manual override sub-category]], Bank_postings[[#This Row],[Sub-category]])</f>
        <v>#N/A</v>
      </c>
    </row>
    <row r="164" spans="3:13" x14ac:dyDescent="0.25">
      <c r="C164" s="4"/>
      <c r="D164" s="20"/>
      <c r="E164" s="37"/>
      <c r="F164" s="98"/>
      <c r="G164" s="91">
        <f>-Bank_postings[[#This Row],[Payment amount]] + Bank_postings[[#This Row],[Receipt amount]]</f>
        <v>0</v>
      </c>
      <c r="H164" s="31" t="e" cm="1">
        <f t="array" ref="H164">INDEX(Payment_categorisations[Category], MATCH(TRUE, ISNUMBER(SEARCH(Payment_categorisations[Contains keywords], Bank_postings[[#This Row],[Narrative]])), 0))</f>
        <v>#N/A</v>
      </c>
      <c r="I164" s="31" t="e" cm="1">
        <f t="array" ref="I164">INDEX(Payment_categorisations[Sub-category], MATCH(TRUE, ISNUMBER(SEARCH(Payment_categorisations[Contains keywords], Bank_postings[[#This Row],[Narrative]])), 0))</f>
        <v>#N/A</v>
      </c>
      <c r="J164" s="20"/>
      <c r="K164" s="20"/>
      <c r="L164" s="31" t="e">
        <f>IF(Bank_postings[[#This Row],[Manual override category]] &lt;&gt; "", Bank_postings[[#This Row],[Manual override category]], Bank_postings[[#This Row],[Category]])</f>
        <v>#N/A</v>
      </c>
      <c r="M164" s="31" t="e">
        <f>IF(Bank_postings[[#This Row],[Manual override sub-category]] &lt;&gt; "", Bank_postings[[#This Row],[Manual override sub-category]], Bank_postings[[#This Row],[Sub-category]])</f>
        <v>#N/A</v>
      </c>
    </row>
    <row r="165" spans="3:13" x14ac:dyDescent="0.25">
      <c r="C165" s="4"/>
      <c r="D165" s="20"/>
      <c r="E165" s="37"/>
      <c r="F165" s="98"/>
      <c r="G165" s="91">
        <f>-Bank_postings[[#This Row],[Payment amount]] + Bank_postings[[#This Row],[Receipt amount]]</f>
        <v>0</v>
      </c>
      <c r="H165" s="31" t="e" cm="1">
        <f t="array" ref="H165">INDEX(Payment_categorisations[Category], MATCH(TRUE, ISNUMBER(SEARCH(Payment_categorisations[Contains keywords], Bank_postings[[#This Row],[Narrative]])), 0))</f>
        <v>#N/A</v>
      </c>
      <c r="I165" s="31" t="e" cm="1">
        <f t="array" ref="I165">INDEX(Payment_categorisations[Sub-category], MATCH(TRUE, ISNUMBER(SEARCH(Payment_categorisations[Contains keywords], Bank_postings[[#This Row],[Narrative]])), 0))</f>
        <v>#N/A</v>
      </c>
      <c r="J165" s="20"/>
      <c r="K165" s="20"/>
      <c r="L165" s="31" t="e">
        <f>IF(Bank_postings[[#This Row],[Manual override category]] &lt;&gt; "", Bank_postings[[#This Row],[Manual override category]], Bank_postings[[#This Row],[Category]])</f>
        <v>#N/A</v>
      </c>
      <c r="M165" s="31" t="e">
        <f>IF(Bank_postings[[#This Row],[Manual override sub-category]] &lt;&gt; "", Bank_postings[[#This Row],[Manual override sub-category]], Bank_postings[[#This Row],[Sub-category]])</f>
        <v>#N/A</v>
      </c>
    </row>
    <row r="166" spans="3:13" x14ac:dyDescent="0.25">
      <c r="C166" s="4"/>
      <c r="D166" s="20"/>
      <c r="E166" s="37"/>
      <c r="F166" s="98"/>
      <c r="G166" s="91">
        <f>-Bank_postings[[#This Row],[Payment amount]] + Bank_postings[[#This Row],[Receipt amount]]</f>
        <v>0</v>
      </c>
      <c r="H166" s="31" t="e" cm="1">
        <f t="array" ref="H166">INDEX(Payment_categorisations[Category], MATCH(TRUE, ISNUMBER(SEARCH(Payment_categorisations[Contains keywords], Bank_postings[[#This Row],[Narrative]])), 0))</f>
        <v>#N/A</v>
      </c>
      <c r="I166" s="31" t="e" cm="1">
        <f t="array" ref="I166">INDEX(Payment_categorisations[Sub-category], MATCH(TRUE, ISNUMBER(SEARCH(Payment_categorisations[Contains keywords], Bank_postings[[#This Row],[Narrative]])), 0))</f>
        <v>#N/A</v>
      </c>
      <c r="J166" s="20"/>
      <c r="K166" s="20"/>
      <c r="L166" s="31" t="e">
        <f>IF(Bank_postings[[#This Row],[Manual override category]] &lt;&gt; "", Bank_postings[[#This Row],[Manual override category]], Bank_postings[[#This Row],[Category]])</f>
        <v>#N/A</v>
      </c>
      <c r="M166" s="31" t="e">
        <f>IF(Bank_postings[[#This Row],[Manual override sub-category]] &lt;&gt; "", Bank_postings[[#This Row],[Manual override sub-category]], Bank_postings[[#This Row],[Sub-category]])</f>
        <v>#N/A</v>
      </c>
    </row>
    <row r="167" spans="3:13" x14ac:dyDescent="0.25">
      <c r="C167" s="4"/>
      <c r="D167" s="20"/>
      <c r="E167" s="37"/>
      <c r="F167" s="98"/>
      <c r="G167" s="91">
        <f>-Bank_postings[[#This Row],[Payment amount]] + Bank_postings[[#This Row],[Receipt amount]]</f>
        <v>0</v>
      </c>
      <c r="H167" s="31" t="e" cm="1">
        <f t="array" ref="H167">INDEX(Payment_categorisations[Category], MATCH(TRUE, ISNUMBER(SEARCH(Payment_categorisations[Contains keywords], Bank_postings[[#This Row],[Narrative]])), 0))</f>
        <v>#N/A</v>
      </c>
      <c r="I167" s="31" t="e" cm="1">
        <f t="array" ref="I167">INDEX(Payment_categorisations[Sub-category], MATCH(TRUE, ISNUMBER(SEARCH(Payment_categorisations[Contains keywords], Bank_postings[[#This Row],[Narrative]])), 0))</f>
        <v>#N/A</v>
      </c>
      <c r="J167" s="20"/>
      <c r="K167" s="20"/>
      <c r="L167" s="31" t="e">
        <f>IF(Bank_postings[[#This Row],[Manual override category]] &lt;&gt; "", Bank_postings[[#This Row],[Manual override category]], Bank_postings[[#This Row],[Category]])</f>
        <v>#N/A</v>
      </c>
      <c r="M167" s="31" t="e">
        <f>IF(Bank_postings[[#This Row],[Manual override sub-category]] &lt;&gt; "", Bank_postings[[#This Row],[Manual override sub-category]], Bank_postings[[#This Row],[Sub-category]])</f>
        <v>#N/A</v>
      </c>
    </row>
    <row r="168" spans="3:13" x14ac:dyDescent="0.25">
      <c r="C168" s="4"/>
      <c r="D168" s="20"/>
      <c r="E168" s="37"/>
      <c r="F168" s="98"/>
      <c r="G168" s="91">
        <f>-Bank_postings[[#This Row],[Payment amount]] + Bank_postings[[#This Row],[Receipt amount]]</f>
        <v>0</v>
      </c>
      <c r="H168" s="31" t="e" cm="1">
        <f t="array" ref="H168">INDEX(Payment_categorisations[Category], MATCH(TRUE, ISNUMBER(SEARCH(Payment_categorisations[Contains keywords], Bank_postings[[#This Row],[Narrative]])), 0))</f>
        <v>#N/A</v>
      </c>
      <c r="I168" s="31" t="e" cm="1">
        <f t="array" ref="I168">INDEX(Payment_categorisations[Sub-category], MATCH(TRUE, ISNUMBER(SEARCH(Payment_categorisations[Contains keywords], Bank_postings[[#This Row],[Narrative]])), 0))</f>
        <v>#N/A</v>
      </c>
      <c r="J168" s="20"/>
      <c r="K168" s="20"/>
      <c r="L168" s="31" t="e">
        <f>IF(Bank_postings[[#This Row],[Manual override category]] &lt;&gt; "", Bank_postings[[#This Row],[Manual override category]], Bank_postings[[#This Row],[Category]])</f>
        <v>#N/A</v>
      </c>
      <c r="M168" s="31" t="e">
        <f>IF(Bank_postings[[#This Row],[Manual override sub-category]] &lt;&gt; "", Bank_postings[[#This Row],[Manual override sub-category]], Bank_postings[[#This Row],[Sub-category]])</f>
        <v>#N/A</v>
      </c>
    </row>
    <row r="169" spans="3:13" x14ac:dyDescent="0.25">
      <c r="C169" s="4"/>
      <c r="D169" s="20"/>
      <c r="E169" s="37"/>
      <c r="F169" s="98"/>
      <c r="G169" s="91">
        <f>-Bank_postings[[#This Row],[Payment amount]] + Bank_postings[[#This Row],[Receipt amount]]</f>
        <v>0</v>
      </c>
      <c r="H169" s="31" t="e" cm="1">
        <f t="array" ref="H169">INDEX(Payment_categorisations[Category], MATCH(TRUE, ISNUMBER(SEARCH(Payment_categorisations[Contains keywords], Bank_postings[[#This Row],[Narrative]])), 0))</f>
        <v>#N/A</v>
      </c>
      <c r="I169" s="31" t="e" cm="1">
        <f t="array" ref="I169">INDEX(Payment_categorisations[Sub-category], MATCH(TRUE, ISNUMBER(SEARCH(Payment_categorisations[Contains keywords], Bank_postings[[#This Row],[Narrative]])), 0))</f>
        <v>#N/A</v>
      </c>
      <c r="J169" s="20"/>
      <c r="K169" s="20"/>
      <c r="L169" s="31" t="e">
        <f>IF(Bank_postings[[#This Row],[Manual override category]] &lt;&gt; "", Bank_postings[[#This Row],[Manual override category]], Bank_postings[[#This Row],[Category]])</f>
        <v>#N/A</v>
      </c>
      <c r="M169" s="31" t="e">
        <f>IF(Bank_postings[[#This Row],[Manual override sub-category]] &lt;&gt; "", Bank_postings[[#This Row],[Manual override sub-category]], Bank_postings[[#This Row],[Sub-category]])</f>
        <v>#N/A</v>
      </c>
    </row>
    <row r="170" spans="3:13" x14ac:dyDescent="0.25">
      <c r="C170" s="4"/>
      <c r="D170" s="20"/>
      <c r="E170" s="37"/>
      <c r="F170" s="98"/>
      <c r="G170" s="91">
        <f>-Bank_postings[[#This Row],[Payment amount]] + Bank_postings[[#This Row],[Receipt amount]]</f>
        <v>0</v>
      </c>
      <c r="H170" s="31" t="e" cm="1">
        <f t="array" ref="H170">INDEX(Payment_categorisations[Category], MATCH(TRUE, ISNUMBER(SEARCH(Payment_categorisations[Contains keywords], Bank_postings[[#This Row],[Narrative]])), 0))</f>
        <v>#N/A</v>
      </c>
      <c r="I170" s="31" t="e" cm="1">
        <f t="array" ref="I170">INDEX(Payment_categorisations[Sub-category], MATCH(TRUE, ISNUMBER(SEARCH(Payment_categorisations[Contains keywords], Bank_postings[[#This Row],[Narrative]])), 0))</f>
        <v>#N/A</v>
      </c>
      <c r="J170" s="20"/>
      <c r="K170" s="20"/>
      <c r="L170" s="31" t="e">
        <f>IF(Bank_postings[[#This Row],[Manual override category]] &lt;&gt; "", Bank_postings[[#This Row],[Manual override category]], Bank_postings[[#This Row],[Category]])</f>
        <v>#N/A</v>
      </c>
      <c r="M170" s="31" t="e">
        <f>IF(Bank_postings[[#This Row],[Manual override sub-category]] &lt;&gt; "", Bank_postings[[#This Row],[Manual override sub-category]], Bank_postings[[#This Row],[Sub-category]])</f>
        <v>#N/A</v>
      </c>
    </row>
    <row r="171" spans="3:13" x14ac:dyDescent="0.25">
      <c r="C171" s="4"/>
      <c r="D171" s="20"/>
      <c r="E171" s="37"/>
      <c r="F171" s="98"/>
      <c r="G171" s="91">
        <f>-Bank_postings[[#This Row],[Payment amount]] + Bank_postings[[#This Row],[Receipt amount]]</f>
        <v>0</v>
      </c>
      <c r="H171" s="31" t="e" cm="1">
        <f t="array" ref="H171">INDEX(Payment_categorisations[Category], MATCH(TRUE, ISNUMBER(SEARCH(Payment_categorisations[Contains keywords], Bank_postings[[#This Row],[Narrative]])), 0))</f>
        <v>#N/A</v>
      </c>
      <c r="I171" s="31" t="e" cm="1">
        <f t="array" ref="I171">INDEX(Payment_categorisations[Sub-category], MATCH(TRUE, ISNUMBER(SEARCH(Payment_categorisations[Contains keywords], Bank_postings[[#This Row],[Narrative]])), 0))</f>
        <v>#N/A</v>
      </c>
      <c r="J171" s="20"/>
      <c r="K171" s="20"/>
      <c r="L171" s="31" t="e">
        <f>IF(Bank_postings[[#This Row],[Manual override category]] &lt;&gt; "", Bank_postings[[#This Row],[Manual override category]], Bank_postings[[#This Row],[Category]])</f>
        <v>#N/A</v>
      </c>
      <c r="M171" s="31" t="e">
        <f>IF(Bank_postings[[#This Row],[Manual override sub-category]] &lt;&gt; "", Bank_postings[[#This Row],[Manual override sub-category]], Bank_postings[[#This Row],[Sub-category]])</f>
        <v>#N/A</v>
      </c>
    </row>
    <row r="172" spans="3:13" x14ac:dyDescent="0.25">
      <c r="C172" s="4"/>
      <c r="D172" s="20"/>
      <c r="E172" s="37"/>
      <c r="F172" s="98"/>
      <c r="G172" s="91">
        <f>-Bank_postings[[#This Row],[Payment amount]] + Bank_postings[[#This Row],[Receipt amount]]</f>
        <v>0</v>
      </c>
      <c r="H172" s="31" t="e" cm="1">
        <f t="array" ref="H172">INDEX(Payment_categorisations[Category], MATCH(TRUE, ISNUMBER(SEARCH(Payment_categorisations[Contains keywords], Bank_postings[[#This Row],[Narrative]])), 0))</f>
        <v>#N/A</v>
      </c>
      <c r="I172" s="31" t="e" cm="1">
        <f t="array" ref="I172">INDEX(Payment_categorisations[Sub-category], MATCH(TRUE, ISNUMBER(SEARCH(Payment_categorisations[Contains keywords], Bank_postings[[#This Row],[Narrative]])), 0))</f>
        <v>#N/A</v>
      </c>
      <c r="J172" s="20"/>
      <c r="K172" s="20"/>
      <c r="L172" s="31" t="e">
        <f>IF(Bank_postings[[#This Row],[Manual override category]] &lt;&gt; "", Bank_postings[[#This Row],[Manual override category]], Bank_postings[[#This Row],[Category]])</f>
        <v>#N/A</v>
      </c>
      <c r="M172" s="31" t="e">
        <f>IF(Bank_postings[[#This Row],[Manual override sub-category]] &lt;&gt; "", Bank_postings[[#This Row],[Manual override sub-category]], Bank_postings[[#This Row],[Sub-category]])</f>
        <v>#N/A</v>
      </c>
    </row>
    <row r="173" spans="3:13" x14ac:dyDescent="0.25">
      <c r="C173" s="4"/>
      <c r="D173" s="20"/>
      <c r="E173" s="37"/>
      <c r="F173" s="98"/>
      <c r="G173" s="91">
        <f>-Bank_postings[[#This Row],[Payment amount]] + Bank_postings[[#This Row],[Receipt amount]]</f>
        <v>0</v>
      </c>
      <c r="H173" s="31" t="e" cm="1">
        <f t="array" ref="H173">INDEX(Payment_categorisations[Category], MATCH(TRUE, ISNUMBER(SEARCH(Payment_categorisations[Contains keywords], Bank_postings[[#This Row],[Narrative]])), 0))</f>
        <v>#N/A</v>
      </c>
      <c r="I173" s="31" t="e" cm="1">
        <f t="array" ref="I173">INDEX(Payment_categorisations[Sub-category], MATCH(TRUE, ISNUMBER(SEARCH(Payment_categorisations[Contains keywords], Bank_postings[[#This Row],[Narrative]])), 0))</f>
        <v>#N/A</v>
      </c>
      <c r="J173" s="20"/>
      <c r="K173" s="20"/>
      <c r="L173" s="31" t="e">
        <f>IF(Bank_postings[[#This Row],[Manual override category]] &lt;&gt; "", Bank_postings[[#This Row],[Manual override category]], Bank_postings[[#This Row],[Category]])</f>
        <v>#N/A</v>
      </c>
      <c r="M173" s="31" t="e">
        <f>IF(Bank_postings[[#This Row],[Manual override sub-category]] &lt;&gt; "", Bank_postings[[#This Row],[Manual override sub-category]], Bank_postings[[#This Row],[Sub-category]])</f>
        <v>#N/A</v>
      </c>
    </row>
    <row r="174" spans="3:13" x14ac:dyDescent="0.25">
      <c r="C174" s="4"/>
      <c r="D174" s="20"/>
      <c r="E174" s="37"/>
      <c r="F174" s="98"/>
      <c r="G174" s="91">
        <f>-Bank_postings[[#This Row],[Payment amount]] + Bank_postings[[#This Row],[Receipt amount]]</f>
        <v>0</v>
      </c>
      <c r="H174" s="31" t="e" cm="1">
        <f t="array" ref="H174">INDEX(Payment_categorisations[Category], MATCH(TRUE, ISNUMBER(SEARCH(Payment_categorisations[Contains keywords], Bank_postings[[#This Row],[Narrative]])), 0))</f>
        <v>#N/A</v>
      </c>
      <c r="I174" s="31" t="e" cm="1">
        <f t="array" ref="I174">INDEX(Payment_categorisations[Sub-category], MATCH(TRUE, ISNUMBER(SEARCH(Payment_categorisations[Contains keywords], Bank_postings[[#This Row],[Narrative]])), 0))</f>
        <v>#N/A</v>
      </c>
      <c r="J174" s="20"/>
      <c r="K174" s="20"/>
      <c r="L174" s="31" t="e">
        <f>IF(Bank_postings[[#This Row],[Manual override category]] &lt;&gt; "", Bank_postings[[#This Row],[Manual override category]], Bank_postings[[#This Row],[Category]])</f>
        <v>#N/A</v>
      </c>
      <c r="M174" s="31" t="e">
        <f>IF(Bank_postings[[#This Row],[Manual override sub-category]] &lt;&gt; "", Bank_postings[[#This Row],[Manual override sub-category]], Bank_postings[[#This Row],[Sub-category]])</f>
        <v>#N/A</v>
      </c>
    </row>
    <row r="175" spans="3:13" x14ac:dyDescent="0.25">
      <c r="C175" s="4"/>
      <c r="D175" s="20"/>
      <c r="E175" s="37"/>
      <c r="F175" s="98"/>
      <c r="G175" s="91">
        <f>-Bank_postings[[#This Row],[Payment amount]] + Bank_postings[[#This Row],[Receipt amount]]</f>
        <v>0</v>
      </c>
      <c r="H175" s="31" t="e" cm="1">
        <f t="array" ref="H175">INDEX(Payment_categorisations[Category], MATCH(TRUE, ISNUMBER(SEARCH(Payment_categorisations[Contains keywords], Bank_postings[[#This Row],[Narrative]])), 0))</f>
        <v>#N/A</v>
      </c>
      <c r="I175" s="31" t="e" cm="1">
        <f t="array" ref="I175">INDEX(Payment_categorisations[Sub-category], MATCH(TRUE, ISNUMBER(SEARCH(Payment_categorisations[Contains keywords], Bank_postings[[#This Row],[Narrative]])), 0))</f>
        <v>#N/A</v>
      </c>
      <c r="J175" s="20"/>
      <c r="K175" s="20"/>
      <c r="L175" s="31" t="e">
        <f>IF(Bank_postings[[#This Row],[Manual override category]] &lt;&gt; "", Bank_postings[[#This Row],[Manual override category]], Bank_postings[[#This Row],[Category]])</f>
        <v>#N/A</v>
      </c>
      <c r="M175" s="31" t="e">
        <f>IF(Bank_postings[[#This Row],[Manual override sub-category]] &lt;&gt; "", Bank_postings[[#This Row],[Manual override sub-category]], Bank_postings[[#This Row],[Sub-category]])</f>
        <v>#N/A</v>
      </c>
    </row>
    <row r="176" spans="3:13" x14ac:dyDescent="0.25">
      <c r="C176" s="4"/>
      <c r="D176" s="20"/>
      <c r="E176" s="37"/>
      <c r="F176" s="98"/>
      <c r="G176" s="91">
        <f>-Bank_postings[[#This Row],[Payment amount]] + Bank_postings[[#This Row],[Receipt amount]]</f>
        <v>0</v>
      </c>
      <c r="H176" s="31" t="e" cm="1">
        <f t="array" ref="H176">INDEX(Payment_categorisations[Category], MATCH(TRUE, ISNUMBER(SEARCH(Payment_categorisations[Contains keywords], Bank_postings[[#This Row],[Narrative]])), 0))</f>
        <v>#N/A</v>
      </c>
      <c r="I176" s="31" t="e" cm="1">
        <f t="array" ref="I176">INDEX(Payment_categorisations[Sub-category], MATCH(TRUE, ISNUMBER(SEARCH(Payment_categorisations[Contains keywords], Bank_postings[[#This Row],[Narrative]])), 0))</f>
        <v>#N/A</v>
      </c>
      <c r="J176" s="20"/>
      <c r="K176" s="20"/>
      <c r="L176" s="31" t="e">
        <f>IF(Bank_postings[[#This Row],[Manual override category]] &lt;&gt; "", Bank_postings[[#This Row],[Manual override category]], Bank_postings[[#This Row],[Category]])</f>
        <v>#N/A</v>
      </c>
      <c r="M176" s="31" t="e">
        <f>IF(Bank_postings[[#This Row],[Manual override sub-category]] &lt;&gt; "", Bank_postings[[#This Row],[Manual override sub-category]], Bank_postings[[#This Row],[Sub-category]])</f>
        <v>#N/A</v>
      </c>
    </row>
    <row r="177" spans="3:13" x14ac:dyDescent="0.25">
      <c r="C177" s="4"/>
      <c r="D177" s="20"/>
      <c r="E177" s="37"/>
      <c r="F177" s="98"/>
      <c r="G177" s="91">
        <f>-Bank_postings[[#This Row],[Payment amount]] + Bank_postings[[#This Row],[Receipt amount]]</f>
        <v>0</v>
      </c>
      <c r="H177" s="31" t="e" cm="1">
        <f t="array" ref="H177">INDEX(Payment_categorisations[Category], MATCH(TRUE, ISNUMBER(SEARCH(Payment_categorisations[Contains keywords], Bank_postings[[#This Row],[Narrative]])), 0))</f>
        <v>#N/A</v>
      </c>
      <c r="I177" s="31" t="e" cm="1">
        <f t="array" ref="I177">INDEX(Payment_categorisations[Sub-category], MATCH(TRUE, ISNUMBER(SEARCH(Payment_categorisations[Contains keywords], Bank_postings[[#This Row],[Narrative]])), 0))</f>
        <v>#N/A</v>
      </c>
      <c r="J177" s="20"/>
      <c r="K177" s="20"/>
      <c r="L177" s="31" t="e">
        <f>IF(Bank_postings[[#This Row],[Manual override category]] &lt;&gt; "", Bank_postings[[#This Row],[Manual override category]], Bank_postings[[#This Row],[Category]])</f>
        <v>#N/A</v>
      </c>
      <c r="M177" s="31" t="e">
        <f>IF(Bank_postings[[#This Row],[Manual override sub-category]] &lt;&gt; "", Bank_postings[[#This Row],[Manual override sub-category]], Bank_postings[[#This Row],[Sub-category]])</f>
        <v>#N/A</v>
      </c>
    </row>
    <row r="178" spans="3:13" x14ac:dyDescent="0.25">
      <c r="C178" s="4"/>
      <c r="D178" s="20"/>
      <c r="E178" s="37"/>
      <c r="F178" s="98"/>
      <c r="G178" s="91">
        <f>-Bank_postings[[#This Row],[Payment amount]] + Bank_postings[[#This Row],[Receipt amount]]</f>
        <v>0</v>
      </c>
      <c r="H178" s="31" t="e" cm="1">
        <f t="array" ref="H178">INDEX(Payment_categorisations[Category], MATCH(TRUE, ISNUMBER(SEARCH(Payment_categorisations[Contains keywords], Bank_postings[[#This Row],[Narrative]])), 0))</f>
        <v>#N/A</v>
      </c>
      <c r="I178" s="31" t="e" cm="1">
        <f t="array" ref="I178">INDEX(Payment_categorisations[Sub-category], MATCH(TRUE, ISNUMBER(SEARCH(Payment_categorisations[Contains keywords], Bank_postings[[#This Row],[Narrative]])), 0))</f>
        <v>#N/A</v>
      </c>
      <c r="J178" s="20"/>
      <c r="K178" s="20"/>
      <c r="L178" s="31" t="e">
        <f>IF(Bank_postings[[#This Row],[Manual override category]] &lt;&gt; "", Bank_postings[[#This Row],[Manual override category]], Bank_postings[[#This Row],[Category]])</f>
        <v>#N/A</v>
      </c>
      <c r="M178" s="31" t="e">
        <f>IF(Bank_postings[[#This Row],[Manual override sub-category]] &lt;&gt; "", Bank_postings[[#This Row],[Manual override sub-category]], Bank_postings[[#This Row],[Sub-category]])</f>
        <v>#N/A</v>
      </c>
    </row>
    <row r="179" spans="3:13" x14ac:dyDescent="0.25">
      <c r="C179" s="4"/>
      <c r="D179" s="20"/>
      <c r="E179" s="37"/>
      <c r="F179" s="98"/>
      <c r="G179" s="91">
        <f>-Bank_postings[[#This Row],[Payment amount]] + Bank_postings[[#This Row],[Receipt amount]]</f>
        <v>0</v>
      </c>
      <c r="H179" s="31" t="e" cm="1">
        <f t="array" ref="H179">INDEX(Payment_categorisations[Category], MATCH(TRUE, ISNUMBER(SEARCH(Payment_categorisations[Contains keywords], Bank_postings[[#This Row],[Narrative]])), 0))</f>
        <v>#N/A</v>
      </c>
      <c r="I179" s="31" t="e" cm="1">
        <f t="array" ref="I179">INDEX(Payment_categorisations[Sub-category], MATCH(TRUE, ISNUMBER(SEARCH(Payment_categorisations[Contains keywords], Bank_postings[[#This Row],[Narrative]])), 0))</f>
        <v>#N/A</v>
      </c>
      <c r="J179" s="20"/>
      <c r="K179" s="20"/>
      <c r="L179" s="31" t="e">
        <f>IF(Bank_postings[[#This Row],[Manual override category]] &lt;&gt; "", Bank_postings[[#This Row],[Manual override category]], Bank_postings[[#This Row],[Category]])</f>
        <v>#N/A</v>
      </c>
      <c r="M179" s="31" t="e">
        <f>IF(Bank_postings[[#This Row],[Manual override sub-category]] &lt;&gt; "", Bank_postings[[#This Row],[Manual override sub-category]], Bank_postings[[#This Row],[Sub-category]])</f>
        <v>#N/A</v>
      </c>
    </row>
    <row r="180" spans="3:13" x14ac:dyDescent="0.25">
      <c r="C180" s="4"/>
      <c r="D180" s="20"/>
      <c r="E180" s="37"/>
      <c r="F180" s="98"/>
      <c r="G180" s="91">
        <f>-Bank_postings[[#This Row],[Payment amount]] + Bank_postings[[#This Row],[Receipt amount]]</f>
        <v>0</v>
      </c>
      <c r="H180" s="31" t="e" cm="1">
        <f t="array" ref="H180">INDEX(Payment_categorisations[Category], MATCH(TRUE, ISNUMBER(SEARCH(Payment_categorisations[Contains keywords], Bank_postings[[#This Row],[Narrative]])), 0))</f>
        <v>#N/A</v>
      </c>
      <c r="I180" s="31" t="e" cm="1">
        <f t="array" ref="I180">INDEX(Payment_categorisations[Sub-category], MATCH(TRUE, ISNUMBER(SEARCH(Payment_categorisations[Contains keywords], Bank_postings[[#This Row],[Narrative]])), 0))</f>
        <v>#N/A</v>
      </c>
      <c r="J180" s="20"/>
      <c r="K180" s="20"/>
      <c r="L180" s="31" t="e">
        <f>IF(Bank_postings[[#This Row],[Manual override category]] &lt;&gt; "", Bank_postings[[#This Row],[Manual override category]], Bank_postings[[#This Row],[Category]])</f>
        <v>#N/A</v>
      </c>
      <c r="M180" s="31" t="e">
        <f>IF(Bank_postings[[#This Row],[Manual override sub-category]] &lt;&gt; "", Bank_postings[[#This Row],[Manual override sub-category]], Bank_postings[[#This Row],[Sub-category]])</f>
        <v>#N/A</v>
      </c>
    </row>
    <row r="181" spans="3:13" x14ac:dyDescent="0.25">
      <c r="C181" s="4"/>
      <c r="D181" s="20"/>
      <c r="E181" s="37"/>
      <c r="F181" s="98"/>
      <c r="G181" s="91">
        <f>-Bank_postings[[#This Row],[Payment amount]] + Bank_postings[[#This Row],[Receipt amount]]</f>
        <v>0</v>
      </c>
      <c r="H181" s="31" t="e" cm="1">
        <f t="array" ref="H181">INDEX(Payment_categorisations[Category], MATCH(TRUE, ISNUMBER(SEARCH(Payment_categorisations[Contains keywords], Bank_postings[[#This Row],[Narrative]])), 0))</f>
        <v>#N/A</v>
      </c>
      <c r="I181" s="31" t="e" cm="1">
        <f t="array" ref="I181">INDEX(Payment_categorisations[Sub-category], MATCH(TRUE, ISNUMBER(SEARCH(Payment_categorisations[Contains keywords], Bank_postings[[#This Row],[Narrative]])), 0))</f>
        <v>#N/A</v>
      </c>
      <c r="J181" s="20"/>
      <c r="K181" s="20"/>
      <c r="L181" s="31" t="e">
        <f>IF(Bank_postings[[#This Row],[Manual override category]] &lt;&gt; "", Bank_postings[[#This Row],[Manual override category]], Bank_postings[[#This Row],[Category]])</f>
        <v>#N/A</v>
      </c>
      <c r="M181" s="31" t="e">
        <f>IF(Bank_postings[[#This Row],[Manual override sub-category]] &lt;&gt; "", Bank_postings[[#This Row],[Manual override sub-category]], Bank_postings[[#This Row],[Sub-category]])</f>
        <v>#N/A</v>
      </c>
    </row>
    <row r="182" spans="3:13" x14ac:dyDescent="0.25">
      <c r="C182" s="4"/>
      <c r="D182" s="20"/>
      <c r="E182" s="37"/>
      <c r="F182" s="98"/>
      <c r="G182" s="91">
        <f>-Bank_postings[[#This Row],[Payment amount]] + Bank_postings[[#This Row],[Receipt amount]]</f>
        <v>0</v>
      </c>
      <c r="H182" s="31" t="e" cm="1">
        <f t="array" ref="H182">INDEX(Payment_categorisations[Category], MATCH(TRUE, ISNUMBER(SEARCH(Payment_categorisations[Contains keywords], Bank_postings[[#This Row],[Narrative]])), 0))</f>
        <v>#N/A</v>
      </c>
      <c r="I182" s="31" t="e" cm="1">
        <f t="array" ref="I182">INDEX(Payment_categorisations[Sub-category], MATCH(TRUE, ISNUMBER(SEARCH(Payment_categorisations[Contains keywords], Bank_postings[[#This Row],[Narrative]])), 0))</f>
        <v>#N/A</v>
      </c>
      <c r="J182" s="20"/>
      <c r="K182" s="20"/>
      <c r="L182" s="31" t="e">
        <f>IF(Bank_postings[[#This Row],[Manual override category]] &lt;&gt; "", Bank_postings[[#This Row],[Manual override category]], Bank_postings[[#This Row],[Category]])</f>
        <v>#N/A</v>
      </c>
      <c r="M182" s="31" t="e">
        <f>IF(Bank_postings[[#This Row],[Manual override sub-category]] &lt;&gt; "", Bank_postings[[#This Row],[Manual override sub-category]], Bank_postings[[#This Row],[Sub-category]])</f>
        <v>#N/A</v>
      </c>
    </row>
    <row r="183" spans="3:13" x14ac:dyDescent="0.25">
      <c r="C183" s="4"/>
      <c r="D183" s="20"/>
      <c r="E183" s="37"/>
      <c r="F183" s="98"/>
      <c r="G183" s="91">
        <f>-Bank_postings[[#This Row],[Payment amount]] + Bank_postings[[#This Row],[Receipt amount]]</f>
        <v>0</v>
      </c>
      <c r="H183" s="31" t="e" cm="1">
        <f t="array" ref="H183">INDEX(Payment_categorisations[Category], MATCH(TRUE, ISNUMBER(SEARCH(Payment_categorisations[Contains keywords], Bank_postings[[#This Row],[Narrative]])), 0))</f>
        <v>#N/A</v>
      </c>
      <c r="I183" s="31" t="e" cm="1">
        <f t="array" ref="I183">INDEX(Payment_categorisations[Sub-category], MATCH(TRUE, ISNUMBER(SEARCH(Payment_categorisations[Contains keywords], Bank_postings[[#This Row],[Narrative]])), 0))</f>
        <v>#N/A</v>
      </c>
      <c r="J183" s="20"/>
      <c r="K183" s="20"/>
      <c r="L183" s="31" t="e">
        <f>IF(Bank_postings[[#This Row],[Manual override category]] &lt;&gt; "", Bank_postings[[#This Row],[Manual override category]], Bank_postings[[#This Row],[Category]])</f>
        <v>#N/A</v>
      </c>
      <c r="M183" s="31" t="e">
        <f>IF(Bank_postings[[#This Row],[Manual override sub-category]] &lt;&gt; "", Bank_postings[[#This Row],[Manual override sub-category]], Bank_postings[[#This Row],[Sub-category]])</f>
        <v>#N/A</v>
      </c>
    </row>
    <row r="184" spans="3:13" x14ac:dyDescent="0.25">
      <c r="C184" s="4"/>
      <c r="D184" s="20"/>
      <c r="E184" s="37"/>
      <c r="F184" s="98"/>
      <c r="G184" s="91">
        <f>-Bank_postings[[#This Row],[Payment amount]] + Bank_postings[[#This Row],[Receipt amount]]</f>
        <v>0</v>
      </c>
      <c r="H184" s="31" t="e" cm="1">
        <f t="array" ref="H184">INDEX(Payment_categorisations[Category], MATCH(TRUE, ISNUMBER(SEARCH(Payment_categorisations[Contains keywords], Bank_postings[[#This Row],[Narrative]])), 0))</f>
        <v>#N/A</v>
      </c>
      <c r="I184" s="31" t="e" cm="1">
        <f t="array" ref="I184">INDEX(Payment_categorisations[Sub-category], MATCH(TRUE, ISNUMBER(SEARCH(Payment_categorisations[Contains keywords], Bank_postings[[#This Row],[Narrative]])), 0))</f>
        <v>#N/A</v>
      </c>
      <c r="J184" s="20"/>
      <c r="K184" s="20"/>
      <c r="L184" s="31" t="e">
        <f>IF(Bank_postings[[#This Row],[Manual override category]] &lt;&gt; "", Bank_postings[[#This Row],[Manual override category]], Bank_postings[[#This Row],[Category]])</f>
        <v>#N/A</v>
      </c>
      <c r="M184" s="31" t="e">
        <f>IF(Bank_postings[[#This Row],[Manual override sub-category]] &lt;&gt; "", Bank_postings[[#This Row],[Manual override sub-category]], Bank_postings[[#This Row],[Sub-category]])</f>
        <v>#N/A</v>
      </c>
    </row>
    <row r="185" spans="3:13" x14ac:dyDescent="0.25">
      <c r="C185" s="4"/>
      <c r="D185" s="20"/>
      <c r="E185" s="37"/>
      <c r="F185" s="98"/>
      <c r="G185" s="91">
        <f>-Bank_postings[[#This Row],[Payment amount]] + Bank_postings[[#This Row],[Receipt amount]]</f>
        <v>0</v>
      </c>
      <c r="H185" s="31" t="e" cm="1">
        <f t="array" ref="H185">INDEX(Payment_categorisations[Category], MATCH(TRUE, ISNUMBER(SEARCH(Payment_categorisations[Contains keywords], Bank_postings[[#This Row],[Narrative]])), 0))</f>
        <v>#N/A</v>
      </c>
      <c r="I185" s="31" t="e" cm="1">
        <f t="array" ref="I185">INDEX(Payment_categorisations[Sub-category], MATCH(TRUE, ISNUMBER(SEARCH(Payment_categorisations[Contains keywords], Bank_postings[[#This Row],[Narrative]])), 0))</f>
        <v>#N/A</v>
      </c>
      <c r="J185" s="20"/>
      <c r="K185" s="20"/>
      <c r="L185" s="31" t="e">
        <f>IF(Bank_postings[[#This Row],[Manual override category]] &lt;&gt; "", Bank_postings[[#This Row],[Manual override category]], Bank_postings[[#This Row],[Category]])</f>
        <v>#N/A</v>
      </c>
      <c r="M185" s="31" t="e">
        <f>IF(Bank_postings[[#This Row],[Manual override sub-category]] &lt;&gt; "", Bank_postings[[#This Row],[Manual override sub-category]], Bank_postings[[#This Row],[Sub-category]])</f>
        <v>#N/A</v>
      </c>
    </row>
    <row r="186" spans="3:13" x14ac:dyDescent="0.25">
      <c r="C186" s="4"/>
      <c r="D186" s="20"/>
      <c r="E186" s="37"/>
      <c r="F186" s="98"/>
      <c r="G186" s="91">
        <f>-Bank_postings[[#This Row],[Payment amount]] + Bank_postings[[#This Row],[Receipt amount]]</f>
        <v>0</v>
      </c>
      <c r="H186" s="31" t="e" cm="1">
        <f t="array" ref="H186">INDEX(Payment_categorisations[Category], MATCH(TRUE, ISNUMBER(SEARCH(Payment_categorisations[Contains keywords], Bank_postings[[#This Row],[Narrative]])), 0))</f>
        <v>#N/A</v>
      </c>
      <c r="I186" s="31" t="e" cm="1">
        <f t="array" ref="I186">INDEX(Payment_categorisations[Sub-category], MATCH(TRUE, ISNUMBER(SEARCH(Payment_categorisations[Contains keywords], Bank_postings[[#This Row],[Narrative]])), 0))</f>
        <v>#N/A</v>
      </c>
      <c r="J186" s="20"/>
      <c r="K186" s="20"/>
      <c r="L186" s="31" t="e">
        <f>IF(Bank_postings[[#This Row],[Manual override category]] &lt;&gt; "", Bank_postings[[#This Row],[Manual override category]], Bank_postings[[#This Row],[Category]])</f>
        <v>#N/A</v>
      </c>
      <c r="M186" s="31" t="e">
        <f>IF(Bank_postings[[#This Row],[Manual override sub-category]] &lt;&gt; "", Bank_postings[[#This Row],[Manual override sub-category]], Bank_postings[[#This Row],[Sub-category]])</f>
        <v>#N/A</v>
      </c>
    </row>
    <row r="187" spans="3:13" x14ac:dyDescent="0.25">
      <c r="C187" s="4"/>
      <c r="D187" s="20"/>
      <c r="E187" s="37"/>
      <c r="F187" s="98"/>
      <c r="G187" s="91">
        <f>-Bank_postings[[#This Row],[Payment amount]] + Bank_postings[[#This Row],[Receipt amount]]</f>
        <v>0</v>
      </c>
      <c r="H187" s="31" t="e" cm="1">
        <f t="array" ref="H187">INDEX(Payment_categorisations[Category], MATCH(TRUE, ISNUMBER(SEARCH(Payment_categorisations[Contains keywords], Bank_postings[[#This Row],[Narrative]])), 0))</f>
        <v>#N/A</v>
      </c>
      <c r="I187" s="31" t="e" cm="1">
        <f t="array" ref="I187">INDEX(Payment_categorisations[Sub-category], MATCH(TRUE, ISNUMBER(SEARCH(Payment_categorisations[Contains keywords], Bank_postings[[#This Row],[Narrative]])), 0))</f>
        <v>#N/A</v>
      </c>
      <c r="J187" s="20"/>
      <c r="K187" s="20"/>
      <c r="L187" s="31" t="e">
        <f>IF(Bank_postings[[#This Row],[Manual override category]] &lt;&gt; "", Bank_postings[[#This Row],[Manual override category]], Bank_postings[[#This Row],[Category]])</f>
        <v>#N/A</v>
      </c>
      <c r="M187" s="31" t="e">
        <f>IF(Bank_postings[[#This Row],[Manual override sub-category]] &lt;&gt; "", Bank_postings[[#This Row],[Manual override sub-category]], Bank_postings[[#This Row],[Sub-category]])</f>
        <v>#N/A</v>
      </c>
    </row>
    <row r="188" spans="3:13" x14ac:dyDescent="0.25">
      <c r="C188" s="4"/>
      <c r="D188" s="20"/>
      <c r="E188" s="37"/>
      <c r="F188" s="98"/>
      <c r="G188" s="91">
        <f>-Bank_postings[[#This Row],[Payment amount]] + Bank_postings[[#This Row],[Receipt amount]]</f>
        <v>0</v>
      </c>
      <c r="H188" s="31" t="e" cm="1">
        <f t="array" ref="H188">INDEX(Payment_categorisations[Category], MATCH(TRUE, ISNUMBER(SEARCH(Payment_categorisations[Contains keywords], Bank_postings[[#This Row],[Narrative]])), 0))</f>
        <v>#N/A</v>
      </c>
      <c r="I188" s="31" t="e" cm="1">
        <f t="array" ref="I188">INDEX(Payment_categorisations[Sub-category], MATCH(TRUE, ISNUMBER(SEARCH(Payment_categorisations[Contains keywords], Bank_postings[[#This Row],[Narrative]])), 0))</f>
        <v>#N/A</v>
      </c>
      <c r="J188" s="20"/>
      <c r="K188" s="20"/>
      <c r="L188" s="31" t="e">
        <f>IF(Bank_postings[[#This Row],[Manual override category]] &lt;&gt; "", Bank_postings[[#This Row],[Manual override category]], Bank_postings[[#This Row],[Category]])</f>
        <v>#N/A</v>
      </c>
      <c r="M188" s="31" t="e">
        <f>IF(Bank_postings[[#This Row],[Manual override sub-category]] &lt;&gt; "", Bank_postings[[#This Row],[Manual override sub-category]], Bank_postings[[#This Row],[Sub-category]])</f>
        <v>#N/A</v>
      </c>
    </row>
    <row r="189" spans="3:13" x14ac:dyDescent="0.25">
      <c r="C189" s="4"/>
      <c r="D189" s="20"/>
      <c r="E189" s="37"/>
      <c r="F189" s="98"/>
      <c r="G189" s="91">
        <f>-Bank_postings[[#This Row],[Payment amount]] + Bank_postings[[#This Row],[Receipt amount]]</f>
        <v>0</v>
      </c>
      <c r="H189" s="31" t="e" cm="1">
        <f t="array" ref="H189">INDEX(Payment_categorisations[Category], MATCH(TRUE, ISNUMBER(SEARCH(Payment_categorisations[Contains keywords], Bank_postings[[#This Row],[Narrative]])), 0))</f>
        <v>#N/A</v>
      </c>
      <c r="I189" s="31" t="e" cm="1">
        <f t="array" ref="I189">INDEX(Payment_categorisations[Sub-category], MATCH(TRUE, ISNUMBER(SEARCH(Payment_categorisations[Contains keywords], Bank_postings[[#This Row],[Narrative]])), 0))</f>
        <v>#N/A</v>
      </c>
      <c r="J189" s="20"/>
      <c r="K189" s="20"/>
      <c r="L189" s="31" t="e">
        <f>IF(Bank_postings[[#This Row],[Manual override category]] &lt;&gt; "", Bank_postings[[#This Row],[Manual override category]], Bank_postings[[#This Row],[Category]])</f>
        <v>#N/A</v>
      </c>
      <c r="M189" s="31" t="e">
        <f>IF(Bank_postings[[#This Row],[Manual override sub-category]] &lt;&gt; "", Bank_postings[[#This Row],[Manual override sub-category]], Bank_postings[[#This Row],[Sub-category]])</f>
        <v>#N/A</v>
      </c>
    </row>
    <row r="190" spans="3:13" x14ac:dyDescent="0.25">
      <c r="C190" s="4"/>
      <c r="D190" s="20"/>
      <c r="E190" s="37"/>
      <c r="F190" s="98"/>
      <c r="G190" s="91">
        <f>-Bank_postings[[#This Row],[Payment amount]] + Bank_postings[[#This Row],[Receipt amount]]</f>
        <v>0</v>
      </c>
      <c r="H190" s="31" t="e" cm="1">
        <f t="array" ref="H190">INDEX(Payment_categorisations[Category], MATCH(TRUE, ISNUMBER(SEARCH(Payment_categorisations[Contains keywords], Bank_postings[[#This Row],[Narrative]])), 0))</f>
        <v>#N/A</v>
      </c>
      <c r="I190" s="31" t="e" cm="1">
        <f t="array" ref="I190">INDEX(Payment_categorisations[Sub-category], MATCH(TRUE, ISNUMBER(SEARCH(Payment_categorisations[Contains keywords], Bank_postings[[#This Row],[Narrative]])), 0))</f>
        <v>#N/A</v>
      </c>
      <c r="J190" s="20"/>
      <c r="K190" s="20"/>
      <c r="L190" s="31" t="e">
        <f>IF(Bank_postings[[#This Row],[Manual override category]] &lt;&gt; "", Bank_postings[[#This Row],[Manual override category]], Bank_postings[[#This Row],[Category]])</f>
        <v>#N/A</v>
      </c>
      <c r="M190" s="31" t="e">
        <f>IF(Bank_postings[[#This Row],[Manual override sub-category]] &lt;&gt; "", Bank_postings[[#This Row],[Manual override sub-category]], Bank_postings[[#This Row],[Sub-category]])</f>
        <v>#N/A</v>
      </c>
    </row>
    <row r="191" spans="3:13" x14ac:dyDescent="0.25">
      <c r="C191" s="4"/>
      <c r="D191" s="20"/>
      <c r="E191" s="37"/>
      <c r="F191" s="98"/>
      <c r="G191" s="91">
        <f>-Bank_postings[[#This Row],[Payment amount]] + Bank_postings[[#This Row],[Receipt amount]]</f>
        <v>0</v>
      </c>
      <c r="H191" s="31" t="e" cm="1">
        <f t="array" ref="H191">INDEX(Payment_categorisations[Category], MATCH(TRUE, ISNUMBER(SEARCH(Payment_categorisations[Contains keywords], Bank_postings[[#This Row],[Narrative]])), 0))</f>
        <v>#N/A</v>
      </c>
      <c r="I191" s="31" t="e" cm="1">
        <f t="array" ref="I191">INDEX(Payment_categorisations[Sub-category], MATCH(TRUE, ISNUMBER(SEARCH(Payment_categorisations[Contains keywords], Bank_postings[[#This Row],[Narrative]])), 0))</f>
        <v>#N/A</v>
      </c>
      <c r="J191" s="20"/>
      <c r="K191" s="20"/>
      <c r="L191" s="31" t="e">
        <f>IF(Bank_postings[[#This Row],[Manual override category]] &lt;&gt; "", Bank_postings[[#This Row],[Manual override category]], Bank_postings[[#This Row],[Category]])</f>
        <v>#N/A</v>
      </c>
      <c r="M191" s="31" t="e">
        <f>IF(Bank_postings[[#This Row],[Manual override sub-category]] &lt;&gt; "", Bank_postings[[#This Row],[Manual override sub-category]], Bank_postings[[#This Row],[Sub-category]])</f>
        <v>#N/A</v>
      </c>
    </row>
    <row r="192" spans="3:13" x14ac:dyDescent="0.25">
      <c r="C192" s="4"/>
      <c r="D192" s="20"/>
      <c r="E192" s="37"/>
      <c r="F192" s="98"/>
      <c r="G192" s="91">
        <f>-Bank_postings[[#This Row],[Payment amount]] + Bank_postings[[#This Row],[Receipt amount]]</f>
        <v>0</v>
      </c>
      <c r="H192" s="31" t="e" cm="1">
        <f t="array" ref="H192">INDEX(Payment_categorisations[Category], MATCH(TRUE, ISNUMBER(SEARCH(Payment_categorisations[Contains keywords], Bank_postings[[#This Row],[Narrative]])), 0))</f>
        <v>#N/A</v>
      </c>
      <c r="I192" s="31" t="e" cm="1">
        <f t="array" ref="I192">INDEX(Payment_categorisations[Sub-category], MATCH(TRUE, ISNUMBER(SEARCH(Payment_categorisations[Contains keywords], Bank_postings[[#This Row],[Narrative]])), 0))</f>
        <v>#N/A</v>
      </c>
      <c r="J192" s="20"/>
      <c r="K192" s="20"/>
      <c r="L192" s="31" t="e">
        <f>IF(Bank_postings[[#This Row],[Manual override category]] &lt;&gt; "", Bank_postings[[#This Row],[Manual override category]], Bank_postings[[#This Row],[Category]])</f>
        <v>#N/A</v>
      </c>
      <c r="M192" s="31" t="e">
        <f>IF(Bank_postings[[#This Row],[Manual override sub-category]] &lt;&gt; "", Bank_postings[[#This Row],[Manual override sub-category]], Bank_postings[[#This Row],[Sub-category]])</f>
        <v>#N/A</v>
      </c>
    </row>
    <row r="193" spans="3:13" x14ac:dyDescent="0.25">
      <c r="C193" s="4"/>
      <c r="D193" s="20"/>
      <c r="E193" s="37"/>
      <c r="F193" s="98"/>
      <c r="G193" s="91">
        <f>-Bank_postings[[#This Row],[Payment amount]] + Bank_postings[[#This Row],[Receipt amount]]</f>
        <v>0</v>
      </c>
      <c r="H193" s="31" t="e" cm="1">
        <f t="array" ref="H193">INDEX(Payment_categorisations[Category], MATCH(TRUE, ISNUMBER(SEARCH(Payment_categorisations[Contains keywords], Bank_postings[[#This Row],[Narrative]])), 0))</f>
        <v>#N/A</v>
      </c>
      <c r="I193" s="31" t="e" cm="1">
        <f t="array" ref="I193">INDEX(Payment_categorisations[Sub-category], MATCH(TRUE, ISNUMBER(SEARCH(Payment_categorisations[Contains keywords], Bank_postings[[#This Row],[Narrative]])), 0))</f>
        <v>#N/A</v>
      </c>
      <c r="J193" s="20"/>
      <c r="K193" s="20"/>
      <c r="L193" s="31" t="e">
        <f>IF(Bank_postings[[#This Row],[Manual override category]] &lt;&gt; "", Bank_postings[[#This Row],[Manual override category]], Bank_postings[[#This Row],[Category]])</f>
        <v>#N/A</v>
      </c>
      <c r="M193" s="31" t="e">
        <f>IF(Bank_postings[[#This Row],[Manual override sub-category]] &lt;&gt; "", Bank_postings[[#This Row],[Manual override sub-category]], Bank_postings[[#This Row],[Sub-category]])</f>
        <v>#N/A</v>
      </c>
    </row>
    <row r="194" spans="3:13" x14ac:dyDescent="0.25">
      <c r="C194" s="4"/>
      <c r="D194" s="20"/>
      <c r="E194" s="37"/>
      <c r="F194" s="98"/>
      <c r="G194" s="91">
        <f>-Bank_postings[[#This Row],[Payment amount]] + Bank_postings[[#This Row],[Receipt amount]]</f>
        <v>0</v>
      </c>
      <c r="H194" s="31" t="e" cm="1">
        <f t="array" ref="H194">INDEX(Payment_categorisations[Category], MATCH(TRUE, ISNUMBER(SEARCH(Payment_categorisations[Contains keywords], Bank_postings[[#This Row],[Narrative]])), 0))</f>
        <v>#N/A</v>
      </c>
      <c r="I194" s="31" t="e" cm="1">
        <f t="array" ref="I194">INDEX(Payment_categorisations[Sub-category], MATCH(TRUE, ISNUMBER(SEARCH(Payment_categorisations[Contains keywords], Bank_postings[[#This Row],[Narrative]])), 0))</f>
        <v>#N/A</v>
      </c>
      <c r="J194" s="20"/>
      <c r="K194" s="20"/>
      <c r="L194" s="31" t="e">
        <f>IF(Bank_postings[[#This Row],[Manual override category]] &lt;&gt; "", Bank_postings[[#This Row],[Manual override category]], Bank_postings[[#This Row],[Category]])</f>
        <v>#N/A</v>
      </c>
      <c r="M194" s="31" t="e">
        <f>IF(Bank_postings[[#This Row],[Manual override sub-category]] &lt;&gt; "", Bank_postings[[#This Row],[Manual override sub-category]], Bank_postings[[#This Row],[Sub-category]])</f>
        <v>#N/A</v>
      </c>
    </row>
    <row r="195" spans="3:13" x14ac:dyDescent="0.25">
      <c r="C195" s="4"/>
      <c r="D195" s="20"/>
      <c r="E195" s="37"/>
      <c r="F195" s="98"/>
      <c r="G195" s="91">
        <f>-Bank_postings[[#This Row],[Payment amount]] + Bank_postings[[#This Row],[Receipt amount]]</f>
        <v>0</v>
      </c>
      <c r="H195" s="31" t="e" cm="1">
        <f t="array" ref="H195">INDEX(Payment_categorisations[Category], MATCH(TRUE, ISNUMBER(SEARCH(Payment_categorisations[Contains keywords], Bank_postings[[#This Row],[Narrative]])), 0))</f>
        <v>#N/A</v>
      </c>
      <c r="I195" s="31" t="e" cm="1">
        <f t="array" ref="I195">INDEX(Payment_categorisations[Sub-category], MATCH(TRUE, ISNUMBER(SEARCH(Payment_categorisations[Contains keywords], Bank_postings[[#This Row],[Narrative]])), 0))</f>
        <v>#N/A</v>
      </c>
      <c r="J195" s="20"/>
      <c r="K195" s="20"/>
      <c r="L195" s="31" t="e">
        <f>IF(Bank_postings[[#This Row],[Manual override category]] &lt;&gt; "", Bank_postings[[#This Row],[Manual override category]], Bank_postings[[#This Row],[Category]])</f>
        <v>#N/A</v>
      </c>
      <c r="M195" s="31" t="e">
        <f>IF(Bank_postings[[#This Row],[Manual override sub-category]] &lt;&gt; "", Bank_postings[[#This Row],[Manual override sub-category]], Bank_postings[[#This Row],[Sub-category]])</f>
        <v>#N/A</v>
      </c>
    </row>
    <row r="196" spans="3:13" x14ac:dyDescent="0.25">
      <c r="C196" s="4"/>
      <c r="D196" s="20"/>
      <c r="E196" s="37"/>
      <c r="F196" s="98"/>
      <c r="G196" s="91">
        <f>-Bank_postings[[#This Row],[Payment amount]] + Bank_postings[[#This Row],[Receipt amount]]</f>
        <v>0</v>
      </c>
      <c r="H196" s="31" t="e" cm="1">
        <f t="array" ref="H196">INDEX(Payment_categorisations[Category], MATCH(TRUE, ISNUMBER(SEARCH(Payment_categorisations[Contains keywords], Bank_postings[[#This Row],[Narrative]])), 0))</f>
        <v>#N/A</v>
      </c>
      <c r="I196" s="31" t="e" cm="1">
        <f t="array" ref="I196">INDEX(Payment_categorisations[Sub-category], MATCH(TRUE, ISNUMBER(SEARCH(Payment_categorisations[Contains keywords], Bank_postings[[#This Row],[Narrative]])), 0))</f>
        <v>#N/A</v>
      </c>
      <c r="J196" s="20"/>
      <c r="K196" s="20"/>
      <c r="L196" s="31" t="e">
        <f>IF(Bank_postings[[#This Row],[Manual override category]] &lt;&gt; "", Bank_postings[[#This Row],[Manual override category]], Bank_postings[[#This Row],[Category]])</f>
        <v>#N/A</v>
      </c>
      <c r="M196" s="31" t="e">
        <f>IF(Bank_postings[[#This Row],[Manual override sub-category]] &lt;&gt; "", Bank_postings[[#This Row],[Manual override sub-category]], Bank_postings[[#This Row],[Sub-category]])</f>
        <v>#N/A</v>
      </c>
    </row>
    <row r="197" spans="3:13" x14ac:dyDescent="0.25">
      <c r="C197" s="4"/>
      <c r="D197" s="20"/>
      <c r="E197" s="37"/>
      <c r="F197" s="98"/>
      <c r="G197" s="91">
        <f>-Bank_postings[[#This Row],[Payment amount]] + Bank_postings[[#This Row],[Receipt amount]]</f>
        <v>0</v>
      </c>
      <c r="H197" s="31" t="e" cm="1">
        <f t="array" ref="H197">INDEX(Payment_categorisations[Category], MATCH(TRUE, ISNUMBER(SEARCH(Payment_categorisations[Contains keywords], Bank_postings[[#This Row],[Narrative]])), 0))</f>
        <v>#N/A</v>
      </c>
      <c r="I197" s="31" t="e" cm="1">
        <f t="array" ref="I197">INDEX(Payment_categorisations[Sub-category], MATCH(TRUE, ISNUMBER(SEARCH(Payment_categorisations[Contains keywords], Bank_postings[[#This Row],[Narrative]])), 0))</f>
        <v>#N/A</v>
      </c>
      <c r="J197" s="20"/>
      <c r="K197" s="20"/>
      <c r="L197" s="31" t="e">
        <f>IF(Bank_postings[[#This Row],[Manual override category]] &lt;&gt; "", Bank_postings[[#This Row],[Manual override category]], Bank_postings[[#This Row],[Category]])</f>
        <v>#N/A</v>
      </c>
      <c r="M197" s="31" t="e">
        <f>IF(Bank_postings[[#This Row],[Manual override sub-category]] &lt;&gt; "", Bank_postings[[#This Row],[Manual override sub-category]], Bank_postings[[#This Row],[Sub-category]])</f>
        <v>#N/A</v>
      </c>
    </row>
    <row r="198" spans="3:13" x14ac:dyDescent="0.25">
      <c r="C198" s="4"/>
      <c r="D198" s="20"/>
      <c r="E198" s="37"/>
      <c r="F198" s="98"/>
      <c r="G198" s="91">
        <f>-Bank_postings[[#This Row],[Payment amount]] + Bank_postings[[#This Row],[Receipt amount]]</f>
        <v>0</v>
      </c>
      <c r="H198" s="31" t="e" cm="1">
        <f t="array" ref="H198">INDEX(Payment_categorisations[Category], MATCH(TRUE, ISNUMBER(SEARCH(Payment_categorisations[Contains keywords], Bank_postings[[#This Row],[Narrative]])), 0))</f>
        <v>#N/A</v>
      </c>
      <c r="I198" s="31" t="e" cm="1">
        <f t="array" ref="I198">INDEX(Payment_categorisations[Sub-category], MATCH(TRUE, ISNUMBER(SEARCH(Payment_categorisations[Contains keywords], Bank_postings[[#This Row],[Narrative]])), 0))</f>
        <v>#N/A</v>
      </c>
      <c r="J198" s="20"/>
      <c r="K198" s="20"/>
      <c r="L198" s="31" t="e">
        <f>IF(Bank_postings[[#This Row],[Manual override category]] &lt;&gt; "", Bank_postings[[#This Row],[Manual override category]], Bank_postings[[#This Row],[Category]])</f>
        <v>#N/A</v>
      </c>
      <c r="M198" s="31" t="e">
        <f>IF(Bank_postings[[#This Row],[Manual override sub-category]] &lt;&gt; "", Bank_postings[[#This Row],[Manual override sub-category]], Bank_postings[[#This Row],[Sub-category]])</f>
        <v>#N/A</v>
      </c>
    </row>
    <row r="199" spans="3:13" x14ac:dyDescent="0.25">
      <c r="C199" s="4"/>
      <c r="D199" s="20"/>
      <c r="E199" s="37"/>
      <c r="F199" s="98"/>
      <c r="G199" s="91">
        <f>-Bank_postings[[#This Row],[Payment amount]] + Bank_postings[[#This Row],[Receipt amount]]</f>
        <v>0</v>
      </c>
      <c r="H199" s="31" t="e" cm="1">
        <f t="array" ref="H199">INDEX(Payment_categorisations[Category], MATCH(TRUE, ISNUMBER(SEARCH(Payment_categorisations[Contains keywords], Bank_postings[[#This Row],[Narrative]])), 0))</f>
        <v>#N/A</v>
      </c>
      <c r="I199" s="31" t="e" cm="1">
        <f t="array" ref="I199">INDEX(Payment_categorisations[Sub-category], MATCH(TRUE, ISNUMBER(SEARCH(Payment_categorisations[Contains keywords], Bank_postings[[#This Row],[Narrative]])), 0))</f>
        <v>#N/A</v>
      </c>
      <c r="J199" s="20"/>
      <c r="K199" s="20"/>
      <c r="L199" s="31" t="e">
        <f>IF(Bank_postings[[#This Row],[Manual override category]] &lt;&gt; "", Bank_postings[[#This Row],[Manual override category]], Bank_postings[[#This Row],[Category]])</f>
        <v>#N/A</v>
      </c>
      <c r="M199" s="31" t="e">
        <f>IF(Bank_postings[[#This Row],[Manual override sub-category]] &lt;&gt; "", Bank_postings[[#This Row],[Manual override sub-category]], Bank_postings[[#This Row],[Sub-category]])</f>
        <v>#N/A</v>
      </c>
    </row>
    <row r="200" spans="3:13" x14ac:dyDescent="0.25">
      <c r="C200" s="4"/>
      <c r="D200" s="20"/>
      <c r="E200" s="37"/>
      <c r="F200" s="98"/>
      <c r="G200" s="91">
        <f>-Bank_postings[[#This Row],[Payment amount]] + Bank_postings[[#This Row],[Receipt amount]]</f>
        <v>0</v>
      </c>
      <c r="H200" s="31" t="e" cm="1">
        <f t="array" ref="H200">INDEX(Payment_categorisations[Category], MATCH(TRUE, ISNUMBER(SEARCH(Payment_categorisations[Contains keywords], Bank_postings[[#This Row],[Narrative]])), 0))</f>
        <v>#N/A</v>
      </c>
      <c r="I200" s="31" t="e" cm="1">
        <f t="array" ref="I200">INDEX(Payment_categorisations[Sub-category], MATCH(TRUE, ISNUMBER(SEARCH(Payment_categorisations[Contains keywords], Bank_postings[[#This Row],[Narrative]])), 0))</f>
        <v>#N/A</v>
      </c>
      <c r="J200" s="20"/>
      <c r="K200" s="20"/>
      <c r="L200" s="31" t="e">
        <f>IF(Bank_postings[[#This Row],[Manual override category]] &lt;&gt; "", Bank_postings[[#This Row],[Manual override category]], Bank_postings[[#This Row],[Category]])</f>
        <v>#N/A</v>
      </c>
      <c r="M200" s="31" t="e">
        <f>IF(Bank_postings[[#This Row],[Manual override sub-category]] &lt;&gt; "", Bank_postings[[#This Row],[Manual override sub-category]], Bank_postings[[#This Row],[Sub-category]])</f>
        <v>#N/A</v>
      </c>
    </row>
    <row r="201" spans="3:13" x14ac:dyDescent="0.25">
      <c r="C201" s="4"/>
      <c r="D201" s="20"/>
      <c r="E201" s="37"/>
      <c r="F201" s="98"/>
      <c r="G201" s="91">
        <f>-Bank_postings[[#This Row],[Payment amount]] + Bank_postings[[#This Row],[Receipt amount]]</f>
        <v>0</v>
      </c>
      <c r="H201" s="31" t="e" cm="1">
        <f t="array" ref="H201">INDEX(Payment_categorisations[Category], MATCH(TRUE, ISNUMBER(SEARCH(Payment_categorisations[Contains keywords], Bank_postings[[#This Row],[Narrative]])), 0))</f>
        <v>#N/A</v>
      </c>
      <c r="I201" s="31" t="e" cm="1">
        <f t="array" ref="I201">INDEX(Payment_categorisations[Sub-category], MATCH(TRUE, ISNUMBER(SEARCH(Payment_categorisations[Contains keywords], Bank_postings[[#This Row],[Narrative]])), 0))</f>
        <v>#N/A</v>
      </c>
      <c r="J201" s="20"/>
      <c r="K201" s="20"/>
      <c r="L201" s="31" t="e">
        <f>IF(Bank_postings[[#This Row],[Manual override category]] &lt;&gt; "", Bank_postings[[#This Row],[Manual override category]], Bank_postings[[#This Row],[Category]])</f>
        <v>#N/A</v>
      </c>
      <c r="M201" s="31" t="e">
        <f>IF(Bank_postings[[#This Row],[Manual override sub-category]] &lt;&gt; "", Bank_postings[[#This Row],[Manual override sub-category]], Bank_postings[[#This Row],[Sub-category]])</f>
        <v>#N/A</v>
      </c>
    </row>
    <row r="202" spans="3:13" x14ac:dyDescent="0.25">
      <c r="C202" s="4"/>
      <c r="D202" s="20"/>
      <c r="E202" s="37"/>
      <c r="F202" s="98"/>
      <c r="G202" s="91">
        <f>-Bank_postings[[#This Row],[Payment amount]] + Bank_postings[[#This Row],[Receipt amount]]</f>
        <v>0</v>
      </c>
      <c r="H202" s="31" t="e" cm="1">
        <f t="array" ref="H202">INDEX(Payment_categorisations[Category], MATCH(TRUE, ISNUMBER(SEARCH(Payment_categorisations[Contains keywords], Bank_postings[[#This Row],[Narrative]])), 0))</f>
        <v>#N/A</v>
      </c>
      <c r="I202" s="31" t="e" cm="1">
        <f t="array" ref="I202">INDEX(Payment_categorisations[Sub-category], MATCH(TRUE, ISNUMBER(SEARCH(Payment_categorisations[Contains keywords], Bank_postings[[#This Row],[Narrative]])), 0))</f>
        <v>#N/A</v>
      </c>
      <c r="J202" s="20"/>
      <c r="K202" s="20"/>
      <c r="L202" s="31" t="e">
        <f>IF(Bank_postings[[#This Row],[Manual override category]] &lt;&gt; "", Bank_postings[[#This Row],[Manual override category]], Bank_postings[[#This Row],[Category]])</f>
        <v>#N/A</v>
      </c>
      <c r="M202" s="31" t="e">
        <f>IF(Bank_postings[[#This Row],[Manual override sub-category]] &lt;&gt; "", Bank_postings[[#This Row],[Manual override sub-category]], Bank_postings[[#This Row],[Sub-category]])</f>
        <v>#N/A</v>
      </c>
    </row>
    <row r="203" spans="3:13" x14ac:dyDescent="0.25">
      <c r="C203" s="4"/>
      <c r="D203" s="20"/>
      <c r="E203" s="37"/>
      <c r="F203" s="98"/>
      <c r="G203" s="91">
        <f>-Bank_postings[[#This Row],[Payment amount]] + Bank_postings[[#This Row],[Receipt amount]]</f>
        <v>0</v>
      </c>
      <c r="H203" s="31" t="e" cm="1">
        <f t="array" ref="H203">INDEX(Payment_categorisations[Category], MATCH(TRUE, ISNUMBER(SEARCH(Payment_categorisations[Contains keywords], Bank_postings[[#This Row],[Narrative]])), 0))</f>
        <v>#N/A</v>
      </c>
      <c r="I203" s="31" t="e" cm="1">
        <f t="array" ref="I203">INDEX(Payment_categorisations[Sub-category], MATCH(TRUE, ISNUMBER(SEARCH(Payment_categorisations[Contains keywords], Bank_postings[[#This Row],[Narrative]])), 0))</f>
        <v>#N/A</v>
      </c>
      <c r="J203" s="20"/>
      <c r="K203" s="20"/>
      <c r="L203" s="31" t="e">
        <f>IF(Bank_postings[[#This Row],[Manual override category]] &lt;&gt; "", Bank_postings[[#This Row],[Manual override category]], Bank_postings[[#This Row],[Category]])</f>
        <v>#N/A</v>
      </c>
      <c r="M203" s="31" t="e">
        <f>IF(Bank_postings[[#This Row],[Manual override sub-category]] &lt;&gt; "", Bank_postings[[#This Row],[Manual override sub-category]], Bank_postings[[#This Row],[Sub-category]])</f>
        <v>#N/A</v>
      </c>
    </row>
    <row r="204" spans="3:13" x14ac:dyDescent="0.25">
      <c r="C204" s="4"/>
      <c r="D204" s="20"/>
      <c r="E204" s="37"/>
      <c r="F204" s="98"/>
      <c r="G204" s="91">
        <f>-Bank_postings[[#This Row],[Payment amount]] + Bank_postings[[#This Row],[Receipt amount]]</f>
        <v>0</v>
      </c>
      <c r="H204" s="31" t="e" cm="1">
        <f t="array" ref="H204">INDEX(Payment_categorisations[Category], MATCH(TRUE, ISNUMBER(SEARCH(Payment_categorisations[Contains keywords], Bank_postings[[#This Row],[Narrative]])), 0))</f>
        <v>#N/A</v>
      </c>
      <c r="I204" s="31" t="e" cm="1">
        <f t="array" ref="I204">INDEX(Payment_categorisations[Sub-category], MATCH(TRUE, ISNUMBER(SEARCH(Payment_categorisations[Contains keywords], Bank_postings[[#This Row],[Narrative]])), 0))</f>
        <v>#N/A</v>
      </c>
      <c r="J204" s="20"/>
      <c r="K204" s="20"/>
      <c r="L204" s="31" t="e">
        <f>IF(Bank_postings[[#This Row],[Manual override category]] &lt;&gt; "", Bank_postings[[#This Row],[Manual override category]], Bank_postings[[#This Row],[Category]])</f>
        <v>#N/A</v>
      </c>
      <c r="M204" s="31" t="e">
        <f>IF(Bank_postings[[#This Row],[Manual override sub-category]] &lt;&gt; "", Bank_postings[[#This Row],[Manual override sub-category]], Bank_postings[[#This Row],[Sub-category]])</f>
        <v>#N/A</v>
      </c>
    </row>
    <row r="205" spans="3:13" x14ac:dyDescent="0.25">
      <c r="C205" s="4"/>
      <c r="D205" s="20"/>
      <c r="E205" s="37"/>
      <c r="F205" s="98"/>
      <c r="G205" s="91">
        <f>-Bank_postings[[#This Row],[Payment amount]] + Bank_postings[[#This Row],[Receipt amount]]</f>
        <v>0</v>
      </c>
      <c r="H205" s="31" t="e" cm="1">
        <f t="array" ref="H205">INDEX(Payment_categorisations[Category], MATCH(TRUE, ISNUMBER(SEARCH(Payment_categorisations[Contains keywords], Bank_postings[[#This Row],[Narrative]])), 0))</f>
        <v>#N/A</v>
      </c>
      <c r="I205" s="31" t="e" cm="1">
        <f t="array" ref="I205">INDEX(Payment_categorisations[Sub-category], MATCH(TRUE, ISNUMBER(SEARCH(Payment_categorisations[Contains keywords], Bank_postings[[#This Row],[Narrative]])), 0))</f>
        <v>#N/A</v>
      </c>
      <c r="J205" s="20"/>
      <c r="K205" s="20"/>
      <c r="L205" s="31" t="e">
        <f>IF(Bank_postings[[#This Row],[Manual override category]] &lt;&gt; "", Bank_postings[[#This Row],[Manual override category]], Bank_postings[[#This Row],[Category]])</f>
        <v>#N/A</v>
      </c>
      <c r="M205" s="31" t="e">
        <f>IF(Bank_postings[[#This Row],[Manual override sub-category]] &lt;&gt; "", Bank_postings[[#This Row],[Manual override sub-category]], Bank_postings[[#This Row],[Sub-category]])</f>
        <v>#N/A</v>
      </c>
    </row>
    <row r="206" spans="3:13" x14ac:dyDescent="0.25">
      <c r="C206" s="4"/>
      <c r="D206" s="20"/>
      <c r="E206" s="37"/>
      <c r="F206" s="98"/>
      <c r="G206" s="91">
        <f>-Bank_postings[[#This Row],[Payment amount]] + Bank_postings[[#This Row],[Receipt amount]]</f>
        <v>0</v>
      </c>
      <c r="H206" s="31" t="e" cm="1">
        <f t="array" ref="H206">INDEX(Payment_categorisations[Category], MATCH(TRUE, ISNUMBER(SEARCH(Payment_categorisations[Contains keywords], Bank_postings[[#This Row],[Narrative]])), 0))</f>
        <v>#N/A</v>
      </c>
      <c r="I206" s="31" t="e" cm="1">
        <f t="array" ref="I206">INDEX(Payment_categorisations[Sub-category], MATCH(TRUE, ISNUMBER(SEARCH(Payment_categorisations[Contains keywords], Bank_postings[[#This Row],[Narrative]])), 0))</f>
        <v>#N/A</v>
      </c>
      <c r="J206" s="20"/>
      <c r="K206" s="20"/>
      <c r="L206" s="31" t="e">
        <f>IF(Bank_postings[[#This Row],[Manual override category]] &lt;&gt; "", Bank_postings[[#This Row],[Manual override category]], Bank_postings[[#This Row],[Category]])</f>
        <v>#N/A</v>
      </c>
      <c r="M206" s="31" t="e">
        <f>IF(Bank_postings[[#This Row],[Manual override sub-category]] &lt;&gt; "", Bank_postings[[#This Row],[Manual override sub-category]], Bank_postings[[#This Row],[Sub-category]])</f>
        <v>#N/A</v>
      </c>
    </row>
    <row r="207" spans="3:13" x14ac:dyDescent="0.25">
      <c r="C207" s="4"/>
      <c r="D207" s="20"/>
      <c r="E207" s="37"/>
      <c r="F207" s="98"/>
      <c r="G207" s="91">
        <f>-Bank_postings[[#This Row],[Payment amount]] + Bank_postings[[#This Row],[Receipt amount]]</f>
        <v>0</v>
      </c>
      <c r="H207" s="31" t="e" cm="1">
        <f t="array" ref="H207">INDEX(Payment_categorisations[Category], MATCH(TRUE, ISNUMBER(SEARCH(Payment_categorisations[Contains keywords], Bank_postings[[#This Row],[Narrative]])), 0))</f>
        <v>#N/A</v>
      </c>
      <c r="I207" s="31" t="e" cm="1">
        <f t="array" ref="I207">INDEX(Payment_categorisations[Sub-category], MATCH(TRUE, ISNUMBER(SEARCH(Payment_categorisations[Contains keywords], Bank_postings[[#This Row],[Narrative]])), 0))</f>
        <v>#N/A</v>
      </c>
      <c r="J207" s="20"/>
      <c r="K207" s="20"/>
      <c r="L207" s="31" t="e">
        <f>IF(Bank_postings[[#This Row],[Manual override category]] &lt;&gt; "", Bank_postings[[#This Row],[Manual override category]], Bank_postings[[#This Row],[Category]])</f>
        <v>#N/A</v>
      </c>
      <c r="M207" s="31" t="e">
        <f>IF(Bank_postings[[#This Row],[Manual override sub-category]] &lt;&gt; "", Bank_postings[[#This Row],[Manual override sub-category]], Bank_postings[[#This Row],[Sub-category]])</f>
        <v>#N/A</v>
      </c>
    </row>
    <row r="208" spans="3:13" x14ac:dyDescent="0.25">
      <c r="C208" s="4"/>
      <c r="D208" s="20"/>
      <c r="E208" s="37"/>
      <c r="F208" s="98"/>
      <c r="G208" s="91">
        <f>-Bank_postings[[#This Row],[Payment amount]] + Bank_postings[[#This Row],[Receipt amount]]</f>
        <v>0</v>
      </c>
      <c r="H208" s="31" t="e" cm="1">
        <f t="array" ref="H208">INDEX(Payment_categorisations[Category], MATCH(TRUE, ISNUMBER(SEARCH(Payment_categorisations[Contains keywords], Bank_postings[[#This Row],[Narrative]])), 0))</f>
        <v>#N/A</v>
      </c>
      <c r="I208" s="31" t="e" cm="1">
        <f t="array" ref="I208">INDEX(Payment_categorisations[Sub-category], MATCH(TRUE, ISNUMBER(SEARCH(Payment_categorisations[Contains keywords], Bank_postings[[#This Row],[Narrative]])), 0))</f>
        <v>#N/A</v>
      </c>
      <c r="J208" s="20"/>
      <c r="K208" s="20"/>
      <c r="L208" s="31" t="e">
        <f>IF(Bank_postings[[#This Row],[Manual override category]] &lt;&gt; "", Bank_postings[[#This Row],[Manual override category]], Bank_postings[[#This Row],[Category]])</f>
        <v>#N/A</v>
      </c>
      <c r="M208" s="31" t="e">
        <f>IF(Bank_postings[[#This Row],[Manual override sub-category]] &lt;&gt; "", Bank_postings[[#This Row],[Manual override sub-category]], Bank_postings[[#This Row],[Sub-category]])</f>
        <v>#N/A</v>
      </c>
    </row>
    <row r="209" spans="3:13" x14ac:dyDescent="0.25">
      <c r="C209" s="4"/>
      <c r="D209" s="20"/>
      <c r="E209" s="37"/>
      <c r="F209" s="98"/>
      <c r="G209" s="91">
        <f>-Bank_postings[[#This Row],[Payment amount]] + Bank_postings[[#This Row],[Receipt amount]]</f>
        <v>0</v>
      </c>
      <c r="H209" s="31" t="e" cm="1">
        <f t="array" ref="H209">INDEX(Payment_categorisations[Category], MATCH(TRUE, ISNUMBER(SEARCH(Payment_categorisations[Contains keywords], Bank_postings[[#This Row],[Narrative]])), 0))</f>
        <v>#N/A</v>
      </c>
      <c r="I209" s="31" t="e" cm="1">
        <f t="array" ref="I209">INDEX(Payment_categorisations[Sub-category], MATCH(TRUE, ISNUMBER(SEARCH(Payment_categorisations[Contains keywords], Bank_postings[[#This Row],[Narrative]])), 0))</f>
        <v>#N/A</v>
      </c>
      <c r="J209" s="20"/>
      <c r="K209" s="20"/>
      <c r="L209" s="31" t="e">
        <f>IF(Bank_postings[[#This Row],[Manual override category]] &lt;&gt; "", Bank_postings[[#This Row],[Manual override category]], Bank_postings[[#This Row],[Category]])</f>
        <v>#N/A</v>
      </c>
      <c r="M209" s="31" t="e">
        <f>IF(Bank_postings[[#This Row],[Manual override sub-category]] &lt;&gt; "", Bank_postings[[#This Row],[Manual override sub-category]], Bank_postings[[#This Row],[Sub-category]])</f>
        <v>#N/A</v>
      </c>
    </row>
    <row r="210" spans="3:13" x14ac:dyDescent="0.25">
      <c r="C210" s="4"/>
      <c r="D210" s="20"/>
      <c r="E210" s="37"/>
      <c r="F210" s="98"/>
      <c r="G210" s="91">
        <f>-Bank_postings[[#This Row],[Payment amount]] + Bank_postings[[#This Row],[Receipt amount]]</f>
        <v>0</v>
      </c>
      <c r="H210" s="31" t="e" cm="1">
        <f t="array" ref="H210">INDEX(Payment_categorisations[Category], MATCH(TRUE, ISNUMBER(SEARCH(Payment_categorisations[Contains keywords], Bank_postings[[#This Row],[Narrative]])), 0))</f>
        <v>#N/A</v>
      </c>
      <c r="I210" s="31" t="e" cm="1">
        <f t="array" ref="I210">INDEX(Payment_categorisations[Sub-category], MATCH(TRUE, ISNUMBER(SEARCH(Payment_categorisations[Contains keywords], Bank_postings[[#This Row],[Narrative]])), 0))</f>
        <v>#N/A</v>
      </c>
      <c r="J210" s="20"/>
      <c r="K210" s="20"/>
      <c r="L210" s="31" t="e">
        <f>IF(Bank_postings[[#This Row],[Manual override category]] &lt;&gt; "", Bank_postings[[#This Row],[Manual override category]], Bank_postings[[#This Row],[Category]])</f>
        <v>#N/A</v>
      </c>
      <c r="M210" s="31" t="e">
        <f>IF(Bank_postings[[#This Row],[Manual override sub-category]] &lt;&gt; "", Bank_postings[[#This Row],[Manual override sub-category]], Bank_postings[[#This Row],[Sub-category]])</f>
        <v>#N/A</v>
      </c>
    </row>
    <row r="211" spans="3:13" x14ac:dyDescent="0.25">
      <c r="C211" s="4"/>
      <c r="D211" s="20"/>
      <c r="E211" s="37"/>
      <c r="F211" s="98"/>
      <c r="G211" s="91">
        <f>-Bank_postings[[#This Row],[Payment amount]] + Bank_postings[[#This Row],[Receipt amount]]</f>
        <v>0</v>
      </c>
      <c r="H211" s="31" t="e" cm="1">
        <f t="array" ref="H211">INDEX(Payment_categorisations[Category], MATCH(TRUE, ISNUMBER(SEARCH(Payment_categorisations[Contains keywords], Bank_postings[[#This Row],[Narrative]])), 0))</f>
        <v>#N/A</v>
      </c>
      <c r="I211" s="31" t="e" cm="1">
        <f t="array" ref="I211">INDEX(Payment_categorisations[Sub-category], MATCH(TRUE, ISNUMBER(SEARCH(Payment_categorisations[Contains keywords], Bank_postings[[#This Row],[Narrative]])), 0))</f>
        <v>#N/A</v>
      </c>
      <c r="J211" s="20"/>
      <c r="K211" s="20"/>
      <c r="L211" s="31" t="e">
        <f>IF(Bank_postings[[#This Row],[Manual override category]] &lt;&gt; "", Bank_postings[[#This Row],[Manual override category]], Bank_postings[[#This Row],[Category]])</f>
        <v>#N/A</v>
      </c>
      <c r="M211" s="31" t="e">
        <f>IF(Bank_postings[[#This Row],[Manual override sub-category]] &lt;&gt; "", Bank_postings[[#This Row],[Manual override sub-category]], Bank_postings[[#This Row],[Sub-category]])</f>
        <v>#N/A</v>
      </c>
    </row>
    <row r="212" spans="3:13" x14ac:dyDescent="0.25">
      <c r="C212" s="4"/>
      <c r="D212" s="20"/>
      <c r="E212" s="37"/>
      <c r="F212" s="98"/>
      <c r="G212" s="91">
        <f>-Bank_postings[[#This Row],[Payment amount]] + Bank_postings[[#This Row],[Receipt amount]]</f>
        <v>0</v>
      </c>
      <c r="H212" s="31" t="e" cm="1">
        <f t="array" ref="H212">INDEX(Payment_categorisations[Category], MATCH(TRUE, ISNUMBER(SEARCH(Payment_categorisations[Contains keywords], Bank_postings[[#This Row],[Narrative]])), 0))</f>
        <v>#N/A</v>
      </c>
      <c r="I212" s="31" t="e" cm="1">
        <f t="array" ref="I212">INDEX(Payment_categorisations[Sub-category], MATCH(TRUE, ISNUMBER(SEARCH(Payment_categorisations[Contains keywords], Bank_postings[[#This Row],[Narrative]])), 0))</f>
        <v>#N/A</v>
      </c>
      <c r="J212" s="20"/>
      <c r="K212" s="20"/>
      <c r="L212" s="31" t="e">
        <f>IF(Bank_postings[[#This Row],[Manual override category]] &lt;&gt; "", Bank_postings[[#This Row],[Manual override category]], Bank_postings[[#This Row],[Category]])</f>
        <v>#N/A</v>
      </c>
      <c r="M212" s="31" t="e">
        <f>IF(Bank_postings[[#This Row],[Manual override sub-category]] &lt;&gt; "", Bank_postings[[#This Row],[Manual override sub-category]], Bank_postings[[#This Row],[Sub-category]])</f>
        <v>#N/A</v>
      </c>
    </row>
    <row r="213" spans="3:13" x14ac:dyDescent="0.25">
      <c r="C213" s="4"/>
      <c r="D213" s="20"/>
      <c r="E213" s="37"/>
      <c r="F213" s="98"/>
      <c r="G213" s="91">
        <f>-Bank_postings[[#This Row],[Payment amount]] + Bank_postings[[#This Row],[Receipt amount]]</f>
        <v>0</v>
      </c>
      <c r="H213" s="31" t="e" cm="1">
        <f t="array" ref="H213">INDEX(Payment_categorisations[Category], MATCH(TRUE, ISNUMBER(SEARCH(Payment_categorisations[Contains keywords], Bank_postings[[#This Row],[Narrative]])), 0))</f>
        <v>#N/A</v>
      </c>
      <c r="I213" s="31" t="e" cm="1">
        <f t="array" ref="I213">INDEX(Payment_categorisations[Sub-category], MATCH(TRUE, ISNUMBER(SEARCH(Payment_categorisations[Contains keywords], Bank_postings[[#This Row],[Narrative]])), 0))</f>
        <v>#N/A</v>
      </c>
      <c r="J213" s="20"/>
      <c r="K213" s="20"/>
      <c r="L213" s="31" t="e">
        <f>IF(Bank_postings[[#This Row],[Manual override category]] &lt;&gt; "", Bank_postings[[#This Row],[Manual override category]], Bank_postings[[#This Row],[Category]])</f>
        <v>#N/A</v>
      </c>
      <c r="M213" s="31" t="e">
        <f>IF(Bank_postings[[#This Row],[Manual override sub-category]] &lt;&gt; "", Bank_postings[[#This Row],[Manual override sub-category]], Bank_postings[[#This Row],[Sub-category]])</f>
        <v>#N/A</v>
      </c>
    </row>
    <row r="214" spans="3:13" x14ac:dyDescent="0.25">
      <c r="C214" s="4"/>
      <c r="D214" s="20"/>
      <c r="E214" s="37"/>
      <c r="F214" s="98"/>
      <c r="G214" s="91">
        <f>-Bank_postings[[#This Row],[Payment amount]] + Bank_postings[[#This Row],[Receipt amount]]</f>
        <v>0</v>
      </c>
      <c r="H214" s="31" t="e" cm="1">
        <f t="array" ref="H214">INDEX(Payment_categorisations[Category], MATCH(TRUE, ISNUMBER(SEARCH(Payment_categorisations[Contains keywords], Bank_postings[[#This Row],[Narrative]])), 0))</f>
        <v>#N/A</v>
      </c>
      <c r="I214" s="31" t="e" cm="1">
        <f t="array" ref="I214">INDEX(Payment_categorisations[Sub-category], MATCH(TRUE, ISNUMBER(SEARCH(Payment_categorisations[Contains keywords], Bank_postings[[#This Row],[Narrative]])), 0))</f>
        <v>#N/A</v>
      </c>
      <c r="J214" s="20"/>
      <c r="K214" s="20"/>
      <c r="L214" s="31" t="e">
        <f>IF(Bank_postings[[#This Row],[Manual override category]] &lt;&gt; "", Bank_postings[[#This Row],[Manual override category]], Bank_postings[[#This Row],[Category]])</f>
        <v>#N/A</v>
      </c>
      <c r="M214" s="31" t="e">
        <f>IF(Bank_postings[[#This Row],[Manual override sub-category]] &lt;&gt; "", Bank_postings[[#This Row],[Manual override sub-category]], Bank_postings[[#This Row],[Sub-category]])</f>
        <v>#N/A</v>
      </c>
    </row>
    <row r="215" spans="3:13" x14ac:dyDescent="0.25">
      <c r="C215" s="4"/>
      <c r="D215" s="20"/>
      <c r="E215" s="37"/>
      <c r="F215" s="98"/>
      <c r="G215" s="91">
        <f>-Bank_postings[[#This Row],[Payment amount]] + Bank_postings[[#This Row],[Receipt amount]]</f>
        <v>0</v>
      </c>
      <c r="H215" s="31" t="e" cm="1">
        <f t="array" ref="H215">INDEX(Payment_categorisations[Category], MATCH(TRUE, ISNUMBER(SEARCH(Payment_categorisations[Contains keywords], Bank_postings[[#This Row],[Narrative]])), 0))</f>
        <v>#N/A</v>
      </c>
      <c r="I215" s="31" t="e" cm="1">
        <f t="array" ref="I215">INDEX(Payment_categorisations[Sub-category], MATCH(TRUE, ISNUMBER(SEARCH(Payment_categorisations[Contains keywords], Bank_postings[[#This Row],[Narrative]])), 0))</f>
        <v>#N/A</v>
      </c>
      <c r="J215" s="20"/>
      <c r="K215" s="20"/>
      <c r="L215" s="31" t="e">
        <f>IF(Bank_postings[[#This Row],[Manual override category]] &lt;&gt; "", Bank_postings[[#This Row],[Manual override category]], Bank_postings[[#This Row],[Category]])</f>
        <v>#N/A</v>
      </c>
      <c r="M215" s="31" t="e">
        <f>IF(Bank_postings[[#This Row],[Manual override sub-category]] &lt;&gt; "", Bank_postings[[#This Row],[Manual override sub-category]], Bank_postings[[#This Row],[Sub-category]])</f>
        <v>#N/A</v>
      </c>
    </row>
    <row r="216" spans="3:13" x14ac:dyDescent="0.25">
      <c r="C216" s="4"/>
      <c r="D216" s="20"/>
      <c r="E216" s="37"/>
      <c r="F216" s="98"/>
      <c r="G216" s="91">
        <f>-Bank_postings[[#This Row],[Payment amount]] + Bank_postings[[#This Row],[Receipt amount]]</f>
        <v>0</v>
      </c>
      <c r="H216" s="31" t="e" cm="1">
        <f t="array" ref="H216">INDEX(Payment_categorisations[Category], MATCH(TRUE, ISNUMBER(SEARCH(Payment_categorisations[Contains keywords], Bank_postings[[#This Row],[Narrative]])), 0))</f>
        <v>#N/A</v>
      </c>
      <c r="I216" s="31" t="e" cm="1">
        <f t="array" ref="I216">INDEX(Payment_categorisations[Sub-category], MATCH(TRUE, ISNUMBER(SEARCH(Payment_categorisations[Contains keywords], Bank_postings[[#This Row],[Narrative]])), 0))</f>
        <v>#N/A</v>
      </c>
      <c r="J216" s="20"/>
      <c r="K216" s="20"/>
      <c r="L216" s="31" t="e">
        <f>IF(Bank_postings[[#This Row],[Manual override category]] &lt;&gt; "", Bank_postings[[#This Row],[Manual override category]], Bank_postings[[#This Row],[Category]])</f>
        <v>#N/A</v>
      </c>
      <c r="M216" s="31" t="e">
        <f>IF(Bank_postings[[#This Row],[Manual override sub-category]] &lt;&gt; "", Bank_postings[[#This Row],[Manual override sub-category]], Bank_postings[[#This Row],[Sub-category]])</f>
        <v>#N/A</v>
      </c>
    </row>
    <row r="217" spans="3:13" x14ac:dyDescent="0.25">
      <c r="C217" s="4"/>
      <c r="D217" s="20"/>
      <c r="E217" s="37"/>
      <c r="F217" s="98"/>
      <c r="G217" s="91">
        <f>-Bank_postings[[#This Row],[Payment amount]] + Bank_postings[[#This Row],[Receipt amount]]</f>
        <v>0</v>
      </c>
      <c r="H217" s="31" t="e" cm="1">
        <f t="array" ref="H217">INDEX(Payment_categorisations[Category], MATCH(TRUE, ISNUMBER(SEARCH(Payment_categorisations[Contains keywords], Bank_postings[[#This Row],[Narrative]])), 0))</f>
        <v>#N/A</v>
      </c>
      <c r="I217" s="31" t="e" cm="1">
        <f t="array" ref="I217">INDEX(Payment_categorisations[Sub-category], MATCH(TRUE, ISNUMBER(SEARCH(Payment_categorisations[Contains keywords], Bank_postings[[#This Row],[Narrative]])), 0))</f>
        <v>#N/A</v>
      </c>
      <c r="J217" s="20"/>
      <c r="K217" s="20"/>
      <c r="L217" s="31" t="e">
        <f>IF(Bank_postings[[#This Row],[Manual override category]] &lt;&gt; "", Bank_postings[[#This Row],[Manual override category]], Bank_postings[[#This Row],[Category]])</f>
        <v>#N/A</v>
      </c>
      <c r="M217" s="31" t="e">
        <f>IF(Bank_postings[[#This Row],[Manual override sub-category]] &lt;&gt; "", Bank_postings[[#This Row],[Manual override sub-category]], Bank_postings[[#This Row],[Sub-category]])</f>
        <v>#N/A</v>
      </c>
    </row>
    <row r="218" spans="3:13" x14ac:dyDescent="0.25">
      <c r="C218" s="4"/>
      <c r="D218" s="20"/>
      <c r="E218" s="37"/>
      <c r="F218" s="98"/>
      <c r="G218" s="91">
        <f>-Bank_postings[[#This Row],[Payment amount]] + Bank_postings[[#This Row],[Receipt amount]]</f>
        <v>0</v>
      </c>
      <c r="H218" s="31" t="e" cm="1">
        <f t="array" ref="H218">INDEX(Payment_categorisations[Category], MATCH(TRUE, ISNUMBER(SEARCH(Payment_categorisations[Contains keywords], Bank_postings[[#This Row],[Narrative]])), 0))</f>
        <v>#N/A</v>
      </c>
      <c r="I218" s="31" t="e" cm="1">
        <f t="array" ref="I218">INDEX(Payment_categorisations[Sub-category], MATCH(TRUE, ISNUMBER(SEARCH(Payment_categorisations[Contains keywords], Bank_postings[[#This Row],[Narrative]])), 0))</f>
        <v>#N/A</v>
      </c>
      <c r="J218" s="20"/>
      <c r="K218" s="20"/>
      <c r="L218" s="31" t="e">
        <f>IF(Bank_postings[[#This Row],[Manual override category]] &lt;&gt; "", Bank_postings[[#This Row],[Manual override category]], Bank_postings[[#This Row],[Category]])</f>
        <v>#N/A</v>
      </c>
      <c r="M218" s="31" t="e">
        <f>IF(Bank_postings[[#This Row],[Manual override sub-category]] &lt;&gt; "", Bank_postings[[#This Row],[Manual override sub-category]], Bank_postings[[#This Row],[Sub-category]])</f>
        <v>#N/A</v>
      </c>
    </row>
    <row r="219" spans="3:13" x14ac:dyDescent="0.25">
      <c r="C219" s="4"/>
      <c r="D219" s="20"/>
      <c r="E219" s="37"/>
      <c r="F219" s="98"/>
      <c r="G219" s="91">
        <f>-Bank_postings[[#This Row],[Payment amount]] + Bank_postings[[#This Row],[Receipt amount]]</f>
        <v>0</v>
      </c>
      <c r="H219" s="31" t="e" cm="1">
        <f t="array" ref="H219">INDEX(Payment_categorisations[Category], MATCH(TRUE, ISNUMBER(SEARCH(Payment_categorisations[Contains keywords], Bank_postings[[#This Row],[Narrative]])), 0))</f>
        <v>#N/A</v>
      </c>
      <c r="I219" s="31" t="e" cm="1">
        <f t="array" ref="I219">INDEX(Payment_categorisations[Sub-category], MATCH(TRUE, ISNUMBER(SEARCH(Payment_categorisations[Contains keywords], Bank_postings[[#This Row],[Narrative]])), 0))</f>
        <v>#N/A</v>
      </c>
      <c r="J219" s="20"/>
      <c r="K219" s="20"/>
      <c r="L219" s="31" t="e">
        <f>IF(Bank_postings[[#This Row],[Manual override category]] &lt;&gt; "", Bank_postings[[#This Row],[Manual override category]], Bank_postings[[#This Row],[Category]])</f>
        <v>#N/A</v>
      </c>
      <c r="M219" s="31" t="e">
        <f>IF(Bank_postings[[#This Row],[Manual override sub-category]] &lt;&gt; "", Bank_postings[[#This Row],[Manual override sub-category]], Bank_postings[[#This Row],[Sub-category]])</f>
        <v>#N/A</v>
      </c>
    </row>
    <row r="220" spans="3:13" x14ac:dyDescent="0.25">
      <c r="C220" s="4"/>
      <c r="D220" s="20"/>
      <c r="E220" s="37"/>
      <c r="F220" s="98"/>
      <c r="G220" s="91">
        <f>-Bank_postings[[#This Row],[Payment amount]] + Bank_postings[[#This Row],[Receipt amount]]</f>
        <v>0</v>
      </c>
      <c r="H220" s="31" t="e" cm="1">
        <f t="array" ref="H220">INDEX(Payment_categorisations[Category], MATCH(TRUE, ISNUMBER(SEARCH(Payment_categorisations[Contains keywords], Bank_postings[[#This Row],[Narrative]])), 0))</f>
        <v>#N/A</v>
      </c>
      <c r="I220" s="31" t="e" cm="1">
        <f t="array" ref="I220">INDEX(Payment_categorisations[Sub-category], MATCH(TRUE, ISNUMBER(SEARCH(Payment_categorisations[Contains keywords], Bank_postings[[#This Row],[Narrative]])), 0))</f>
        <v>#N/A</v>
      </c>
      <c r="J220" s="20"/>
      <c r="K220" s="20"/>
      <c r="L220" s="31" t="e">
        <f>IF(Bank_postings[[#This Row],[Manual override category]] &lt;&gt; "", Bank_postings[[#This Row],[Manual override category]], Bank_postings[[#This Row],[Category]])</f>
        <v>#N/A</v>
      </c>
      <c r="M220" s="31" t="e">
        <f>IF(Bank_postings[[#This Row],[Manual override sub-category]] &lt;&gt; "", Bank_postings[[#This Row],[Manual override sub-category]], Bank_postings[[#This Row],[Sub-category]])</f>
        <v>#N/A</v>
      </c>
    </row>
    <row r="221" spans="3:13" x14ac:dyDescent="0.25">
      <c r="C221" s="4"/>
      <c r="D221" s="20"/>
      <c r="E221" s="37"/>
      <c r="F221" s="98"/>
      <c r="G221" s="91">
        <f>-Bank_postings[[#This Row],[Payment amount]] + Bank_postings[[#This Row],[Receipt amount]]</f>
        <v>0</v>
      </c>
      <c r="H221" s="31" t="e" cm="1">
        <f t="array" ref="H221">INDEX(Payment_categorisations[Category], MATCH(TRUE, ISNUMBER(SEARCH(Payment_categorisations[Contains keywords], Bank_postings[[#This Row],[Narrative]])), 0))</f>
        <v>#N/A</v>
      </c>
      <c r="I221" s="31" t="e" cm="1">
        <f t="array" ref="I221">INDEX(Payment_categorisations[Sub-category], MATCH(TRUE, ISNUMBER(SEARCH(Payment_categorisations[Contains keywords], Bank_postings[[#This Row],[Narrative]])), 0))</f>
        <v>#N/A</v>
      </c>
      <c r="J221" s="20"/>
      <c r="K221" s="20"/>
      <c r="L221" s="31" t="e">
        <f>IF(Bank_postings[[#This Row],[Manual override category]] &lt;&gt; "", Bank_postings[[#This Row],[Manual override category]], Bank_postings[[#This Row],[Category]])</f>
        <v>#N/A</v>
      </c>
      <c r="M221" s="31" t="e">
        <f>IF(Bank_postings[[#This Row],[Manual override sub-category]] &lt;&gt; "", Bank_postings[[#This Row],[Manual override sub-category]], Bank_postings[[#This Row],[Sub-category]])</f>
        <v>#N/A</v>
      </c>
    </row>
    <row r="222" spans="3:13" x14ac:dyDescent="0.25">
      <c r="C222" s="4"/>
      <c r="D222" s="20"/>
      <c r="E222" s="37"/>
      <c r="F222" s="98"/>
      <c r="G222" s="91">
        <f>-Bank_postings[[#This Row],[Payment amount]] + Bank_postings[[#This Row],[Receipt amount]]</f>
        <v>0</v>
      </c>
      <c r="H222" s="31" t="e" cm="1">
        <f t="array" ref="H222">INDEX(Payment_categorisations[Category], MATCH(TRUE, ISNUMBER(SEARCH(Payment_categorisations[Contains keywords], Bank_postings[[#This Row],[Narrative]])), 0))</f>
        <v>#N/A</v>
      </c>
      <c r="I222" s="31" t="e" cm="1">
        <f t="array" ref="I222">INDEX(Payment_categorisations[Sub-category], MATCH(TRUE, ISNUMBER(SEARCH(Payment_categorisations[Contains keywords], Bank_postings[[#This Row],[Narrative]])), 0))</f>
        <v>#N/A</v>
      </c>
      <c r="J222" s="20"/>
      <c r="K222" s="20"/>
      <c r="L222" s="31" t="e">
        <f>IF(Bank_postings[[#This Row],[Manual override category]] &lt;&gt; "", Bank_postings[[#This Row],[Manual override category]], Bank_postings[[#This Row],[Category]])</f>
        <v>#N/A</v>
      </c>
      <c r="M222" s="31" t="e">
        <f>IF(Bank_postings[[#This Row],[Manual override sub-category]] &lt;&gt; "", Bank_postings[[#This Row],[Manual override sub-category]], Bank_postings[[#This Row],[Sub-category]])</f>
        <v>#N/A</v>
      </c>
    </row>
    <row r="223" spans="3:13" x14ac:dyDescent="0.25">
      <c r="C223" s="4"/>
      <c r="D223" s="20"/>
      <c r="E223" s="37"/>
      <c r="F223" s="98"/>
      <c r="G223" s="91">
        <f>-Bank_postings[[#This Row],[Payment amount]] + Bank_postings[[#This Row],[Receipt amount]]</f>
        <v>0</v>
      </c>
      <c r="H223" s="31" t="e" cm="1">
        <f t="array" ref="H223">INDEX(Payment_categorisations[Category], MATCH(TRUE, ISNUMBER(SEARCH(Payment_categorisations[Contains keywords], Bank_postings[[#This Row],[Narrative]])), 0))</f>
        <v>#N/A</v>
      </c>
      <c r="I223" s="31" t="e" cm="1">
        <f t="array" ref="I223">INDEX(Payment_categorisations[Sub-category], MATCH(TRUE, ISNUMBER(SEARCH(Payment_categorisations[Contains keywords], Bank_postings[[#This Row],[Narrative]])), 0))</f>
        <v>#N/A</v>
      </c>
      <c r="J223" s="20"/>
      <c r="K223" s="20"/>
      <c r="L223" s="31" t="e">
        <f>IF(Bank_postings[[#This Row],[Manual override category]] &lt;&gt; "", Bank_postings[[#This Row],[Manual override category]], Bank_postings[[#This Row],[Category]])</f>
        <v>#N/A</v>
      </c>
      <c r="M223" s="31" t="e">
        <f>IF(Bank_postings[[#This Row],[Manual override sub-category]] &lt;&gt; "", Bank_postings[[#This Row],[Manual override sub-category]], Bank_postings[[#This Row],[Sub-category]])</f>
        <v>#N/A</v>
      </c>
    </row>
    <row r="224" spans="3:13" x14ac:dyDescent="0.25">
      <c r="C224" s="4"/>
      <c r="D224" s="20"/>
      <c r="E224" s="37"/>
      <c r="F224" s="98"/>
      <c r="G224" s="91">
        <f>-Bank_postings[[#This Row],[Payment amount]] + Bank_postings[[#This Row],[Receipt amount]]</f>
        <v>0</v>
      </c>
      <c r="H224" s="31" t="e" cm="1">
        <f t="array" ref="H224">INDEX(Payment_categorisations[Category], MATCH(TRUE, ISNUMBER(SEARCH(Payment_categorisations[Contains keywords], Bank_postings[[#This Row],[Narrative]])), 0))</f>
        <v>#N/A</v>
      </c>
      <c r="I224" s="31" t="e" cm="1">
        <f t="array" ref="I224">INDEX(Payment_categorisations[Sub-category], MATCH(TRUE, ISNUMBER(SEARCH(Payment_categorisations[Contains keywords], Bank_postings[[#This Row],[Narrative]])), 0))</f>
        <v>#N/A</v>
      </c>
      <c r="J224" s="20"/>
      <c r="K224" s="20"/>
      <c r="L224" s="31" t="e">
        <f>IF(Bank_postings[[#This Row],[Manual override category]] &lt;&gt; "", Bank_postings[[#This Row],[Manual override category]], Bank_postings[[#This Row],[Category]])</f>
        <v>#N/A</v>
      </c>
      <c r="M224" s="31" t="e">
        <f>IF(Bank_postings[[#This Row],[Manual override sub-category]] &lt;&gt; "", Bank_postings[[#This Row],[Manual override sub-category]], Bank_postings[[#This Row],[Sub-category]])</f>
        <v>#N/A</v>
      </c>
    </row>
    <row r="225" spans="3:13" x14ac:dyDescent="0.25">
      <c r="C225" s="4"/>
      <c r="D225" s="20"/>
      <c r="E225" s="37"/>
      <c r="F225" s="98"/>
      <c r="G225" s="91">
        <f>-Bank_postings[[#This Row],[Payment amount]] + Bank_postings[[#This Row],[Receipt amount]]</f>
        <v>0</v>
      </c>
      <c r="H225" s="31" t="e" cm="1">
        <f t="array" ref="H225">INDEX(Payment_categorisations[Category], MATCH(TRUE, ISNUMBER(SEARCH(Payment_categorisations[Contains keywords], Bank_postings[[#This Row],[Narrative]])), 0))</f>
        <v>#N/A</v>
      </c>
      <c r="I225" s="31" t="e" cm="1">
        <f t="array" ref="I225">INDEX(Payment_categorisations[Sub-category], MATCH(TRUE, ISNUMBER(SEARCH(Payment_categorisations[Contains keywords], Bank_postings[[#This Row],[Narrative]])), 0))</f>
        <v>#N/A</v>
      </c>
      <c r="J225" s="20"/>
      <c r="K225" s="20"/>
      <c r="L225" s="31" t="e">
        <f>IF(Bank_postings[[#This Row],[Manual override category]] &lt;&gt; "", Bank_postings[[#This Row],[Manual override category]], Bank_postings[[#This Row],[Category]])</f>
        <v>#N/A</v>
      </c>
      <c r="M225" s="31" t="e">
        <f>IF(Bank_postings[[#This Row],[Manual override sub-category]] &lt;&gt; "", Bank_postings[[#This Row],[Manual override sub-category]], Bank_postings[[#This Row],[Sub-category]])</f>
        <v>#N/A</v>
      </c>
    </row>
    <row r="226" spans="3:13" x14ac:dyDescent="0.25">
      <c r="C226" s="4"/>
      <c r="D226" s="20"/>
      <c r="E226" s="37"/>
      <c r="F226" s="98"/>
      <c r="G226" s="91">
        <f>-Bank_postings[[#This Row],[Payment amount]] + Bank_postings[[#This Row],[Receipt amount]]</f>
        <v>0</v>
      </c>
      <c r="H226" s="31" t="e" cm="1">
        <f t="array" ref="H226">INDEX(Payment_categorisations[Category], MATCH(TRUE, ISNUMBER(SEARCH(Payment_categorisations[Contains keywords], Bank_postings[[#This Row],[Narrative]])), 0))</f>
        <v>#N/A</v>
      </c>
      <c r="I226" s="31" t="e" cm="1">
        <f t="array" ref="I226">INDEX(Payment_categorisations[Sub-category], MATCH(TRUE, ISNUMBER(SEARCH(Payment_categorisations[Contains keywords], Bank_postings[[#This Row],[Narrative]])), 0))</f>
        <v>#N/A</v>
      </c>
      <c r="J226" s="20"/>
      <c r="K226" s="20"/>
      <c r="L226" s="31" t="e">
        <f>IF(Bank_postings[[#This Row],[Manual override category]] &lt;&gt; "", Bank_postings[[#This Row],[Manual override category]], Bank_postings[[#This Row],[Category]])</f>
        <v>#N/A</v>
      </c>
      <c r="M226" s="31" t="e">
        <f>IF(Bank_postings[[#This Row],[Manual override sub-category]] &lt;&gt; "", Bank_postings[[#This Row],[Manual override sub-category]], Bank_postings[[#This Row],[Sub-category]])</f>
        <v>#N/A</v>
      </c>
    </row>
    <row r="227" spans="3:13" x14ac:dyDescent="0.25">
      <c r="C227" s="4"/>
      <c r="D227" s="20"/>
      <c r="E227" s="37"/>
      <c r="F227" s="98"/>
      <c r="G227" s="91">
        <f>-Bank_postings[[#This Row],[Payment amount]] + Bank_postings[[#This Row],[Receipt amount]]</f>
        <v>0</v>
      </c>
      <c r="H227" s="31" t="e" cm="1">
        <f t="array" ref="H227">INDEX(Payment_categorisations[Category], MATCH(TRUE, ISNUMBER(SEARCH(Payment_categorisations[Contains keywords], Bank_postings[[#This Row],[Narrative]])), 0))</f>
        <v>#N/A</v>
      </c>
      <c r="I227" s="31" t="e" cm="1">
        <f t="array" ref="I227">INDEX(Payment_categorisations[Sub-category], MATCH(TRUE, ISNUMBER(SEARCH(Payment_categorisations[Contains keywords], Bank_postings[[#This Row],[Narrative]])), 0))</f>
        <v>#N/A</v>
      </c>
      <c r="J227" s="20"/>
      <c r="K227" s="20"/>
      <c r="L227" s="31" t="e">
        <f>IF(Bank_postings[[#This Row],[Manual override category]] &lt;&gt; "", Bank_postings[[#This Row],[Manual override category]], Bank_postings[[#This Row],[Category]])</f>
        <v>#N/A</v>
      </c>
      <c r="M227" s="31" t="e">
        <f>IF(Bank_postings[[#This Row],[Manual override sub-category]] &lt;&gt; "", Bank_postings[[#This Row],[Manual override sub-category]], Bank_postings[[#This Row],[Sub-category]])</f>
        <v>#N/A</v>
      </c>
    </row>
    <row r="228" spans="3:13" x14ac:dyDescent="0.25">
      <c r="C228" s="4"/>
      <c r="D228" s="20"/>
      <c r="E228" s="37"/>
      <c r="F228" s="98"/>
      <c r="G228" s="91">
        <f>-Bank_postings[[#This Row],[Payment amount]] + Bank_postings[[#This Row],[Receipt amount]]</f>
        <v>0</v>
      </c>
      <c r="H228" s="31" t="e" cm="1">
        <f t="array" ref="H228">INDEX(Payment_categorisations[Category], MATCH(TRUE, ISNUMBER(SEARCH(Payment_categorisations[Contains keywords], Bank_postings[[#This Row],[Narrative]])), 0))</f>
        <v>#N/A</v>
      </c>
      <c r="I228" s="31" t="e" cm="1">
        <f t="array" ref="I228">INDEX(Payment_categorisations[Sub-category], MATCH(TRUE, ISNUMBER(SEARCH(Payment_categorisations[Contains keywords], Bank_postings[[#This Row],[Narrative]])), 0))</f>
        <v>#N/A</v>
      </c>
      <c r="J228" s="20"/>
      <c r="K228" s="20"/>
      <c r="L228" s="31" t="e">
        <f>IF(Bank_postings[[#This Row],[Manual override category]] &lt;&gt; "", Bank_postings[[#This Row],[Manual override category]], Bank_postings[[#This Row],[Category]])</f>
        <v>#N/A</v>
      </c>
      <c r="M228" s="31" t="e">
        <f>IF(Bank_postings[[#This Row],[Manual override sub-category]] &lt;&gt; "", Bank_postings[[#This Row],[Manual override sub-category]], Bank_postings[[#This Row],[Sub-category]])</f>
        <v>#N/A</v>
      </c>
    </row>
    <row r="229" spans="3:13" x14ac:dyDescent="0.25">
      <c r="C229" s="4"/>
      <c r="D229" s="20"/>
      <c r="E229" s="37"/>
      <c r="F229" s="98"/>
      <c r="G229" s="91">
        <f>-Bank_postings[[#This Row],[Payment amount]] + Bank_postings[[#This Row],[Receipt amount]]</f>
        <v>0</v>
      </c>
      <c r="H229" s="31" t="e" cm="1">
        <f t="array" ref="H229">INDEX(Payment_categorisations[Category], MATCH(TRUE, ISNUMBER(SEARCH(Payment_categorisations[Contains keywords], Bank_postings[[#This Row],[Narrative]])), 0))</f>
        <v>#N/A</v>
      </c>
      <c r="I229" s="31" t="e" cm="1">
        <f t="array" ref="I229">INDEX(Payment_categorisations[Sub-category], MATCH(TRUE, ISNUMBER(SEARCH(Payment_categorisations[Contains keywords], Bank_postings[[#This Row],[Narrative]])), 0))</f>
        <v>#N/A</v>
      </c>
      <c r="J229" s="20"/>
      <c r="K229" s="20"/>
      <c r="L229" s="31" t="e">
        <f>IF(Bank_postings[[#This Row],[Manual override category]] &lt;&gt; "", Bank_postings[[#This Row],[Manual override category]], Bank_postings[[#This Row],[Category]])</f>
        <v>#N/A</v>
      </c>
      <c r="M229" s="31" t="e">
        <f>IF(Bank_postings[[#This Row],[Manual override sub-category]] &lt;&gt; "", Bank_postings[[#This Row],[Manual override sub-category]], Bank_postings[[#This Row],[Sub-category]])</f>
        <v>#N/A</v>
      </c>
    </row>
    <row r="230" spans="3:13" x14ac:dyDescent="0.25">
      <c r="C230" s="4"/>
      <c r="D230" s="20"/>
      <c r="E230" s="37"/>
      <c r="F230" s="98"/>
      <c r="G230" s="91">
        <f>-Bank_postings[[#This Row],[Payment amount]] + Bank_postings[[#This Row],[Receipt amount]]</f>
        <v>0</v>
      </c>
      <c r="H230" s="31" t="e" cm="1">
        <f t="array" ref="H230">INDEX(Payment_categorisations[Category], MATCH(TRUE, ISNUMBER(SEARCH(Payment_categorisations[Contains keywords], Bank_postings[[#This Row],[Narrative]])), 0))</f>
        <v>#N/A</v>
      </c>
      <c r="I230" s="31" t="e" cm="1">
        <f t="array" ref="I230">INDEX(Payment_categorisations[Sub-category], MATCH(TRUE, ISNUMBER(SEARCH(Payment_categorisations[Contains keywords], Bank_postings[[#This Row],[Narrative]])), 0))</f>
        <v>#N/A</v>
      </c>
      <c r="J230" s="20"/>
      <c r="K230" s="20"/>
      <c r="L230" s="31" t="e">
        <f>IF(Bank_postings[[#This Row],[Manual override category]] &lt;&gt; "", Bank_postings[[#This Row],[Manual override category]], Bank_postings[[#This Row],[Category]])</f>
        <v>#N/A</v>
      </c>
      <c r="M230" s="31" t="e">
        <f>IF(Bank_postings[[#This Row],[Manual override sub-category]] &lt;&gt; "", Bank_postings[[#This Row],[Manual override sub-category]], Bank_postings[[#This Row],[Sub-category]])</f>
        <v>#N/A</v>
      </c>
    </row>
    <row r="231" spans="3:13" x14ac:dyDescent="0.25">
      <c r="C231" s="4"/>
      <c r="D231" s="20"/>
      <c r="E231" s="37"/>
      <c r="F231" s="98"/>
      <c r="G231" s="91">
        <f>-Bank_postings[[#This Row],[Payment amount]] + Bank_postings[[#This Row],[Receipt amount]]</f>
        <v>0</v>
      </c>
      <c r="H231" s="31" t="e" cm="1">
        <f t="array" ref="H231">INDEX(Payment_categorisations[Category], MATCH(TRUE, ISNUMBER(SEARCH(Payment_categorisations[Contains keywords], Bank_postings[[#This Row],[Narrative]])), 0))</f>
        <v>#N/A</v>
      </c>
      <c r="I231" s="31" t="e" cm="1">
        <f t="array" ref="I231">INDEX(Payment_categorisations[Sub-category], MATCH(TRUE, ISNUMBER(SEARCH(Payment_categorisations[Contains keywords], Bank_postings[[#This Row],[Narrative]])), 0))</f>
        <v>#N/A</v>
      </c>
      <c r="J231" s="20"/>
      <c r="K231" s="20"/>
      <c r="L231" s="31" t="e">
        <f>IF(Bank_postings[[#This Row],[Manual override category]] &lt;&gt; "", Bank_postings[[#This Row],[Manual override category]], Bank_postings[[#This Row],[Category]])</f>
        <v>#N/A</v>
      </c>
      <c r="M231" s="31" t="e">
        <f>IF(Bank_postings[[#This Row],[Manual override sub-category]] &lt;&gt; "", Bank_postings[[#This Row],[Manual override sub-category]], Bank_postings[[#This Row],[Sub-category]])</f>
        <v>#N/A</v>
      </c>
    </row>
    <row r="232" spans="3:13" x14ac:dyDescent="0.25">
      <c r="C232" s="4"/>
      <c r="D232" s="20"/>
      <c r="E232" s="37"/>
      <c r="F232" s="98"/>
      <c r="G232" s="91">
        <f>-Bank_postings[[#This Row],[Payment amount]] + Bank_postings[[#This Row],[Receipt amount]]</f>
        <v>0</v>
      </c>
      <c r="H232" s="31" t="e" cm="1">
        <f t="array" ref="H232">INDEX(Payment_categorisations[Category], MATCH(TRUE, ISNUMBER(SEARCH(Payment_categorisations[Contains keywords], Bank_postings[[#This Row],[Narrative]])), 0))</f>
        <v>#N/A</v>
      </c>
      <c r="I232" s="31" t="e" cm="1">
        <f t="array" ref="I232">INDEX(Payment_categorisations[Sub-category], MATCH(TRUE, ISNUMBER(SEARCH(Payment_categorisations[Contains keywords], Bank_postings[[#This Row],[Narrative]])), 0))</f>
        <v>#N/A</v>
      </c>
      <c r="J232" s="20"/>
      <c r="K232" s="20"/>
      <c r="L232" s="31" t="e">
        <f>IF(Bank_postings[[#This Row],[Manual override category]] &lt;&gt; "", Bank_postings[[#This Row],[Manual override category]], Bank_postings[[#This Row],[Category]])</f>
        <v>#N/A</v>
      </c>
      <c r="M232" s="31" t="e">
        <f>IF(Bank_postings[[#This Row],[Manual override sub-category]] &lt;&gt; "", Bank_postings[[#This Row],[Manual override sub-category]], Bank_postings[[#This Row],[Sub-category]])</f>
        <v>#N/A</v>
      </c>
    </row>
    <row r="233" spans="3:13" x14ac:dyDescent="0.25">
      <c r="C233" s="4"/>
      <c r="D233" s="20"/>
      <c r="E233" s="37"/>
      <c r="F233" s="98"/>
      <c r="G233" s="91">
        <f>-Bank_postings[[#This Row],[Payment amount]] + Bank_postings[[#This Row],[Receipt amount]]</f>
        <v>0</v>
      </c>
      <c r="H233" s="31" t="e" cm="1">
        <f t="array" ref="H233">INDEX(Payment_categorisations[Category], MATCH(TRUE, ISNUMBER(SEARCH(Payment_categorisations[Contains keywords], Bank_postings[[#This Row],[Narrative]])), 0))</f>
        <v>#N/A</v>
      </c>
      <c r="I233" s="31" t="e" cm="1">
        <f t="array" ref="I233">INDEX(Payment_categorisations[Sub-category], MATCH(TRUE, ISNUMBER(SEARCH(Payment_categorisations[Contains keywords], Bank_postings[[#This Row],[Narrative]])), 0))</f>
        <v>#N/A</v>
      </c>
      <c r="J233" s="20"/>
      <c r="K233" s="20"/>
      <c r="L233" s="31" t="e">
        <f>IF(Bank_postings[[#This Row],[Manual override category]] &lt;&gt; "", Bank_postings[[#This Row],[Manual override category]], Bank_postings[[#This Row],[Category]])</f>
        <v>#N/A</v>
      </c>
      <c r="M233" s="31" t="e">
        <f>IF(Bank_postings[[#This Row],[Manual override sub-category]] &lt;&gt; "", Bank_postings[[#This Row],[Manual override sub-category]], Bank_postings[[#This Row],[Sub-category]])</f>
        <v>#N/A</v>
      </c>
    </row>
    <row r="234" spans="3:13" x14ac:dyDescent="0.25">
      <c r="C234" s="4"/>
      <c r="D234" s="20"/>
      <c r="E234" s="37"/>
      <c r="F234" s="98"/>
      <c r="G234" s="91">
        <f>-Bank_postings[[#This Row],[Payment amount]] + Bank_postings[[#This Row],[Receipt amount]]</f>
        <v>0</v>
      </c>
      <c r="H234" s="31" t="e" cm="1">
        <f t="array" ref="H234">INDEX(Payment_categorisations[Category], MATCH(TRUE, ISNUMBER(SEARCH(Payment_categorisations[Contains keywords], Bank_postings[[#This Row],[Narrative]])), 0))</f>
        <v>#N/A</v>
      </c>
      <c r="I234" s="31" t="e" cm="1">
        <f t="array" ref="I234">INDEX(Payment_categorisations[Sub-category], MATCH(TRUE, ISNUMBER(SEARCH(Payment_categorisations[Contains keywords], Bank_postings[[#This Row],[Narrative]])), 0))</f>
        <v>#N/A</v>
      </c>
      <c r="J234" s="20"/>
      <c r="K234" s="20"/>
      <c r="L234" s="31" t="e">
        <f>IF(Bank_postings[[#This Row],[Manual override category]] &lt;&gt; "", Bank_postings[[#This Row],[Manual override category]], Bank_postings[[#This Row],[Category]])</f>
        <v>#N/A</v>
      </c>
      <c r="M234" s="31" t="e">
        <f>IF(Bank_postings[[#This Row],[Manual override sub-category]] &lt;&gt; "", Bank_postings[[#This Row],[Manual override sub-category]], Bank_postings[[#This Row],[Sub-category]])</f>
        <v>#N/A</v>
      </c>
    </row>
    <row r="235" spans="3:13" x14ac:dyDescent="0.25">
      <c r="C235" s="4"/>
      <c r="D235" s="20"/>
      <c r="E235" s="37"/>
      <c r="F235" s="98"/>
      <c r="G235" s="91">
        <f>-Bank_postings[[#This Row],[Payment amount]] + Bank_postings[[#This Row],[Receipt amount]]</f>
        <v>0</v>
      </c>
      <c r="H235" s="31" t="e" cm="1">
        <f t="array" ref="H235">INDEX(Payment_categorisations[Category], MATCH(TRUE, ISNUMBER(SEARCH(Payment_categorisations[Contains keywords], Bank_postings[[#This Row],[Narrative]])), 0))</f>
        <v>#N/A</v>
      </c>
      <c r="I235" s="31" t="e" cm="1">
        <f t="array" ref="I235">INDEX(Payment_categorisations[Sub-category], MATCH(TRUE, ISNUMBER(SEARCH(Payment_categorisations[Contains keywords], Bank_postings[[#This Row],[Narrative]])), 0))</f>
        <v>#N/A</v>
      </c>
      <c r="J235" s="20"/>
      <c r="K235" s="20"/>
      <c r="L235" s="31" t="e">
        <f>IF(Bank_postings[[#This Row],[Manual override category]] &lt;&gt; "", Bank_postings[[#This Row],[Manual override category]], Bank_postings[[#This Row],[Category]])</f>
        <v>#N/A</v>
      </c>
      <c r="M235" s="31" t="e">
        <f>IF(Bank_postings[[#This Row],[Manual override sub-category]] &lt;&gt; "", Bank_postings[[#This Row],[Manual override sub-category]], Bank_postings[[#This Row],[Sub-category]])</f>
        <v>#N/A</v>
      </c>
    </row>
    <row r="236" spans="3:13" x14ac:dyDescent="0.25">
      <c r="C236" s="4"/>
      <c r="D236" s="20"/>
      <c r="E236" s="37"/>
      <c r="F236" s="98"/>
      <c r="G236" s="91">
        <f>-Bank_postings[[#This Row],[Payment amount]] + Bank_postings[[#This Row],[Receipt amount]]</f>
        <v>0</v>
      </c>
      <c r="H236" s="31" t="e" cm="1">
        <f t="array" ref="H236">INDEX(Payment_categorisations[Category], MATCH(TRUE, ISNUMBER(SEARCH(Payment_categorisations[Contains keywords], Bank_postings[[#This Row],[Narrative]])), 0))</f>
        <v>#N/A</v>
      </c>
      <c r="I236" s="31" t="e" cm="1">
        <f t="array" ref="I236">INDEX(Payment_categorisations[Sub-category], MATCH(TRUE, ISNUMBER(SEARCH(Payment_categorisations[Contains keywords], Bank_postings[[#This Row],[Narrative]])), 0))</f>
        <v>#N/A</v>
      </c>
      <c r="J236" s="20"/>
      <c r="K236" s="20"/>
      <c r="L236" s="31" t="e">
        <f>IF(Bank_postings[[#This Row],[Manual override category]] &lt;&gt; "", Bank_postings[[#This Row],[Manual override category]], Bank_postings[[#This Row],[Category]])</f>
        <v>#N/A</v>
      </c>
      <c r="M236" s="31" t="e">
        <f>IF(Bank_postings[[#This Row],[Manual override sub-category]] &lt;&gt; "", Bank_postings[[#This Row],[Manual override sub-category]], Bank_postings[[#This Row],[Sub-category]])</f>
        <v>#N/A</v>
      </c>
    </row>
    <row r="237" spans="3:13" x14ac:dyDescent="0.25">
      <c r="C237" s="4"/>
      <c r="D237" s="20"/>
      <c r="E237" s="37"/>
      <c r="F237" s="98"/>
      <c r="G237" s="91">
        <f>-Bank_postings[[#This Row],[Payment amount]] + Bank_postings[[#This Row],[Receipt amount]]</f>
        <v>0</v>
      </c>
      <c r="H237" s="31" t="e" cm="1">
        <f t="array" ref="H237">INDEX(Payment_categorisations[Category], MATCH(TRUE, ISNUMBER(SEARCH(Payment_categorisations[Contains keywords], Bank_postings[[#This Row],[Narrative]])), 0))</f>
        <v>#N/A</v>
      </c>
      <c r="I237" s="31" t="e" cm="1">
        <f t="array" ref="I237">INDEX(Payment_categorisations[Sub-category], MATCH(TRUE, ISNUMBER(SEARCH(Payment_categorisations[Contains keywords], Bank_postings[[#This Row],[Narrative]])), 0))</f>
        <v>#N/A</v>
      </c>
      <c r="J237" s="20"/>
      <c r="K237" s="20"/>
      <c r="L237" s="31" t="e">
        <f>IF(Bank_postings[[#This Row],[Manual override category]] &lt;&gt; "", Bank_postings[[#This Row],[Manual override category]], Bank_postings[[#This Row],[Category]])</f>
        <v>#N/A</v>
      </c>
      <c r="M237" s="31" t="e">
        <f>IF(Bank_postings[[#This Row],[Manual override sub-category]] &lt;&gt; "", Bank_postings[[#This Row],[Manual override sub-category]], Bank_postings[[#This Row],[Sub-category]])</f>
        <v>#N/A</v>
      </c>
    </row>
    <row r="238" spans="3:13" x14ac:dyDescent="0.25">
      <c r="C238" s="4"/>
      <c r="D238" s="20"/>
      <c r="E238" s="37"/>
      <c r="F238" s="98"/>
      <c r="G238" s="91">
        <f>-Bank_postings[[#This Row],[Payment amount]] + Bank_postings[[#This Row],[Receipt amount]]</f>
        <v>0</v>
      </c>
      <c r="H238" s="31" t="e" cm="1">
        <f t="array" ref="H238">INDEX(Payment_categorisations[Category], MATCH(TRUE, ISNUMBER(SEARCH(Payment_categorisations[Contains keywords], Bank_postings[[#This Row],[Narrative]])), 0))</f>
        <v>#N/A</v>
      </c>
      <c r="I238" s="31" t="e" cm="1">
        <f t="array" ref="I238">INDEX(Payment_categorisations[Sub-category], MATCH(TRUE, ISNUMBER(SEARCH(Payment_categorisations[Contains keywords], Bank_postings[[#This Row],[Narrative]])), 0))</f>
        <v>#N/A</v>
      </c>
      <c r="J238" s="20"/>
      <c r="K238" s="20"/>
      <c r="L238" s="31" t="e">
        <f>IF(Bank_postings[[#This Row],[Manual override category]] &lt;&gt; "", Bank_postings[[#This Row],[Manual override category]], Bank_postings[[#This Row],[Category]])</f>
        <v>#N/A</v>
      </c>
      <c r="M238" s="31" t="e">
        <f>IF(Bank_postings[[#This Row],[Manual override sub-category]] &lt;&gt; "", Bank_postings[[#This Row],[Manual override sub-category]], Bank_postings[[#This Row],[Sub-category]])</f>
        <v>#N/A</v>
      </c>
    </row>
    <row r="239" spans="3:13" x14ac:dyDescent="0.25">
      <c r="C239" s="4"/>
      <c r="D239" s="20"/>
      <c r="E239" s="37"/>
      <c r="F239" s="98"/>
      <c r="G239" s="91">
        <f>-Bank_postings[[#This Row],[Payment amount]] + Bank_postings[[#This Row],[Receipt amount]]</f>
        <v>0</v>
      </c>
      <c r="H239" s="31" t="e" cm="1">
        <f t="array" ref="H239">INDEX(Payment_categorisations[Category], MATCH(TRUE, ISNUMBER(SEARCH(Payment_categorisations[Contains keywords], Bank_postings[[#This Row],[Narrative]])), 0))</f>
        <v>#N/A</v>
      </c>
      <c r="I239" s="31" t="e" cm="1">
        <f t="array" ref="I239">INDEX(Payment_categorisations[Sub-category], MATCH(TRUE, ISNUMBER(SEARCH(Payment_categorisations[Contains keywords], Bank_postings[[#This Row],[Narrative]])), 0))</f>
        <v>#N/A</v>
      </c>
      <c r="J239" s="20"/>
      <c r="K239" s="20"/>
      <c r="L239" s="31" t="e">
        <f>IF(Bank_postings[[#This Row],[Manual override category]] &lt;&gt; "", Bank_postings[[#This Row],[Manual override category]], Bank_postings[[#This Row],[Category]])</f>
        <v>#N/A</v>
      </c>
      <c r="M239" s="31" t="e">
        <f>IF(Bank_postings[[#This Row],[Manual override sub-category]] &lt;&gt; "", Bank_postings[[#This Row],[Manual override sub-category]], Bank_postings[[#This Row],[Sub-category]])</f>
        <v>#N/A</v>
      </c>
    </row>
    <row r="240" spans="3:13" x14ac:dyDescent="0.25">
      <c r="C240" s="4"/>
      <c r="D240" s="20"/>
      <c r="E240" s="37"/>
      <c r="F240" s="98"/>
      <c r="G240" s="91">
        <f>-Bank_postings[[#This Row],[Payment amount]] + Bank_postings[[#This Row],[Receipt amount]]</f>
        <v>0</v>
      </c>
      <c r="H240" s="31" t="e" cm="1">
        <f t="array" ref="H240">INDEX(Payment_categorisations[Category], MATCH(TRUE, ISNUMBER(SEARCH(Payment_categorisations[Contains keywords], Bank_postings[[#This Row],[Narrative]])), 0))</f>
        <v>#N/A</v>
      </c>
      <c r="I240" s="31" t="e" cm="1">
        <f t="array" ref="I240">INDEX(Payment_categorisations[Sub-category], MATCH(TRUE, ISNUMBER(SEARCH(Payment_categorisations[Contains keywords], Bank_postings[[#This Row],[Narrative]])), 0))</f>
        <v>#N/A</v>
      </c>
      <c r="J240" s="20"/>
      <c r="K240" s="20"/>
      <c r="L240" s="31" t="e">
        <f>IF(Bank_postings[[#This Row],[Manual override category]] &lt;&gt; "", Bank_postings[[#This Row],[Manual override category]], Bank_postings[[#This Row],[Category]])</f>
        <v>#N/A</v>
      </c>
      <c r="M240" s="31" t="e">
        <f>IF(Bank_postings[[#This Row],[Manual override sub-category]] &lt;&gt; "", Bank_postings[[#This Row],[Manual override sub-category]], Bank_postings[[#This Row],[Sub-category]])</f>
        <v>#N/A</v>
      </c>
    </row>
    <row r="241" spans="3:13" x14ac:dyDescent="0.25">
      <c r="C241" s="4"/>
      <c r="D241" s="20"/>
      <c r="E241" s="37"/>
      <c r="F241" s="98"/>
      <c r="G241" s="91">
        <f>-Bank_postings[[#This Row],[Payment amount]] + Bank_postings[[#This Row],[Receipt amount]]</f>
        <v>0</v>
      </c>
      <c r="H241" s="31" t="e" cm="1">
        <f t="array" ref="H241">INDEX(Payment_categorisations[Category], MATCH(TRUE, ISNUMBER(SEARCH(Payment_categorisations[Contains keywords], Bank_postings[[#This Row],[Narrative]])), 0))</f>
        <v>#N/A</v>
      </c>
      <c r="I241" s="31" t="e" cm="1">
        <f t="array" ref="I241">INDEX(Payment_categorisations[Sub-category], MATCH(TRUE, ISNUMBER(SEARCH(Payment_categorisations[Contains keywords], Bank_postings[[#This Row],[Narrative]])), 0))</f>
        <v>#N/A</v>
      </c>
      <c r="J241" s="20"/>
      <c r="K241" s="20"/>
      <c r="L241" s="31" t="e">
        <f>IF(Bank_postings[[#This Row],[Manual override category]] &lt;&gt; "", Bank_postings[[#This Row],[Manual override category]], Bank_postings[[#This Row],[Category]])</f>
        <v>#N/A</v>
      </c>
      <c r="M241" s="31" t="e">
        <f>IF(Bank_postings[[#This Row],[Manual override sub-category]] &lt;&gt; "", Bank_postings[[#This Row],[Manual override sub-category]], Bank_postings[[#This Row],[Sub-category]])</f>
        <v>#N/A</v>
      </c>
    </row>
    <row r="242" spans="3:13" x14ac:dyDescent="0.25">
      <c r="C242" s="4"/>
      <c r="D242" s="20"/>
      <c r="E242" s="37"/>
      <c r="F242" s="98"/>
      <c r="G242" s="91">
        <f>-Bank_postings[[#This Row],[Payment amount]] + Bank_postings[[#This Row],[Receipt amount]]</f>
        <v>0</v>
      </c>
      <c r="H242" s="31" t="e" cm="1">
        <f t="array" ref="H242">INDEX(Payment_categorisations[Category], MATCH(TRUE, ISNUMBER(SEARCH(Payment_categorisations[Contains keywords], Bank_postings[[#This Row],[Narrative]])), 0))</f>
        <v>#N/A</v>
      </c>
      <c r="I242" s="31" t="e" cm="1">
        <f t="array" ref="I242">INDEX(Payment_categorisations[Sub-category], MATCH(TRUE, ISNUMBER(SEARCH(Payment_categorisations[Contains keywords], Bank_postings[[#This Row],[Narrative]])), 0))</f>
        <v>#N/A</v>
      </c>
      <c r="J242" s="20"/>
      <c r="K242" s="20"/>
      <c r="L242" s="31" t="e">
        <f>IF(Bank_postings[[#This Row],[Manual override category]] &lt;&gt; "", Bank_postings[[#This Row],[Manual override category]], Bank_postings[[#This Row],[Category]])</f>
        <v>#N/A</v>
      </c>
      <c r="M242" s="31" t="e">
        <f>IF(Bank_postings[[#This Row],[Manual override sub-category]] &lt;&gt; "", Bank_postings[[#This Row],[Manual override sub-category]], Bank_postings[[#This Row],[Sub-category]])</f>
        <v>#N/A</v>
      </c>
    </row>
    <row r="243" spans="3:13" x14ac:dyDescent="0.25">
      <c r="C243" s="4"/>
      <c r="D243" s="20"/>
      <c r="E243" s="37"/>
      <c r="F243" s="98"/>
      <c r="G243" s="91">
        <f>-Bank_postings[[#This Row],[Payment amount]] + Bank_postings[[#This Row],[Receipt amount]]</f>
        <v>0</v>
      </c>
      <c r="H243" s="31" t="e" cm="1">
        <f t="array" ref="H243">INDEX(Payment_categorisations[Category], MATCH(TRUE, ISNUMBER(SEARCH(Payment_categorisations[Contains keywords], Bank_postings[[#This Row],[Narrative]])), 0))</f>
        <v>#N/A</v>
      </c>
      <c r="I243" s="31" t="e" cm="1">
        <f t="array" ref="I243">INDEX(Payment_categorisations[Sub-category], MATCH(TRUE, ISNUMBER(SEARCH(Payment_categorisations[Contains keywords], Bank_postings[[#This Row],[Narrative]])), 0))</f>
        <v>#N/A</v>
      </c>
      <c r="J243" s="20"/>
      <c r="K243" s="20"/>
      <c r="L243" s="31" t="e">
        <f>IF(Bank_postings[[#This Row],[Manual override category]] &lt;&gt; "", Bank_postings[[#This Row],[Manual override category]], Bank_postings[[#This Row],[Category]])</f>
        <v>#N/A</v>
      </c>
      <c r="M243" s="31" t="e">
        <f>IF(Bank_postings[[#This Row],[Manual override sub-category]] &lt;&gt; "", Bank_postings[[#This Row],[Manual override sub-category]], Bank_postings[[#This Row],[Sub-category]])</f>
        <v>#N/A</v>
      </c>
    </row>
    <row r="244" spans="3:13" x14ac:dyDescent="0.25">
      <c r="C244" s="4"/>
      <c r="D244" s="20"/>
      <c r="E244" s="37"/>
      <c r="F244" s="98"/>
      <c r="G244" s="91">
        <f>-Bank_postings[[#This Row],[Payment amount]] + Bank_postings[[#This Row],[Receipt amount]]</f>
        <v>0</v>
      </c>
      <c r="H244" s="31" t="e" cm="1">
        <f t="array" ref="H244">INDEX(Payment_categorisations[Category], MATCH(TRUE, ISNUMBER(SEARCH(Payment_categorisations[Contains keywords], Bank_postings[[#This Row],[Narrative]])), 0))</f>
        <v>#N/A</v>
      </c>
      <c r="I244" s="31" t="e" cm="1">
        <f t="array" ref="I244">INDEX(Payment_categorisations[Sub-category], MATCH(TRUE, ISNUMBER(SEARCH(Payment_categorisations[Contains keywords], Bank_postings[[#This Row],[Narrative]])), 0))</f>
        <v>#N/A</v>
      </c>
      <c r="J244" s="20"/>
      <c r="K244" s="20"/>
      <c r="L244" s="31" t="e">
        <f>IF(Bank_postings[[#This Row],[Manual override category]] &lt;&gt; "", Bank_postings[[#This Row],[Manual override category]], Bank_postings[[#This Row],[Category]])</f>
        <v>#N/A</v>
      </c>
      <c r="M244" s="31" t="e">
        <f>IF(Bank_postings[[#This Row],[Manual override sub-category]] &lt;&gt; "", Bank_postings[[#This Row],[Manual override sub-category]], Bank_postings[[#This Row],[Sub-category]])</f>
        <v>#N/A</v>
      </c>
    </row>
    <row r="245" spans="3:13" x14ac:dyDescent="0.25">
      <c r="C245" s="4"/>
      <c r="D245" s="20"/>
      <c r="E245" s="37"/>
      <c r="F245" s="98"/>
      <c r="G245" s="91">
        <f>-Bank_postings[[#This Row],[Payment amount]] + Bank_postings[[#This Row],[Receipt amount]]</f>
        <v>0</v>
      </c>
      <c r="H245" s="31" t="e" cm="1">
        <f t="array" ref="H245">INDEX(Payment_categorisations[Category], MATCH(TRUE, ISNUMBER(SEARCH(Payment_categorisations[Contains keywords], Bank_postings[[#This Row],[Narrative]])), 0))</f>
        <v>#N/A</v>
      </c>
      <c r="I245" s="31" t="e" cm="1">
        <f t="array" ref="I245">INDEX(Payment_categorisations[Sub-category], MATCH(TRUE, ISNUMBER(SEARCH(Payment_categorisations[Contains keywords], Bank_postings[[#This Row],[Narrative]])), 0))</f>
        <v>#N/A</v>
      </c>
      <c r="J245" s="20"/>
      <c r="K245" s="20"/>
      <c r="L245" s="31" t="e">
        <f>IF(Bank_postings[[#This Row],[Manual override category]] &lt;&gt; "", Bank_postings[[#This Row],[Manual override category]], Bank_postings[[#This Row],[Category]])</f>
        <v>#N/A</v>
      </c>
      <c r="M245" s="31" t="e">
        <f>IF(Bank_postings[[#This Row],[Manual override sub-category]] &lt;&gt; "", Bank_postings[[#This Row],[Manual override sub-category]], Bank_postings[[#This Row],[Sub-category]])</f>
        <v>#N/A</v>
      </c>
    </row>
    <row r="246" spans="3:13" x14ac:dyDescent="0.25">
      <c r="C246" s="4"/>
      <c r="D246" s="20"/>
      <c r="E246" s="37"/>
      <c r="F246" s="98"/>
      <c r="G246" s="91">
        <f>-Bank_postings[[#This Row],[Payment amount]] + Bank_postings[[#This Row],[Receipt amount]]</f>
        <v>0</v>
      </c>
      <c r="H246" s="31" t="e" cm="1">
        <f t="array" ref="H246">INDEX(Payment_categorisations[Category], MATCH(TRUE, ISNUMBER(SEARCH(Payment_categorisations[Contains keywords], Bank_postings[[#This Row],[Narrative]])), 0))</f>
        <v>#N/A</v>
      </c>
      <c r="I246" s="31" t="e" cm="1">
        <f t="array" ref="I246">INDEX(Payment_categorisations[Sub-category], MATCH(TRUE, ISNUMBER(SEARCH(Payment_categorisations[Contains keywords], Bank_postings[[#This Row],[Narrative]])), 0))</f>
        <v>#N/A</v>
      </c>
      <c r="J246" s="20"/>
      <c r="K246" s="20"/>
      <c r="L246" s="31" t="e">
        <f>IF(Bank_postings[[#This Row],[Manual override category]] &lt;&gt; "", Bank_postings[[#This Row],[Manual override category]], Bank_postings[[#This Row],[Category]])</f>
        <v>#N/A</v>
      </c>
      <c r="M246" s="31" t="e">
        <f>IF(Bank_postings[[#This Row],[Manual override sub-category]] &lt;&gt; "", Bank_postings[[#This Row],[Manual override sub-category]], Bank_postings[[#This Row],[Sub-category]])</f>
        <v>#N/A</v>
      </c>
    </row>
    <row r="247" spans="3:13" x14ac:dyDescent="0.25">
      <c r="C247" s="4"/>
      <c r="D247" s="20"/>
      <c r="E247" s="37"/>
      <c r="F247" s="98"/>
      <c r="G247" s="91">
        <f>-Bank_postings[[#This Row],[Payment amount]] + Bank_postings[[#This Row],[Receipt amount]]</f>
        <v>0</v>
      </c>
      <c r="H247" s="31" t="e" cm="1">
        <f t="array" ref="H247">INDEX(Payment_categorisations[Category], MATCH(TRUE, ISNUMBER(SEARCH(Payment_categorisations[Contains keywords], Bank_postings[[#This Row],[Narrative]])), 0))</f>
        <v>#N/A</v>
      </c>
      <c r="I247" s="31" t="e" cm="1">
        <f t="array" ref="I247">INDEX(Payment_categorisations[Sub-category], MATCH(TRUE, ISNUMBER(SEARCH(Payment_categorisations[Contains keywords], Bank_postings[[#This Row],[Narrative]])), 0))</f>
        <v>#N/A</v>
      </c>
      <c r="J247" s="20"/>
      <c r="K247" s="20"/>
      <c r="L247" s="31" t="e">
        <f>IF(Bank_postings[[#This Row],[Manual override category]] &lt;&gt; "", Bank_postings[[#This Row],[Manual override category]], Bank_postings[[#This Row],[Category]])</f>
        <v>#N/A</v>
      </c>
      <c r="M247" s="31" t="e">
        <f>IF(Bank_postings[[#This Row],[Manual override sub-category]] &lt;&gt; "", Bank_postings[[#This Row],[Manual override sub-category]], Bank_postings[[#This Row],[Sub-category]])</f>
        <v>#N/A</v>
      </c>
    </row>
    <row r="248" spans="3:13" x14ac:dyDescent="0.25">
      <c r="C248" s="4"/>
      <c r="D248" s="20"/>
      <c r="E248" s="37"/>
      <c r="F248" s="98"/>
      <c r="G248" s="91">
        <f>-Bank_postings[[#This Row],[Payment amount]] + Bank_postings[[#This Row],[Receipt amount]]</f>
        <v>0</v>
      </c>
      <c r="H248" s="31" t="e" cm="1">
        <f t="array" ref="H248">INDEX(Payment_categorisations[Category], MATCH(TRUE, ISNUMBER(SEARCH(Payment_categorisations[Contains keywords], Bank_postings[[#This Row],[Narrative]])), 0))</f>
        <v>#N/A</v>
      </c>
      <c r="I248" s="31" t="e" cm="1">
        <f t="array" ref="I248">INDEX(Payment_categorisations[Sub-category], MATCH(TRUE, ISNUMBER(SEARCH(Payment_categorisations[Contains keywords], Bank_postings[[#This Row],[Narrative]])), 0))</f>
        <v>#N/A</v>
      </c>
      <c r="J248" s="20"/>
      <c r="K248" s="20"/>
      <c r="L248" s="31" t="e">
        <f>IF(Bank_postings[[#This Row],[Manual override category]] &lt;&gt; "", Bank_postings[[#This Row],[Manual override category]], Bank_postings[[#This Row],[Category]])</f>
        <v>#N/A</v>
      </c>
      <c r="M248" s="31" t="e">
        <f>IF(Bank_postings[[#This Row],[Manual override sub-category]] &lt;&gt; "", Bank_postings[[#This Row],[Manual override sub-category]], Bank_postings[[#This Row],[Sub-category]])</f>
        <v>#N/A</v>
      </c>
    </row>
    <row r="249" spans="3:13" x14ac:dyDescent="0.25">
      <c r="C249" s="4"/>
      <c r="D249" s="20"/>
      <c r="E249" s="37"/>
      <c r="F249" s="98"/>
      <c r="G249" s="91">
        <f>-Bank_postings[[#This Row],[Payment amount]] + Bank_postings[[#This Row],[Receipt amount]]</f>
        <v>0</v>
      </c>
      <c r="H249" s="31" t="e" cm="1">
        <f t="array" ref="H249">INDEX(Payment_categorisations[Category], MATCH(TRUE, ISNUMBER(SEARCH(Payment_categorisations[Contains keywords], Bank_postings[[#This Row],[Narrative]])), 0))</f>
        <v>#N/A</v>
      </c>
      <c r="I249" s="31" t="e" cm="1">
        <f t="array" ref="I249">INDEX(Payment_categorisations[Sub-category], MATCH(TRUE, ISNUMBER(SEARCH(Payment_categorisations[Contains keywords], Bank_postings[[#This Row],[Narrative]])), 0))</f>
        <v>#N/A</v>
      </c>
      <c r="J249" s="20"/>
      <c r="K249" s="20"/>
      <c r="L249" s="31" t="e">
        <f>IF(Bank_postings[[#This Row],[Manual override category]] &lt;&gt; "", Bank_postings[[#This Row],[Manual override category]], Bank_postings[[#This Row],[Category]])</f>
        <v>#N/A</v>
      </c>
      <c r="M249" s="31" t="e">
        <f>IF(Bank_postings[[#This Row],[Manual override sub-category]] &lt;&gt; "", Bank_postings[[#This Row],[Manual override sub-category]], Bank_postings[[#This Row],[Sub-category]])</f>
        <v>#N/A</v>
      </c>
    </row>
    <row r="250" spans="3:13" x14ac:dyDescent="0.25">
      <c r="C250" s="4"/>
      <c r="D250" s="20"/>
      <c r="E250" s="37"/>
      <c r="F250" s="98"/>
      <c r="G250" s="91">
        <f>-Bank_postings[[#This Row],[Payment amount]] + Bank_postings[[#This Row],[Receipt amount]]</f>
        <v>0</v>
      </c>
      <c r="H250" s="31" t="e" cm="1">
        <f t="array" ref="H250">INDEX(Payment_categorisations[Category], MATCH(TRUE, ISNUMBER(SEARCH(Payment_categorisations[Contains keywords], Bank_postings[[#This Row],[Narrative]])), 0))</f>
        <v>#N/A</v>
      </c>
      <c r="I250" s="31" t="e" cm="1">
        <f t="array" ref="I250">INDEX(Payment_categorisations[Sub-category], MATCH(TRUE, ISNUMBER(SEARCH(Payment_categorisations[Contains keywords], Bank_postings[[#This Row],[Narrative]])), 0))</f>
        <v>#N/A</v>
      </c>
      <c r="J250" s="20"/>
      <c r="K250" s="20"/>
      <c r="L250" s="31" t="e">
        <f>IF(Bank_postings[[#This Row],[Manual override category]] &lt;&gt; "", Bank_postings[[#This Row],[Manual override category]], Bank_postings[[#This Row],[Category]])</f>
        <v>#N/A</v>
      </c>
      <c r="M250" s="31" t="e">
        <f>IF(Bank_postings[[#This Row],[Manual override sub-category]] &lt;&gt; "", Bank_postings[[#This Row],[Manual override sub-category]], Bank_postings[[#This Row],[Sub-category]])</f>
        <v>#N/A</v>
      </c>
    </row>
    <row r="251" spans="3:13" x14ac:dyDescent="0.25">
      <c r="C251" s="4"/>
      <c r="D251" s="20"/>
      <c r="E251" s="37"/>
      <c r="F251" s="98"/>
      <c r="G251" s="91">
        <f>-Bank_postings[[#This Row],[Payment amount]] + Bank_postings[[#This Row],[Receipt amount]]</f>
        <v>0</v>
      </c>
      <c r="H251" s="31" t="e" cm="1">
        <f t="array" ref="H251">INDEX(Payment_categorisations[Category], MATCH(TRUE, ISNUMBER(SEARCH(Payment_categorisations[Contains keywords], Bank_postings[[#This Row],[Narrative]])), 0))</f>
        <v>#N/A</v>
      </c>
      <c r="I251" s="31" t="e" cm="1">
        <f t="array" ref="I251">INDEX(Payment_categorisations[Sub-category], MATCH(TRUE, ISNUMBER(SEARCH(Payment_categorisations[Contains keywords], Bank_postings[[#This Row],[Narrative]])), 0))</f>
        <v>#N/A</v>
      </c>
      <c r="J251" s="20"/>
      <c r="K251" s="20"/>
      <c r="L251" s="31" t="e">
        <f>IF(Bank_postings[[#This Row],[Manual override category]] &lt;&gt; "", Bank_postings[[#This Row],[Manual override category]], Bank_postings[[#This Row],[Category]])</f>
        <v>#N/A</v>
      </c>
      <c r="M251" s="31" t="e">
        <f>IF(Bank_postings[[#This Row],[Manual override sub-category]] &lt;&gt; "", Bank_postings[[#This Row],[Manual override sub-category]], Bank_postings[[#This Row],[Sub-category]])</f>
        <v>#N/A</v>
      </c>
    </row>
    <row r="252" spans="3:13" x14ac:dyDescent="0.25">
      <c r="C252" s="4"/>
      <c r="D252" s="20"/>
      <c r="E252" s="37"/>
      <c r="F252" s="98"/>
      <c r="G252" s="91">
        <f>-Bank_postings[[#This Row],[Payment amount]] + Bank_postings[[#This Row],[Receipt amount]]</f>
        <v>0</v>
      </c>
      <c r="H252" s="31" t="e" cm="1">
        <f t="array" ref="H252">INDEX(Payment_categorisations[Category], MATCH(TRUE, ISNUMBER(SEARCH(Payment_categorisations[Contains keywords], Bank_postings[[#This Row],[Narrative]])), 0))</f>
        <v>#N/A</v>
      </c>
      <c r="I252" s="31" t="e" cm="1">
        <f t="array" ref="I252">INDEX(Payment_categorisations[Sub-category], MATCH(TRUE, ISNUMBER(SEARCH(Payment_categorisations[Contains keywords], Bank_postings[[#This Row],[Narrative]])), 0))</f>
        <v>#N/A</v>
      </c>
      <c r="J252" s="20"/>
      <c r="K252" s="20"/>
      <c r="L252" s="31" t="e">
        <f>IF(Bank_postings[[#This Row],[Manual override category]] &lt;&gt; "", Bank_postings[[#This Row],[Manual override category]], Bank_postings[[#This Row],[Category]])</f>
        <v>#N/A</v>
      </c>
      <c r="M252" s="31" t="e">
        <f>IF(Bank_postings[[#This Row],[Manual override sub-category]] &lt;&gt; "", Bank_postings[[#This Row],[Manual override sub-category]], Bank_postings[[#This Row],[Sub-category]])</f>
        <v>#N/A</v>
      </c>
    </row>
    <row r="253" spans="3:13" x14ac:dyDescent="0.25">
      <c r="C253" s="4"/>
      <c r="D253" s="20"/>
      <c r="E253" s="37"/>
      <c r="F253" s="98"/>
      <c r="G253" s="91">
        <f>-Bank_postings[[#This Row],[Payment amount]] + Bank_postings[[#This Row],[Receipt amount]]</f>
        <v>0</v>
      </c>
      <c r="H253" s="31" t="e" cm="1">
        <f t="array" ref="H253">INDEX(Payment_categorisations[Category], MATCH(TRUE, ISNUMBER(SEARCH(Payment_categorisations[Contains keywords], Bank_postings[[#This Row],[Narrative]])), 0))</f>
        <v>#N/A</v>
      </c>
      <c r="I253" s="31" t="e" cm="1">
        <f t="array" ref="I253">INDEX(Payment_categorisations[Sub-category], MATCH(TRUE, ISNUMBER(SEARCH(Payment_categorisations[Contains keywords], Bank_postings[[#This Row],[Narrative]])), 0))</f>
        <v>#N/A</v>
      </c>
      <c r="J253" s="20"/>
      <c r="K253" s="20"/>
      <c r="L253" s="31" t="e">
        <f>IF(Bank_postings[[#This Row],[Manual override category]] &lt;&gt; "", Bank_postings[[#This Row],[Manual override category]], Bank_postings[[#This Row],[Category]])</f>
        <v>#N/A</v>
      </c>
      <c r="M253" s="31" t="e">
        <f>IF(Bank_postings[[#This Row],[Manual override sub-category]] &lt;&gt; "", Bank_postings[[#This Row],[Manual override sub-category]], Bank_postings[[#This Row],[Sub-category]])</f>
        <v>#N/A</v>
      </c>
    </row>
    <row r="254" spans="3:13" x14ac:dyDescent="0.25">
      <c r="C254" s="4"/>
      <c r="D254" s="20"/>
      <c r="E254" s="37"/>
      <c r="F254" s="98"/>
      <c r="G254" s="91">
        <f>-Bank_postings[[#This Row],[Payment amount]] + Bank_postings[[#This Row],[Receipt amount]]</f>
        <v>0</v>
      </c>
      <c r="H254" s="31" t="e" cm="1">
        <f t="array" ref="H254">INDEX(Payment_categorisations[Category], MATCH(TRUE, ISNUMBER(SEARCH(Payment_categorisations[Contains keywords], Bank_postings[[#This Row],[Narrative]])), 0))</f>
        <v>#N/A</v>
      </c>
      <c r="I254" s="31" t="e" cm="1">
        <f t="array" ref="I254">INDEX(Payment_categorisations[Sub-category], MATCH(TRUE, ISNUMBER(SEARCH(Payment_categorisations[Contains keywords], Bank_postings[[#This Row],[Narrative]])), 0))</f>
        <v>#N/A</v>
      </c>
      <c r="J254" s="20"/>
      <c r="K254" s="20"/>
      <c r="L254" s="31" t="e">
        <f>IF(Bank_postings[[#This Row],[Manual override category]] &lt;&gt; "", Bank_postings[[#This Row],[Manual override category]], Bank_postings[[#This Row],[Category]])</f>
        <v>#N/A</v>
      </c>
      <c r="M254" s="31" t="e">
        <f>IF(Bank_postings[[#This Row],[Manual override sub-category]] &lt;&gt; "", Bank_postings[[#This Row],[Manual override sub-category]], Bank_postings[[#This Row],[Sub-category]])</f>
        <v>#N/A</v>
      </c>
    </row>
    <row r="255" spans="3:13" x14ac:dyDescent="0.25">
      <c r="C255" s="4"/>
      <c r="D255" s="20"/>
      <c r="E255" s="37"/>
      <c r="F255" s="98"/>
      <c r="G255" s="91">
        <f>-Bank_postings[[#This Row],[Payment amount]] + Bank_postings[[#This Row],[Receipt amount]]</f>
        <v>0</v>
      </c>
      <c r="H255" s="31" t="e" cm="1">
        <f t="array" ref="H255">INDEX(Payment_categorisations[Category], MATCH(TRUE, ISNUMBER(SEARCH(Payment_categorisations[Contains keywords], Bank_postings[[#This Row],[Narrative]])), 0))</f>
        <v>#N/A</v>
      </c>
      <c r="I255" s="31" t="e" cm="1">
        <f t="array" ref="I255">INDEX(Payment_categorisations[Sub-category], MATCH(TRUE, ISNUMBER(SEARCH(Payment_categorisations[Contains keywords], Bank_postings[[#This Row],[Narrative]])), 0))</f>
        <v>#N/A</v>
      </c>
      <c r="J255" s="20"/>
      <c r="K255" s="20"/>
      <c r="L255" s="31" t="e">
        <f>IF(Bank_postings[[#This Row],[Manual override category]] &lt;&gt; "", Bank_postings[[#This Row],[Manual override category]], Bank_postings[[#This Row],[Category]])</f>
        <v>#N/A</v>
      </c>
      <c r="M255" s="31" t="e">
        <f>IF(Bank_postings[[#This Row],[Manual override sub-category]] &lt;&gt; "", Bank_postings[[#This Row],[Manual override sub-category]], Bank_postings[[#This Row],[Sub-category]])</f>
        <v>#N/A</v>
      </c>
    </row>
    <row r="256" spans="3:13" x14ac:dyDescent="0.25">
      <c r="C256" s="4"/>
      <c r="D256" s="20"/>
      <c r="E256" s="37"/>
      <c r="F256" s="98"/>
      <c r="G256" s="91">
        <f>-Bank_postings[[#This Row],[Payment amount]] + Bank_postings[[#This Row],[Receipt amount]]</f>
        <v>0</v>
      </c>
      <c r="H256" s="31" t="e" cm="1">
        <f t="array" ref="H256">INDEX(Payment_categorisations[Category], MATCH(TRUE, ISNUMBER(SEARCH(Payment_categorisations[Contains keywords], Bank_postings[[#This Row],[Narrative]])), 0))</f>
        <v>#N/A</v>
      </c>
      <c r="I256" s="31" t="e" cm="1">
        <f t="array" ref="I256">INDEX(Payment_categorisations[Sub-category], MATCH(TRUE, ISNUMBER(SEARCH(Payment_categorisations[Contains keywords], Bank_postings[[#This Row],[Narrative]])), 0))</f>
        <v>#N/A</v>
      </c>
      <c r="J256" s="20"/>
      <c r="K256" s="20"/>
      <c r="L256" s="31" t="e">
        <f>IF(Bank_postings[[#This Row],[Manual override category]] &lt;&gt; "", Bank_postings[[#This Row],[Manual override category]], Bank_postings[[#This Row],[Category]])</f>
        <v>#N/A</v>
      </c>
      <c r="M256" s="31" t="e">
        <f>IF(Bank_postings[[#This Row],[Manual override sub-category]] &lt;&gt; "", Bank_postings[[#This Row],[Manual override sub-category]], Bank_postings[[#This Row],[Sub-category]])</f>
        <v>#N/A</v>
      </c>
    </row>
    <row r="257" spans="3:13" x14ac:dyDescent="0.25">
      <c r="C257" s="4"/>
      <c r="D257" s="20"/>
      <c r="E257" s="37"/>
      <c r="F257" s="98"/>
      <c r="G257" s="91">
        <f>-Bank_postings[[#This Row],[Payment amount]] + Bank_postings[[#This Row],[Receipt amount]]</f>
        <v>0</v>
      </c>
      <c r="H257" s="31" t="e" cm="1">
        <f t="array" ref="H257">INDEX(Payment_categorisations[Category], MATCH(TRUE, ISNUMBER(SEARCH(Payment_categorisations[Contains keywords], Bank_postings[[#This Row],[Narrative]])), 0))</f>
        <v>#N/A</v>
      </c>
      <c r="I257" s="31" t="e" cm="1">
        <f t="array" ref="I257">INDEX(Payment_categorisations[Sub-category], MATCH(TRUE, ISNUMBER(SEARCH(Payment_categorisations[Contains keywords], Bank_postings[[#This Row],[Narrative]])), 0))</f>
        <v>#N/A</v>
      </c>
      <c r="J257" s="20"/>
      <c r="K257" s="20"/>
      <c r="L257" s="31" t="e">
        <f>IF(Bank_postings[[#This Row],[Manual override category]] &lt;&gt; "", Bank_postings[[#This Row],[Manual override category]], Bank_postings[[#This Row],[Category]])</f>
        <v>#N/A</v>
      </c>
      <c r="M257" s="31" t="e">
        <f>IF(Bank_postings[[#This Row],[Manual override sub-category]] &lt;&gt; "", Bank_postings[[#This Row],[Manual override sub-category]], Bank_postings[[#This Row],[Sub-category]])</f>
        <v>#N/A</v>
      </c>
    </row>
    <row r="258" spans="3:13" x14ac:dyDescent="0.25">
      <c r="C258" s="4"/>
      <c r="D258" s="20"/>
      <c r="E258" s="37"/>
      <c r="F258" s="98"/>
      <c r="G258" s="91">
        <f>-Bank_postings[[#This Row],[Payment amount]] + Bank_postings[[#This Row],[Receipt amount]]</f>
        <v>0</v>
      </c>
      <c r="H258" s="31" t="e" cm="1">
        <f t="array" ref="H258">INDEX(Payment_categorisations[Category], MATCH(TRUE, ISNUMBER(SEARCH(Payment_categorisations[Contains keywords], Bank_postings[[#This Row],[Narrative]])), 0))</f>
        <v>#N/A</v>
      </c>
      <c r="I258" s="31" t="e" cm="1">
        <f t="array" ref="I258">INDEX(Payment_categorisations[Sub-category], MATCH(TRUE, ISNUMBER(SEARCH(Payment_categorisations[Contains keywords], Bank_postings[[#This Row],[Narrative]])), 0))</f>
        <v>#N/A</v>
      </c>
      <c r="J258" s="20"/>
      <c r="K258" s="20"/>
      <c r="L258" s="31" t="e">
        <f>IF(Bank_postings[[#This Row],[Manual override category]] &lt;&gt; "", Bank_postings[[#This Row],[Manual override category]], Bank_postings[[#This Row],[Category]])</f>
        <v>#N/A</v>
      </c>
      <c r="M258" s="31" t="e">
        <f>IF(Bank_postings[[#This Row],[Manual override sub-category]] &lt;&gt; "", Bank_postings[[#This Row],[Manual override sub-category]], Bank_postings[[#This Row],[Sub-category]])</f>
        <v>#N/A</v>
      </c>
    </row>
    <row r="259" spans="3:13" x14ac:dyDescent="0.25">
      <c r="C259" s="4"/>
      <c r="D259" s="20"/>
      <c r="E259" s="37"/>
      <c r="F259" s="98"/>
      <c r="G259" s="91">
        <f>-Bank_postings[[#This Row],[Payment amount]] + Bank_postings[[#This Row],[Receipt amount]]</f>
        <v>0</v>
      </c>
      <c r="H259" s="31" t="e" cm="1">
        <f t="array" ref="H259">INDEX(Payment_categorisations[Category], MATCH(TRUE, ISNUMBER(SEARCH(Payment_categorisations[Contains keywords], Bank_postings[[#This Row],[Narrative]])), 0))</f>
        <v>#N/A</v>
      </c>
      <c r="I259" s="31" t="e" cm="1">
        <f t="array" ref="I259">INDEX(Payment_categorisations[Sub-category], MATCH(TRUE, ISNUMBER(SEARCH(Payment_categorisations[Contains keywords], Bank_postings[[#This Row],[Narrative]])), 0))</f>
        <v>#N/A</v>
      </c>
      <c r="J259" s="20"/>
      <c r="K259" s="20"/>
      <c r="L259" s="31" t="e">
        <f>IF(Bank_postings[[#This Row],[Manual override category]] &lt;&gt; "", Bank_postings[[#This Row],[Manual override category]], Bank_postings[[#This Row],[Category]])</f>
        <v>#N/A</v>
      </c>
      <c r="M259" s="31" t="e">
        <f>IF(Bank_postings[[#This Row],[Manual override sub-category]] &lt;&gt; "", Bank_postings[[#This Row],[Manual override sub-category]], Bank_postings[[#This Row],[Sub-category]])</f>
        <v>#N/A</v>
      </c>
    </row>
    <row r="260" spans="3:13" x14ac:dyDescent="0.25">
      <c r="C260" s="4"/>
      <c r="D260" s="20"/>
      <c r="E260" s="37"/>
      <c r="F260" s="98"/>
      <c r="G260" s="91">
        <f>-Bank_postings[[#This Row],[Payment amount]] + Bank_postings[[#This Row],[Receipt amount]]</f>
        <v>0</v>
      </c>
      <c r="H260" s="31" t="e" cm="1">
        <f t="array" ref="H260">INDEX(Payment_categorisations[Category], MATCH(TRUE, ISNUMBER(SEARCH(Payment_categorisations[Contains keywords], Bank_postings[[#This Row],[Narrative]])), 0))</f>
        <v>#N/A</v>
      </c>
      <c r="I260" s="31" t="e" cm="1">
        <f t="array" ref="I260">INDEX(Payment_categorisations[Sub-category], MATCH(TRUE, ISNUMBER(SEARCH(Payment_categorisations[Contains keywords], Bank_postings[[#This Row],[Narrative]])), 0))</f>
        <v>#N/A</v>
      </c>
      <c r="J260" s="20"/>
      <c r="K260" s="20"/>
      <c r="L260" s="31" t="e">
        <f>IF(Bank_postings[[#This Row],[Manual override category]] &lt;&gt; "", Bank_postings[[#This Row],[Manual override category]], Bank_postings[[#This Row],[Category]])</f>
        <v>#N/A</v>
      </c>
      <c r="M260" s="31" t="e">
        <f>IF(Bank_postings[[#This Row],[Manual override sub-category]] &lt;&gt; "", Bank_postings[[#This Row],[Manual override sub-category]], Bank_postings[[#This Row],[Sub-category]])</f>
        <v>#N/A</v>
      </c>
    </row>
    <row r="261" spans="3:13" x14ac:dyDescent="0.25">
      <c r="C261" s="4"/>
      <c r="D261" s="20"/>
      <c r="E261" s="37"/>
      <c r="F261" s="98"/>
      <c r="G261" s="91">
        <f>-Bank_postings[[#This Row],[Payment amount]] + Bank_postings[[#This Row],[Receipt amount]]</f>
        <v>0</v>
      </c>
      <c r="H261" s="31" t="e" cm="1">
        <f t="array" ref="H261">INDEX(Payment_categorisations[Category], MATCH(TRUE, ISNUMBER(SEARCH(Payment_categorisations[Contains keywords], Bank_postings[[#This Row],[Narrative]])), 0))</f>
        <v>#N/A</v>
      </c>
      <c r="I261" s="31" t="e" cm="1">
        <f t="array" ref="I261">INDEX(Payment_categorisations[Sub-category], MATCH(TRUE, ISNUMBER(SEARCH(Payment_categorisations[Contains keywords], Bank_postings[[#This Row],[Narrative]])), 0))</f>
        <v>#N/A</v>
      </c>
      <c r="J261" s="20"/>
      <c r="K261" s="20"/>
      <c r="L261" s="31" t="e">
        <f>IF(Bank_postings[[#This Row],[Manual override category]] &lt;&gt; "", Bank_postings[[#This Row],[Manual override category]], Bank_postings[[#This Row],[Category]])</f>
        <v>#N/A</v>
      </c>
      <c r="M261" s="31" t="e">
        <f>IF(Bank_postings[[#This Row],[Manual override sub-category]] &lt;&gt; "", Bank_postings[[#This Row],[Manual override sub-category]], Bank_postings[[#This Row],[Sub-category]])</f>
        <v>#N/A</v>
      </c>
    </row>
    <row r="262" spans="3:13" x14ac:dyDescent="0.25">
      <c r="C262" s="4"/>
      <c r="D262" s="20"/>
      <c r="E262" s="37"/>
      <c r="F262" s="98"/>
      <c r="G262" s="91">
        <f>-Bank_postings[[#This Row],[Payment amount]] + Bank_postings[[#This Row],[Receipt amount]]</f>
        <v>0</v>
      </c>
      <c r="H262" s="31" t="e" cm="1">
        <f t="array" ref="H262">INDEX(Payment_categorisations[Category], MATCH(TRUE, ISNUMBER(SEARCH(Payment_categorisations[Contains keywords], Bank_postings[[#This Row],[Narrative]])), 0))</f>
        <v>#N/A</v>
      </c>
      <c r="I262" s="31" t="e" cm="1">
        <f t="array" ref="I262">INDEX(Payment_categorisations[Sub-category], MATCH(TRUE, ISNUMBER(SEARCH(Payment_categorisations[Contains keywords], Bank_postings[[#This Row],[Narrative]])), 0))</f>
        <v>#N/A</v>
      </c>
      <c r="J262" s="20"/>
      <c r="K262" s="20"/>
      <c r="L262" s="31" t="e">
        <f>IF(Bank_postings[[#This Row],[Manual override category]] &lt;&gt; "", Bank_postings[[#This Row],[Manual override category]], Bank_postings[[#This Row],[Category]])</f>
        <v>#N/A</v>
      </c>
      <c r="M262" s="31" t="e">
        <f>IF(Bank_postings[[#This Row],[Manual override sub-category]] &lt;&gt; "", Bank_postings[[#This Row],[Manual override sub-category]], Bank_postings[[#This Row],[Sub-category]])</f>
        <v>#N/A</v>
      </c>
    </row>
    <row r="263" spans="3:13" x14ac:dyDescent="0.25">
      <c r="C263" s="4"/>
      <c r="D263" s="20"/>
      <c r="E263" s="37"/>
      <c r="F263" s="98"/>
      <c r="G263" s="91">
        <f>-Bank_postings[[#This Row],[Payment amount]] + Bank_postings[[#This Row],[Receipt amount]]</f>
        <v>0</v>
      </c>
      <c r="H263" s="31" t="e" cm="1">
        <f t="array" ref="H263">INDEX(Payment_categorisations[Category], MATCH(TRUE, ISNUMBER(SEARCH(Payment_categorisations[Contains keywords], Bank_postings[[#This Row],[Narrative]])), 0))</f>
        <v>#N/A</v>
      </c>
      <c r="I263" s="31" t="e" cm="1">
        <f t="array" ref="I263">INDEX(Payment_categorisations[Sub-category], MATCH(TRUE, ISNUMBER(SEARCH(Payment_categorisations[Contains keywords], Bank_postings[[#This Row],[Narrative]])), 0))</f>
        <v>#N/A</v>
      </c>
      <c r="J263" s="20"/>
      <c r="K263" s="20"/>
      <c r="L263" s="31" t="e">
        <f>IF(Bank_postings[[#This Row],[Manual override category]] &lt;&gt; "", Bank_postings[[#This Row],[Manual override category]], Bank_postings[[#This Row],[Category]])</f>
        <v>#N/A</v>
      </c>
      <c r="M263" s="31" t="e">
        <f>IF(Bank_postings[[#This Row],[Manual override sub-category]] &lt;&gt; "", Bank_postings[[#This Row],[Manual override sub-category]], Bank_postings[[#This Row],[Sub-category]])</f>
        <v>#N/A</v>
      </c>
    </row>
    <row r="264" spans="3:13" x14ac:dyDescent="0.25">
      <c r="C264" s="4"/>
      <c r="D264" s="20"/>
      <c r="E264" s="37"/>
      <c r="F264" s="98"/>
      <c r="G264" s="91">
        <f>-Bank_postings[[#This Row],[Payment amount]] + Bank_postings[[#This Row],[Receipt amount]]</f>
        <v>0</v>
      </c>
      <c r="H264" s="31" t="e" cm="1">
        <f t="array" ref="H264">INDEX(Payment_categorisations[Category], MATCH(TRUE, ISNUMBER(SEARCH(Payment_categorisations[Contains keywords], Bank_postings[[#This Row],[Narrative]])), 0))</f>
        <v>#N/A</v>
      </c>
      <c r="I264" s="31" t="e" cm="1">
        <f t="array" ref="I264">INDEX(Payment_categorisations[Sub-category], MATCH(TRUE, ISNUMBER(SEARCH(Payment_categorisations[Contains keywords], Bank_postings[[#This Row],[Narrative]])), 0))</f>
        <v>#N/A</v>
      </c>
      <c r="J264" s="20"/>
      <c r="K264" s="20"/>
      <c r="L264" s="31" t="e">
        <f>IF(Bank_postings[[#This Row],[Manual override category]] &lt;&gt; "", Bank_postings[[#This Row],[Manual override category]], Bank_postings[[#This Row],[Category]])</f>
        <v>#N/A</v>
      </c>
      <c r="M264" s="31" t="e">
        <f>IF(Bank_postings[[#This Row],[Manual override sub-category]] &lt;&gt; "", Bank_postings[[#This Row],[Manual override sub-category]], Bank_postings[[#This Row],[Sub-category]])</f>
        <v>#N/A</v>
      </c>
    </row>
    <row r="265" spans="3:13" x14ac:dyDescent="0.25">
      <c r="C265" s="4"/>
      <c r="D265" s="20"/>
      <c r="E265" s="37"/>
      <c r="F265" s="98"/>
      <c r="G265" s="91">
        <f>-Bank_postings[[#This Row],[Payment amount]] + Bank_postings[[#This Row],[Receipt amount]]</f>
        <v>0</v>
      </c>
      <c r="H265" s="31" t="e" cm="1">
        <f t="array" ref="H265">INDEX(Payment_categorisations[Category], MATCH(TRUE, ISNUMBER(SEARCH(Payment_categorisations[Contains keywords], Bank_postings[[#This Row],[Narrative]])), 0))</f>
        <v>#N/A</v>
      </c>
      <c r="I265" s="31" t="e" cm="1">
        <f t="array" ref="I265">INDEX(Payment_categorisations[Sub-category], MATCH(TRUE, ISNUMBER(SEARCH(Payment_categorisations[Contains keywords], Bank_postings[[#This Row],[Narrative]])), 0))</f>
        <v>#N/A</v>
      </c>
      <c r="J265" s="20"/>
      <c r="K265" s="20"/>
      <c r="L265" s="31" t="e">
        <f>IF(Bank_postings[[#This Row],[Manual override category]] &lt;&gt; "", Bank_postings[[#This Row],[Manual override category]], Bank_postings[[#This Row],[Category]])</f>
        <v>#N/A</v>
      </c>
      <c r="M265" s="31" t="e">
        <f>IF(Bank_postings[[#This Row],[Manual override sub-category]] &lt;&gt; "", Bank_postings[[#This Row],[Manual override sub-category]], Bank_postings[[#This Row],[Sub-category]])</f>
        <v>#N/A</v>
      </c>
    </row>
    <row r="266" spans="3:13" x14ac:dyDescent="0.25">
      <c r="C266" s="4"/>
      <c r="D266" s="20"/>
      <c r="E266" s="37"/>
      <c r="F266" s="98"/>
      <c r="G266" s="91">
        <f>-Bank_postings[[#This Row],[Payment amount]] + Bank_postings[[#This Row],[Receipt amount]]</f>
        <v>0</v>
      </c>
      <c r="H266" s="31" t="e" cm="1">
        <f t="array" ref="H266">INDEX(Payment_categorisations[Category], MATCH(TRUE, ISNUMBER(SEARCH(Payment_categorisations[Contains keywords], Bank_postings[[#This Row],[Narrative]])), 0))</f>
        <v>#N/A</v>
      </c>
      <c r="I266" s="31" t="e" cm="1">
        <f t="array" ref="I266">INDEX(Payment_categorisations[Sub-category], MATCH(TRUE, ISNUMBER(SEARCH(Payment_categorisations[Contains keywords], Bank_postings[[#This Row],[Narrative]])), 0))</f>
        <v>#N/A</v>
      </c>
      <c r="J266" s="20"/>
      <c r="K266" s="20"/>
      <c r="L266" s="31" t="e">
        <f>IF(Bank_postings[[#This Row],[Manual override category]] &lt;&gt; "", Bank_postings[[#This Row],[Manual override category]], Bank_postings[[#This Row],[Category]])</f>
        <v>#N/A</v>
      </c>
      <c r="M266" s="31" t="e">
        <f>IF(Bank_postings[[#This Row],[Manual override sub-category]] &lt;&gt; "", Bank_postings[[#This Row],[Manual override sub-category]], Bank_postings[[#This Row],[Sub-category]])</f>
        <v>#N/A</v>
      </c>
    </row>
    <row r="267" spans="3:13" x14ac:dyDescent="0.25">
      <c r="C267" s="4"/>
      <c r="D267" s="20"/>
      <c r="E267" s="37"/>
      <c r="F267" s="98"/>
      <c r="G267" s="91">
        <f>-Bank_postings[[#This Row],[Payment amount]] + Bank_postings[[#This Row],[Receipt amount]]</f>
        <v>0</v>
      </c>
      <c r="H267" s="31" t="e" cm="1">
        <f t="array" ref="H267">INDEX(Payment_categorisations[Category], MATCH(TRUE, ISNUMBER(SEARCH(Payment_categorisations[Contains keywords], Bank_postings[[#This Row],[Narrative]])), 0))</f>
        <v>#N/A</v>
      </c>
      <c r="I267" s="31" t="e" cm="1">
        <f t="array" ref="I267">INDEX(Payment_categorisations[Sub-category], MATCH(TRUE, ISNUMBER(SEARCH(Payment_categorisations[Contains keywords], Bank_postings[[#This Row],[Narrative]])), 0))</f>
        <v>#N/A</v>
      </c>
      <c r="J267" s="20"/>
      <c r="K267" s="20"/>
      <c r="L267" s="31" t="e">
        <f>IF(Bank_postings[[#This Row],[Manual override category]] &lt;&gt; "", Bank_postings[[#This Row],[Manual override category]], Bank_postings[[#This Row],[Category]])</f>
        <v>#N/A</v>
      </c>
      <c r="M267" s="31" t="e">
        <f>IF(Bank_postings[[#This Row],[Manual override sub-category]] &lt;&gt; "", Bank_postings[[#This Row],[Manual override sub-category]], Bank_postings[[#This Row],[Sub-category]])</f>
        <v>#N/A</v>
      </c>
    </row>
    <row r="268" spans="3:13" x14ac:dyDescent="0.25">
      <c r="C268" s="4"/>
      <c r="D268" s="20"/>
      <c r="E268" s="37"/>
      <c r="F268" s="98"/>
      <c r="G268" s="91">
        <f>-Bank_postings[[#This Row],[Payment amount]] + Bank_postings[[#This Row],[Receipt amount]]</f>
        <v>0</v>
      </c>
      <c r="H268" s="31" t="e" cm="1">
        <f t="array" ref="H268">INDEX(Payment_categorisations[Category], MATCH(TRUE, ISNUMBER(SEARCH(Payment_categorisations[Contains keywords], Bank_postings[[#This Row],[Narrative]])), 0))</f>
        <v>#N/A</v>
      </c>
      <c r="I268" s="31" t="e" cm="1">
        <f t="array" ref="I268">INDEX(Payment_categorisations[Sub-category], MATCH(TRUE, ISNUMBER(SEARCH(Payment_categorisations[Contains keywords], Bank_postings[[#This Row],[Narrative]])), 0))</f>
        <v>#N/A</v>
      </c>
      <c r="J268" s="20"/>
      <c r="K268" s="20"/>
      <c r="L268" s="31" t="e">
        <f>IF(Bank_postings[[#This Row],[Manual override category]] &lt;&gt; "", Bank_postings[[#This Row],[Manual override category]], Bank_postings[[#This Row],[Category]])</f>
        <v>#N/A</v>
      </c>
      <c r="M268" s="31" t="e">
        <f>IF(Bank_postings[[#This Row],[Manual override sub-category]] &lt;&gt; "", Bank_postings[[#This Row],[Manual override sub-category]], Bank_postings[[#This Row],[Sub-category]])</f>
        <v>#N/A</v>
      </c>
    </row>
    <row r="269" spans="3:13" x14ac:dyDescent="0.25">
      <c r="C269" s="4"/>
      <c r="D269" s="20"/>
      <c r="E269" s="37"/>
      <c r="F269" s="98"/>
      <c r="G269" s="91">
        <f>-Bank_postings[[#This Row],[Payment amount]] + Bank_postings[[#This Row],[Receipt amount]]</f>
        <v>0</v>
      </c>
      <c r="H269" s="31" t="e" cm="1">
        <f t="array" ref="H269">INDEX(Payment_categorisations[Category], MATCH(TRUE, ISNUMBER(SEARCH(Payment_categorisations[Contains keywords], Bank_postings[[#This Row],[Narrative]])), 0))</f>
        <v>#N/A</v>
      </c>
      <c r="I269" s="31" t="e" cm="1">
        <f t="array" ref="I269">INDEX(Payment_categorisations[Sub-category], MATCH(TRUE, ISNUMBER(SEARCH(Payment_categorisations[Contains keywords], Bank_postings[[#This Row],[Narrative]])), 0))</f>
        <v>#N/A</v>
      </c>
      <c r="J269" s="20"/>
      <c r="K269" s="20"/>
      <c r="L269" s="31" t="e">
        <f>IF(Bank_postings[[#This Row],[Manual override category]] &lt;&gt; "", Bank_postings[[#This Row],[Manual override category]], Bank_postings[[#This Row],[Category]])</f>
        <v>#N/A</v>
      </c>
      <c r="M269" s="31" t="e">
        <f>IF(Bank_postings[[#This Row],[Manual override sub-category]] &lt;&gt; "", Bank_postings[[#This Row],[Manual override sub-category]], Bank_postings[[#This Row],[Sub-category]])</f>
        <v>#N/A</v>
      </c>
    </row>
    <row r="270" spans="3:13" x14ac:dyDescent="0.25">
      <c r="C270" s="4"/>
      <c r="D270" s="20"/>
      <c r="E270" s="37"/>
      <c r="F270" s="98"/>
      <c r="G270" s="91">
        <f>-Bank_postings[[#This Row],[Payment amount]] + Bank_postings[[#This Row],[Receipt amount]]</f>
        <v>0</v>
      </c>
      <c r="H270" s="31" t="e" cm="1">
        <f t="array" ref="H270">INDEX(Payment_categorisations[Category], MATCH(TRUE, ISNUMBER(SEARCH(Payment_categorisations[Contains keywords], Bank_postings[[#This Row],[Narrative]])), 0))</f>
        <v>#N/A</v>
      </c>
      <c r="I270" s="31" t="e" cm="1">
        <f t="array" ref="I270">INDEX(Payment_categorisations[Sub-category], MATCH(TRUE, ISNUMBER(SEARCH(Payment_categorisations[Contains keywords], Bank_postings[[#This Row],[Narrative]])), 0))</f>
        <v>#N/A</v>
      </c>
      <c r="J270" s="20"/>
      <c r="K270" s="20"/>
      <c r="L270" s="31" t="e">
        <f>IF(Bank_postings[[#This Row],[Manual override category]] &lt;&gt; "", Bank_postings[[#This Row],[Manual override category]], Bank_postings[[#This Row],[Category]])</f>
        <v>#N/A</v>
      </c>
      <c r="M270" s="31" t="e">
        <f>IF(Bank_postings[[#This Row],[Manual override sub-category]] &lt;&gt; "", Bank_postings[[#This Row],[Manual override sub-category]], Bank_postings[[#This Row],[Sub-category]])</f>
        <v>#N/A</v>
      </c>
    </row>
    <row r="271" spans="3:13" x14ac:dyDescent="0.25">
      <c r="C271" s="4"/>
      <c r="D271" s="20"/>
      <c r="E271" s="37"/>
      <c r="F271" s="98"/>
      <c r="G271" s="91">
        <f>-Bank_postings[[#This Row],[Payment amount]] + Bank_postings[[#This Row],[Receipt amount]]</f>
        <v>0</v>
      </c>
      <c r="H271" s="31" t="e" cm="1">
        <f t="array" ref="H271">INDEX(Payment_categorisations[Category], MATCH(TRUE, ISNUMBER(SEARCH(Payment_categorisations[Contains keywords], Bank_postings[[#This Row],[Narrative]])), 0))</f>
        <v>#N/A</v>
      </c>
      <c r="I271" s="31" t="e" cm="1">
        <f t="array" ref="I271">INDEX(Payment_categorisations[Sub-category], MATCH(TRUE, ISNUMBER(SEARCH(Payment_categorisations[Contains keywords], Bank_postings[[#This Row],[Narrative]])), 0))</f>
        <v>#N/A</v>
      </c>
      <c r="J271" s="20"/>
      <c r="K271" s="20"/>
      <c r="L271" s="31" t="e">
        <f>IF(Bank_postings[[#This Row],[Manual override category]] &lt;&gt; "", Bank_postings[[#This Row],[Manual override category]], Bank_postings[[#This Row],[Category]])</f>
        <v>#N/A</v>
      </c>
      <c r="M271" s="31" t="e">
        <f>IF(Bank_postings[[#This Row],[Manual override sub-category]] &lt;&gt; "", Bank_postings[[#This Row],[Manual override sub-category]], Bank_postings[[#This Row],[Sub-category]])</f>
        <v>#N/A</v>
      </c>
    </row>
    <row r="272" spans="3:13" x14ac:dyDescent="0.25">
      <c r="C272" s="4"/>
      <c r="D272" s="20"/>
      <c r="E272" s="37"/>
      <c r="F272" s="98"/>
      <c r="G272" s="91">
        <f>-Bank_postings[[#This Row],[Payment amount]] + Bank_postings[[#This Row],[Receipt amount]]</f>
        <v>0</v>
      </c>
      <c r="H272" s="31" t="e" cm="1">
        <f t="array" ref="H272">INDEX(Payment_categorisations[Category], MATCH(TRUE, ISNUMBER(SEARCH(Payment_categorisations[Contains keywords], Bank_postings[[#This Row],[Narrative]])), 0))</f>
        <v>#N/A</v>
      </c>
      <c r="I272" s="31" t="e" cm="1">
        <f t="array" ref="I272">INDEX(Payment_categorisations[Sub-category], MATCH(TRUE, ISNUMBER(SEARCH(Payment_categorisations[Contains keywords], Bank_postings[[#This Row],[Narrative]])), 0))</f>
        <v>#N/A</v>
      </c>
      <c r="J272" s="20"/>
      <c r="K272" s="20"/>
      <c r="L272" s="31" t="e">
        <f>IF(Bank_postings[[#This Row],[Manual override category]] &lt;&gt; "", Bank_postings[[#This Row],[Manual override category]], Bank_postings[[#This Row],[Category]])</f>
        <v>#N/A</v>
      </c>
      <c r="M272" s="31" t="e">
        <f>IF(Bank_postings[[#This Row],[Manual override sub-category]] &lt;&gt; "", Bank_postings[[#This Row],[Manual override sub-category]], Bank_postings[[#This Row],[Sub-category]])</f>
        <v>#N/A</v>
      </c>
    </row>
    <row r="273" spans="3:13" x14ac:dyDescent="0.25">
      <c r="C273" s="4"/>
      <c r="D273" s="20"/>
      <c r="E273" s="37"/>
      <c r="F273" s="98"/>
      <c r="G273" s="91">
        <f>-Bank_postings[[#This Row],[Payment amount]] + Bank_postings[[#This Row],[Receipt amount]]</f>
        <v>0</v>
      </c>
      <c r="H273" s="31" t="e" cm="1">
        <f t="array" ref="H273">INDEX(Payment_categorisations[Category], MATCH(TRUE, ISNUMBER(SEARCH(Payment_categorisations[Contains keywords], Bank_postings[[#This Row],[Narrative]])), 0))</f>
        <v>#N/A</v>
      </c>
      <c r="I273" s="31" t="e" cm="1">
        <f t="array" ref="I273">INDEX(Payment_categorisations[Sub-category], MATCH(TRUE, ISNUMBER(SEARCH(Payment_categorisations[Contains keywords], Bank_postings[[#This Row],[Narrative]])), 0))</f>
        <v>#N/A</v>
      </c>
      <c r="J273" s="20"/>
      <c r="K273" s="20"/>
      <c r="L273" s="31" t="e">
        <f>IF(Bank_postings[[#This Row],[Manual override category]] &lt;&gt; "", Bank_postings[[#This Row],[Manual override category]], Bank_postings[[#This Row],[Category]])</f>
        <v>#N/A</v>
      </c>
      <c r="M273" s="31" t="e">
        <f>IF(Bank_postings[[#This Row],[Manual override sub-category]] &lt;&gt; "", Bank_postings[[#This Row],[Manual override sub-category]], Bank_postings[[#This Row],[Sub-category]])</f>
        <v>#N/A</v>
      </c>
    </row>
    <row r="274" spans="3:13" x14ac:dyDescent="0.25">
      <c r="C274" s="4"/>
      <c r="D274" s="20"/>
      <c r="E274" s="37"/>
      <c r="F274" s="98"/>
      <c r="G274" s="91">
        <f>-Bank_postings[[#This Row],[Payment amount]] + Bank_postings[[#This Row],[Receipt amount]]</f>
        <v>0</v>
      </c>
      <c r="H274" s="31" t="e" cm="1">
        <f t="array" ref="H274">INDEX(Payment_categorisations[Category], MATCH(TRUE, ISNUMBER(SEARCH(Payment_categorisations[Contains keywords], Bank_postings[[#This Row],[Narrative]])), 0))</f>
        <v>#N/A</v>
      </c>
      <c r="I274" s="31" t="e" cm="1">
        <f t="array" ref="I274">INDEX(Payment_categorisations[Sub-category], MATCH(TRUE, ISNUMBER(SEARCH(Payment_categorisations[Contains keywords], Bank_postings[[#This Row],[Narrative]])), 0))</f>
        <v>#N/A</v>
      </c>
      <c r="J274" s="20"/>
      <c r="K274" s="20"/>
      <c r="L274" s="31" t="e">
        <f>IF(Bank_postings[[#This Row],[Manual override category]] &lt;&gt; "", Bank_postings[[#This Row],[Manual override category]], Bank_postings[[#This Row],[Category]])</f>
        <v>#N/A</v>
      </c>
      <c r="M274" s="31" t="e">
        <f>IF(Bank_postings[[#This Row],[Manual override sub-category]] &lt;&gt; "", Bank_postings[[#This Row],[Manual override sub-category]], Bank_postings[[#This Row],[Sub-category]])</f>
        <v>#N/A</v>
      </c>
    </row>
    <row r="275" spans="3:13" x14ac:dyDescent="0.25">
      <c r="C275" s="4"/>
      <c r="D275" s="20"/>
      <c r="E275" s="37"/>
      <c r="F275" s="98"/>
      <c r="G275" s="91">
        <f>-Bank_postings[[#This Row],[Payment amount]] + Bank_postings[[#This Row],[Receipt amount]]</f>
        <v>0</v>
      </c>
      <c r="H275" s="31" t="e" cm="1">
        <f t="array" ref="H275">INDEX(Payment_categorisations[Category], MATCH(TRUE, ISNUMBER(SEARCH(Payment_categorisations[Contains keywords], Bank_postings[[#This Row],[Narrative]])), 0))</f>
        <v>#N/A</v>
      </c>
      <c r="I275" s="31" t="e" cm="1">
        <f t="array" ref="I275">INDEX(Payment_categorisations[Sub-category], MATCH(TRUE, ISNUMBER(SEARCH(Payment_categorisations[Contains keywords], Bank_postings[[#This Row],[Narrative]])), 0))</f>
        <v>#N/A</v>
      </c>
      <c r="J275" s="20"/>
      <c r="K275" s="20"/>
      <c r="L275" s="31" t="e">
        <f>IF(Bank_postings[[#This Row],[Manual override category]] &lt;&gt; "", Bank_postings[[#This Row],[Manual override category]], Bank_postings[[#This Row],[Category]])</f>
        <v>#N/A</v>
      </c>
      <c r="M275" s="31" t="e">
        <f>IF(Bank_postings[[#This Row],[Manual override sub-category]] &lt;&gt; "", Bank_postings[[#This Row],[Manual override sub-category]], Bank_postings[[#This Row],[Sub-category]])</f>
        <v>#N/A</v>
      </c>
    </row>
    <row r="276" spans="3:13" x14ac:dyDescent="0.25">
      <c r="C276" s="4"/>
      <c r="D276" s="20"/>
      <c r="E276" s="37"/>
      <c r="F276" s="98"/>
      <c r="G276" s="91">
        <f>-Bank_postings[[#This Row],[Payment amount]] + Bank_postings[[#This Row],[Receipt amount]]</f>
        <v>0</v>
      </c>
      <c r="H276" s="31" t="e" cm="1">
        <f t="array" ref="H276">INDEX(Payment_categorisations[Category], MATCH(TRUE, ISNUMBER(SEARCH(Payment_categorisations[Contains keywords], Bank_postings[[#This Row],[Narrative]])), 0))</f>
        <v>#N/A</v>
      </c>
      <c r="I276" s="31" t="e" cm="1">
        <f t="array" ref="I276">INDEX(Payment_categorisations[Sub-category], MATCH(TRUE, ISNUMBER(SEARCH(Payment_categorisations[Contains keywords], Bank_postings[[#This Row],[Narrative]])), 0))</f>
        <v>#N/A</v>
      </c>
      <c r="J276" s="20"/>
      <c r="K276" s="20"/>
      <c r="L276" s="31" t="e">
        <f>IF(Bank_postings[[#This Row],[Manual override category]] &lt;&gt; "", Bank_postings[[#This Row],[Manual override category]], Bank_postings[[#This Row],[Category]])</f>
        <v>#N/A</v>
      </c>
      <c r="M276" s="31" t="e">
        <f>IF(Bank_postings[[#This Row],[Manual override sub-category]] &lt;&gt; "", Bank_postings[[#This Row],[Manual override sub-category]], Bank_postings[[#This Row],[Sub-category]])</f>
        <v>#N/A</v>
      </c>
    </row>
    <row r="277" spans="3:13" x14ac:dyDescent="0.25">
      <c r="C277" s="4"/>
      <c r="D277" s="20"/>
      <c r="E277" s="37"/>
      <c r="F277" s="98"/>
      <c r="G277" s="91">
        <f>-Bank_postings[[#This Row],[Payment amount]] + Bank_postings[[#This Row],[Receipt amount]]</f>
        <v>0</v>
      </c>
      <c r="H277" s="31" t="e" cm="1">
        <f t="array" ref="H277">INDEX(Payment_categorisations[Category], MATCH(TRUE, ISNUMBER(SEARCH(Payment_categorisations[Contains keywords], Bank_postings[[#This Row],[Narrative]])), 0))</f>
        <v>#N/A</v>
      </c>
      <c r="I277" s="31" t="e" cm="1">
        <f t="array" ref="I277">INDEX(Payment_categorisations[Sub-category], MATCH(TRUE, ISNUMBER(SEARCH(Payment_categorisations[Contains keywords], Bank_postings[[#This Row],[Narrative]])), 0))</f>
        <v>#N/A</v>
      </c>
      <c r="J277" s="20"/>
      <c r="K277" s="20"/>
      <c r="L277" s="31" t="e">
        <f>IF(Bank_postings[[#This Row],[Manual override category]] &lt;&gt; "", Bank_postings[[#This Row],[Manual override category]], Bank_postings[[#This Row],[Category]])</f>
        <v>#N/A</v>
      </c>
      <c r="M277" s="31" t="e">
        <f>IF(Bank_postings[[#This Row],[Manual override sub-category]] &lt;&gt; "", Bank_postings[[#This Row],[Manual override sub-category]], Bank_postings[[#This Row],[Sub-category]])</f>
        <v>#N/A</v>
      </c>
    </row>
    <row r="278" spans="3:13" x14ac:dyDescent="0.25">
      <c r="C278" s="4"/>
      <c r="D278" s="20"/>
      <c r="E278" s="37"/>
      <c r="F278" s="98"/>
      <c r="G278" s="91">
        <f>-Bank_postings[[#This Row],[Payment amount]] + Bank_postings[[#This Row],[Receipt amount]]</f>
        <v>0</v>
      </c>
      <c r="H278" s="31" t="e" cm="1">
        <f t="array" ref="H278">INDEX(Payment_categorisations[Category], MATCH(TRUE, ISNUMBER(SEARCH(Payment_categorisations[Contains keywords], Bank_postings[[#This Row],[Narrative]])), 0))</f>
        <v>#N/A</v>
      </c>
      <c r="I278" s="31" t="e" cm="1">
        <f t="array" ref="I278">INDEX(Payment_categorisations[Sub-category], MATCH(TRUE, ISNUMBER(SEARCH(Payment_categorisations[Contains keywords], Bank_postings[[#This Row],[Narrative]])), 0))</f>
        <v>#N/A</v>
      </c>
      <c r="J278" s="20"/>
      <c r="K278" s="20"/>
      <c r="L278" s="31" t="e">
        <f>IF(Bank_postings[[#This Row],[Manual override category]] &lt;&gt; "", Bank_postings[[#This Row],[Manual override category]], Bank_postings[[#This Row],[Category]])</f>
        <v>#N/A</v>
      </c>
      <c r="M278" s="31" t="e">
        <f>IF(Bank_postings[[#This Row],[Manual override sub-category]] &lt;&gt; "", Bank_postings[[#This Row],[Manual override sub-category]], Bank_postings[[#This Row],[Sub-category]])</f>
        <v>#N/A</v>
      </c>
    </row>
    <row r="279" spans="3:13" x14ac:dyDescent="0.25">
      <c r="C279" s="4"/>
      <c r="D279" s="20"/>
      <c r="E279" s="37"/>
      <c r="F279" s="98"/>
      <c r="G279" s="91">
        <f>-Bank_postings[[#This Row],[Payment amount]] + Bank_postings[[#This Row],[Receipt amount]]</f>
        <v>0</v>
      </c>
      <c r="H279" s="31" t="e" cm="1">
        <f t="array" ref="H279">INDEX(Payment_categorisations[Category], MATCH(TRUE, ISNUMBER(SEARCH(Payment_categorisations[Contains keywords], Bank_postings[[#This Row],[Narrative]])), 0))</f>
        <v>#N/A</v>
      </c>
      <c r="I279" s="31" t="e" cm="1">
        <f t="array" ref="I279">INDEX(Payment_categorisations[Sub-category], MATCH(TRUE, ISNUMBER(SEARCH(Payment_categorisations[Contains keywords], Bank_postings[[#This Row],[Narrative]])), 0))</f>
        <v>#N/A</v>
      </c>
      <c r="J279" s="20"/>
      <c r="K279" s="20"/>
      <c r="L279" s="31" t="e">
        <f>IF(Bank_postings[[#This Row],[Manual override category]] &lt;&gt; "", Bank_postings[[#This Row],[Manual override category]], Bank_postings[[#This Row],[Category]])</f>
        <v>#N/A</v>
      </c>
      <c r="M279" s="31" t="e">
        <f>IF(Bank_postings[[#This Row],[Manual override sub-category]] &lt;&gt; "", Bank_postings[[#This Row],[Manual override sub-category]], Bank_postings[[#This Row],[Sub-category]])</f>
        <v>#N/A</v>
      </c>
    </row>
    <row r="280" spans="3:13" x14ac:dyDescent="0.25">
      <c r="C280" s="41"/>
      <c r="D280" s="29"/>
      <c r="E280" s="42"/>
      <c r="F280" s="99"/>
      <c r="G280" s="92">
        <f>-Bank_postings[[#This Row],[Payment amount]] + Bank_postings[[#This Row],[Receipt amount]]</f>
        <v>0</v>
      </c>
      <c r="H280" s="93" t="e" cm="1">
        <f t="array" ref="H280">INDEX(Payment_categorisations[Category], MATCH(TRUE, ISNUMBER(SEARCH(Payment_categorisations[Contains keywords], Bank_postings[[#This Row],[Narrative]])), 0))</f>
        <v>#N/A</v>
      </c>
      <c r="I280" s="93" t="e" cm="1">
        <f t="array" ref="I280">INDEX(Payment_categorisations[Sub-category], MATCH(TRUE, ISNUMBER(SEARCH(Payment_categorisations[Contains keywords], Bank_postings[[#This Row],[Narrative]])), 0))</f>
        <v>#N/A</v>
      </c>
      <c r="J280" s="20"/>
      <c r="K280" s="20"/>
      <c r="L280" s="31" t="e">
        <f>IF(Bank_postings[[#This Row],[Manual override category]] &lt;&gt; "", Bank_postings[[#This Row],[Manual override category]], Bank_postings[[#This Row],[Category]])</f>
        <v>#N/A</v>
      </c>
      <c r="M280" s="31" t="e">
        <f>IF(Bank_postings[[#This Row],[Manual override sub-category]] &lt;&gt; "", Bank_postings[[#This Row],[Manual override sub-category]], Bank_postings[[#This Row],[Sub-category]])</f>
        <v>#N/A</v>
      </c>
    </row>
    <row r="281" spans="3:13" x14ac:dyDescent="0.25">
      <c r="C281" s="4"/>
      <c r="D281" s="20"/>
      <c r="E281" s="37"/>
      <c r="F281" s="37"/>
      <c r="G281" s="94">
        <f>-Bank_postings[[#This Row],[Payment amount]] + Bank_postings[[#This Row],[Receipt amount]]</f>
        <v>0</v>
      </c>
      <c r="H281" s="31" t="e" cm="1">
        <f t="array" ref="H281">INDEX(Payment_categorisations[Category], MATCH(TRUE, ISNUMBER(SEARCH(Payment_categorisations[Contains keywords], Bank_postings[[#This Row],[Narrative]])), 0))</f>
        <v>#N/A</v>
      </c>
      <c r="I281" s="31" t="e" cm="1">
        <f t="array" ref="I281">INDEX(Payment_categorisations[Sub-category], MATCH(TRUE, ISNUMBER(SEARCH(Payment_categorisations[Contains keywords], Bank_postings[[#This Row],[Narrative]])), 0))</f>
        <v>#N/A</v>
      </c>
      <c r="J281" s="20"/>
      <c r="K281" s="20"/>
      <c r="L281" s="31" t="e">
        <f>IF(Bank_postings[[#This Row],[Manual override category]] &lt;&gt; "", Bank_postings[[#This Row],[Manual override category]], Bank_postings[[#This Row],[Category]])</f>
        <v>#N/A</v>
      </c>
      <c r="M281" s="31" t="e">
        <f>IF(Bank_postings[[#This Row],[Manual override sub-category]] &lt;&gt; "", Bank_postings[[#This Row],[Manual override sub-category]], Bank_postings[[#This Row],[Sub-category]])</f>
        <v>#N/A</v>
      </c>
    </row>
    <row r="282" spans="3:13" x14ac:dyDescent="0.25">
      <c r="C282" s="4"/>
      <c r="D282" s="20"/>
      <c r="E282" s="37"/>
      <c r="F282" s="37"/>
      <c r="G282" s="94">
        <f>-Bank_postings[[#This Row],[Payment amount]] + Bank_postings[[#This Row],[Receipt amount]]</f>
        <v>0</v>
      </c>
      <c r="H282" s="31" t="e" cm="1">
        <f t="array" ref="H282">INDEX(Payment_categorisations[Category], MATCH(TRUE, ISNUMBER(SEARCH(Payment_categorisations[Contains keywords], Bank_postings[[#This Row],[Narrative]])), 0))</f>
        <v>#N/A</v>
      </c>
      <c r="I282" s="31" t="e" cm="1">
        <f t="array" ref="I282">INDEX(Payment_categorisations[Sub-category], MATCH(TRUE, ISNUMBER(SEARCH(Payment_categorisations[Contains keywords], Bank_postings[[#This Row],[Narrative]])), 0))</f>
        <v>#N/A</v>
      </c>
      <c r="J282" s="20"/>
      <c r="K282" s="20"/>
      <c r="L282" s="31" t="e">
        <f>IF(Bank_postings[[#This Row],[Manual override category]] &lt;&gt; "", Bank_postings[[#This Row],[Manual override category]], Bank_postings[[#This Row],[Category]])</f>
        <v>#N/A</v>
      </c>
      <c r="M282" s="31" t="e">
        <f>IF(Bank_postings[[#This Row],[Manual override sub-category]] &lt;&gt; "", Bank_postings[[#This Row],[Manual override sub-category]], Bank_postings[[#This Row],[Sub-category]])</f>
        <v>#N/A</v>
      </c>
    </row>
    <row r="283" spans="3:13" x14ac:dyDescent="0.25">
      <c r="C283" s="4"/>
      <c r="D283" s="20"/>
      <c r="E283" s="37"/>
      <c r="F283" s="37"/>
      <c r="G283" s="94">
        <f>-Bank_postings[[#This Row],[Payment amount]] + Bank_postings[[#This Row],[Receipt amount]]</f>
        <v>0</v>
      </c>
      <c r="H283" s="31" t="e" cm="1">
        <f t="array" ref="H283">INDEX(Payment_categorisations[Category], MATCH(TRUE, ISNUMBER(SEARCH(Payment_categorisations[Contains keywords], Bank_postings[[#This Row],[Narrative]])), 0))</f>
        <v>#N/A</v>
      </c>
      <c r="I283" s="31" t="e" cm="1">
        <f t="array" ref="I283">INDEX(Payment_categorisations[Sub-category], MATCH(TRUE, ISNUMBER(SEARCH(Payment_categorisations[Contains keywords], Bank_postings[[#This Row],[Narrative]])), 0))</f>
        <v>#N/A</v>
      </c>
      <c r="J283" s="20"/>
      <c r="K283" s="20"/>
      <c r="L283" s="31" t="e">
        <f>IF(Bank_postings[[#This Row],[Manual override category]] &lt;&gt; "", Bank_postings[[#This Row],[Manual override category]], Bank_postings[[#This Row],[Category]])</f>
        <v>#N/A</v>
      </c>
      <c r="M283" s="31" t="e">
        <f>IF(Bank_postings[[#This Row],[Manual override sub-category]] &lt;&gt; "", Bank_postings[[#This Row],[Manual override sub-category]], Bank_postings[[#This Row],[Sub-category]])</f>
        <v>#N/A</v>
      </c>
    </row>
    <row r="284" spans="3:13" x14ac:dyDescent="0.25">
      <c r="C284" s="4"/>
      <c r="D284" s="20"/>
      <c r="E284" s="37"/>
      <c r="F284" s="37"/>
      <c r="G284" s="94">
        <f>-Bank_postings[[#This Row],[Payment amount]] + Bank_postings[[#This Row],[Receipt amount]]</f>
        <v>0</v>
      </c>
      <c r="H284" s="31" t="e" cm="1">
        <f t="array" ref="H284">INDEX(Payment_categorisations[Category], MATCH(TRUE, ISNUMBER(SEARCH(Payment_categorisations[Contains keywords], Bank_postings[[#This Row],[Narrative]])), 0))</f>
        <v>#N/A</v>
      </c>
      <c r="I284" s="31" t="e" cm="1">
        <f t="array" ref="I284">INDEX(Payment_categorisations[Sub-category], MATCH(TRUE, ISNUMBER(SEARCH(Payment_categorisations[Contains keywords], Bank_postings[[#This Row],[Narrative]])), 0))</f>
        <v>#N/A</v>
      </c>
      <c r="J284" s="20"/>
      <c r="K284" s="20"/>
      <c r="L284" s="31" t="e">
        <f>IF(Bank_postings[[#This Row],[Manual override category]] &lt;&gt; "", Bank_postings[[#This Row],[Manual override category]], Bank_postings[[#This Row],[Category]])</f>
        <v>#N/A</v>
      </c>
      <c r="M284" s="31" t="e">
        <f>IF(Bank_postings[[#This Row],[Manual override sub-category]] &lt;&gt; "", Bank_postings[[#This Row],[Manual override sub-category]], Bank_postings[[#This Row],[Sub-category]])</f>
        <v>#N/A</v>
      </c>
    </row>
    <row r="285" spans="3:13" x14ac:dyDescent="0.25">
      <c r="C285" s="4"/>
      <c r="D285" s="20"/>
      <c r="E285" s="37"/>
      <c r="F285" s="37"/>
      <c r="G285" s="94">
        <f>-Bank_postings[[#This Row],[Payment amount]] + Bank_postings[[#This Row],[Receipt amount]]</f>
        <v>0</v>
      </c>
      <c r="H285" s="31" t="e" cm="1">
        <f t="array" ref="H285">INDEX(Payment_categorisations[Category], MATCH(TRUE, ISNUMBER(SEARCH(Payment_categorisations[Contains keywords], Bank_postings[[#This Row],[Narrative]])), 0))</f>
        <v>#N/A</v>
      </c>
      <c r="I285" s="31" t="e" cm="1">
        <f t="array" ref="I285">INDEX(Payment_categorisations[Sub-category], MATCH(TRUE, ISNUMBER(SEARCH(Payment_categorisations[Contains keywords], Bank_postings[[#This Row],[Narrative]])), 0))</f>
        <v>#N/A</v>
      </c>
      <c r="J285" s="20"/>
      <c r="K285" s="20"/>
      <c r="L285" s="31" t="e">
        <f>IF(Bank_postings[[#This Row],[Manual override category]] &lt;&gt; "", Bank_postings[[#This Row],[Manual override category]], Bank_postings[[#This Row],[Category]])</f>
        <v>#N/A</v>
      </c>
      <c r="M285" s="31" t="e">
        <f>IF(Bank_postings[[#This Row],[Manual override sub-category]] &lt;&gt; "", Bank_postings[[#This Row],[Manual override sub-category]], Bank_postings[[#This Row],[Sub-category]])</f>
        <v>#N/A</v>
      </c>
    </row>
    <row r="286" spans="3:13" x14ac:dyDescent="0.25">
      <c r="C286" s="4"/>
      <c r="D286" s="20"/>
      <c r="E286" s="37"/>
      <c r="F286" s="37"/>
      <c r="G286" s="94">
        <f>-Bank_postings[[#This Row],[Payment amount]] + Bank_postings[[#This Row],[Receipt amount]]</f>
        <v>0</v>
      </c>
      <c r="H286" s="31" t="e" cm="1">
        <f t="array" ref="H286">INDEX(Payment_categorisations[Category], MATCH(TRUE, ISNUMBER(SEARCH(Payment_categorisations[Contains keywords], Bank_postings[[#This Row],[Narrative]])), 0))</f>
        <v>#N/A</v>
      </c>
      <c r="I286" s="31" t="e" cm="1">
        <f t="array" ref="I286">INDEX(Payment_categorisations[Sub-category], MATCH(TRUE, ISNUMBER(SEARCH(Payment_categorisations[Contains keywords], Bank_postings[[#This Row],[Narrative]])), 0))</f>
        <v>#N/A</v>
      </c>
      <c r="J286" s="20"/>
      <c r="K286" s="20"/>
      <c r="L286" s="31" t="e">
        <f>IF(Bank_postings[[#This Row],[Manual override category]] &lt;&gt; "", Bank_postings[[#This Row],[Manual override category]], Bank_postings[[#This Row],[Category]])</f>
        <v>#N/A</v>
      </c>
      <c r="M286" s="31" t="e">
        <f>IF(Bank_postings[[#This Row],[Manual override sub-category]] &lt;&gt; "", Bank_postings[[#This Row],[Manual override sub-category]], Bank_postings[[#This Row],[Sub-category]])</f>
        <v>#N/A</v>
      </c>
    </row>
    <row r="287" spans="3:13" x14ac:dyDescent="0.25">
      <c r="C287" s="4"/>
      <c r="D287" s="20"/>
      <c r="E287" s="37"/>
      <c r="F287" s="37"/>
      <c r="G287" s="94">
        <f>-Bank_postings[[#This Row],[Payment amount]] + Bank_postings[[#This Row],[Receipt amount]]</f>
        <v>0</v>
      </c>
      <c r="H287" s="31" t="e" cm="1">
        <f t="array" ref="H287">INDEX(Payment_categorisations[Category], MATCH(TRUE, ISNUMBER(SEARCH(Payment_categorisations[Contains keywords], Bank_postings[[#This Row],[Narrative]])), 0))</f>
        <v>#N/A</v>
      </c>
      <c r="I287" s="31" t="e" cm="1">
        <f t="array" ref="I287">INDEX(Payment_categorisations[Sub-category], MATCH(TRUE, ISNUMBER(SEARCH(Payment_categorisations[Contains keywords], Bank_postings[[#This Row],[Narrative]])), 0))</f>
        <v>#N/A</v>
      </c>
      <c r="J287" s="20"/>
      <c r="K287" s="20"/>
      <c r="L287" s="31" t="e">
        <f>IF(Bank_postings[[#This Row],[Manual override category]] &lt;&gt; "", Bank_postings[[#This Row],[Manual override category]], Bank_postings[[#This Row],[Category]])</f>
        <v>#N/A</v>
      </c>
      <c r="M287" s="31" t="e">
        <f>IF(Bank_postings[[#This Row],[Manual override sub-category]] &lt;&gt; "", Bank_postings[[#This Row],[Manual override sub-category]], Bank_postings[[#This Row],[Sub-category]])</f>
        <v>#N/A</v>
      </c>
    </row>
    <row r="288" spans="3:13" x14ac:dyDescent="0.25">
      <c r="C288" s="4"/>
      <c r="D288" s="20"/>
      <c r="E288" s="37"/>
      <c r="F288" s="37"/>
      <c r="G288" s="94">
        <f>-Bank_postings[[#This Row],[Payment amount]] + Bank_postings[[#This Row],[Receipt amount]]</f>
        <v>0</v>
      </c>
      <c r="H288" s="31" t="e" cm="1">
        <f t="array" ref="H288">INDEX(Payment_categorisations[Category], MATCH(TRUE, ISNUMBER(SEARCH(Payment_categorisations[Contains keywords], Bank_postings[[#This Row],[Narrative]])), 0))</f>
        <v>#N/A</v>
      </c>
      <c r="I288" s="31" t="e" cm="1">
        <f t="array" ref="I288">INDEX(Payment_categorisations[Sub-category], MATCH(TRUE, ISNUMBER(SEARCH(Payment_categorisations[Contains keywords], Bank_postings[[#This Row],[Narrative]])), 0))</f>
        <v>#N/A</v>
      </c>
      <c r="J288" s="20"/>
      <c r="K288" s="20"/>
      <c r="L288" s="31" t="e">
        <f>IF(Bank_postings[[#This Row],[Manual override category]] &lt;&gt; "", Bank_postings[[#This Row],[Manual override category]], Bank_postings[[#This Row],[Category]])</f>
        <v>#N/A</v>
      </c>
      <c r="M288" s="31" t="e">
        <f>IF(Bank_postings[[#This Row],[Manual override sub-category]] &lt;&gt; "", Bank_postings[[#This Row],[Manual override sub-category]], Bank_postings[[#This Row],[Sub-category]])</f>
        <v>#N/A</v>
      </c>
    </row>
    <row r="289" spans="3:13" x14ac:dyDescent="0.25">
      <c r="C289" s="4"/>
      <c r="D289" s="20"/>
      <c r="E289" s="37"/>
      <c r="F289" s="37"/>
      <c r="G289" s="94">
        <f>-Bank_postings[[#This Row],[Payment amount]] + Bank_postings[[#This Row],[Receipt amount]]</f>
        <v>0</v>
      </c>
      <c r="H289" s="31" t="e" cm="1">
        <f t="array" ref="H289">INDEX(Payment_categorisations[Category], MATCH(TRUE, ISNUMBER(SEARCH(Payment_categorisations[Contains keywords], Bank_postings[[#This Row],[Narrative]])), 0))</f>
        <v>#N/A</v>
      </c>
      <c r="I289" s="31" t="e" cm="1">
        <f t="array" ref="I289">INDEX(Payment_categorisations[Sub-category], MATCH(TRUE, ISNUMBER(SEARCH(Payment_categorisations[Contains keywords], Bank_postings[[#This Row],[Narrative]])), 0))</f>
        <v>#N/A</v>
      </c>
      <c r="J289" s="20"/>
      <c r="K289" s="20"/>
      <c r="L289" s="31" t="e">
        <f>IF(Bank_postings[[#This Row],[Manual override category]] &lt;&gt; "", Bank_postings[[#This Row],[Manual override category]], Bank_postings[[#This Row],[Category]])</f>
        <v>#N/A</v>
      </c>
      <c r="M289" s="31" t="e">
        <f>IF(Bank_postings[[#This Row],[Manual override sub-category]] &lt;&gt; "", Bank_postings[[#This Row],[Manual override sub-category]], Bank_postings[[#This Row],[Sub-category]])</f>
        <v>#N/A</v>
      </c>
    </row>
    <row r="290" spans="3:13" x14ac:dyDescent="0.25">
      <c r="C290" s="4"/>
      <c r="D290" s="20"/>
      <c r="E290" s="37"/>
      <c r="F290" s="37"/>
      <c r="G290" s="94">
        <f>-Bank_postings[[#This Row],[Payment amount]] + Bank_postings[[#This Row],[Receipt amount]]</f>
        <v>0</v>
      </c>
      <c r="H290" s="31" t="e" cm="1">
        <f t="array" ref="H290">INDEX(Payment_categorisations[Category], MATCH(TRUE, ISNUMBER(SEARCH(Payment_categorisations[Contains keywords], Bank_postings[[#This Row],[Narrative]])), 0))</f>
        <v>#N/A</v>
      </c>
      <c r="I290" s="31" t="e" cm="1">
        <f t="array" ref="I290">INDEX(Payment_categorisations[Sub-category], MATCH(TRUE, ISNUMBER(SEARCH(Payment_categorisations[Contains keywords], Bank_postings[[#This Row],[Narrative]])), 0))</f>
        <v>#N/A</v>
      </c>
      <c r="J290" s="20"/>
      <c r="K290" s="20"/>
      <c r="L290" s="31" t="e">
        <f>IF(Bank_postings[[#This Row],[Manual override category]] &lt;&gt; "", Bank_postings[[#This Row],[Manual override category]], Bank_postings[[#This Row],[Category]])</f>
        <v>#N/A</v>
      </c>
      <c r="M290" s="31" t="e">
        <f>IF(Bank_postings[[#This Row],[Manual override sub-category]] &lt;&gt; "", Bank_postings[[#This Row],[Manual override sub-category]], Bank_postings[[#This Row],[Sub-category]])</f>
        <v>#N/A</v>
      </c>
    </row>
    <row r="291" spans="3:13" x14ac:dyDescent="0.25">
      <c r="C291" s="4"/>
      <c r="D291" s="20"/>
      <c r="E291" s="37"/>
      <c r="F291" s="37"/>
      <c r="G291" s="94">
        <f>-Bank_postings[[#This Row],[Payment amount]] + Bank_postings[[#This Row],[Receipt amount]]</f>
        <v>0</v>
      </c>
      <c r="H291" s="31" t="e" cm="1">
        <f t="array" ref="H291">INDEX(Payment_categorisations[Category], MATCH(TRUE, ISNUMBER(SEARCH(Payment_categorisations[Contains keywords], Bank_postings[[#This Row],[Narrative]])), 0))</f>
        <v>#N/A</v>
      </c>
      <c r="I291" s="31" t="e" cm="1">
        <f t="array" ref="I291">INDEX(Payment_categorisations[Sub-category], MATCH(TRUE, ISNUMBER(SEARCH(Payment_categorisations[Contains keywords], Bank_postings[[#This Row],[Narrative]])), 0))</f>
        <v>#N/A</v>
      </c>
      <c r="J291" s="20"/>
      <c r="K291" s="20"/>
      <c r="L291" s="31" t="e">
        <f>IF(Bank_postings[[#This Row],[Manual override category]] &lt;&gt; "", Bank_postings[[#This Row],[Manual override category]], Bank_postings[[#This Row],[Category]])</f>
        <v>#N/A</v>
      </c>
      <c r="M291" s="31" t="e">
        <f>IF(Bank_postings[[#This Row],[Manual override sub-category]] &lt;&gt; "", Bank_postings[[#This Row],[Manual override sub-category]], Bank_postings[[#This Row],[Sub-category]])</f>
        <v>#N/A</v>
      </c>
    </row>
    <row r="292" spans="3:13" x14ac:dyDescent="0.25">
      <c r="C292" s="4"/>
      <c r="D292" s="20"/>
      <c r="E292" s="37"/>
      <c r="F292" s="37"/>
      <c r="G292" s="94">
        <f>-Bank_postings[[#This Row],[Payment amount]] + Bank_postings[[#This Row],[Receipt amount]]</f>
        <v>0</v>
      </c>
      <c r="H292" s="31" t="e" cm="1">
        <f t="array" ref="H292">INDEX(Payment_categorisations[Category], MATCH(TRUE, ISNUMBER(SEARCH(Payment_categorisations[Contains keywords], Bank_postings[[#This Row],[Narrative]])), 0))</f>
        <v>#N/A</v>
      </c>
      <c r="I292" s="31" t="e" cm="1">
        <f t="array" ref="I292">INDEX(Payment_categorisations[Sub-category], MATCH(TRUE, ISNUMBER(SEARCH(Payment_categorisations[Contains keywords], Bank_postings[[#This Row],[Narrative]])), 0))</f>
        <v>#N/A</v>
      </c>
      <c r="J292" s="20"/>
      <c r="K292" s="20"/>
      <c r="L292" s="31" t="e">
        <f>IF(Bank_postings[[#This Row],[Manual override category]] &lt;&gt; "", Bank_postings[[#This Row],[Manual override category]], Bank_postings[[#This Row],[Category]])</f>
        <v>#N/A</v>
      </c>
      <c r="M292" s="31" t="e">
        <f>IF(Bank_postings[[#This Row],[Manual override sub-category]] &lt;&gt; "", Bank_postings[[#This Row],[Manual override sub-category]], Bank_postings[[#This Row],[Sub-category]])</f>
        <v>#N/A</v>
      </c>
    </row>
    <row r="293" spans="3:13" x14ac:dyDescent="0.25">
      <c r="C293" s="4"/>
      <c r="D293" s="20"/>
      <c r="E293" s="37"/>
      <c r="F293" s="37"/>
      <c r="G293" s="94">
        <f>-Bank_postings[[#This Row],[Payment amount]] + Bank_postings[[#This Row],[Receipt amount]]</f>
        <v>0</v>
      </c>
      <c r="H293" s="31" t="e" cm="1">
        <f t="array" ref="H293">INDEX(Payment_categorisations[Category], MATCH(TRUE, ISNUMBER(SEARCH(Payment_categorisations[Contains keywords], Bank_postings[[#This Row],[Narrative]])), 0))</f>
        <v>#N/A</v>
      </c>
      <c r="I293" s="31" t="e" cm="1">
        <f t="array" ref="I293">INDEX(Payment_categorisations[Sub-category], MATCH(TRUE, ISNUMBER(SEARCH(Payment_categorisations[Contains keywords], Bank_postings[[#This Row],[Narrative]])), 0))</f>
        <v>#N/A</v>
      </c>
      <c r="J293" s="20"/>
      <c r="K293" s="20"/>
      <c r="L293" s="31" t="e">
        <f>IF(Bank_postings[[#This Row],[Manual override category]] &lt;&gt; "", Bank_postings[[#This Row],[Manual override category]], Bank_postings[[#This Row],[Category]])</f>
        <v>#N/A</v>
      </c>
      <c r="M293" s="31" t="e">
        <f>IF(Bank_postings[[#This Row],[Manual override sub-category]] &lt;&gt; "", Bank_postings[[#This Row],[Manual override sub-category]], Bank_postings[[#This Row],[Sub-category]])</f>
        <v>#N/A</v>
      </c>
    </row>
    <row r="294" spans="3:13" x14ac:dyDescent="0.25">
      <c r="C294" s="4"/>
      <c r="D294" s="20"/>
      <c r="E294" s="37"/>
      <c r="F294" s="37"/>
      <c r="G294" s="94">
        <f>-Bank_postings[[#This Row],[Payment amount]] + Bank_postings[[#This Row],[Receipt amount]]</f>
        <v>0</v>
      </c>
      <c r="H294" s="31" t="e" cm="1">
        <f t="array" ref="H294">INDEX(Payment_categorisations[Category], MATCH(TRUE, ISNUMBER(SEARCH(Payment_categorisations[Contains keywords], Bank_postings[[#This Row],[Narrative]])), 0))</f>
        <v>#N/A</v>
      </c>
      <c r="I294" s="31" t="e" cm="1">
        <f t="array" ref="I294">INDEX(Payment_categorisations[Sub-category], MATCH(TRUE, ISNUMBER(SEARCH(Payment_categorisations[Contains keywords], Bank_postings[[#This Row],[Narrative]])), 0))</f>
        <v>#N/A</v>
      </c>
      <c r="J294" s="20"/>
      <c r="K294" s="20"/>
      <c r="L294" s="31" t="e">
        <f>IF(Bank_postings[[#This Row],[Manual override category]] &lt;&gt; "", Bank_postings[[#This Row],[Manual override category]], Bank_postings[[#This Row],[Category]])</f>
        <v>#N/A</v>
      </c>
      <c r="M294" s="31" t="e">
        <f>IF(Bank_postings[[#This Row],[Manual override sub-category]] &lt;&gt; "", Bank_postings[[#This Row],[Manual override sub-category]], Bank_postings[[#This Row],[Sub-category]])</f>
        <v>#N/A</v>
      </c>
    </row>
    <row r="295" spans="3:13" x14ac:dyDescent="0.25">
      <c r="C295" s="4"/>
      <c r="D295" s="20"/>
      <c r="E295" s="37"/>
      <c r="F295" s="37"/>
      <c r="G295" s="94">
        <f>-Bank_postings[[#This Row],[Payment amount]] + Bank_postings[[#This Row],[Receipt amount]]</f>
        <v>0</v>
      </c>
      <c r="H295" s="31" t="e" cm="1">
        <f t="array" ref="H295">INDEX(Payment_categorisations[Category], MATCH(TRUE, ISNUMBER(SEARCH(Payment_categorisations[Contains keywords], Bank_postings[[#This Row],[Narrative]])), 0))</f>
        <v>#N/A</v>
      </c>
      <c r="I295" s="31" t="e" cm="1">
        <f t="array" ref="I295">INDEX(Payment_categorisations[Sub-category], MATCH(TRUE, ISNUMBER(SEARCH(Payment_categorisations[Contains keywords], Bank_postings[[#This Row],[Narrative]])), 0))</f>
        <v>#N/A</v>
      </c>
      <c r="J295" s="20"/>
      <c r="K295" s="20"/>
      <c r="L295" s="31" t="e">
        <f>IF(Bank_postings[[#This Row],[Manual override category]] &lt;&gt; "", Bank_postings[[#This Row],[Manual override category]], Bank_postings[[#This Row],[Category]])</f>
        <v>#N/A</v>
      </c>
      <c r="M295" s="31" t="e">
        <f>IF(Bank_postings[[#This Row],[Manual override sub-category]] &lt;&gt; "", Bank_postings[[#This Row],[Manual override sub-category]], Bank_postings[[#This Row],[Sub-category]])</f>
        <v>#N/A</v>
      </c>
    </row>
    <row r="296" spans="3:13" x14ac:dyDescent="0.25">
      <c r="C296" s="4"/>
      <c r="D296" s="20"/>
      <c r="E296" s="37"/>
      <c r="F296" s="37"/>
      <c r="G296" s="94">
        <f>-Bank_postings[[#This Row],[Payment amount]] + Bank_postings[[#This Row],[Receipt amount]]</f>
        <v>0</v>
      </c>
      <c r="H296" s="31" t="e" cm="1">
        <f t="array" ref="H296">INDEX(Payment_categorisations[Category], MATCH(TRUE, ISNUMBER(SEARCH(Payment_categorisations[Contains keywords], Bank_postings[[#This Row],[Narrative]])), 0))</f>
        <v>#N/A</v>
      </c>
      <c r="I296" s="31" t="e" cm="1">
        <f t="array" ref="I296">INDEX(Payment_categorisations[Sub-category], MATCH(TRUE, ISNUMBER(SEARCH(Payment_categorisations[Contains keywords], Bank_postings[[#This Row],[Narrative]])), 0))</f>
        <v>#N/A</v>
      </c>
      <c r="J296" s="20"/>
      <c r="K296" s="20"/>
      <c r="L296" s="31" t="e">
        <f>IF(Bank_postings[[#This Row],[Manual override category]] &lt;&gt; "", Bank_postings[[#This Row],[Manual override category]], Bank_postings[[#This Row],[Category]])</f>
        <v>#N/A</v>
      </c>
      <c r="M296" s="31" t="e">
        <f>IF(Bank_postings[[#This Row],[Manual override sub-category]] &lt;&gt; "", Bank_postings[[#This Row],[Manual override sub-category]], Bank_postings[[#This Row],[Sub-category]])</f>
        <v>#N/A</v>
      </c>
    </row>
    <row r="297" spans="3:13" x14ac:dyDescent="0.25">
      <c r="C297" s="4"/>
      <c r="D297" s="20"/>
      <c r="E297" s="37"/>
      <c r="F297" s="37"/>
      <c r="G297" s="94">
        <f>-Bank_postings[[#This Row],[Payment amount]] + Bank_postings[[#This Row],[Receipt amount]]</f>
        <v>0</v>
      </c>
      <c r="H297" s="31" t="e" cm="1">
        <f t="array" ref="H297">INDEX(Payment_categorisations[Category], MATCH(TRUE, ISNUMBER(SEARCH(Payment_categorisations[Contains keywords], Bank_postings[[#This Row],[Narrative]])), 0))</f>
        <v>#N/A</v>
      </c>
      <c r="I297" s="31" t="e" cm="1">
        <f t="array" ref="I297">INDEX(Payment_categorisations[Sub-category], MATCH(TRUE, ISNUMBER(SEARCH(Payment_categorisations[Contains keywords], Bank_postings[[#This Row],[Narrative]])), 0))</f>
        <v>#N/A</v>
      </c>
      <c r="J297" s="20"/>
      <c r="K297" s="20"/>
      <c r="L297" s="31" t="e">
        <f>IF(Bank_postings[[#This Row],[Manual override category]] &lt;&gt; "", Bank_postings[[#This Row],[Manual override category]], Bank_postings[[#This Row],[Category]])</f>
        <v>#N/A</v>
      </c>
      <c r="M297" s="31" t="e">
        <f>IF(Bank_postings[[#This Row],[Manual override sub-category]] &lt;&gt; "", Bank_postings[[#This Row],[Manual override sub-category]], Bank_postings[[#This Row],[Sub-category]])</f>
        <v>#N/A</v>
      </c>
    </row>
    <row r="298" spans="3:13" x14ac:dyDescent="0.25">
      <c r="C298" s="4"/>
      <c r="D298" s="20"/>
      <c r="E298" s="37"/>
      <c r="F298" s="37"/>
      <c r="G298" s="94">
        <f>-Bank_postings[[#This Row],[Payment amount]] + Bank_postings[[#This Row],[Receipt amount]]</f>
        <v>0</v>
      </c>
      <c r="H298" s="31" t="e" cm="1">
        <f t="array" ref="H298">INDEX(Payment_categorisations[Category], MATCH(TRUE, ISNUMBER(SEARCH(Payment_categorisations[Contains keywords], Bank_postings[[#This Row],[Narrative]])), 0))</f>
        <v>#N/A</v>
      </c>
      <c r="I298" s="31" t="e" cm="1">
        <f t="array" ref="I298">INDEX(Payment_categorisations[Sub-category], MATCH(TRUE, ISNUMBER(SEARCH(Payment_categorisations[Contains keywords], Bank_postings[[#This Row],[Narrative]])), 0))</f>
        <v>#N/A</v>
      </c>
      <c r="J298" s="20"/>
      <c r="K298" s="20"/>
      <c r="L298" s="31" t="e">
        <f>IF(Bank_postings[[#This Row],[Manual override category]] &lt;&gt; "", Bank_postings[[#This Row],[Manual override category]], Bank_postings[[#This Row],[Category]])</f>
        <v>#N/A</v>
      </c>
      <c r="M298" s="31" t="e">
        <f>IF(Bank_postings[[#This Row],[Manual override sub-category]] &lt;&gt; "", Bank_postings[[#This Row],[Manual override sub-category]], Bank_postings[[#This Row],[Sub-category]])</f>
        <v>#N/A</v>
      </c>
    </row>
    <row r="299" spans="3:13" x14ac:dyDescent="0.25">
      <c r="C299" s="4"/>
      <c r="D299" s="20"/>
      <c r="E299" s="37"/>
      <c r="F299" s="37"/>
      <c r="G299" s="94">
        <f>-Bank_postings[[#This Row],[Payment amount]] + Bank_postings[[#This Row],[Receipt amount]]</f>
        <v>0</v>
      </c>
      <c r="H299" s="31" t="e" cm="1">
        <f t="array" ref="H299">INDEX(Payment_categorisations[Category], MATCH(TRUE, ISNUMBER(SEARCH(Payment_categorisations[Contains keywords], Bank_postings[[#This Row],[Narrative]])), 0))</f>
        <v>#N/A</v>
      </c>
      <c r="I299" s="31" t="e" cm="1">
        <f t="array" ref="I299">INDEX(Payment_categorisations[Sub-category], MATCH(TRUE, ISNUMBER(SEARCH(Payment_categorisations[Contains keywords], Bank_postings[[#This Row],[Narrative]])), 0))</f>
        <v>#N/A</v>
      </c>
      <c r="J299" s="20"/>
      <c r="K299" s="20"/>
      <c r="L299" s="31" t="e">
        <f>IF(Bank_postings[[#This Row],[Manual override category]] &lt;&gt; "", Bank_postings[[#This Row],[Manual override category]], Bank_postings[[#This Row],[Category]])</f>
        <v>#N/A</v>
      </c>
      <c r="M299" s="31" t="e">
        <f>IF(Bank_postings[[#This Row],[Manual override sub-category]] &lt;&gt; "", Bank_postings[[#This Row],[Manual override sub-category]], Bank_postings[[#This Row],[Sub-category]])</f>
        <v>#N/A</v>
      </c>
    </row>
    <row r="300" spans="3:13" x14ac:dyDescent="0.25">
      <c r="C300" s="4"/>
      <c r="D300" s="20"/>
      <c r="E300" s="37"/>
      <c r="F300" s="37"/>
      <c r="G300" s="94">
        <f>-Bank_postings[[#This Row],[Payment amount]] + Bank_postings[[#This Row],[Receipt amount]]</f>
        <v>0</v>
      </c>
      <c r="H300" s="31" t="e" cm="1">
        <f t="array" ref="H300">INDEX(Payment_categorisations[Category], MATCH(TRUE, ISNUMBER(SEARCH(Payment_categorisations[Contains keywords], Bank_postings[[#This Row],[Narrative]])), 0))</f>
        <v>#N/A</v>
      </c>
      <c r="I300" s="31" t="e" cm="1">
        <f t="array" ref="I300">INDEX(Payment_categorisations[Sub-category], MATCH(TRUE, ISNUMBER(SEARCH(Payment_categorisations[Contains keywords], Bank_postings[[#This Row],[Narrative]])), 0))</f>
        <v>#N/A</v>
      </c>
      <c r="J300" s="20"/>
      <c r="K300" s="20"/>
      <c r="L300" s="31" t="e">
        <f>IF(Bank_postings[[#This Row],[Manual override category]] &lt;&gt; "", Bank_postings[[#This Row],[Manual override category]], Bank_postings[[#This Row],[Category]])</f>
        <v>#N/A</v>
      </c>
      <c r="M300" s="31" t="e">
        <f>IF(Bank_postings[[#This Row],[Manual override sub-category]] &lt;&gt; "", Bank_postings[[#This Row],[Manual override sub-category]], Bank_postings[[#This Row],[Sub-category]])</f>
        <v>#N/A</v>
      </c>
    </row>
    <row r="301" spans="3:13" x14ac:dyDescent="0.25">
      <c r="C301" s="4"/>
      <c r="D301" s="20"/>
      <c r="E301" s="37"/>
      <c r="F301" s="37"/>
      <c r="G301" s="94">
        <f>-Bank_postings[[#This Row],[Payment amount]] + Bank_postings[[#This Row],[Receipt amount]]</f>
        <v>0</v>
      </c>
      <c r="H301" s="31" t="e" cm="1">
        <f t="array" ref="H301">INDEX(Payment_categorisations[Category], MATCH(TRUE, ISNUMBER(SEARCH(Payment_categorisations[Contains keywords], Bank_postings[[#This Row],[Narrative]])), 0))</f>
        <v>#N/A</v>
      </c>
      <c r="I301" s="31" t="e" cm="1">
        <f t="array" ref="I301">INDEX(Payment_categorisations[Sub-category], MATCH(TRUE, ISNUMBER(SEARCH(Payment_categorisations[Contains keywords], Bank_postings[[#This Row],[Narrative]])), 0))</f>
        <v>#N/A</v>
      </c>
      <c r="J301" s="20"/>
      <c r="K301" s="20"/>
      <c r="L301" s="31" t="e">
        <f>IF(Bank_postings[[#This Row],[Manual override category]] &lt;&gt; "", Bank_postings[[#This Row],[Manual override category]], Bank_postings[[#This Row],[Category]])</f>
        <v>#N/A</v>
      </c>
      <c r="M301" s="31" t="e">
        <f>IF(Bank_postings[[#This Row],[Manual override sub-category]] &lt;&gt; "", Bank_postings[[#This Row],[Manual override sub-category]], Bank_postings[[#This Row],[Sub-category]])</f>
        <v>#N/A</v>
      </c>
    </row>
    <row r="302" spans="3:13" x14ac:dyDescent="0.25">
      <c r="C302" s="4"/>
      <c r="D302" s="20"/>
      <c r="E302" s="37"/>
      <c r="F302" s="37"/>
      <c r="G302" s="94">
        <f>-Bank_postings[[#This Row],[Payment amount]] + Bank_postings[[#This Row],[Receipt amount]]</f>
        <v>0</v>
      </c>
      <c r="H302" s="31" t="e" cm="1">
        <f t="array" ref="H302">INDEX(Payment_categorisations[Category], MATCH(TRUE, ISNUMBER(SEARCH(Payment_categorisations[Contains keywords], Bank_postings[[#This Row],[Narrative]])), 0))</f>
        <v>#N/A</v>
      </c>
      <c r="I302" s="31" t="e" cm="1">
        <f t="array" ref="I302">INDEX(Payment_categorisations[Sub-category], MATCH(TRUE, ISNUMBER(SEARCH(Payment_categorisations[Contains keywords], Bank_postings[[#This Row],[Narrative]])), 0))</f>
        <v>#N/A</v>
      </c>
      <c r="J302" s="20"/>
      <c r="K302" s="20"/>
      <c r="L302" s="31" t="e">
        <f>IF(Bank_postings[[#This Row],[Manual override category]] &lt;&gt; "", Bank_postings[[#This Row],[Manual override category]], Bank_postings[[#This Row],[Category]])</f>
        <v>#N/A</v>
      </c>
      <c r="M302" s="31" t="e">
        <f>IF(Bank_postings[[#This Row],[Manual override sub-category]] &lt;&gt; "", Bank_postings[[#This Row],[Manual override sub-category]], Bank_postings[[#This Row],[Sub-category]])</f>
        <v>#N/A</v>
      </c>
    </row>
    <row r="303" spans="3:13" x14ac:dyDescent="0.25">
      <c r="C303" s="4"/>
      <c r="D303" s="20"/>
      <c r="E303" s="37"/>
      <c r="F303" s="37"/>
      <c r="G303" s="94">
        <f>-Bank_postings[[#This Row],[Payment amount]] + Bank_postings[[#This Row],[Receipt amount]]</f>
        <v>0</v>
      </c>
      <c r="H303" s="31" t="e" cm="1">
        <f t="array" ref="H303">INDEX(Payment_categorisations[Category], MATCH(TRUE, ISNUMBER(SEARCH(Payment_categorisations[Contains keywords], Bank_postings[[#This Row],[Narrative]])), 0))</f>
        <v>#N/A</v>
      </c>
      <c r="I303" s="31" t="e" cm="1">
        <f t="array" ref="I303">INDEX(Payment_categorisations[Sub-category], MATCH(TRUE, ISNUMBER(SEARCH(Payment_categorisations[Contains keywords], Bank_postings[[#This Row],[Narrative]])), 0))</f>
        <v>#N/A</v>
      </c>
      <c r="J303" s="20"/>
      <c r="K303" s="20"/>
      <c r="L303" s="31" t="e">
        <f>IF(Bank_postings[[#This Row],[Manual override category]] &lt;&gt; "", Bank_postings[[#This Row],[Manual override category]], Bank_postings[[#This Row],[Category]])</f>
        <v>#N/A</v>
      </c>
      <c r="M303" s="31" t="e">
        <f>IF(Bank_postings[[#This Row],[Manual override sub-category]] &lt;&gt; "", Bank_postings[[#This Row],[Manual override sub-category]], Bank_postings[[#This Row],[Sub-category]])</f>
        <v>#N/A</v>
      </c>
    </row>
    <row r="304" spans="3:13" x14ac:dyDescent="0.25">
      <c r="C304" s="4"/>
      <c r="D304" s="20"/>
      <c r="E304" s="37"/>
      <c r="F304" s="37"/>
      <c r="G304" s="94">
        <f>-Bank_postings[[#This Row],[Payment amount]] + Bank_postings[[#This Row],[Receipt amount]]</f>
        <v>0</v>
      </c>
      <c r="H304" s="31" t="e" cm="1">
        <f t="array" ref="H304">INDEX(Payment_categorisations[Category], MATCH(TRUE, ISNUMBER(SEARCH(Payment_categorisations[Contains keywords], Bank_postings[[#This Row],[Narrative]])), 0))</f>
        <v>#N/A</v>
      </c>
      <c r="I304" s="31" t="e" cm="1">
        <f t="array" ref="I304">INDEX(Payment_categorisations[Sub-category], MATCH(TRUE, ISNUMBER(SEARCH(Payment_categorisations[Contains keywords], Bank_postings[[#This Row],[Narrative]])), 0))</f>
        <v>#N/A</v>
      </c>
      <c r="J304" s="20"/>
      <c r="K304" s="20"/>
      <c r="L304" s="31" t="e">
        <f>IF(Bank_postings[[#This Row],[Manual override category]] &lt;&gt; "", Bank_postings[[#This Row],[Manual override category]], Bank_postings[[#This Row],[Category]])</f>
        <v>#N/A</v>
      </c>
      <c r="M304" s="31" t="e">
        <f>IF(Bank_postings[[#This Row],[Manual override sub-category]] &lt;&gt; "", Bank_postings[[#This Row],[Manual override sub-category]], Bank_postings[[#This Row],[Sub-category]])</f>
        <v>#N/A</v>
      </c>
    </row>
    <row r="305" spans="3:13" x14ac:dyDescent="0.25">
      <c r="C305" s="4"/>
      <c r="D305" s="20"/>
      <c r="E305" s="37"/>
      <c r="F305" s="37"/>
      <c r="G305" s="94">
        <f>-Bank_postings[[#This Row],[Payment amount]] + Bank_postings[[#This Row],[Receipt amount]]</f>
        <v>0</v>
      </c>
      <c r="H305" s="31" t="e" cm="1">
        <f t="array" ref="H305">INDEX(Payment_categorisations[Category], MATCH(TRUE, ISNUMBER(SEARCH(Payment_categorisations[Contains keywords], Bank_postings[[#This Row],[Narrative]])), 0))</f>
        <v>#N/A</v>
      </c>
      <c r="I305" s="31" t="e" cm="1">
        <f t="array" ref="I305">INDEX(Payment_categorisations[Sub-category], MATCH(TRUE, ISNUMBER(SEARCH(Payment_categorisations[Contains keywords], Bank_postings[[#This Row],[Narrative]])), 0))</f>
        <v>#N/A</v>
      </c>
      <c r="J305" s="20"/>
      <c r="K305" s="20"/>
      <c r="L305" s="31" t="e">
        <f>IF(Bank_postings[[#This Row],[Manual override category]] &lt;&gt; "", Bank_postings[[#This Row],[Manual override category]], Bank_postings[[#This Row],[Category]])</f>
        <v>#N/A</v>
      </c>
      <c r="M305" s="31" t="e">
        <f>IF(Bank_postings[[#This Row],[Manual override sub-category]] &lt;&gt; "", Bank_postings[[#This Row],[Manual override sub-category]], Bank_postings[[#This Row],[Sub-category]])</f>
        <v>#N/A</v>
      </c>
    </row>
    <row r="306" spans="3:13" x14ac:dyDescent="0.25">
      <c r="C306" s="4"/>
      <c r="D306" s="20"/>
      <c r="E306" s="37"/>
      <c r="F306" s="37"/>
      <c r="G306" s="94">
        <f>-Bank_postings[[#This Row],[Payment amount]] + Bank_postings[[#This Row],[Receipt amount]]</f>
        <v>0</v>
      </c>
      <c r="H306" s="31" t="e" cm="1">
        <f t="array" ref="H306">INDEX(Payment_categorisations[Category], MATCH(TRUE, ISNUMBER(SEARCH(Payment_categorisations[Contains keywords], Bank_postings[[#This Row],[Narrative]])), 0))</f>
        <v>#N/A</v>
      </c>
      <c r="I306" s="31" t="e" cm="1">
        <f t="array" ref="I306">INDEX(Payment_categorisations[Sub-category], MATCH(TRUE, ISNUMBER(SEARCH(Payment_categorisations[Contains keywords], Bank_postings[[#This Row],[Narrative]])), 0))</f>
        <v>#N/A</v>
      </c>
      <c r="J306" s="20"/>
      <c r="K306" s="20"/>
      <c r="L306" s="31" t="e">
        <f>IF(Bank_postings[[#This Row],[Manual override category]] &lt;&gt; "", Bank_postings[[#This Row],[Manual override category]], Bank_postings[[#This Row],[Category]])</f>
        <v>#N/A</v>
      </c>
      <c r="M306" s="31" t="e">
        <f>IF(Bank_postings[[#This Row],[Manual override sub-category]] &lt;&gt; "", Bank_postings[[#This Row],[Manual override sub-category]], Bank_postings[[#This Row],[Sub-category]])</f>
        <v>#N/A</v>
      </c>
    </row>
    <row r="307" spans="3:13" x14ac:dyDescent="0.25">
      <c r="C307" s="4"/>
      <c r="D307" s="20"/>
      <c r="E307" s="37"/>
      <c r="F307" s="37"/>
      <c r="G307" s="94">
        <f>-Bank_postings[[#This Row],[Payment amount]] + Bank_postings[[#This Row],[Receipt amount]]</f>
        <v>0</v>
      </c>
      <c r="H307" s="31" t="e" cm="1">
        <f t="array" ref="H307">INDEX(Payment_categorisations[Category], MATCH(TRUE, ISNUMBER(SEARCH(Payment_categorisations[Contains keywords], Bank_postings[[#This Row],[Narrative]])), 0))</f>
        <v>#N/A</v>
      </c>
      <c r="I307" s="31" t="e" cm="1">
        <f t="array" ref="I307">INDEX(Payment_categorisations[Sub-category], MATCH(TRUE, ISNUMBER(SEARCH(Payment_categorisations[Contains keywords], Bank_postings[[#This Row],[Narrative]])), 0))</f>
        <v>#N/A</v>
      </c>
      <c r="J307" s="20"/>
      <c r="K307" s="20"/>
      <c r="L307" s="31" t="e">
        <f>IF(Bank_postings[[#This Row],[Manual override category]] &lt;&gt; "", Bank_postings[[#This Row],[Manual override category]], Bank_postings[[#This Row],[Category]])</f>
        <v>#N/A</v>
      </c>
      <c r="M307" s="31" t="e">
        <f>IF(Bank_postings[[#This Row],[Manual override sub-category]] &lt;&gt; "", Bank_postings[[#This Row],[Manual override sub-category]], Bank_postings[[#This Row],[Sub-category]])</f>
        <v>#N/A</v>
      </c>
    </row>
    <row r="308" spans="3:13" x14ac:dyDescent="0.25">
      <c r="C308" s="41"/>
      <c r="D308" s="29"/>
      <c r="E308" s="42"/>
      <c r="F308" s="42"/>
      <c r="G308" s="95">
        <f>-Bank_postings[[#This Row],[Payment amount]] + Bank_postings[[#This Row],[Receipt amount]]</f>
        <v>0</v>
      </c>
      <c r="H308" s="93" t="e" cm="1">
        <f t="array" ref="H308">INDEX(Payment_categorisations[Category], MATCH(TRUE, ISNUMBER(SEARCH(Payment_categorisations[Contains keywords], Bank_postings[[#This Row],[Narrative]])), 0))</f>
        <v>#N/A</v>
      </c>
      <c r="I308" s="93" t="e" cm="1">
        <f t="array" ref="I308">INDEX(Payment_categorisations[Sub-category], MATCH(TRUE, ISNUMBER(SEARCH(Payment_categorisations[Contains keywords], Bank_postings[[#This Row],[Narrative]])), 0))</f>
        <v>#N/A</v>
      </c>
      <c r="J308" s="20"/>
      <c r="K308" s="20"/>
      <c r="L308" s="31" t="e">
        <f>IF(Bank_postings[[#This Row],[Manual override category]] &lt;&gt; "", Bank_postings[[#This Row],[Manual override category]], Bank_postings[[#This Row],[Category]])</f>
        <v>#N/A</v>
      </c>
      <c r="M308" s="31" t="e">
        <f>IF(Bank_postings[[#This Row],[Manual override sub-category]] &lt;&gt; "", Bank_postings[[#This Row],[Manual override sub-category]], Bank_postings[[#This Row],[Sub-category]])</f>
        <v>#N/A</v>
      </c>
    </row>
    <row r="309" spans="3:13" x14ac:dyDescent="0.25">
      <c r="C309" s="4"/>
      <c r="D309" s="20"/>
      <c r="E309" s="37"/>
      <c r="F309" s="37"/>
      <c r="G309" s="94">
        <f>-Bank_postings[[#This Row],[Payment amount]] + Bank_postings[[#This Row],[Receipt amount]]</f>
        <v>0</v>
      </c>
      <c r="H309" s="31" t="e" cm="1">
        <f t="array" ref="H309">INDEX(Payment_categorisations[Category], MATCH(TRUE, ISNUMBER(SEARCH(Payment_categorisations[Contains keywords], Bank_postings[[#This Row],[Narrative]])), 0))</f>
        <v>#N/A</v>
      </c>
      <c r="I309" s="31" t="e" cm="1">
        <f t="array" ref="I309">INDEX(Payment_categorisations[Sub-category], MATCH(TRUE, ISNUMBER(SEARCH(Payment_categorisations[Contains keywords], Bank_postings[[#This Row],[Narrative]])), 0))</f>
        <v>#N/A</v>
      </c>
      <c r="J309" s="20"/>
      <c r="K309" s="20"/>
      <c r="L309" s="31" t="e">
        <f>IF(Bank_postings[[#This Row],[Manual override category]] &lt;&gt; "", Bank_postings[[#This Row],[Manual override category]], Bank_postings[[#This Row],[Category]])</f>
        <v>#N/A</v>
      </c>
      <c r="M309" s="31" t="e">
        <f>IF(Bank_postings[[#This Row],[Manual override sub-category]] &lt;&gt; "", Bank_postings[[#This Row],[Manual override sub-category]], Bank_postings[[#This Row],[Sub-category]])</f>
        <v>#N/A</v>
      </c>
    </row>
    <row r="310" spans="3:13" x14ac:dyDescent="0.25">
      <c r="C310" s="4"/>
      <c r="D310" s="20"/>
      <c r="E310" s="37"/>
      <c r="F310" s="37"/>
      <c r="G310" s="94">
        <f>-Bank_postings[[#This Row],[Payment amount]] + Bank_postings[[#This Row],[Receipt amount]]</f>
        <v>0</v>
      </c>
      <c r="H310" s="31" t="e" cm="1">
        <f t="array" ref="H310">INDEX(Payment_categorisations[Category], MATCH(TRUE, ISNUMBER(SEARCH(Payment_categorisations[Contains keywords], Bank_postings[[#This Row],[Narrative]])), 0))</f>
        <v>#N/A</v>
      </c>
      <c r="I310" s="31" t="e" cm="1">
        <f t="array" ref="I310">INDEX(Payment_categorisations[Sub-category], MATCH(TRUE, ISNUMBER(SEARCH(Payment_categorisations[Contains keywords], Bank_postings[[#This Row],[Narrative]])), 0))</f>
        <v>#N/A</v>
      </c>
      <c r="J310" s="20"/>
      <c r="K310" s="20"/>
      <c r="L310" s="31" t="e">
        <f>IF(Bank_postings[[#This Row],[Manual override category]] &lt;&gt; "", Bank_postings[[#This Row],[Manual override category]], Bank_postings[[#This Row],[Category]])</f>
        <v>#N/A</v>
      </c>
      <c r="M310" s="31" t="e">
        <f>IF(Bank_postings[[#This Row],[Manual override sub-category]] &lt;&gt; "", Bank_postings[[#This Row],[Manual override sub-category]], Bank_postings[[#This Row],[Sub-category]])</f>
        <v>#N/A</v>
      </c>
    </row>
    <row r="311" spans="3:13" x14ac:dyDescent="0.25">
      <c r="C311" s="4"/>
      <c r="D311" s="20"/>
      <c r="E311" s="37"/>
      <c r="F311" s="37"/>
      <c r="G311" s="94">
        <f>-Bank_postings[[#This Row],[Payment amount]] + Bank_postings[[#This Row],[Receipt amount]]</f>
        <v>0</v>
      </c>
      <c r="H311" s="31" t="e" cm="1">
        <f t="array" ref="H311">INDEX(Payment_categorisations[Category], MATCH(TRUE, ISNUMBER(SEARCH(Payment_categorisations[Contains keywords], Bank_postings[[#This Row],[Narrative]])), 0))</f>
        <v>#N/A</v>
      </c>
      <c r="I311" s="31" t="e" cm="1">
        <f t="array" ref="I311">INDEX(Payment_categorisations[Sub-category], MATCH(TRUE, ISNUMBER(SEARCH(Payment_categorisations[Contains keywords], Bank_postings[[#This Row],[Narrative]])), 0))</f>
        <v>#N/A</v>
      </c>
      <c r="J311" s="20"/>
      <c r="K311" s="20"/>
      <c r="L311" s="31" t="e">
        <f>IF(Bank_postings[[#This Row],[Manual override category]] &lt;&gt; "", Bank_postings[[#This Row],[Manual override category]], Bank_postings[[#This Row],[Category]])</f>
        <v>#N/A</v>
      </c>
      <c r="M311" s="31" t="e">
        <f>IF(Bank_postings[[#This Row],[Manual override sub-category]] &lt;&gt; "", Bank_postings[[#This Row],[Manual override sub-category]], Bank_postings[[#This Row],[Sub-category]])</f>
        <v>#N/A</v>
      </c>
    </row>
    <row r="312" spans="3:13" x14ac:dyDescent="0.25">
      <c r="C312" s="4"/>
      <c r="D312" s="20"/>
      <c r="E312" s="37"/>
      <c r="F312" s="37"/>
      <c r="G312" s="94">
        <f>-Bank_postings[[#This Row],[Payment amount]] + Bank_postings[[#This Row],[Receipt amount]]</f>
        <v>0</v>
      </c>
      <c r="H312" s="31" t="e" cm="1">
        <f t="array" ref="H312">INDEX(Payment_categorisations[Category], MATCH(TRUE, ISNUMBER(SEARCH(Payment_categorisations[Contains keywords], Bank_postings[[#This Row],[Narrative]])), 0))</f>
        <v>#N/A</v>
      </c>
      <c r="I312" s="31" t="e" cm="1">
        <f t="array" ref="I312">INDEX(Payment_categorisations[Sub-category], MATCH(TRUE, ISNUMBER(SEARCH(Payment_categorisations[Contains keywords], Bank_postings[[#This Row],[Narrative]])), 0))</f>
        <v>#N/A</v>
      </c>
      <c r="J312" s="20"/>
      <c r="K312" s="20"/>
      <c r="L312" s="31" t="e">
        <f>IF(Bank_postings[[#This Row],[Manual override category]] &lt;&gt; "", Bank_postings[[#This Row],[Manual override category]], Bank_postings[[#This Row],[Category]])</f>
        <v>#N/A</v>
      </c>
      <c r="M312" s="31" t="e">
        <f>IF(Bank_postings[[#This Row],[Manual override sub-category]] &lt;&gt; "", Bank_postings[[#This Row],[Manual override sub-category]], Bank_postings[[#This Row],[Sub-category]])</f>
        <v>#N/A</v>
      </c>
    </row>
    <row r="313" spans="3:13" x14ac:dyDescent="0.25">
      <c r="C313" s="4"/>
      <c r="D313" s="20"/>
      <c r="E313" s="37"/>
      <c r="F313" s="37"/>
      <c r="G313" s="94">
        <f>-Bank_postings[[#This Row],[Payment amount]] + Bank_postings[[#This Row],[Receipt amount]]</f>
        <v>0</v>
      </c>
      <c r="H313" s="31" t="e" cm="1">
        <f t="array" ref="H313">INDEX(Payment_categorisations[Category], MATCH(TRUE, ISNUMBER(SEARCH(Payment_categorisations[Contains keywords], Bank_postings[[#This Row],[Narrative]])), 0))</f>
        <v>#N/A</v>
      </c>
      <c r="I313" s="31" t="e" cm="1">
        <f t="array" ref="I313">INDEX(Payment_categorisations[Sub-category], MATCH(TRUE, ISNUMBER(SEARCH(Payment_categorisations[Contains keywords], Bank_postings[[#This Row],[Narrative]])), 0))</f>
        <v>#N/A</v>
      </c>
      <c r="J313" s="20"/>
      <c r="K313" s="20"/>
      <c r="L313" s="31" t="e">
        <f>IF(Bank_postings[[#This Row],[Manual override category]] &lt;&gt; "", Bank_postings[[#This Row],[Manual override category]], Bank_postings[[#This Row],[Category]])</f>
        <v>#N/A</v>
      </c>
      <c r="M313" s="31" t="e">
        <f>IF(Bank_postings[[#This Row],[Manual override sub-category]] &lt;&gt; "", Bank_postings[[#This Row],[Manual override sub-category]], Bank_postings[[#This Row],[Sub-category]])</f>
        <v>#N/A</v>
      </c>
    </row>
    <row r="314" spans="3:13" x14ac:dyDescent="0.25">
      <c r="C314" s="4"/>
      <c r="D314" s="20"/>
      <c r="E314" s="37"/>
      <c r="F314" s="37"/>
      <c r="G314" s="94">
        <f>-Bank_postings[[#This Row],[Payment amount]] + Bank_postings[[#This Row],[Receipt amount]]</f>
        <v>0</v>
      </c>
      <c r="H314" s="31" t="e" cm="1">
        <f t="array" ref="H314">INDEX(Payment_categorisations[Category], MATCH(TRUE, ISNUMBER(SEARCH(Payment_categorisations[Contains keywords], Bank_postings[[#This Row],[Narrative]])), 0))</f>
        <v>#N/A</v>
      </c>
      <c r="I314" s="31" t="e" cm="1">
        <f t="array" ref="I314">INDEX(Payment_categorisations[Sub-category], MATCH(TRUE, ISNUMBER(SEARCH(Payment_categorisations[Contains keywords], Bank_postings[[#This Row],[Narrative]])), 0))</f>
        <v>#N/A</v>
      </c>
      <c r="J314" s="20"/>
      <c r="K314" s="20"/>
      <c r="L314" s="31" t="e">
        <f>IF(Bank_postings[[#This Row],[Manual override category]] &lt;&gt; "", Bank_postings[[#This Row],[Manual override category]], Bank_postings[[#This Row],[Category]])</f>
        <v>#N/A</v>
      </c>
      <c r="M314" s="31" t="e">
        <f>IF(Bank_postings[[#This Row],[Manual override sub-category]] &lt;&gt; "", Bank_postings[[#This Row],[Manual override sub-category]], Bank_postings[[#This Row],[Sub-category]])</f>
        <v>#N/A</v>
      </c>
    </row>
    <row r="315" spans="3:13" x14ac:dyDescent="0.25">
      <c r="C315" s="4"/>
      <c r="D315" s="20"/>
      <c r="E315" s="37"/>
      <c r="F315" s="37"/>
      <c r="G315" s="94">
        <f>-Bank_postings[[#This Row],[Payment amount]] + Bank_postings[[#This Row],[Receipt amount]]</f>
        <v>0</v>
      </c>
      <c r="H315" s="31" t="e" cm="1">
        <f t="array" ref="H315">INDEX(Payment_categorisations[Category], MATCH(TRUE, ISNUMBER(SEARCH(Payment_categorisations[Contains keywords], Bank_postings[[#This Row],[Narrative]])), 0))</f>
        <v>#N/A</v>
      </c>
      <c r="I315" s="31" t="e" cm="1">
        <f t="array" ref="I315">INDEX(Payment_categorisations[Sub-category], MATCH(TRUE, ISNUMBER(SEARCH(Payment_categorisations[Contains keywords], Bank_postings[[#This Row],[Narrative]])), 0))</f>
        <v>#N/A</v>
      </c>
      <c r="J315" s="20"/>
      <c r="K315" s="20"/>
      <c r="L315" s="31" t="e">
        <f>IF(Bank_postings[[#This Row],[Manual override category]] &lt;&gt; "", Bank_postings[[#This Row],[Manual override category]], Bank_postings[[#This Row],[Category]])</f>
        <v>#N/A</v>
      </c>
      <c r="M315" s="31" t="e">
        <f>IF(Bank_postings[[#This Row],[Manual override sub-category]] &lt;&gt; "", Bank_postings[[#This Row],[Manual override sub-category]], Bank_postings[[#This Row],[Sub-category]])</f>
        <v>#N/A</v>
      </c>
    </row>
    <row r="316" spans="3:13" x14ac:dyDescent="0.25">
      <c r="C316" s="4"/>
      <c r="D316" s="20"/>
      <c r="E316" s="37"/>
      <c r="F316" s="37"/>
      <c r="G316" s="94">
        <f>-Bank_postings[[#This Row],[Payment amount]] + Bank_postings[[#This Row],[Receipt amount]]</f>
        <v>0</v>
      </c>
      <c r="H316" s="31" t="e" cm="1">
        <f t="array" ref="H316">INDEX(Payment_categorisations[Category], MATCH(TRUE, ISNUMBER(SEARCH(Payment_categorisations[Contains keywords], Bank_postings[[#This Row],[Narrative]])), 0))</f>
        <v>#N/A</v>
      </c>
      <c r="I316" s="31" t="e" cm="1">
        <f t="array" ref="I316">INDEX(Payment_categorisations[Sub-category], MATCH(TRUE, ISNUMBER(SEARCH(Payment_categorisations[Contains keywords], Bank_postings[[#This Row],[Narrative]])), 0))</f>
        <v>#N/A</v>
      </c>
      <c r="J316" s="20"/>
      <c r="K316" s="20"/>
      <c r="L316" s="31" t="e">
        <f>IF(Bank_postings[[#This Row],[Manual override category]] &lt;&gt; "", Bank_postings[[#This Row],[Manual override category]], Bank_postings[[#This Row],[Category]])</f>
        <v>#N/A</v>
      </c>
      <c r="M316" s="31" t="e">
        <f>IF(Bank_postings[[#This Row],[Manual override sub-category]] &lt;&gt; "", Bank_postings[[#This Row],[Manual override sub-category]], Bank_postings[[#This Row],[Sub-category]])</f>
        <v>#N/A</v>
      </c>
    </row>
    <row r="317" spans="3:13" x14ac:dyDescent="0.25">
      <c r="C317" s="4"/>
      <c r="D317" s="20"/>
      <c r="E317" s="37"/>
      <c r="F317" s="37"/>
      <c r="G317" s="94">
        <f>-Bank_postings[[#This Row],[Payment amount]] + Bank_postings[[#This Row],[Receipt amount]]</f>
        <v>0</v>
      </c>
      <c r="H317" s="31" t="e" cm="1">
        <f t="array" ref="H317">INDEX(Payment_categorisations[Category], MATCH(TRUE, ISNUMBER(SEARCH(Payment_categorisations[Contains keywords], Bank_postings[[#This Row],[Narrative]])), 0))</f>
        <v>#N/A</v>
      </c>
      <c r="I317" s="31" t="e" cm="1">
        <f t="array" ref="I317">INDEX(Payment_categorisations[Sub-category], MATCH(TRUE, ISNUMBER(SEARCH(Payment_categorisations[Contains keywords], Bank_postings[[#This Row],[Narrative]])), 0))</f>
        <v>#N/A</v>
      </c>
      <c r="J317" s="20"/>
      <c r="K317" s="20"/>
      <c r="L317" s="31" t="e">
        <f>IF(Bank_postings[[#This Row],[Manual override category]] &lt;&gt; "", Bank_postings[[#This Row],[Manual override category]], Bank_postings[[#This Row],[Category]])</f>
        <v>#N/A</v>
      </c>
      <c r="M317" s="31" t="e">
        <f>IF(Bank_postings[[#This Row],[Manual override sub-category]] &lt;&gt; "", Bank_postings[[#This Row],[Manual override sub-category]], Bank_postings[[#This Row],[Sub-category]])</f>
        <v>#N/A</v>
      </c>
    </row>
    <row r="318" spans="3:13" x14ac:dyDescent="0.25">
      <c r="C318" s="4"/>
      <c r="D318" s="20"/>
      <c r="E318" s="37"/>
      <c r="F318" s="37"/>
      <c r="G318" s="94">
        <f>-Bank_postings[[#This Row],[Payment amount]] + Bank_postings[[#This Row],[Receipt amount]]</f>
        <v>0</v>
      </c>
      <c r="H318" s="31" t="e" cm="1">
        <f t="array" ref="H318">INDEX(Payment_categorisations[Category], MATCH(TRUE, ISNUMBER(SEARCH(Payment_categorisations[Contains keywords], Bank_postings[[#This Row],[Narrative]])), 0))</f>
        <v>#N/A</v>
      </c>
      <c r="I318" s="31" t="e" cm="1">
        <f t="array" ref="I318">INDEX(Payment_categorisations[Sub-category], MATCH(TRUE, ISNUMBER(SEARCH(Payment_categorisations[Contains keywords], Bank_postings[[#This Row],[Narrative]])), 0))</f>
        <v>#N/A</v>
      </c>
      <c r="J318" s="20"/>
      <c r="K318" s="20"/>
      <c r="L318" s="31" t="e">
        <f>IF(Bank_postings[[#This Row],[Manual override category]] &lt;&gt; "", Bank_postings[[#This Row],[Manual override category]], Bank_postings[[#This Row],[Category]])</f>
        <v>#N/A</v>
      </c>
      <c r="M318" s="31" t="e">
        <f>IF(Bank_postings[[#This Row],[Manual override sub-category]] &lt;&gt; "", Bank_postings[[#This Row],[Manual override sub-category]], Bank_postings[[#This Row],[Sub-category]])</f>
        <v>#N/A</v>
      </c>
    </row>
    <row r="319" spans="3:13" x14ac:dyDescent="0.25">
      <c r="C319" s="4"/>
      <c r="D319" s="20"/>
      <c r="E319" s="37"/>
      <c r="F319" s="37"/>
      <c r="G319" s="94">
        <f>-Bank_postings[[#This Row],[Payment amount]] + Bank_postings[[#This Row],[Receipt amount]]</f>
        <v>0</v>
      </c>
      <c r="H319" s="31" t="e" cm="1">
        <f t="array" ref="H319">INDEX(Payment_categorisations[Category], MATCH(TRUE, ISNUMBER(SEARCH(Payment_categorisations[Contains keywords], Bank_postings[[#This Row],[Narrative]])), 0))</f>
        <v>#N/A</v>
      </c>
      <c r="I319" s="31" t="e" cm="1">
        <f t="array" ref="I319">INDEX(Payment_categorisations[Sub-category], MATCH(TRUE, ISNUMBER(SEARCH(Payment_categorisations[Contains keywords], Bank_postings[[#This Row],[Narrative]])), 0))</f>
        <v>#N/A</v>
      </c>
      <c r="J319" s="20"/>
      <c r="K319" s="20"/>
      <c r="L319" s="31" t="e">
        <f>IF(Bank_postings[[#This Row],[Manual override category]] &lt;&gt; "", Bank_postings[[#This Row],[Manual override category]], Bank_postings[[#This Row],[Category]])</f>
        <v>#N/A</v>
      </c>
      <c r="M319" s="31" t="e">
        <f>IF(Bank_postings[[#This Row],[Manual override sub-category]] &lt;&gt; "", Bank_postings[[#This Row],[Manual override sub-category]], Bank_postings[[#This Row],[Sub-category]])</f>
        <v>#N/A</v>
      </c>
    </row>
    <row r="320" spans="3:13" x14ac:dyDescent="0.25">
      <c r="C320" s="4"/>
      <c r="D320" s="20"/>
      <c r="E320" s="37"/>
      <c r="F320" s="37"/>
      <c r="G320" s="94">
        <f>-Bank_postings[[#This Row],[Payment amount]] + Bank_postings[[#This Row],[Receipt amount]]</f>
        <v>0</v>
      </c>
      <c r="H320" s="31" t="e" cm="1">
        <f t="array" ref="H320">INDEX(Payment_categorisations[Category], MATCH(TRUE, ISNUMBER(SEARCH(Payment_categorisations[Contains keywords], Bank_postings[[#This Row],[Narrative]])), 0))</f>
        <v>#N/A</v>
      </c>
      <c r="I320" s="31" t="e" cm="1">
        <f t="array" ref="I320">INDEX(Payment_categorisations[Sub-category], MATCH(TRUE, ISNUMBER(SEARCH(Payment_categorisations[Contains keywords], Bank_postings[[#This Row],[Narrative]])), 0))</f>
        <v>#N/A</v>
      </c>
      <c r="J320" s="20"/>
      <c r="K320" s="20"/>
      <c r="L320" s="31" t="e">
        <f>IF(Bank_postings[[#This Row],[Manual override category]] &lt;&gt; "", Bank_postings[[#This Row],[Manual override category]], Bank_postings[[#This Row],[Category]])</f>
        <v>#N/A</v>
      </c>
      <c r="M320" s="31" t="e">
        <f>IF(Bank_postings[[#This Row],[Manual override sub-category]] &lt;&gt; "", Bank_postings[[#This Row],[Manual override sub-category]], Bank_postings[[#This Row],[Sub-category]])</f>
        <v>#N/A</v>
      </c>
    </row>
    <row r="321" spans="3:13" x14ac:dyDescent="0.25">
      <c r="C321" s="4"/>
      <c r="D321" s="20"/>
      <c r="E321" s="37"/>
      <c r="F321" s="37"/>
      <c r="G321" s="94">
        <f>-Bank_postings[[#This Row],[Payment amount]] + Bank_postings[[#This Row],[Receipt amount]]</f>
        <v>0</v>
      </c>
      <c r="H321" s="31" t="e" cm="1">
        <f t="array" ref="H321">INDEX(Payment_categorisations[Category], MATCH(TRUE, ISNUMBER(SEARCH(Payment_categorisations[Contains keywords], Bank_postings[[#This Row],[Narrative]])), 0))</f>
        <v>#N/A</v>
      </c>
      <c r="I321" s="31" t="e" cm="1">
        <f t="array" ref="I321">INDEX(Payment_categorisations[Sub-category], MATCH(TRUE, ISNUMBER(SEARCH(Payment_categorisations[Contains keywords], Bank_postings[[#This Row],[Narrative]])), 0))</f>
        <v>#N/A</v>
      </c>
      <c r="J321" s="20"/>
      <c r="K321" s="20"/>
      <c r="L321" s="31" t="e">
        <f>IF(Bank_postings[[#This Row],[Manual override category]] &lt;&gt; "", Bank_postings[[#This Row],[Manual override category]], Bank_postings[[#This Row],[Category]])</f>
        <v>#N/A</v>
      </c>
      <c r="M321" s="31" t="e">
        <f>IF(Bank_postings[[#This Row],[Manual override sub-category]] &lt;&gt; "", Bank_postings[[#This Row],[Manual override sub-category]], Bank_postings[[#This Row],[Sub-category]])</f>
        <v>#N/A</v>
      </c>
    </row>
    <row r="322" spans="3:13" x14ac:dyDescent="0.25">
      <c r="C322" s="4"/>
      <c r="D322" s="20"/>
      <c r="E322" s="37"/>
      <c r="F322" s="37"/>
      <c r="G322" s="94">
        <f>-Bank_postings[[#This Row],[Payment amount]] + Bank_postings[[#This Row],[Receipt amount]]</f>
        <v>0</v>
      </c>
      <c r="H322" s="31" t="e" cm="1">
        <f t="array" ref="H322">INDEX(Payment_categorisations[Category], MATCH(TRUE, ISNUMBER(SEARCH(Payment_categorisations[Contains keywords], Bank_postings[[#This Row],[Narrative]])), 0))</f>
        <v>#N/A</v>
      </c>
      <c r="I322" s="31" t="e" cm="1">
        <f t="array" ref="I322">INDEX(Payment_categorisations[Sub-category], MATCH(TRUE, ISNUMBER(SEARCH(Payment_categorisations[Contains keywords], Bank_postings[[#This Row],[Narrative]])), 0))</f>
        <v>#N/A</v>
      </c>
      <c r="J322" s="20"/>
      <c r="K322" s="20"/>
      <c r="L322" s="31" t="e">
        <f>IF(Bank_postings[[#This Row],[Manual override category]] &lt;&gt; "", Bank_postings[[#This Row],[Manual override category]], Bank_postings[[#This Row],[Category]])</f>
        <v>#N/A</v>
      </c>
      <c r="M322" s="31" t="e">
        <f>IF(Bank_postings[[#This Row],[Manual override sub-category]] &lt;&gt; "", Bank_postings[[#This Row],[Manual override sub-category]], Bank_postings[[#This Row],[Sub-category]])</f>
        <v>#N/A</v>
      </c>
    </row>
    <row r="323" spans="3:13" x14ac:dyDescent="0.25">
      <c r="C323" s="4"/>
      <c r="D323" s="20"/>
      <c r="E323" s="37"/>
      <c r="F323" s="37"/>
      <c r="G323" s="94">
        <f>-Bank_postings[[#This Row],[Payment amount]] + Bank_postings[[#This Row],[Receipt amount]]</f>
        <v>0</v>
      </c>
      <c r="H323" s="31" t="e" cm="1">
        <f t="array" ref="H323">INDEX(Payment_categorisations[Category], MATCH(TRUE, ISNUMBER(SEARCH(Payment_categorisations[Contains keywords], Bank_postings[[#This Row],[Narrative]])), 0))</f>
        <v>#N/A</v>
      </c>
      <c r="I323" s="31" t="e" cm="1">
        <f t="array" ref="I323">INDEX(Payment_categorisations[Sub-category], MATCH(TRUE, ISNUMBER(SEARCH(Payment_categorisations[Contains keywords], Bank_postings[[#This Row],[Narrative]])), 0))</f>
        <v>#N/A</v>
      </c>
      <c r="J323" s="20"/>
      <c r="K323" s="20"/>
      <c r="L323" s="31" t="e">
        <f>IF(Bank_postings[[#This Row],[Manual override category]] &lt;&gt; "", Bank_postings[[#This Row],[Manual override category]], Bank_postings[[#This Row],[Category]])</f>
        <v>#N/A</v>
      </c>
      <c r="M323" s="31" t="e">
        <f>IF(Bank_postings[[#This Row],[Manual override sub-category]] &lt;&gt; "", Bank_postings[[#This Row],[Manual override sub-category]], Bank_postings[[#This Row],[Sub-category]])</f>
        <v>#N/A</v>
      </c>
    </row>
    <row r="324" spans="3:13" x14ac:dyDescent="0.25">
      <c r="C324" s="4"/>
      <c r="D324" s="20"/>
      <c r="E324" s="37"/>
      <c r="F324" s="37"/>
      <c r="G324" s="94">
        <f>-Bank_postings[[#This Row],[Payment amount]] + Bank_postings[[#This Row],[Receipt amount]]</f>
        <v>0</v>
      </c>
      <c r="H324" s="31" t="e" cm="1">
        <f t="array" ref="H324">INDEX(Payment_categorisations[Category], MATCH(TRUE, ISNUMBER(SEARCH(Payment_categorisations[Contains keywords], Bank_postings[[#This Row],[Narrative]])), 0))</f>
        <v>#N/A</v>
      </c>
      <c r="I324" s="31" t="e" cm="1">
        <f t="array" ref="I324">INDEX(Payment_categorisations[Sub-category], MATCH(TRUE, ISNUMBER(SEARCH(Payment_categorisations[Contains keywords], Bank_postings[[#This Row],[Narrative]])), 0))</f>
        <v>#N/A</v>
      </c>
      <c r="J324" s="20"/>
      <c r="K324" s="20"/>
      <c r="L324" s="31" t="e">
        <f>IF(Bank_postings[[#This Row],[Manual override category]] &lt;&gt; "", Bank_postings[[#This Row],[Manual override category]], Bank_postings[[#This Row],[Category]])</f>
        <v>#N/A</v>
      </c>
      <c r="M324" s="31" t="e">
        <f>IF(Bank_postings[[#This Row],[Manual override sub-category]] &lt;&gt; "", Bank_postings[[#This Row],[Manual override sub-category]], Bank_postings[[#This Row],[Sub-category]])</f>
        <v>#N/A</v>
      </c>
    </row>
    <row r="325" spans="3:13" x14ac:dyDescent="0.25">
      <c r="C325" s="4"/>
      <c r="D325" s="20"/>
      <c r="E325" s="37"/>
      <c r="F325" s="37"/>
      <c r="G325" s="94">
        <f>-Bank_postings[[#This Row],[Payment amount]] + Bank_postings[[#This Row],[Receipt amount]]</f>
        <v>0</v>
      </c>
      <c r="H325" s="31" t="e" cm="1">
        <f t="array" ref="H325">INDEX(Payment_categorisations[Category], MATCH(TRUE, ISNUMBER(SEARCH(Payment_categorisations[Contains keywords], Bank_postings[[#This Row],[Narrative]])), 0))</f>
        <v>#N/A</v>
      </c>
      <c r="I325" s="31" t="e" cm="1">
        <f t="array" ref="I325">INDEX(Payment_categorisations[Sub-category], MATCH(TRUE, ISNUMBER(SEARCH(Payment_categorisations[Contains keywords], Bank_postings[[#This Row],[Narrative]])), 0))</f>
        <v>#N/A</v>
      </c>
      <c r="J325" s="20"/>
      <c r="K325" s="20"/>
      <c r="L325" s="31" t="e">
        <f>IF(Bank_postings[[#This Row],[Manual override category]] &lt;&gt; "", Bank_postings[[#This Row],[Manual override category]], Bank_postings[[#This Row],[Category]])</f>
        <v>#N/A</v>
      </c>
      <c r="M325" s="31" t="e">
        <f>IF(Bank_postings[[#This Row],[Manual override sub-category]] &lt;&gt; "", Bank_postings[[#This Row],[Manual override sub-category]], Bank_postings[[#This Row],[Sub-category]])</f>
        <v>#N/A</v>
      </c>
    </row>
    <row r="326" spans="3:13" x14ac:dyDescent="0.25">
      <c r="C326" s="4"/>
      <c r="D326" s="20"/>
      <c r="E326" s="37"/>
      <c r="F326" s="37"/>
      <c r="G326" s="94">
        <f>-Bank_postings[[#This Row],[Payment amount]] + Bank_postings[[#This Row],[Receipt amount]]</f>
        <v>0</v>
      </c>
      <c r="H326" s="31" t="e" cm="1">
        <f t="array" ref="H326">INDEX(Payment_categorisations[Category], MATCH(TRUE, ISNUMBER(SEARCH(Payment_categorisations[Contains keywords], Bank_postings[[#This Row],[Narrative]])), 0))</f>
        <v>#N/A</v>
      </c>
      <c r="I326" s="31" t="e" cm="1">
        <f t="array" ref="I326">INDEX(Payment_categorisations[Sub-category], MATCH(TRUE, ISNUMBER(SEARCH(Payment_categorisations[Contains keywords], Bank_postings[[#This Row],[Narrative]])), 0))</f>
        <v>#N/A</v>
      </c>
      <c r="J326" s="20"/>
      <c r="K326" s="20"/>
      <c r="L326" s="31" t="e">
        <f>IF(Bank_postings[[#This Row],[Manual override category]] &lt;&gt; "", Bank_postings[[#This Row],[Manual override category]], Bank_postings[[#This Row],[Category]])</f>
        <v>#N/A</v>
      </c>
      <c r="M326" s="31" t="e">
        <f>IF(Bank_postings[[#This Row],[Manual override sub-category]] &lt;&gt; "", Bank_postings[[#This Row],[Manual override sub-category]], Bank_postings[[#This Row],[Sub-category]])</f>
        <v>#N/A</v>
      </c>
    </row>
    <row r="327" spans="3:13" x14ac:dyDescent="0.25">
      <c r="C327" s="4"/>
      <c r="D327" s="20"/>
      <c r="E327" s="37"/>
      <c r="F327" s="37"/>
      <c r="G327" s="94">
        <f>-Bank_postings[[#This Row],[Payment amount]] + Bank_postings[[#This Row],[Receipt amount]]</f>
        <v>0</v>
      </c>
      <c r="H327" s="31" t="e" cm="1">
        <f t="array" ref="H327">INDEX(Payment_categorisations[Category], MATCH(TRUE, ISNUMBER(SEARCH(Payment_categorisations[Contains keywords], Bank_postings[[#This Row],[Narrative]])), 0))</f>
        <v>#N/A</v>
      </c>
      <c r="I327" s="31" t="e" cm="1">
        <f t="array" ref="I327">INDEX(Payment_categorisations[Sub-category], MATCH(TRUE, ISNUMBER(SEARCH(Payment_categorisations[Contains keywords], Bank_postings[[#This Row],[Narrative]])), 0))</f>
        <v>#N/A</v>
      </c>
      <c r="J327" s="20"/>
      <c r="K327" s="20"/>
      <c r="L327" s="31" t="e">
        <f>IF(Bank_postings[[#This Row],[Manual override category]] &lt;&gt; "", Bank_postings[[#This Row],[Manual override category]], Bank_postings[[#This Row],[Category]])</f>
        <v>#N/A</v>
      </c>
      <c r="M327" s="31" t="e">
        <f>IF(Bank_postings[[#This Row],[Manual override sub-category]] &lt;&gt; "", Bank_postings[[#This Row],[Manual override sub-category]], Bank_postings[[#This Row],[Sub-category]])</f>
        <v>#N/A</v>
      </c>
    </row>
    <row r="328" spans="3:13" x14ac:dyDescent="0.25">
      <c r="C328" s="4"/>
      <c r="D328" s="20"/>
      <c r="E328" s="37"/>
      <c r="F328" s="37"/>
      <c r="G328" s="94">
        <f>-Bank_postings[[#This Row],[Payment amount]] + Bank_postings[[#This Row],[Receipt amount]]</f>
        <v>0</v>
      </c>
      <c r="H328" s="31" t="e" cm="1">
        <f t="array" ref="H328">INDEX(Payment_categorisations[Category], MATCH(TRUE, ISNUMBER(SEARCH(Payment_categorisations[Contains keywords], Bank_postings[[#This Row],[Narrative]])), 0))</f>
        <v>#N/A</v>
      </c>
      <c r="I328" s="31" t="e" cm="1">
        <f t="array" ref="I328">INDEX(Payment_categorisations[Sub-category], MATCH(TRUE, ISNUMBER(SEARCH(Payment_categorisations[Contains keywords], Bank_postings[[#This Row],[Narrative]])), 0))</f>
        <v>#N/A</v>
      </c>
      <c r="J328" s="20"/>
      <c r="K328" s="20"/>
      <c r="L328" s="31" t="e">
        <f>IF(Bank_postings[[#This Row],[Manual override category]] &lt;&gt; "", Bank_postings[[#This Row],[Manual override category]], Bank_postings[[#This Row],[Category]])</f>
        <v>#N/A</v>
      </c>
      <c r="M328" s="31" t="e">
        <f>IF(Bank_postings[[#This Row],[Manual override sub-category]] &lt;&gt; "", Bank_postings[[#This Row],[Manual override sub-category]], Bank_postings[[#This Row],[Sub-category]])</f>
        <v>#N/A</v>
      </c>
    </row>
    <row r="329" spans="3:13" x14ac:dyDescent="0.25">
      <c r="C329" s="4"/>
      <c r="D329" s="20"/>
      <c r="E329" s="37"/>
      <c r="F329" s="37"/>
      <c r="G329" s="94">
        <f>-Bank_postings[[#This Row],[Payment amount]] + Bank_postings[[#This Row],[Receipt amount]]</f>
        <v>0</v>
      </c>
      <c r="H329" s="31" t="e" cm="1">
        <f t="array" ref="H329">INDEX(Payment_categorisations[Category], MATCH(TRUE, ISNUMBER(SEARCH(Payment_categorisations[Contains keywords], Bank_postings[[#This Row],[Narrative]])), 0))</f>
        <v>#N/A</v>
      </c>
      <c r="I329" s="31" t="e" cm="1">
        <f t="array" ref="I329">INDEX(Payment_categorisations[Sub-category], MATCH(TRUE, ISNUMBER(SEARCH(Payment_categorisations[Contains keywords], Bank_postings[[#This Row],[Narrative]])), 0))</f>
        <v>#N/A</v>
      </c>
      <c r="J329" s="20"/>
      <c r="K329" s="20"/>
      <c r="L329" s="31" t="e">
        <f>IF(Bank_postings[[#This Row],[Manual override category]] &lt;&gt; "", Bank_postings[[#This Row],[Manual override category]], Bank_postings[[#This Row],[Category]])</f>
        <v>#N/A</v>
      </c>
      <c r="M329" s="31" t="e">
        <f>IF(Bank_postings[[#This Row],[Manual override sub-category]] &lt;&gt; "", Bank_postings[[#This Row],[Manual override sub-category]], Bank_postings[[#This Row],[Sub-category]])</f>
        <v>#N/A</v>
      </c>
    </row>
    <row r="330" spans="3:13" x14ac:dyDescent="0.25">
      <c r="C330" s="4"/>
      <c r="D330" s="20"/>
      <c r="E330" s="37"/>
      <c r="F330" s="37"/>
      <c r="G330" s="94">
        <f>-Bank_postings[[#This Row],[Payment amount]] + Bank_postings[[#This Row],[Receipt amount]]</f>
        <v>0</v>
      </c>
      <c r="H330" s="31" t="e" cm="1">
        <f t="array" ref="H330">INDEX(Payment_categorisations[Category], MATCH(TRUE, ISNUMBER(SEARCH(Payment_categorisations[Contains keywords], Bank_postings[[#This Row],[Narrative]])), 0))</f>
        <v>#N/A</v>
      </c>
      <c r="I330" s="31" t="e" cm="1">
        <f t="array" ref="I330">INDEX(Payment_categorisations[Sub-category], MATCH(TRUE, ISNUMBER(SEARCH(Payment_categorisations[Contains keywords], Bank_postings[[#This Row],[Narrative]])), 0))</f>
        <v>#N/A</v>
      </c>
      <c r="J330" s="20"/>
      <c r="K330" s="20"/>
      <c r="L330" s="31" t="e">
        <f>IF(Bank_postings[[#This Row],[Manual override category]] &lt;&gt; "", Bank_postings[[#This Row],[Manual override category]], Bank_postings[[#This Row],[Category]])</f>
        <v>#N/A</v>
      </c>
      <c r="M330" s="31" t="e">
        <f>IF(Bank_postings[[#This Row],[Manual override sub-category]] &lt;&gt; "", Bank_postings[[#This Row],[Manual override sub-category]], Bank_postings[[#This Row],[Sub-category]])</f>
        <v>#N/A</v>
      </c>
    </row>
    <row r="331" spans="3:13" x14ac:dyDescent="0.25">
      <c r="C331" s="4"/>
      <c r="D331" s="20"/>
      <c r="E331" s="37"/>
      <c r="F331" s="37"/>
      <c r="G331" s="94">
        <f>-Bank_postings[[#This Row],[Payment amount]] + Bank_postings[[#This Row],[Receipt amount]]</f>
        <v>0</v>
      </c>
      <c r="H331" s="31" t="e" cm="1">
        <f t="array" ref="H331">INDEX(Payment_categorisations[Category], MATCH(TRUE, ISNUMBER(SEARCH(Payment_categorisations[Contains keywords], Bank_postings[[#This Row],[Narrative]])), 0))</f>
        <v>#N/A</v>
      </c>
      <c r="I331" s="31" t="e" cm="1">
        <f t="array" ref="I331">INDEX(Payment_categorisations[Sub-category], MATCH(TRUE, ISNUMBER(SEARCH(Payment_categorisations[Contains keywords], Bank_postings[[#This Row],[Narrative]])), 0))</f>
        <v>#N/A</v>
      </c>
      <c r="J331" s="20"/>
      <c r="K331" s="20"/>
      <c r="L331" s="31" t="e">
        <f>IF(Bank_postings[[#This Row],[Manual override category]] &lt;&gt; "", Bank_postings[[#This Row],[Manual override category]], Bank_postings[[#This Row],[Category]])</f>
        <v>#N/A</v>
      </c>
      <c r="M331" s="31" t="e">
        <f>IF(Bank_postings[[#This Row],[Manual override sub-category]] &lt;&gt; "", Bank_postings[[#This Row],[Manual override sub-category]], Bank_postings[[#This Row],[Sub-category]])</f>
        <v>#N/A</v>
      </c>
    </row>
    <row r="332" spans="3:13" x14ac:dyDescent="0.25">
      <c r="C332" s="4"/>
      <c r="D332" s="20"/>
      <c r="E332" s="37"/>
      <c r="F332" s="37"/>
      <c r="G332" s="94">
        <f>-Bank_postings[[#This Row],[Payment amount]] + Bank_postings[[#This Row],[Receipt amount]]</f>
        <v>0</v>
      </c>
      <c r="H332" s="31" t="e" cm="1">
        <f t="array" ref="H332">INDEX(Payment_categorisations[Category], MATCH(TRUE, ISNUMBER(SEARCH(Payment_categorisations[Contains keywords], Bank_postings[[#This Row],[Narrative]])), 0))</f>
        <v>#N/A</v>
      </c>
      <c r="I332" s="31" t="e" cm="1">
        <f t="array" ref="I332">INDEX(Payment_categorisations[Sub-category], MATCH(TRUE, ISNUMBER(SEARCH(Payment_categorisations[Contains keywords], Bank_postings[[#This Row],[Narrative]])), 0))</f>
        <v>#N/A</v>
      </c>
      <c r="J332" s="20"/>
      <c r="K332" s="20"/>
      <c r="L332" s="31" t="e">
        <f>IF(Bank_postings[[#This Row],[Manual override category]] &lt;&gt; "", Bank_postings[[#This Row],[Manual override category]], Bank_postings[[#This Row],[Category]])</f>
        <v>#N/A</v>
      </c>
      <c r="M332" s="31" t="e">
        <f>IF(Bank_postings[[#This Row],[Manual override sub-category]] &lt;&gt; "", Bank_postings[[#This Row],[Manual override sub-category]], Bank_postings[[#This Row],[Sub-category]])</f>
        <v>#N/A</v>
      </c>
    </row>
    <row r="333" spans="3:13" x14ac:dyDescent="0.25">
      <c r="C333" s="4"/>
      <c r="D333" s="20"/>
      <c r="E333" s="37"/>
      <c r="F333" s="37"/>
      <c r="G333" s="94">
        <f>-Bank_postings[[#This Row],[Payment amount]] + Bank_postings[[#This Row],[Receipt amount]]</f>
        <v>0</v>
      </c>
      <c r="H333" s="31" t="e" cm="1">
        <f t="array" ref="H333">INDEX(Payment_categorisations[Category], MATCH(TRUE, ISNUMBER(SEARCH(Payment_categorisations[Contains keywords], Bank_postings[[#This Row],[Narrative]])), 0))</f>
        <v>#N/A</v>
      </c>
      <c r="I333" s="31" t="e" cm="1">
        <f t="array" ref="I333">INDEX(Payment_categorisations[Sub-category], MATCH(TRUE, ISNUMBER(SEARCH(Payment_categorisations[Contains keywords], Bank_postings[[#This Row],[Narrative]])), 0))</f>
        <v>#N/A</v>
      </c>
      <c r="J333" s="20"/>
      <c r="K333" s="20"/>
      <c r="L333" s="31" t="e">
        <f>IF(Bank_postings[[#This Row],[Manual override category]] &lt;&gt; "", Bank_postings[[#This Row],[Manual override category]], Bank_postings[[#This Row],[Category]])</f>
        <v>#N/A</v>
      </c>
      <c r="M333" s="31" t="e">
        <f>IF(Bank_postings[[#This Row],[Manual override sub-category]] &lt;&gt; "", Bank_postings[[#This Row],[Manual override sub-category]], Bank_postings[[#This Row],[Sub-category]])</f>
        <v>#N/A</v>
      </c>
    </row>
    <row r="334" spans="3:13" x14ac:dyDescent="0.25">
      <c r="C334" s="4"/>
      <c r="D334" s="20"/>
      <c r="E334" s="37"/>
      <c r="F334" s="37"/>
      <c r="G334" s="94">
        <f>-Bank_postings[[#This Row],[Payment amount]] + Bank_postings[[#This Row],[Receipt amount]]</f>
        <v>0</v>
      </c>
      <c r="H334" s="31" t="e" cm="1">
        <f t="array" ref="H334">INDEX(Payment_categorisations[Category], MATCH(TRUE, ISNUMBER(SEARCH(Payment_categorisations[Contains keywords], Bank_postings[[#This Row],[Narrative]])), 0))</f>
        <v>#N/A</v>
      </c>
      <c r="I334" s="31" t="e" cm="1">
        <f t="array" ref="I334">INDEX(Payment_categorisations[Sub-category], MATCH(TRUE, ISNUMBER(SEARCH(Payment_categorisations[Contains keywords], Bank_postings[[#This Row],[Narrative]])), 0))</f>
        <v>#N/A</v>
      </c>
      <c r="J334" s="20"/>
      <c r="K334" s="20"/>
      <c r="L334" s="31" t="e">
        <f>IF(Bank_postings[[#This Row],[Manual override category]] &lt;&gt; "", Bank_postings[[#This Row],[Manual override category]], Bank_postings[[#This Row],[Category]])</f>
        <v>#N/A</v>
      </c>
      <c r="M334" s="31" t="e">
        <f>IF(Bank_postings[[#This Row],[Manual override sub-category]] &lt;&gt; "", Bank_postings[[#This Row],[Manual override sub-category]], Bank_postings[[#This Row],[Sub-category]])</f>
        <v>#N/A</v>
      </c>
    </row>
    <row r="335" spans="3:13" x14ac:dyDescent="0.25">
      <c r="C335" s="4"/>
      <c r="D335" s="20"/>
      <c r="E335" s="37"/>
      <c r="F335" s="37"/>
      <c r="G335" s="94">
        <f>-Bank_postings[[#This Row],[Payment amount]] + Bank_postings[[#This Row],[Receipt amount]]</f>
        <v>0</v>
      </c>
      <c r="H335" s="31" t="e" cm="1">
        <f t="array" ref="H335">INDEX(Payment_categorisations[Category], MATCH(TRUE, ISNUMBER(SEARCH(Payment_categorisations[Contains keywords], Bank_postings[[#This Row],[Narrative]])), 0))</f>
        <v>#N/A</v>
      </c>
      <c r="I335" s="31" t="e" cm="1">
        <f t="array" ref="I335">INDEX(Payment_categorisations[Sub-category], MATCH(TRUE, ISNUMBER(SEARCH(Payment_categorisations[Contains keywords], Bank_postings[[#This Row],[Narrative]])), 0))</f>
        <v>#N/A</v>
      </c>
      <c r="J335" s="20"/>
      <c r="K335" s="20"/>
      <c r="L335" s="31" t="e">
        <f>IF(Bank_postings[[#This Row],[Manual override category]] &lt;&gt; "", Bank_postings[[#This Row],[Manual override category]], Bank_postings[[#This Row],[Category]])</f>
        <v>#N/A</v>
      </c>
      <c r="M335" s="31" t="e">
        <f>IF(Bank_postings[[#This Row],[Manual override sub-category]] &lt;&gt; "", Bank_postings[[#This Row],[Manual override sub-category]], Bank_postings[[#This Row],[Sub-category]])</f>
        <v>#N/A</v>
      </c>
    </row>
    <row r="336" spans="3:13" x14ac:dyDescent="0.25">
      <c r="C336" s="4"/>
      <c r="D336" s="20"/>
      <c r="E336" s="37"/>
      <c r="F336" s="37"/>
      <c r="G336" s="94">
        <f>-Bank_postings[[#This Row],[Payment amount]] + Bank_postings[[#This Row],[Receipt amount]]</f>
        <v>0</v>
      </c>
      <c r="H336" s="31" t="e" cm="1">
        <f t="array" ref="H336">INDEX(Payment_categorisations[Category], MATCH(TRUE, ISNUMBER(SEARCH(Payment_categorisations[Contains keywords], Bank_postings[[#This Row],[Narrative]])), 0))</f>
        <v>#N/A</v>
      </c>
      <c r="I336" s="31" t="e" cm="1">
        <f t="array" ref="I336">INDEX(Payment_categorisations[Sub-category], MATCH(TRUE, ISNUMBER(SEARCH(Payment_categorisations[Contains keywords], Bank_postings[[#This Row],[Narrative]])), 0))</f>
        <v>#N/A</v>
      </c>
      <c r="J336" s="20"/>
      <c r="K336" s="20"/>
      <c r="L336" s="31" t="e">
        <f>IF(Bank_postings[[#This Row],[Manual override category]] &lt;&gt; "", Bank_postings[[#This Row],[Manual override category]], Bank_postings[[#This Row],[Category]])</f>
        <v>#N/A</v>
      </c>
      <c r="M336" s="31" t="e">
        <f>IF(Bank_postings[[#This Row],[Manual override sub-category]] &lt;&gt; "", Bank_postings[[#This Row],[Manual override sub-category]], Bank_postings[[#This Row],[Sub-category]])</f>
        <v>#N/A</v>
      </c>
    </row>
    <row r="337" spans="3:13" x14ac:dyDescent="0.25">
      <c r="C337" s="4"/>
      <c r="D337" s="20"/>
      <c r="E337" s="37"/>
      <c r="F337" s="37"/>
      <c r="G337" s="94">
        <f>-Bank_postings[[#This Row],[Payment amount]] + Bank_postings[[#This Row],[Receipt amount]]</f>
        <v>0</v>
      </c>
      <c r="H337" s="31" t="e" cm="1">
        <f t="array" ref="H337">INDEX(Payment_categorisations[Category], MATCH(TRUE, ISNUMBER(SEARCH(Payment_categorisations[Contains keywords], Bank_postings[[#This Row],[Narrative]])), 0))</f>
        <v>#N/A</v>
      </c>
      <c r="I337" s="31" t="e" cm="1">
        <f t="array" ref="I337">INDEX(Payment_categorisations[Sub-category], MATCH(TRUE, ISNUMBER(SEARCH(Payment_categorisations[Contains keywords], Bank_postings[[#This Row],[Narrative]])), 0))</f>
        <v>#N/A</v>
      </c>
      <c r="J337" s="20"/>
      <c r="K337" s="20"/>
      <c r="L337" s="31" t="e">
        <f>IF(Bank_postings[[#This Row],[Manual override category]] &lt;&gt; "", Bank_postings[[#This Row],[Manual override category]], Bank_postings[[#This Row],[Category]])</f>
        <v>#N/A</v>
      </c>
      <c r="M337" s="31" t="e">
        <f>IF(Bank_postings[[#This Row],[Manual override sub-category]] &lt;&gt; "", Bank_postings[[#This Row],[Manual override sub-category]], Bank_postings[[#This Row],[Sub-category]])</f>
        <v>#N/A</v>
      </c>
    </row>
    <row r="338" spans="3:13" x14ac:dyDescent="0.25">
      <c r="C338" s="41"/>
      <c r="D338" s="29"/>
      <c r="E338" s="42"/>
      <c r="F338" s="42"/>
      <c r="G338" s="95">
        <f>-Bank_postings[[#This Row],[Payment amount]] + Bank_postings[[#This Row],[Receipt amount]]</f>
        <v>0</v>
      </c>
      <c r="H338" s="93" t="e" cm="1">
        <f t="array" ref="H338">INDEX(Payment_categorisations[Category], MATCH(TRUE, ISNUMBER(SEARCH(Payment_categorisations[Contains keywords], Bank_postings[[#This Row],[Narrative]])), 0))</f>
        <v>#N/A</v>
      </c>
      <c r="I338" s="93" t="e" cm="1">
        <f t="array" ref="I338">INDEX(Payment_categorisations[Sub-category], MATCH(TRUE, ISNUMBER(SEARCH(Payment_categorisations[Contains keywords], Bank_postings[[#This Row],[Narrative]])), 0))</f>
        <v>#N/A</v>
      </c>
      <c r="J338" s="20"/>
      <c r="K338" s="20"/>
      <c r="L338" s="31" t="e">
        <f>IF(Bank_postings[[#This Row],[Manual override category]] &lt;&gt; "", Bank_postings[[#This Row],[Manual override category]], Bank_postings[[#This Row],[Category]])</f>
        <v>#N/A</v>
      </c>
      <c r="M338" s="31" t="e">
        <f>IF(Bank_postings[[#This Row],[Manual override sub-category]] &lt;&gt; "", Bank_postings[[#This Row],[Manual override sub-category]], Bank_postings[[#This Row],[Sub-category]])</f>
        <v>#N/A</v>
      </c>
    </row>
  </sheetData>
  <dataValidations count="1">
    <dataValidation type="list" allowBlank="1" showInputMessage="1" showErrorMessage="1" sqref="Q11:Q110 K11:K338" xr:uid="{88730675-C35C-4CC5-94ED-A9118E005AAC}">
      <formula1>INDIRECT(J11)</formula1>
    </dataValidation>
  </dataValidations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D1773BB-03BD-48E6-A904-BBD31EF99DB9}">
          <x14:formula1>
            <xm:f>'Category lookups'!$C$8:$C$14</xm:f>
          </x14:formula1>
          <xm:sqref>P11:P110 J11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B8C9-48D5-49A5-B1FA-4F27EF85F94F}">
  <sheetPr>
    <tabColor theme="9" tint="0.79998168889431442"/>
  </sheetPr>
  <dimension ref="A1:T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4.140625" style="1" bestFit="1" customWidth="1"/>
    <col min="6" max="6" width="19.5703125" style="1" customWidth="1"/>
    <col min="7" max="7" width="12.85546875" style="1" customWidth="1"/>
    <col min="8" max="8" width="9.140625" style="1" customWidth="1"/>
    <col min="9" max="9" width="10" style="1" bestFit="1" customWidth="1"/>
    <col min="10" max="10" width="20.5703125" style="1" bestFit="1" customWidth="1"/>
    <col min="11" max="11" width="15.5703125" style="1" bestFit="1" customWidth="1"/>
    <col min="12" max="12" width="18.140625" style="1" bestFit="1" customWidth="1"/>
    <col min="13" max="13" width="30.42578125" style="1" bestFit="1" customWidth="1"/>
    <col min="14" max="14" width="18.85546875" style="1" bestFit="1" customWidth="1"/>
    <col min="15" max="15" width="15.7109375" style="1" customWidth="1"/>
    <col min="16" max="16" width="1.7109375" style="1" customWidth="1"/>
    <col min="17" max="20" width="0" style="1" hidden="1" customWidth="1"/>
    <col min="21" max="16384" width="9.140625" style="1" hidden="1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2"/>
      <c r="B3" s="16" t="s">
        <v>80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spans="1:16" x14ac:dyDescent="0.25">
      <c r="C7" s="3" t="s">
        <v>33</v>
      </c>
      <c r="D7" s="3" t="s">
        <v>32</v>
      </c>
      <c r="E7" s="3" t="s">
        <v>32</v>
      </c>
      <c r="F7" s="3" t="s">
        <v>32</v>
      </c>
      <c r="G7" s="3" t="s">
        <v>32</v>
      </c>
      <c r="H7" s="3" t="s">
        <v>87</v>
      </c>
      <c r="I7" s="3" t="s">
        <v>87</v>
      </c>
      <c r="J7" s="3" t="s">
        <v>87</v>
      </c>
      <c r="K7" s="3" t="s">
        <v>87</v>
      </c>
      <c r="L7" s="3" t="s">
        <v>87</v>
      </c>
      <c r="M7" s="3" t="s">
        <v>33</v>
      </c>
      <c r="N7" s="3" t="s">
        <v>87</v>
      </c>
      <c r="O7" s="3" t="s">
        <v>87</v>
      </c>
    </row>
    <row r="8" spans="1:16" x14ac:dyDescent="0.25">
      <c r="C8" s="25" t="s">
        <v>25</v>
      </c>
      <c r="D8" s="26" t="s">
        <v>26</v>
      </c>
      <c r="E8" s="39" t="s">
        <v>27</v>
      </c>
      <c r="F8" s="39" t="s">
        <v>81</v>
      </c>
      <c r="G8" s="40" t="s">
        <v>226</v>
      </c>
      <c r="H8" s="39" t="s">
        <v>224</v>
      </c>
      <c r="I8" s="39" t="s">
        <v>227</v>
      </c>
      <c r="J8" s="32" t="s">
        <v>82</v>
      </c>
      <c r="K8" s="23" t="s">
        <v>83</v>
      </c>
      <c r="L8" s="23" t="s">
        <v>84</v>
      </c>
      <c r="M8" s="39" t="s">
        <v>85</v>
      </c>
      <c r="N8" s="39" t="s">
        <v>86</v>
      </c>
      <c r="O8" s="39" t="s">
        <v>228</v>
      </c>
    </row>
    <row r="9" spans="1:16" x14ac:dyDescent="0.25">
      <c r="C9" s="24"/>
      <c r="D9" s="20"/>
      <c r="E9" s="4"/>
      <c r="F9" s="37"/>
      <c r="G9" s="38"/>
      <c r="H9" s="44">
        <f>Assumptions!$D$15</f>
        <v>0.1</v>
      </c>
      <c r="I9" s="45">
        <f>IF(AR[[#This Row],[GST applies?]] = "Yes", (AR[[#This Row],[Invoice value inc. VAT]] / 1 + AR[[#This Row],[GST %]]) * AR[[#This Row],[GST %]], 0)</f>
        <v>0</v>
      </c>
      <c r="J9" s="31">
        <f>_xlfn.XLOOKUP(AR[[#This Row],[Customer name]], Customer_master[Customer name], Customer_master[EOM or Net], 0)</f>
        <v>0</v>
      </c>
      <c r="K9" s="31">
        <f>_xlfn.XLOOKUP(AR[[#This Row],[Customer name]], Customer_master[Customer name], Customer_master[Terms days], 0)</f>
        <v>0</v>
      </c>
      <c r="L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" s="4"/>
      <c r="N9" s="46">
        <f>IF(AR[[#This Row],[Collection date - override (dd/mm/yyyy)]] &lt;&gt; "", AR[[#This Row],[Collection date - override (dd/mm/yyyy)]], AR[[#This Row],[Due date (dd/mm/yyyy)]])</f>
        <v>0</v>
      </c>
      <c r="O9" s="46">
        <f t="shared" ref="O9:O72" si="0"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f>
        <v>52</v>
      </c>
    </row>
    <row r="10" spans="1:16" x14ac:dyDescent="0.25">
      <c r="C10" s="24"/>
      <c r="D10" s="20"/>
      <c r="E10" s="4"/>
      <c r="F10" s="37"/>
      <c r="G10" s="38"/>
      <c r="H10" s="44">
        <f>Assumptions!$D$15</f>
        <v>0.1</v>
      </c>
      <c r="I10" s="45">
        <f>IF(AR[[#This Row],[GST applies?]] = "Yes", (AR[[#This Row],[Invoice value inc. VAT]] / 1 + AR[[#This Row],[GST %]]) * AR[[#This Row],[GST %]], 0)</f>
        <v>0</v>
      </c>
      <c r="J10" s="31">
        <f>_xlfn.XLOOKUP(AR[[#This Row],[Customer name]], Customer_master[Customer name], Customer_master[EOM or Net], 0)</f>
        <v>0</v>
      </c>
      <c r="K10" s="31">
        <f>_xlfn.XLOOKUP(AR[[#This Row],[Customer name]], Customer_master[Customer name], Customer_master[Terms days], 0)</f>
        <v>0</v>
      </c>
      <c r="L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" s="4"/>
      <c r="N10" s="46">
        <f>IF(AR[[#This Row],[Collection date - override (dd/mm/yyyy)]] &lt;&gt; "", AR[[#This Row],[Collection date - override (dd/mm/yyyy)]], AR[[#This Row],[Due date (dd/mm/yyyy)]])</f>
        <v>0</v>
      </c>
      <c r="O10" s="46">
        <f t="shared" si="0"/>
        <v>52</v>
      </c>
    </row>
    <row r="11" spans="1:16" x14ac:dyDescent="0.25">
      <c r="C11" s="24"/>
      <c r="D11" s="20"/>
      <c r="E11" s="4"/>
      <c r="F11" s="37"/>
      <c r="G11" s="38"/>
      <c r="H11" s="44">
        <f>Assumptions!$D$15</f>
        <v>0.1</v>
      </c>
      <c r="I11" s="45">
        <f>IF(AR[[#This Row],[GST applies?]] = "Yes", (AR[[#This Row],[Invoice value inc. VAT]] / 1 + AR[[#This Row],[GST %]]) * AR[[#This Row],[GST %]], 0)</f>
        <v>0</v>
      </c>
      <c r="J11" s="31">
        <f>_xlfn.XLOOKUP(AR[[#This Row],[Customer name]], Customer_master[Customer name], Customer_master[EOM or Net], 0)</f>
        <v>0</v>
      </c>
      <c r="K11" s="31">
        <f>_xlfn.XLOOKUP(AR[[#This Row],[Customer name]], Customer_master[Customer name], Customer_master[Terms days], 0)</f>
        <v>0</v>
      </c>
      <c r="L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" s="4"/>
      <c r="N11" s="46">
        <f>IF(AR[[#This Row],[Collection date - override (dd/mm/yyyy)]] &lt;&gt; "", AR[[#This Row],[Collection date - override (dd/mm/yyyy)]], AR[[#This Row],[Due date (dd/mm/yyyy)]])</f>
        <v>0</v>
      </c>
      <c r="O11" s="46">
        <f t="shared" si="0"/>
        <v>52</v>
      </c>
    </row>
    <row r="12" spans="1:16" x14ac:dyDescent="0.25">
      <c r="C12" s="24"/>
      <c r="D12" s="20"/>
      <c r="E12" s="4"/>
      <c r="F12" s="37"/>
      <c r="G12" s="38"/>
      <c r="H12" s="44">
        <f>Assumptions!$D$15</f>
        <v>0.1</v>
      </c>
      <c r="I12" s="45">
        <f>IF(AR[[#This Row],[GST applies?]] = "Yes", (AR[[#This Row],[Invoice value inc. VAT]] / 1 + AR[[#This Row],[GST %]]) * AR[[#This Row],[GST %]], 0)</f>
        <v>0</v>
      </c>
      <c r="J12" s="31">
        <f>_xlfn.XLOOKUP(AR[[#This Row],[Customer name]], Customer_master[Customer name], Customer_master[EOM or Net], 0)</f>
        <v>0</v>
      </c>
      <c r="K12" s="31">
        <f>_xlfn.XLOOKUP(AR[[#This Row],[Customer name]], Customer_master[Customer name], Customer_master[Terms days], 0)</f>
        <v>0</v>
      </c>
      <c r="L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" s="4"/>
      <c r="N12" s="46">
        <f>IF(AR[[#This Row],[Collection date - override (dd/mm/yyyy)]] &lt;&gt; "", AR[[#This Row],[Collection date - override (dd/mm/yyyy)]], AR[[#This Row],[Due date (dd/mm/yyyy)]])</f>
        <v>0</v>
      </c>
      <c r="O12" s="46">
        <f t="shared" si="0"/>
        <v>52</v>
      </c>
    </row>
    <row r="13" spans="1:16" x14ac:dyDescent="0.25">
      <c r="C13" s="24"/>
      <c r="D13" s="20"/>
      <c r="E13" s="4"/>
      <c r="F13" s="37"/>
      <c r="G13" s="38"/>
      <c r="H13" s="44">
        <f>Assumptions!$D$15</f>
        <v>0.1</v>
      </c>
      <c r="I13" s="45">
        <f>IF(AR[[#This Row],[GST applies?]] = "Yes", (AR[[#This Row],[Invoice value inc. VAT]] / 1 + AR[[#This Row],[GST %]]) * AR[[#This Row],[GST %]], 0)</f>
        <v>0</v>
      </c>
      <c r="J13" s="31">
        <f>_xlfn.XLOOKUP(AR[[#This Row],[Customer name]], Customer_master[Customer name], Customer_master[EOM or Net], 0)</f>
        <v>0</v>
      </c>
      <c r="K13" s="31">
        <f>_xlfn.XLOOKUP(AR[[#This Row],[Customer name]], Customer_master[Customer name], Customer_master[Terms days], 0)</f>
        <v>0</v>
      </c>
      <c r="L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" s="4"/>
      <c r="N13" s="46">
        <f>IF(AR[[#This Row],[Collection date - override (dd/mm/yyyy)]] &lt;&gt; "", AR[[#This Row],[Collection date - override (dd/mm/yyyy)]], AR[[#This Row],[Due date (dd/mm/yyyy)]])</f>
        <v>0</v>
      </c>
      <c r="O13" s="46">
        <f t="shared" si="0"/>
        <v>52</v>
      </c>
    </row>
    <row r="14" spans="1:16" x14ac:dyDescent="0.25">
      <c r="C14" s="24"/>
      <c r="D14" s="20"/>
      <c r="E14" s="4"/>
      <c r="F14" s="37"/>
      <c r="G14" s="38"/>
      <c r="H14" s="44">
        <f>Assumptions!$D$15</f>
        <v>0.1</v>
      </c>
      <c r="I14" s="45">
        <f>IF(AR[[#This Row],[GST applies?]] = "Yes", (AR[[#This Row],[Invoice value inc. VAT]] / 1 + AR[[#This Row],[GST %]]) * AR[[#This Row],[GST %]], 0)</f>
        <v>0</v>
      </c>
      <c r="J14" s="31">
        <f>_xlfn.XLOOKUP(AR[[#This Row],[Customer name]], Customer_master[Customer name], Customer_master[EOM or Net], 0)</f>
        <v>0</v>
      </c>
      <c r="K14" s="31">
        <f>_xlfn.XLOOKUP(AR[[#This Row],[Customer name]], Customer_master[Customer name], Customer_master[Terms days], 0)</f>
        <v>0</v>
      </c>
      <c r="L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" s="4"/>
      <c r="N14" s="46">
        <f>IF(AR[[#This Row],[Collection date - override (dd/mm/yyyy)]] &lt;&gt; "", AR[[#This Row],[Collection date - override (dd/mm/yyyy)]], AR[[#This Row],[Due date (dd/mm/yyyy)]])</f>
        <v>0</v>
      </c>
      <c r="O14" s="46">
        <f t="shared" si="0"/>
        <v>52</v>
      </c>
    </row>
    <row r="15" spans="1:16" x14ac:dyDescent="0.25">
      <c r="C15" s="24"/>
      <c r="D15" s="20"/>
      <c r="E15" s="4"/>
      <c r="F15" s="37"/>
      <c r="G15" s="38"/>
      <c r="H15" s="44">
        <f>Assumptions!$D$15</f>
        <v>0.1</v>
      </c>
      <c r="I15" s="45">
        <f>IF(AR[[#This Row],[GST applies?]] = "Yes", (AR[[#This Row],[Invoice value inc. VAT]] / 1 + AR[[#This Row],[GST %]]) * AR[[#This Row],[GST %]], 0)</f>
        <v>0</v>
      </c>
      <c r="J15" s="31">
        <f>_xlfn.XLOOKUP(AR[[#This Row],[Customer name]], Customer_master[Customer name], Customer_master[EOM or Net], 0)</f>
        <v>0</v>
      </c>
      <c r="K15" s="31">
        <f>_xlfn.XLOOKUP(AR[[#This Row],[Customer name]], Customer_master[Customer name], Customer_master[Terms days], 0)</f>
        <v>0</v>
      </c>
      <c r="L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" s="4"/>
      <c r="N15" s="46">
        <f>IF(AR[[#This Row],[Collection date - override (dd/mm/yyyy)]] &lt;&gt; "", AR[[#This Row],[Collection date - override (dd/mm/yyyy)]], AR[[#This Row],[Due date (dd/mm/yyyy)]])</f>
        <v>0</v>
      </c>
      <c r="O15" s="46">
        <f t="shared" si="0"/>
        <v>52</v>
      </c>
    </row>
    <row r="16" spans="1:16" x14ac:dyDescent="0.25">
      <c r="C16" s="24"/>
      <c r="D16" s="20"/>
      <c r="E16" s="4"/>
      <c r="F16" s="37"/>
      <c r="G16" s="38"/>
      <c r="H16" s="44">
        <f>Assumptions!$D$15</f>
        <v>0.1</v>
      </c>
      <c r="I16" s="45">
        <f>IF(AR[[#This Row],[GST applies?]] = "Yes", (AR[[#This Row],[Invoice value inc. VAT]] / 1 + AR[[#This Row],[GST %]]) * AR[[#This Row],[GST %]], 0)</f>
        <v>0</v>
      </c>
      <c r="J16" s="31">
        <f>_xlfn.XLOOKUP(AR[[#This Row],[Customer name]], Customer_master[Customer name], Customer_master[EOM or Net], 0)</f>
        <v>0</v>
      </c>
      <c r="K16" s="31">
        <f>_xlfn.XLOOKUP(AR[[#This Row],[Customer name]], Customer_master[Customer name], Customer_master[Terms days], 0)</f>
        <v>0</v>
      </c>
      <c r="L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" s="4"/>
      <c r="N16" s="46">
        <f>IF(AR[[#This Row],[Collection date - override (dd/mm/yyyy)]] &lt;&gt; "", AR[[#This Row],[Collection date - override (dd/mm/yyyy)]], AR[[#This Row],[Due date (dd/mm/yyyy)]])</f>
        <v>0</v>
      </c>
      <c r="O16" s="46">
        <f t="shared" si="0"/>
        <v>52</v>
      </c>
    </row>
    <row r="17" spans="3:15" x14ac:dyDescent="0.25">
      <c r="C17" s="24"/>
      <c r="D17" s="20"/>
      <c r="E17" s="4"/>
      <c r="F17" s="37"/>
      <c r="G17" s="38"/>
      <c r="H17" s="44">
        <f>Assumptions!$D$15</f>
        <v>0.1</v>
      </c>
      <c r="I17" s="45">
        <f>IF(AR[[#This Row],[GST applies?]] = "Yes", (AR[[#This Row],[Invoice value inc. VAT]] / 1 + AR[[#This Row],[GST %]]) * AR[[#This Row],[GST %]], 0)</f>
        <v>0</v>
      </c>
      <c r="J17" s="31">
        <f>_xlfn.XLOOKUP(AR[[#This Row],[Customer name]], Customer_master[Customer name], Customer_master[EOM or Net], 0)</f>
        <v>0</v>
      </c>
      <c r="K17" s="31">
        <f>_xlfn.XLOOKUP(AR[[#This Row],[Customer name]], Customer_master[Customer name], Customer_master[Terms days], 0)</f>
        <v>0</v>
      </c>
      <c r="L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" s="4"/>
      <c r="N17" s="46">
        <f>IF(AR[[#This Row],[Collection date - override (dd/mm/yyyy)]] &lt;&gt; "", AR[[#This Row],[Collection date - override (dd/mm/yyyy)]], AR[[#This Row],[Due date (dd/mm/yyyy)]])</f>
        <v>0</v>
      </c>
      <c r="O17" s="46">
        <f t="shared" si="0"/>
        <v>52</v>
      </c>
    </row>
    <row r="18" spans="3:15" x14ac:dyDescent="0.25">
      <c r="C18" s="24"/>
      <c r="D18" s="20"/>
      <c r="E18" s="4"/>
      <c r="F18" s="37"/>
      <c r="G18" s="38"/>
      <c r="H18" s="44">
        <f>Assumptions!$D$15</f>
        <v>0.1</v>
      </c>
      <c r="I18" s="45">
        <f>IF(AR[[#This Row],[GST applies?]] = "Yes", (AR[[#This Row],[Invoice value inc. VAT]] / 1 + AR[[#This Row],[GST %]]) * AR[[#This Row],[GST %]], 0)</f>
        <v>0</v>
      </c>
      <c r="J18" s="31">
        <f>_xlfn.XLOOKUP(AR[[#This Row],[Customer name]], Customer_master[Customer name], Customer_master[EOM or Net], 0)</f>
        <v>0</v>
      </c>
      <c r="K18" s="31">
        <f>_xlfn.XLOOKUP(AR[[#This Row],[Customer name]], Customer_master[Customer name], Customer_master[Terms days], 0)</f>
        <v>0</v>
      </c>
      <c r="L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" s="4"/>
      <c r="N18" s="46">
        <f>IF(AR[[#This Row],[Collection date - override (dd/mm/yyyy)]] &lt;&gt; "", AR[[#This Row],[Collection date - override (dd/mm/yyyy)]], AR[[#This Row],[Due date (dd/mm/yyyy)]])</f>
        <v>0</v>
      </c>
      <c r="O18" s="46">
        <f t="shared" si="0"/>
        <v>52</v>
      </c>
    </row>
    <row r="19" spans="3:15" x14ac:dyDescent="0.25">
      <c r="C19" s="24"/>
      <c r="D19" s="20"/>
      <c r="E19" s="4"/>
      <c r="F19" s="37"/>
      <c r="G19" s="38"/>
      <c r="H19" s="44">
        <f>Assumptions!$D$15</f>
        <v>0.1</v>
      </c>
      <c r="I19" s="45">
        <f>IF(AR[[#This Row],[GST applies?]] = "Yes", (AR[[#This Row],[Invoice value inc. VAT]] / 1 + AR[[#This Row],[GST %]]) * AR[[#This Row],[GST %]], 0)</f>
        <v>0</v>
      </c>
      <c r="J19" s="31">
        <f>_xlfn.XLOOKUP(AR[[#This Row],[Customer name]], Customer_master[Customer name], Customer_master[EOM or Net], 0)</f>
        <v>0</v>
      </c>
      <c r="K19" s="31">
        <f>_xlfn.XLOOKUP(AR[[#This Row],[Customer name]], Customer_master[Customer name], Customer_master[Terms days], 0)</f>
        <v>0</v>
      </c>
      <c r="L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" s="4"/>
      <c r="N19" s="46">
        <f>IF(AR[[#This Row],[Collection date - override (dd/mm/yyyy)]] &lt;&gt; "", AR[[#This Row],[Collection date - override (dd/mm/yyyy)]], AR[[#This Row],[Due date (dd/mm/yyyy)]])</f>
        <v>0</v>
      </c>
      <c r="O19" s="46">
        <f t="shared" si="0"/>
        <v>52</v>
      </c>
    </row>
    <row r="20" spans="3:15" x14ac:dyDescent="0.25">
      <c r="C20" s="24"/>
      <c r="D20" s="20"/>
      <c r="E20" s="4"/>
      <c r="F20" s="37"/>
      <c r="G20" s="38"/>
      <c r="H20" s="44">
        <f>Assumptions!$D$15</f>
        <v>0.1</v>
      </c>
      <c r="I20" s="45">
        <f>IF(AR[[#This Row],[GST applies?]] = "Yes", (AR[[#This Row],[Invoice value inc. VAT]] / 1 + AR[[#This Row],[GST %]]) * AR[[#This Row],[GST %]], 0)</f>
        <v>0</v>
      </c>
      <c r="J20" s="31">
        <f>_xlfn.XLOOKUP(AR[[#This Row],[Customer name]], Customer_master[Customer name], Customer_master[EOM or Net], 0)</f>
        <v>0</v>
      </c>
      <c r="K20" s="31">
        <f>_xlfn.XLOOKUP(AR[[#This Row],[Customer name]], Customer_master[Customer name], Customer_master[Terms days], 0)</f>
        <v>0</v>
      </c>
      <c r="L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" s="4"/>
      <c r="N20" s="46">
        <f>IF(AR[[#This Row],[Collection date - override (dd/mm/yyyy)]] &lt;&gt; "", AR[[#This Row],[Collection date - override (dd/mm/yyyy)]], AR[[#This Row],[Due date (dd/mm/yyyy)]])</f>
        <v>0</v>
      </c>
      <c r="O20" s="46">
        <f t="shared" si="0"/>
        <v>52</v>
      </c>
    </row>
    <row r="21" spans="3:15" x14ac:dyDescent="0.25">
      <c r="C21" s="24"/>
      <c r="D21" s="20"/>
      <c r="E21" s="4"/>
      <c r="F21" s="37"/>
      <c r="G21" s="38"/>
      <c r="H21" s="44">
        <f>Assumptions!$D$15</f>
        <v>0.1</v>
      </c>
      <c r="I21" s="45">
        <f>IF(AR[[#This Row],[GST applies?]] = "Yes", (AR[[#This Row],[Invoice value inc. VAT]] / 1 + AR[[#This Row],[GST %]]) * AR[[#This Row],[GST %]], 0)</f>
        <v>0</v>
      </c>
      <c r="J21" s="31">
        <f>_xlfn.XLOOKUP(AR[[#This Row],[Customer name]], Customer_master[Customer name], Customer_master[EOM or Net], 0)</f>
        <v>0</v>
      </c>
      <c r="K21" s="31">
        <f>_xlfn.XLOOKUP(AR[[#This Row],[Customer name]], Customer_master[Customer name], Customer_master[Terms days], 0)</f>
        <v>0</v>
      </c>
      <c r="L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" s="4"/>
      <c r="N21" s="46">
        <f>IF(AR[[#This Row],[Collection date - override (dd/mm/yyyy)]] &lt;&gt; "", AR[[#This Row],[Collection date - override (dd/mm/yyyy)]], AR[[#This Row],[Due date (dd/mm/yyyy)]])</f>
        <v>0</v>
      </c>
      <c r="O21" s="46">
        <f t="shared" si="0"/>
        <v>52</v>
      </c>
    </row>
    <row r="22" spans="3:15" x14ac:dyDescent="0.25">
      <c r="C22" s="24"/>
      <c r="D22" s="20"/>
      <c r="E22" s="4"/>
      <c r="F22" s="37"/>
      <c r="G22" s="38"/>
      <c r="H22" s="44">
        <f>Assumptions!$D$15</f>
        <v>0.1</v>
      </c>
      <c r="I22" s="45">
        <f>IF(AR[[#This Row],[GST applies?]] = "Yes", (AR[[#This Row],[Invoice value inc. VAT]] / 1 + AR[[#This Row],[GST %]]) * AR[[#This Row],[GST %]], 0)</f>
        <v>0</v>
      </c>
      <c r="J22" s="31">
        <f>_xlfn.XLOOKUP(AR[[#This Row],[Customer name]], Customer_master[Customer name], Customer_master[EOM or Net], 0)</f>
        <v>0</v>
      </c>
      <c r="K22" s="31">
        <f>_xlfn.XLOOKUP(AR[[#This Row],[Customer name]], Customer_master[Customer name], Customer_master[Terms days], 0)</f>
        <v>0</v>
      </c>
      <c r="L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" s="4"/>
      <c r="N22" s="46">
        <f>IF(AR[[#This Row],[Collection date - override (dd/mm/yyyy)]] &lt;&gt; "", AR[[#This Row],[Collection date - override (dd/mm/yyyy)]], AR[[#This Row],[Due date (dd/mm/yyyy)]])</f>
        <v>0</v>
      </c>
      <c r="O22" s="46">
        <f t="shared" si="0"/>
        <v>52</v>
      </c>
    </row>
    <row r="23" spans="3:15" x14ac:dyDescent="0.25">
      <c r="C23" s="24"/>
      <c r="D23" s="20"/>
      <c r="E23" s="4"/>
      <c r="F23" s="37"/>
      <c r="G23" s="38"/>
      <c r="H23" s="44">
        <f>Assumptions!$D$15</f>
        <v>0.1</v>
      </c>
      <c r="I23" s="45">
        <f>IF(AR[[#This Row],[GST applies?]] = "Yes", (AR[[#This Row],[Invoice value inc. VAT]] / 1 + AR[[#This Row],[GST %]]) * AR[[#This Row],[GST %]], 0)</f>
        <v>0</v>
      </c>
      <c r="J23" s="31">
        <f>_xlfn.XLOOKUP(AR[[#This Row],[Customer name]], Customer_master[Customer name], Customer_master[EOM or Net], 0)</f>
        <v>0</v>
      </c>
      <c r="K23" s="31">
        <f>_xlfn.XLOOKUP(AR[[#This Row],[Customer name]], Customer_master[Customer name], Customer_master[Terms days], 0)</f>
        <v>0</v>
      </c>
      <c r="L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" s="4"/>
      <c r="N23" s="46">
        <f>IF(AR[[#This Row],[Collection date - override (dd/mm/yyyy)]] &lt;&gt; "", AR[[#This Row],[Collection date - override (dd/mm/yyyy)]], AR[[#This Row],[Due date (dd/mm/yyyy)]])</f>
        <v>0</v>
      </c>
      <c r="O23" s="46">
        <f t="shared" si="0"/>
        <v>52</v>
      </c>
    </row>
    <row r="24" spans="3:15" x14ac:dyDescent="0.25">
      <c r="C24" s="24"/>
      <c r="D24" s="20"/>
      <c r="E24" s="4"/>
      <c r="F24" s="37"/>
      <c r="G24" s="38"/>
      <c r="H24" s="44">
        <f>Assumptions!$D$15</f>
        <v>0.1</v>
      </c>
      <c r="I24" s="45">
        <f>IF(AR[[#This Row],[GST applies?]] = "Yes", (AR[[#This Row],[Invoice value inc. VAT]] / 1 + AR[[#This Row],[GST %]]) * AR[[#This Row],[GST %]], 0)</f>
        <v>0</v>
      </c>
      <c r="J24" s="31">
        <f>_xlfn.XLOOKUP(AR[[#This Row],[Customer name]], Customer_master[Customer name], Customer_master[EOM or Net], 0)</f>
        <v>0</v>
      </c>
      <c r="K24" s="31">
        <f>_xlfn.XLOOKUP(AR[[#This Row],[Customer name]], Customer_master[Customer name], Customer_master[Terms days], 0)</f>
        <v>0</v>
      </c>
      <c r="L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" s="4"/>
      <c r="N24" s="46">
        <f>IF(AR[[#This Row],[Collection date - override (dd/mm/yyyy)]] &lt;&gt; "", AR[[#This Row],[Collection date - override (dd/mm/yyyy)]], AR[[#This Row],[Due date (dd/mm/yyyy)]])</f>
        <v>0</v>
      </c>
      <c r="O24" s="46">
        <f t="shared" si="0"/>
        <v>52</v>
      </c>
    </row>
    <row r="25" spans="3:15" x14ac:dyDescent="0.25">
      <c r="C25" s="24"/>
      <c r="D25" s="20"/>
      <c r="E25" s="4"/>
      <c r="F25" s="37"/>
      <c r="G25" s="38"/>
      <c r="H25" s="44">
        <f>Assumptions!$D$15</f>
        <v>0.1</v>
      </c>
      <c r="I25" s="45">
        <f>IF(AR[[#This Row],[GST applies?]] = "Yes", (AR[[#This Row],[Invoice value inc. VAT]] / 1 + AR[[#This Row],[GST %]]) * AR[[#This Row],[GST %]], 0)</f>
        <v>0</v>
      </c>
      <c r="J25" s="31">
        <f>_xlfn.XLOOKUP(AR[[#This Row],[Customer name]], Customer_master[Customer name], Customer_master[EOM or Net], 0)</f>
        <v>0</v>
      </c>
      <c r="K25" s="31">
        <f>_xlfn.XLOOKUP(AR[[#This Row],[Customer name]], Customer_master[Customer name], Customer_master[Terms days], 0)</f>
        <v>0</v>
      </c>
      <c r="L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" s="4"/>
      <c r="N25" s="46">
        <f>IF(AR[[#This Row],[Collection date - override (dd/mm/yyyy)]] &lt;&gt; "", AR[[#This Row],[Collection date - override (dd/mm/yyyy)]], AR[[#This Row],[Due date (dd/mm/yyyy)]])</f>
        <v>0</v>
      </c>
      <c r="O25" s="46">
        <f t="shared" si="0"/>
        <v>52</v>
      </c>
    </row>
    <row r="26" spans="3:15" x14ac:dyDescent="0.25">
      <c r="C26" s="24"/>
      <c r="D26" s="20"/>
      <c r="E26" s="4"/>
      <c r="F26" s="37"/>
      <c r="G26" s="38"/>
      <c r="H26" s="44">
        <f>Assumptions!$D$15</f>
        <v>0.1</v>
      </c>
      <c r="I26" s="45">
        <f>IF(AR[[#This Row],[GST applies?]] = "Yes", (AR[[#This Row],[Invoice value inc. VAT]] / 1 + AR[[#This Row],[GST %]]) * AR[[#This Row],[GST %]], 0)</f>
        <v>0</v>
      </c>
      <c r="J26" s="31">
        <f>_xlfn.XLOOKUP(AR[[#This Row],[Customer name]], Customer_master[Customer name], Customer_master[EOM or Net], 0)</f>
        <v>0</v>
      </c>
      <c r="K26" s="31">
        <f>_xlfn.XLOOKUP(AR[[#This Row],[Customer name]], Customer_master[Customer name], Customer_master[Terms days], 0)</f>
        <v>0</v>
      </c>
      <c r="L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" s="4"/>
      <c r="N26" s="46">
        <f>IF(AR[[#This Row],[Collection date - override (dd/mm/yyyy)]] &lt;&gt; "", AR[[#This Row],[Collection date - override (dd/mm/yyyy)]], AR[[#This Row],[Due date (dd/mm/yyyy)]])</f>
        <v>0</v>
      </c>
      <c r="O26" s="46">
        <f t="shared" si="0"/>
        <v>52</v>
      </c>
    </row>
    <row r="27" spans="3:15" x14ac:dyDescent="0.25">
      <c r="C27" s="24"/>
      <c r="D27" s="20"/>
      <c r="E27" s="4"/>
      <c r="F27" s="37"/>
      <c r="G27" s="38"/>
      <c r="H27" s="44">
        <f>Assumptions!$D$15</f>
        <v>0.1</v>
      </c>
      <c r="I27" s="45">
        <f>IF(AR[[#This Row],[GST applies?]] = "Yes", (AR[[#This Row],[Invoice value inc. VAT]] / 1 + AR[[#This Row],[GST %]]) * AR[[#This Row],[GST %]], 0)</f>
        <v>0</v>
      </c>
      <c r="J27" s="31">
        <f>_xlfn.XLOOKUP(AR[[#This Row],[Customer name]], Customer_master[Customer name], Customer_master[EOM or Net], 0)</f>
        <v>0</v>
      </c>
      <c r="K27" s="31">
        <f>_xlfn.XLOOKUP(AR[[#This Row],[Customer name]], Customer_master[Customer name], Customer_master[Terms days], 0)</f>
        <v>0</v>
      </c>
      <c r="L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" s="4"/>
      <c r="N27" s="46">
        <f>IF(AR[[#This Row],[Collection date - override (dd/mm/yyyy)]] &lt;&gt; "", AR[[#This Row],[Collection date - override (dd/mm/yyyy)]], AR[[#This Row],[Due date (dd/mm/yyyy)]])</f>
        <v>0</v>
      </c>
      <c r="O27" s="46">
        <f t="shared" si="0"/>
        <v>52</v>
      </c>
    </row>
    <row r="28" spans="3:15" x14ac:dyDescent="0.25">
      <c r="C28" s="24"/>
      <c r="D28" s="20"/>
      <c r="E28" s="4"/>
      <c r="F28" s="37"/>
      <c r="G28" s="38"/>
      <c r="H28" s="44">
        <f>Assumptions!$D$15</f>
        <v>0.1</v>
      </c>
      <c r="I28" s="45">
        <f>IF(AR[[#This Row],[GST applies?]] = "Yes", (AR[[#This Row],[Invoice value inc. VAT]] / 1 + AR[[#This Row],[GST %]]) * AR[[#This Row],[GST %]], 0)</f>
        <v>0</v>
      </c>
      <c r="J28" s="31">
        <f>_xlfn.XLOOKUP(AR[[#This Row],[Customer name]], Customer_master[Customer name], Customer_master[EOM or Net], 0)</f>
        <v>0</v>
      </c>
      <c r="K28" s="31">
        <f>_xlfn.XLOOKUP(AR[[#This Row],[Customer name]], Customer_master[Customer name], Customer_master[Terms days], 0)</f>
        <v>0</v>
      </c>
      <c r="L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" s="4"/>
      <c r="N28" s="46">
        <f>IF(AR[[#This Row],[Collection date - override (dd/mm/yyyy)]] &lt;&gt; "", AR[[#This Row],[Collection date - override (dd/mm/yyyy)]], AR[[#This Row],[Due date (dd/mm/yyyy)]])</f>
        <v>0</v>
      </c>
      <c r="O28" s="46">
        <f t="shared" si="0"/>
        <v>52</v>
      </c>
    </row>
    <row r="29" spans="3:15" x14ac:dyDescent="0.25">
      <c r="C29" s="24"/>
      <c r="D29" s="20"/>
      <c r="E29" s="4"/>
      <c r="F29" s="37"/>
      <c r="G29" s="38"/>
      <c r="H29" s="44">
        <f>Assumptions!$D$15</f>
        <v>0.1</v>
      </c>
      <c r="I29" s="45">
        <f>IF(AR[[#This Row],[GST applies?]] = "Yes", (AR[[#This Row],[Invoice value inc. VAT]] / 1 + AR[[#This Row],[GST %]]) * AR[[#This Row],[GST %]], 0)</f>
        <v>0</v>
      </c>
      <c r="J29" s="31">
        <f>_xlfn.XLOOKUP(AR[[#This Row],[Customer name]], Customer_master[Customer name], Customer_master[EOM or Net], 0)</f>
        <v>0</v>
      </c>
      <c r="K29" s="31">
        <f>_xlfn.XLOOKUP(AR[[#This Row],[Customer name]], Customer_master[Customer name], Customer_master[Terms days], 0)</f>
        <v>0</v>
      </c>
      <c r="L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" s="4"/>
      <c r="N29" s="46">
        <f>IF(AR[[#This Row],[Collection date - override (dd/mm/yyyy)]] &lt;&gt; "", AR[[#This Row],[Collection date - override (dd/mm/yyyy)]], AR[[#This Row],[Due date (dd/mm/yyyy)]])</f>
        <v>0</v>
      </c>
      <c r="O29" s="46">
        <f t="shared" si="0"/>
        <v>52</v>
      </c>
    </row>
    <row r="30" spans="3:15" x14ac:dyDescent="0.25">
      <c r="C30" s="24"/>
      <c r="D30" s="20"/>
      <c r="E30" s="4"/>
      <c r="F30" s="37"/>
      <c r="G30" s="38"/>
      <c r="H30" s="44">
        <f>Assumptions!$D$15</f>
        <v>0.1</v>
      </c>
      <c r="I30" s="45">
        <f>IF(AR[[#This Row],[GST applies?]] = "Yes", (AR[[#This Row],[Invoice value inc. VAT]] / 1 + AR[[#This Row],[GST %]]) * AR[[#This Row],[GST %]], 0)</f>
        <v>0</v>
      </c>
      <c r="J30" s="31">
        <f>_xlfn.XLOOKUP(AR[[#This Row],[Customer name]], Customer_master[Customer name], Customer_master[EOM or Net], 0)</f>
        <v>0</v>
      </c>
      <c r="K30" s="31">
        <f>_xlfn.XLOOKUP(AR[[#This Row],[Customer name]], Customer_master[Customer name], Customer_master[Terms days], 0)</f>
        <v>0</v>
      </c>
      <c r="L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" s="4"/>
      <c r="N30" s="46">
        <f>IF(AR[[#This Row],[Collection date - override (dd/mm/yyyy)]] &lt;&gt; "", AR[[#This Row],[Collection date - override (dd/mm/yyyy)]], AR[[#This Row],[Due date (dd/mm/yyyy)]])</f>
        <v>0</v>
      </c>
      <c r="O30" s="46">
        <f t="shared" si="0"/>
        <v>52</v>
      </c>
    </row>
    <row r="31" spans="3:15" x14ac:dyDescent="0.25">
      <c r="C31" s="24"/>
      <c r="D31" s="20"/>
      <c r="E31" s="4"/>
      <c r="F31" s="37"/>
      <c r="G31" s="38"/>
      <c r="H31" s="44">
        <f>Assumptions!$D$15</f>
        <v>0.1</v>
      </c>
      <c r="I31" s="45">
        <f>IF(AR[[#This Row],[GST applies?]] = "Yes", (AR[[#This Row],[Invoice value inc. VAT]] / 1 + AR[[#This Row],[GST %]]) * AR[[#This Row],[GST %]], 0)</f>
        <v>0</v>
      </c>
      <c r="J31" s="31">
        <f>_xlfn.XLOOKUP(AR[[#This Row],[Customer name]], Customer_master[Customer name], Customer_master[EOM or Net], 0)</f>
        <v>0</v>
      </c>
      <c r="K31" s="31">
        <f>_xlfn.XLOOKUP(AR[[#This Row],[Customer name]], Customer_master[Customer name], Customer_master[Terms days], 0)</f>
        <v>0</v>
      </c>
      <c r="L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" s="4"/>
      <c r="N31" s="46">
        <f>IF(AR[[#This Row],[Collection date - override (dd/mm/yyyy)]] &lt;&gt; "", AR[[#This Row],[Collection date - override (dd/mm/yyyy)]], AR[[#This Row],[Due date (dd/mm/yyyy)]])</f>
        <v>0</v>
      </c>
      <c r="O31" s="46">
        <f t="shared" si="0"/>
        <v>52</v>
      </c>
    </row>
    <row r="32" spans="3:15" x14ac:dyDescent="0.25">
      <c r="C32" s="24"/>
      <c r="D32" s="20"/>
      <c r="E32" s="4"/>
      <c r="F32" s="37"/>
      <c r="G32" s="38"/>
      <c r="H32" s="44">
        <f>Assumptions!$D$15</f>
        <v>0.1</v>
      </c>
      <c r="I32" s="45">
        <f>IF(AR[[#This Row],[GST applies?]] = "Yes", (AR[[#This Row],[Invoice value inc. VAT]] / 1 + AR[[#This Row],[GST %]]) * AR[[#This Row],[GST %]], 0)</f>
        <v>0</v>
      </c>
      <c r="J32" s="31">
        <f>_xlfn.XLOOKUP(AR[[#This Row],[Customer name]], Customer_master[Customer name], Customer_master[EOM or Net], 0)</f>
        <v>0</v>
      </c>
      <c r="K32" s="31">
        <f>_xlfn.XLOOKUP(AR[[#This Row],[Customer name]], Customer_master[Customer name], Customer_master[Terms days], 0)</f>
        <v>0</v>
      </c>
      <c r="L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" s="4"/>
      <c r="N32" s="46">
        <f>IF(AR[[#This Row],[Collection date - override (dd/mm/yyyy)]] &lt;&gt; "", AR[[#This Row],[Collection date - override (dd/mm/yyyy)]], AR[[#This Row],[Due date (dd/mm/yyyy)]])</f>
        <v>0</v>
      </c>
      <c r="O32" s="46">
        <f t="shared" si="0"/>
        <v>52</v>
      </c>
    </row>
    <row r="33" spans="3:15" x14ac:dyDescent="0.25">
      <c r="C33" s="24"/>
      <c r="D33" s="20"/>
      <c r="E33" s="4"/>
      <c r="F33" s="37"/>
      <c r="G33" s="38"/>
      <c r="H33" s="44">
        <f>Assumptions!$D$15</f>
        <v>0.1</v>
      </c>
      <c r="I33" s="45">
        <f>IF(AR[[#This Row],[GST applies?]] = "Yes", (AR[[#This Row],[Invoice value inc. VAT]] / 1 + AR[[#This Row],[GST %]]) * AR[[#This Row],[GST %]], 0)</f>
        <v>0</v>
      </c>
      <c r="J33" s="31">
        <f>_xlfn.XLOOKUP(AR[[#This Row],[Customer name]], Customer_master[Customer name], Customer_master[EOM or Net], 0)</f>
        <v>0</v>
      </c>
      <c r="K33" s="31">
        <f>_xlfn.XLOOKUP(AR[[#This Row],[Customer name]], Customer_master[Customer name], Customer_master[Terms days], 0)</f>
        <v>0</v>
      </c>
      <c r="L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" s="4"/>
      <c r="N33" s="46">
        <f>IF(AR[[#This Row],[Collection date - override (dd/mm/yyyy)]] &lt;&gt; "", AR[[#This Row],[Collection date - override (dd/mm/yyyy)]], AR[[#This Row],[Due date (dd/mm/yyyy)]])</f>
        <v>0</v>
      </c>
      <c r="O33" s="46">
        <f t="shared" si="0"/>
        <v>52</v>
      </c>
    </row>
    <row r="34" spans="3:15" x14ac:dyDescent="0.25">
      <c r="C34" s="24"/>
      <c r="D34" s="20"/>
      <c r="E34" s="4"/>
      <c r="F34" s="37"/>
      <c r="G34" s="38"/>
      <c r="H34" s="44">
        <f>Assumptions!$D$15</f>
        <v>0.1</v>
      </c>
      <c r="I34" s="45">
        <f>IF(AR[[#This Row],[GST applies?]] = "Yes", (AR[[#This Row],[Invoice value inc. VAT]] / 1 + AR[[#This Row],[GST %]]) * AR[[#This Row],[GST %]], 0)</f>
        <v>0</v>
      </c>
      <c r="J34" s="31">
        <f>_xlfn.XLOOKUP(AR[[#This Row],[Customer name]], Customer_master[Customer name], Customer_master[EOM or Net], 0)</f>
        <v>0</v>
      </c>
      <c r="K34" s="31">
        <f>_xlfn.XLOOKUP(AR[[#This Row],[Customer name]], Customer_master[Customer name], Customer_master[Terms days], 0)</f>
        <v>0</v>
      </c>
      <c r="L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" s="4"/>
      <c r="N34" s="46">
        <f>IF(AR[[#This Row],[Collection date - override (dd/mm/yyyy)]] &lt;&gt; "", AR[[#This Row],[Collection date - override (dd/mm/yyyy)]], AR[[#This Row],[Due date (dd/mm/yyyy)]])</f>
        <v>0</v>
      </c>
      <c r="O34" s="46">
        <f t="shared" si="0"/>
        <v>52</v>
      </c>
    </row>
    <row r="35" spans="3:15" x14ac:dyDescent="0.25">
      <c r="C35" s="24"/>
      <c r="D35" s="20"/>
      <c r="E35" s="4"/>
      <c r="F35" s="37"/>
      <c r="G35" s="38"/>
      <c r="H35" s="44">
        <f>Assumptions!$D$15</f>
        <v>0.1</v>
      </c>
      <c r="I35" s="45">
        <f>IF(AR[[#This Row],[GST applies?]] = "Yes", (AR[[#This Row],[Invoice value inc. VAT]] / 1 + AR[[#This Row],[GST %]]) * AR[[#This Row],[GST %]], 0)</f>
        <v>0</v>
      </c>
      <c r="J35" s="31">
        <f>_xlfn.XLOOKUP(AR[[#This Row],[Customer name]], Customer_master[Customer name], Customer_master[EOM or Net], 0)</f>
        <v>0</v>
      </c>
      <c r="K35" s="31">
        <f>_xlfn.XLOOKUP(AR[[#This Row],[Customer name]], Customer_master[Customer name], Customer_master[Terms days], 0)</f>
        <v>0</v>
      </c>
      <c r="L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" s="4"/>
      <c r="N35" s="46">
        <f>IF(AR[[#This Row],[Collection date - override (dd/mm/yyyy)]] &lt;&gt; "", AR[[#This Row],[Collection date - override (dd/mm/yyyy)]], AR[[#This Row],[Due date (dd/mm/yyyy)]])</f>
        <v>0</v>
      </c>
      <c r="O35" s="46">
        <f t="shared" si="0"/>
        <v>52</v>
      </c>
    </row>
    <row r="36" spans="3:15" x14ac:dyDescent="0.25">
      <c r="C36" s="24"/>
      <c r="D36" s="20"/>
      <c r="E36" s="4"/>
      <c r="F36" s="37"/>
      <c r="G36" s="38"/>
      <c r="H36" s="44">
        <f>Assumptions!$D$15</f>
        <v>0.1</v>
      </c>
      <c r="I36" s="45">
        <f>IF(AR[[#This Row],[GST applies?]] = "Yes", (AR[[#This Row],[Invoice value inc. VAT]] / 1 + AR[[#This Row],[GST %]]) * AR[[#This Row],[GST %]], 0)</f>
        <v>0</v>
      </c>
      <c r="J36" s="31">
        <f>_xlfn.XLOOKUP(AR[[#This Row],[Customer name]], Customer_master[Customer name], Customer_master[EOM or Net], 0)</f>
        <v>0</v>
      </c>
      <c r="K36" s="31">
        <f>_xlfn.XLOOKUP(AR[[#This Row],[Customer name]], Customer_master[Customer name], Customer_master[Terms days], 0)</f>
        <v>0</v>
      </c>
      <c r="L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" s="4"/>
      <c r="N36" s="46">
        <f>IF(AR[[#This Row],[Collection date - override (dd/mm/yyyy)]] &lt;&gt; "", AR[[#This Row],[Collection date - override (dd/mm/yyyy)]], AR[[#This Row],[Due date (dd/mm/yyyy)]])</f>
        <v>0</v>
      </c>
      <c r="O36" s="46">
        <f t="shared" si="0"/>
        <v>52</v>
      </c>
    </row>
    <row r="37" spans="3:15" x14ac:dyDescent="0.25">
      <c r="C37" s="24"/>
      <c r="D37" s="20"/>
      <c r="E37" s="4"/>
      <c r="F37" s="37"/>
      <c r="G37" s="38"/>
      <c r="H37" s="44">
        <f>Assumptions!$D$15</f>
        <v>0.1</v>
      </c>
      <c r="I37" s="45">
        <f>IF(AR[[#This Row],[GST applies?]] = "Yes", (AR[[#This Row],[Invoice value inc. VAT]] / 1 + AR[[#This Row],[GST %]]) * AR[[#This Row],[GST %]], 0)</f>
        <v>0</v>
      </c>
      <c r="J37" s="31">
        <f>_xlfn.XLOOKUP(AR[[#This Row],[Customer name]], Customer_master[Customer name], Customer_master[EOM or Net], 0)</f>
        <v>0</v>
      </c>
      <c r="K37" s="31">
        <f>_xlfn.XLOOKUP(AR[[#This Row],[Customer name]], Customer_master[Customer name], Customer_master[Terms days], 0)</f>
        <v>0</v>
      </c>
      <c r="L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" s="4"/>
      <c r="N37" s="46">
        <f>IF(AR[[#This Row],[Collection date - override (dd/mm/yyyy)]] &lt;&gt; "", AR[[#This Row],[Collection date - override (dd/mm/yyyy)]], AR[[#This Row],[Due date (dd/mm/yyyy)]])</f>
        <v>0</v>
      </c>
      <c r="O37" s="46">
        <f t="shared" si="0"/>
        <v>52</v>
      </c>
    </row>
    <row r="38" spans="3:15" x14ac:dyDescent="0.25">
      <c r="C38" s="24"/>
      <c r="D38" s="20"/>
      <c r="E38" s="4"/>
      <c r="F38" s="37"/>
      <c r="G38" s="38"/>
      <c r="H38" s="44">
        <f>Assumptions!$D$15</f>
        <v>0.1</v>
      </c>
      <c r="I38" s="45">
        <f>IF(AR[[#This Row],[GST applies?]] = "Yes", (AR[[#This Row],[Invoice value inc. VAT]] / 1 + AR[[#This Row],[GST %]]) * AR[[#This Row],[GST %]], 0)</f>
        <v>0</v>
      </c>
      <c r="J38" s="31">
        <f>_xlfn.XLOOKUP(AR[[#This Row],[Customer name]], Customer_master[Customer name], Customer_master[EOM or Net], 0)</f>
        <v>0</v>
      </c>
      <c r="K38" s="31">
        <f>_xlfn.XLOOKUP(AR[[#This Row],[Customer name]], Customer_master[Customer name], Customer_master[Terms days], 0)</f>
        <v>0</v>
      </c>
      <c r="L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" s="4"/>
      <c r="N38" s="46">
        <f>IF(AR[[#This Row],[Collection date - override (dd/mm/yyyy)]] &lt;&gt; "", AR[[#This Row],[Collection date - override (dd/mm/yyyy)]], AR[[#This Row],[Due date (dd/mm/yyyy)]])</f>
        <v>0</v>
      </c>
      <c r="O38" s="46">
        <f t="shared" si="0"/>
        <v>52</v>
      </c>
    </row>
    <row r="39" spans="3:15" x14ac:dyDescent="0.25">
      <c r="C39" s="24"/>
      <c r="D39" s="20"/>
      <c r="E39" s="4"/>
      <c r="F39" s="37"/>
      <c r="G39" s="38"/>
      <c r="H39" s="44">
        <f>Assumptions!$D$15</f>
        <v>0.1</v>
      </c>
      <c r="I39" s="45">
        <f>IF(AR[[#This Row],[GST applies?]] = "Yes", (AR[[#This Row],[Invoice value inc. VAT]] / 1 + AR[[#This Row],[GST %]]) * AR[[#This Row],[GST %]], 0)</f>
        <v>0</v>
      </c>
      <c r="J39" s="31">
        <f>_xlfn.XLOOKUP(AR[[#This Row],[Customer name]], Customer_master[Customer name], Customer_master[EOM or Net], 0)</f>
        <v>0</v>
      </c>
      <c r="K39" s="31">
        <f>_xlfn.XLOOKUP(AR[[#This Row],[Customer name]], Customer_master[Customer name], Customer_master[Terms days], 0)</f>
        <v>0</v>
      </c>
      <c r="L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" s="4"/>
      <c r="N39" s="46">
        <f>IF(AR[[#This Row],[Collection date - override (dd/mm/yyyy)]] &lt;&gt; "", AR[[#This Row],[Collection date - override (dd/mm/yyyy)]], AR[[#This Row],[Due date (dd/mm/yyyy)]])</f>
        <v>0</v>
      </c>
      <c r="O39" s="46">
        <f t="shared" si="0"/>
        <v>52</v>
      </c>
    </row>
    <row r="40" spans="3:15" x14ac:dyDescent="0.25">
      <c r="C40" s="24"/>
      <c r="D40" s="20"/>
      <c r="E40" s="4"/>
      <c r="F40" s="37"/>
      <c r="G40" s="38"/>
      <c r="H40" s="44">
        <f>Assumptions!$D$15</f>
        <v>0.1</v>
      </c>
      <c r="I40" s="45">
        <f>IF(AR[[#This Row],[GST applies?]] = "Yes", (AR[[#This Row],[Invoice value inc. VAT]] / 1 + AR[[#This Row],[GST %]]) * AR[[#This Row],[GST %]], 0)</f>
        <v>0</v>
      </c>
      <c r="J40" s="31">
        <f>_xlfn.XLOOKUP(AR[[#This Row],[Customer name]], Customer_master[Customer name], Customer_master[EOM or Net], 0)</f>
        <v>0</v>
      </c>
      <c r="K40" s="31">
        <f>_xlfn.XLOOKUP(AR[[#This Row],[Customer name]], Customer_master[Customer name], Customer_master[Terms days], 0)</f>
        <v>0</v>
      </c>
      <c r="L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" s="4"/>
      <c r="N40" s="46">
        <f>IF(AR[[#This Row],[Collection date - override (dd/mm/yyyy)]] &lt;&gt; "", AR[[#This Row],[Collection date - override (dd/mm/yyyy)]], AR[[#This Row],[Due date (dd/mm/yyyy)]])</f>
        <v>0</v>
      </c>
      <c r="O40" s="46">
        <f t="shared" si="0"/>
        <v>52</v>
      </c>
    </row>
    <row r="41" spans="3:15" x14ac:dyDescent="0.25">
      <c r="C41" s="24"/>
      <c r="D41" s="20"/>
      <c r="E41" s="4"/>
      <c r="F41" s="37"/>
      <c r="G41" s="38"/>
      <c r="H41" s="44">
        <f>Assumptions!$D$15</f>
        <v>0.1</v>
      </c>
      <c r="I41" s="45">
        <f>IF(AR[[#This Row],[GST applies?]] = "Yes", (AR[[#This Row],[Invoice value inc. VAT]] / 1 + AR[[#This Row],[GST %]]) * AR[[#This Row],[GST %]], 0)</f>
        <v>0</v>
      </c>
      <c r="J41" s="31">
        <f>_xlfn.XLOOKUP(AR[[#This Row],[Customer name]], Customer_master[Customer name], Customer_master[EOM or Net], 0)</f>
        <v>0</v>
      </c>
      <c r="K41" s="31">
        <f>_xlfn.XLOOKUP(AR[[#This Row],[Customer name]], Customer_master[Customer name], Customer_master[Terms days], 0)</f>
        <v>0</v>
      </c>
      <c r="L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" s="4"/>
      <c r="N41" s="46">
        <f>IF(AR[[#This Row],[Collection date - override (dd/mm/yyyy)]] &lt;&gt; "", AR[[#This Row],[Collection date - override (dd/mm/yyyy)]], AR[[#This Row],[Due date (dd/mm/yyyy)]])</f>
        <v>0</v>
      </c>
      <c r="O41" s="46">
        <f t="shared" si="0"/>
        <v>52</v>
      </c>
    </row>
    <row r="42" spans="3:15" x14ac:dyDescent="0.25">
      <c r="C42" s="24"/>
      <c r="D42" s="20"/>
      <c r="E42" s="4"/>
      <c r="F42" s="37"/>
      <c r="G42" s="38"/>
      <c r="H42" s="44">
        <f>Assumptions!$D$15</f>
        <v>0.1</v>
      </c>
      <c r="I42" s="45">
        <f>IF(AR[[#This Row],[GST applies?]] = "Yes", (AR[[#This Row],[Invoice value inc. VAT]] / 1 + AR[[#This Row],[GST %]]) * AR[[#This Row],[GST %]], 0)</f>
        <v>0</v>
      </c>
      <c r="J42" s="31">
        <f>_xlfn.XLOOKUP(AR[[#This Row],[Customer name]], Customer_master[Customer name], Customer_master[EOM or Net], 0)</f>
        <v>0</v>
      </c>
      <c r="K42" s="31">
        <f>_xlfn.XLOOKUP(AR[[#This Row],[Customer name]], Customer_master[Customer name], Customer_master[Terms days], 0)</f>
        <v>0</v>
      </c>
      <c r="L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" s="4"/>
      <c r="N42" s="46">
        <f>IF(AR[[#This Row],[Collection date - override (dd/mm/yyyy)]] &lt;&gt; "", AR[[#This Row],[Collection date - override (dd/mm/yyyy)]], AR[[#This Row],[Due date (dd/mm/yyyy)]])</f>
        <v>0</v>
      </c>
      <c r="O42" s="46">
        <f t="shared" si="0"/>
        <v>52</v>
      </c>
    </row>
    <row r="43" spans="3:15" x14ac:dyDescent="0.25">
      <c r="C43" s="24"/>
      <c r="D43" s="20"/>
      <c r="E43" s="4"/>
      <c r="F43" s="37"/>
      <c r="G43" s="38"/>
      <c r="H43" s="44">
        <f>Assumptions!$D$15</f>
        <v>0.1</v>
      </c>
      <c r="I43" s="45">
        <f>IF(AR[[#This Row],[GST applies?]] = "Yes", (AR[[#This Row],[Invoice value inc. VAT]] / 1 + AR[[#This Row],[GST %]]) * AR[[#This Row],[GST %]], 0)</f>
        <v>0</v>
      </c>
      <c r="J43" s="31">
        <f>_xlfn.XLOOKUP(AR[[#This Row],[Customer name]], Customer_master[Customer name], Customer_master[EOM or Net], 0)</f>
        <v>0</v>
      </c>
      <c r="K43" s="31">
        <f>_xlfn.XLOOKUP(AR[[#This Row],[Customer name]], Customer_master[Customer name], Customer_master[Terms days], 0)</f>
        <v>0</v>
      </c>
      <c r="L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" s="4"/>
      <c r="N43" s="46">
        <f>IF(AR[[#This Row],[Collection date - override (dd/mm/yyyy)]] &lt;&gt; "", AR[[#This Row],[Collection date - override (dd/mm/yyyy)]], AR[[#This Row],[Due date (dd/mm/yyyy)]])</f>
        <v>0</v>
      </c>
      <c r="O43" s="46">
        <f t="shared" si="0"/>
        <v>52</v>
      </c>
    </row>
    <row r="44" spans="3:15" x14ac:dyDescent="0.25">
      <c r="C44" s="24"/>
      <c r="D44" s="20"/>
      <c r="E44" s="4"/>
      <c r="F44" s="37"/>
      <c r="G44" s="38"/>
      <c r="H44" s="44">
        <f>Assumptions!$D$15</f>
        <v>0.1</v>
      </c>
      <c r="I44" s="45">
        <f>IF(AR[[#This Row],[GST applies?]] = "Yes", (AR[[#This Row],[Invoice value inc. VAT]] / 1 + AR[[#This Row],[GST %]]) * AR[[#This Row],[GST %]], 0)</f>
        <v>0</v>
      </c>
      <c r="J44" s="31">
        <f>_xlfn.XLOOKUP(AR[[#This Row],[Customer name]], Customer_master[Customer name], Customer_master[EOM or Net], 0)</f>
        <v>0</v>
      </c>
      <c r="K44" s="31">
        <f>_xlfn.XLOOKUP(AR[[#This Row],[Customer name]], Customer_master[Customer name], Customer_master[Terms days], 0)</f>
        <v>0</v>
      </c>
      <c r="L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" s="4"/>
      <c r="N44" s="46">
        <f>IF(AR[[#This Row],[Collection date - override (dd/mm/yyyy)]] &lt;&gt; "", AR[[#This Row],[Collection date - override (dd/mm/yyyy)]], AR[[#This Row],[Due date (dd/mm/yyyy)]])</f>
        <v>0</v>
      </c>
      <c r="O44" s="46">
        <f t="shared" si="0"/>
        <v>52</v>
      </c>
    </row>
    <row r="45" spans="3:15" x14ac:dyDescent="0.25">
      <c r="C45" s="24"/>
      <c r="D45" s="20"/>
      <c r="E45" s="4"/>
      <c r="F45" s="37"/>
      <c r="G45" s="38"/>
      <c r="H45" s="44">
        <f>Assumptions!$D$15</f>
        <v>0.1</v>
      </c>
      <c r="I45" s="45">
        <f>IF(AR[[#This Row],[GST applies?]] = "Yes", (AR[[#This Row],[Invoice value inc. VAT]] / 1 + AR[[#This Row],[GST %]]) * AR[[#This Row],[GST %]], 0)</f>
        <v>0</v>
      </c>
      <c r="J45" s="31">
        <f>_xlfn.XLOOKUP(AR[[#This Row],[Customer name]], Customer_master[Customer name], Customer_master[EOM or Net], 0)</f>
        <v>0</v>
      </c>
      <c r="K45" s="31">
        <f>_xlfn.XLOOKUP(AR[[#This Row],[Customer name]], Customer_master[Customer name], Customer_master[Terms days], 0)</f>
        <v>0</v>
      </c>
      <c r="L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" s="4"/>
      <c r="N45" s="46">
        <f>IF(AR[[#This Row],[Collection date - override (dd/mm/yyyy)]] &lt;&gt; "", AR[[#This Row],[Collection date - override (dd/mm/yyyy)]], AR[[#This Row],[Due date (dd/mm/yyyy)]])</f>
        <v>0</v>
      </c>
      <c r="O45" s="46">
        <f t="shared" si="0"/>
        <v>52</v>
      </c>
    </row>
    <row r="46" spans="3:15" x14ac:dyDescent="0.25">
      <c r="C46" s="24"/>
      <c r="D46" s="20"/>
      <c r="E46" s="4"/>
      <c r="F46" s="37"/>
      <c r="G46" s="38"/>
      <c r="H46" s="44">
        <f>Assumptions!$D$15</f>
        <v>0.1</v>
      </c>
      <c r="I46" s="45">
        <f>IF(AR[[#This Row],[GST applies?]] = "Yes", (AR[[#This Row],[Invoice value inc. VAT]] / 1 + AR[[#This Row],[GST %]]) * AR[[#This Row],[GST %]], 0)</f>
        <v>0</v>
      </c>
      <c r="J46" s="31">
        <f>_xlfn.XLOOKUP(AR[[#This Row],[Customer name]], Customer_master[Customer name], Customer_master[EOM or Net], 0)</f>
        <v>0</v>
      </c>
      <c r="K46" s="31">
        <f>_xlfn.XLOOKUP(AR[[#This Row],[Customer name]], Customer_master[Customer name], Customer_master[Terms days], 0)</f>
        <v>0</v>
      </c>
      <c r="L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" s="4"/>
      <c r="N46" s="46">
        <f>IF(AR[[#This Row],[Collection date - override (dd/mm/yyyy)]] &lt;&gt; "", AR[[#This Row],[Collection date - override (dd/mm/yyyy)]], AR[[#This Row],[Due date (dd/mm/yyyy)]])</f>
        <v>0</v>
      </c>
      <c r="O46" s="46">
        <f t="shared" si="0"/>
        <v>52</v>
      </c>
    </row>
    <row r="47" spans="3:15" x14ac:dyDescent="0.25">
      <c r="C47" s="24"/>
      <c r="D47" s="20"/>
      <c r="E47" s="4"/>
      <c r="F47" s="37"/>
      <c r="G47" s="38"/>
      <c r="H47" s="44">
        <f>Assumptions!$D$15</f>
        <v>0.1</v>
      </c>
      <c r="I47" s="45">
        <f>IF(AR[[#This Row],[GST applies?]] = "Yes", (AR[[#This Row],[Invoice value inc. VAT]] / 1 + AR[[#This Row],[GST %]]) * AR[[#This Row],[GST %]], 0)</f>
        <v>0</v>
      </c>
      <c r="J47" s="31">
        <f>_xlfn.XLOOKUP(AR[[#This Row],[Customer name]], Customer_master[Customer name], Customer_master[EOM or Net], 0)</f>
        <v>0</v>
      </c>
      <c r="K47" s="31">
        <f>_xlfn.XLOOKUP(AR[[#This Row],[Customer name]], Customer_master[Customer name], Customer_master[Terms days], 0)</f>
        <v>0</v>
      </c>
      <c r="L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" s="4"/>
      <c r="N47" s="46">
        <f>IF(AR[[#This Row],[Collection date - override (dd/mm/yyyy)]] &lt;&gt; "", AR[[#This Row],[Collection date - override (dd/mm/yyyy)]], AR[[#This Row],[Due date (dd/mm/yyyy)]])</f>
        <v>0</v>
      </c>
      <c r="O47" s="46">
        <f t="shared" si="0"/>
        <v>52</v>
      </c>
    </row>
    <row r="48" spans="3:15" x14ac:dyDescent="0.25">
      <c r="C48" s="24"/>
      <c r="D48" s="20"/>
      <c r="E48" s="4"/>
      <c r="F48" s="37"/>
      <c r="G48" s="38"/>
      <c r="H48" s="44">
        <f>Assumptions!$D$15</f>
        <v>0.1</v>
      </c>
      <c r="I48" s="45">
        <f>IF(AR[[#This Row],[GST applies?]] = "Yes", (AR[[#This Row],[Invoice value inc. VAT]] / 1 + AR[[#This Row],[GST %]]) * AR[[#This Row],[GST %]], 0)</f>
        <v>0</v>
      </c>
      <c r="J48" s="31">
        <f>_xlfn.XLOOKUP(AR[[#This Row],[Customer name]], Customer_master[Customer name], Customer_master[EOM or Net], 0)</f>
        <v>0</v>
      </c>
      <c r="K48" s="31">
        <f>_xlfn.XLOOKUP(AR[[#This Row],[Customer name]], Customer_master[Customer name], Customer_master[Terms days], 0)</f>
        <v>0</v>
      </c>
      <c r="L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" s="4"/>
      <c r="N48" s="46">
        <f>IF(AR[[#This Row],[Collection date - override (dd/mm/yyyy)]] &lt;&gt; "", AR[[#This Row],[Collection date - override (dd/mm/yyyy)]], AR[[#This Row],[Due date (dd/mm/yyyy)]])</f>
        <v>0</v>
      </c>
      <c r="O48" s="46">
        <f t="shared" si="0"/>
        <v>52</v>
      </c>
    </row>
    <row r="49" spans="3:15" x14ac:dyDescent="0.25">
      <c r="C49" s="24"/>
      <c r="D49" s="20"/>
      <c r="E49" s="4"/>
      <c r="F49" s="37"/>
      <c r="G49" s="38"/>
      <c r="H49" s="44">
        <f>Assumptions!$D$15</f>
        <v>0.1</v>
      </c>
      <c r="I49" s="45">
        <f>IF(AR[[#This Row],[GST applies?]] = "Yes", (AR[[#This Row],[Invoice value inc. VAT]] / 1 + AR[[#This Row],[GST %]]) * AR[[#This Row],[GST %]], 0)</f>
        <v>0</v>
      </c>
      <c r="J49" s="31">
        <f>_xlfn.XLOOKUP(AR[[#This Row],[Customer name]], Customer_master[Customer name], Customer_master[EOM or Net], 0)</f>
        <v>0</v>
      </c>
      <c r="K49" s="31">
        <f>_xlfn.XLOOKUP(AR[[#This Row],[Customer name]], Customer_master[Customer name], Customer_master[Terms days], 0)</f>
        <v>0</v>
      </c>
      <c r="L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" s="4"/>
      <c r="N49" s="46">
        <f>IF(AR[[#This Row],[Collection date - override (dd/mm/yyyy)]] &lt;&gt; "", AR[[#This Row],[Collection date - override (dd/mm/yyyy)]], AR[[#This Row],[Due date (dd/mm/yyyy)]])</f>
        <v>0</v>
      </c>
      <c r="O49" s="46">
        <f t="shared" si="0"/>
        <v>52</v>
      </c>
    </row>
    <row r="50" spans="3:15" x14ac:dyDescent="0.25">
      <c r="C50" s="24"/>
      <c r="D50" s="20"/>
      <c r="E50" s="4"/>
      <c r="F50" s="37"/>
      <c r="G50" s="38"/>
      <c r="H50" s="44">
        <f>Assumptions!$D$15</f>
        <v>0.1</v>
      </c>
      <c r="I50" s="45">
        <f>IF(AR[[#This Row],[GST applies?]] = "Yes", (AR[[#This Row],[Invoice value inc. VAT]] / 1 + AR[[#This Row],[GST %]]) * AR[[#This Row],[GST %]], 0)</f>
        <v>0</v>
      </c>
      <c r="J50" s="31">
        <f>_xlfn.XLOOKUP(AR[[#This Row],[Customer name]], Customer_master[Customer name], Customer_master[EOM or Net], 0)</f>
        <v>0</v>
      </c>
      <c r="K50" s="31">
        <f>_xlfn.XLOOKUP(AR[[#This Row],[Customer name]], Customer_master[Customer name], Customer_master[Terms days], 0)</f>
        <v>0</v>
      </c>
      <c r="L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" s="4"/>
      <c r="N50" s="46">
        <f>IF(AR[[#This Row],[Collection date - override (dd/mm/yyyy)]] &lt;&gt; "", AR[[#This Row],[Collection date - override (dd/mm/yyyy)]], AR[[#This Row],[Due date (dd/mm/yyyy)]])</f>
        <v>0</v>
      </c>
      <c r="O50" s="46">
        <f t="shared" si="0"/>
        <v>52</v>
      </c>
    </row>
    <row r="51" spans="3:15" x14ac:dyDescent="0.25">
      <c r="C51" s="24"/>
      <c r="D51" s="20"/>
      <c r="E51" s="4"/>
      <c r="F51" s="37"/>
      <c r="G51" s="38"/>
      <c r="H51" s="44">
        <f>Assumptions!$D$15</f>
        <v>0.1</v>
      </c>
      <c r="I51" s="45">
        <f>IF(AR[[#This Row],[GST applies?]] = "Yes", (AR[[#This Row],[Invoice value inc. VAT]] / 1 + AR[[#This Row],[GST %]]) * AR[[#This Row],[GST %]], 0)</f>
        <v>0</v>
      </c>
      <c r="J51" s="31">
        <f>_xlfn.XLOOKUP(AR[[#This Row],[Customer name]], Customer_master[Customer name], Customer_master[EOM or Net], 0)</f>
        <v>0</v>
      </c>
      <c r="K51" s="31">
        <f>_xlfn.XLOOKUP(AR[[#This Row],[Customer name]], Customer_master[Customer name], Customer_master[Terms days], 0)</f>
        <v>0</v>
      </c>
      <c r="L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" s="4"/>
      <c r="N51" s="46">
        <f>IF(AR[[#This Row],[Collection date - override (dd/mm/yyyy)]] &lt;&gt; "", AR[[#This Row],[Collection date - override (dd/mm/yyyy)]], AR[[#This Row],[Due date (dd/mm/yyyy)]])</f>
        <v>0</v>
      </c>
      <c r="O51" s="46">
        <f t="shared" si="0"/>
        <v>52</v>
      </c>
    </row>
    <row r="52" spans="3:15" x14ac:dyDescent="0.25">
      <c r="C52" s="24"/>
      <c r="D52" s="20"/>
      <c r="E52" s="4"/>
      <c r="F52" s="37"/>
      <c r="G52" s="38"/>
      <c r="H52" s="44">
        <f>Assumptions!$D$15</f>
        <v>0.1</v>
      </c>
      <c r="I52" s="45">
        <f>IF(AR[[#This Row],[GST applies?]] = "Yes", (AR[[#This Row],[Invoice value inc. VAT]] / 1 + AR[[#This Row],[GST %]]) * AR[[#This Row],[GST %]], 0)</f>
        <v>0</v>
      </c>
      <c r="J52" s="31">
        <f>_xlfn.XLOOKUP(AR[[#This Row],[Customer name]], Customer_master[Customer name], Customer_master[EOM or Net], 0)</f>
        <v>0</v>
      </c>
      <c r="K52" s="31">
        <f>_xlfn.XLOOKUP(AR[[#This Row],[Customer name]], Customer_master[Customer name], Customer_master[Terms days], 0)</f>
        <v>0</v>
      </c>
      <c r="L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" s="4"/>
      <c r="N52" s="46">
        <f>IF(AR[[#This Row],[Collection date - override (dd/mm/yyyy)]] &lt;&gt; "", AR[[#This Row],[Collection date - override (dd/mm/yyyy)]], AR[[#This Row],[Due date (dd/mm/yyyy)]])</f>
        <v>0</v>
      </c>
      <c r="O52" s="46">
        <f t="shared" si="0"/>
        <v>52</v>
      </c>
    </row>
    <row r="53" spans="3:15" x14ac:dyDescent="0.25">
      <c r="C53" s="24"/>
      <c r="D53" s="20"/>
      <c r="E53" s="4"/>
      <c r="F53" s="37"/>
      <c r="G53" s="38"/>
      <c r="H53" s="44">
        <f>Assumptions!$D$15</f>
        <v>0.1</v>
      </c>
      <c r="I53" s="45">
        <f>IF(AR[[#This Row],[GST applies?]] = "Yes", (AR[[#This Row],[Invoice value inc. VAT]] / 1 + AR[[#This Row],[GST %]]) * AR[[#This Row],[GST %]], 0)</f>
        <v>0</v>
      </c>
      <c r="J53" s="31">
        <f>_xlfn.XLOOKUP(AR[[#This Row],[Customer name]], Customer_master[Customer name], Customer_master[EOM or Net], 0)</f>
        <v>0</v>
      </c>
      <c r="K53" s="31">
        <f>_xlfn.XLOOKUP(AR[[#This Row],[Customer name]], Customer_master[Customer name], Customer_master[Terms days], 0)</f>
        <v>0</v>
      </c>
      <c r="L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" s="4"/>
      <c r="N53" s="46">
        <f>IF(AR[[#This Row],[Collection date - override (dd/mm/yyyy)]] &lt;&gt; "", AR[[#This Row],[Collection date - override (dd/mm/yyyy)]], AR[[#This Row],[Due date (dd/mm/yyyy)]])</f>
        <v>0</v>
      </c>
      <c r="O53" s="46">
        <f t="shared" si="0"/>
        <v>52</v>
      </c>
    </row>
    <row r="54" spans="3:15" x14ac:dyDescent="0.25">
      <c r="C54" s="24"/>
      <c r="D54" s="20"/>
      <c r="E54" s="4"/>
      <c r="F54" s="37"/>
      <c r="G54" s="38"/>
      <c r="H54" s="44">
        <f>Assumptions!$D$15</f>
        <v>0.1</v>
      </c>
      <c r="I54" s="45">
        <f>IF(AR[[#This Row],[GST applies?]] = "Yes", (AR[[#This Row],[Invoice value inc. VAT]] / 1 + AR[[#This Row],[GST %]]) * AR[[#This Row],[GST %]], 0)</f>
        <v>0</v>
      </c>
      <c r="J54" s="31">
        <f>_xlfn.XLOOKUP(AR[[#This Row],[Customer name]], Customer_master[Customer name], Customer_master[EOM or Net], 0)</f>
        <v>0</v>
      </c>
      <c r="K54" s="31">
        <f>_xlfn.XLOOKUP(AR[[#This Row],[Customer name]], Customer_master[Customer name], Customer_master[Terms days], 0)</f>
        <v>0</v>
      </c>
      <c r="L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" s="4"/>
      <c r="N54" s="46">
        <f>IF(AR[[#This Row],[Collection date - override (dd/mm/yyyy)]] &lt;&gt; "", AR[[#This Row],[Collection date - override (dd/mm/yyyy)]], AR[[#This Row],[Due date (dd/mm/yyyy)]])</f>
        <v>0</v>
      </c>
      <c r="O54" s="46">
        <f t="shared" si="0"/>
        <v>52</v>
      </c>
    </row>
    <row r="55" spans="3:15" x14ac:dyDescent="0.25">
      <c r="C55" s="24"/>
      <c r="D55" s="20"/>
      <c r="E55" s="4"/>
      <c r="F55" s="37"/>
      <c r="G55" s="38"/>
      <c r="H55" s="44">
        <f>Assumptions!$D$15</f>
        <v>0.1</v>
      </c>
      <c r="I55" s="45">
        <f>IF(AR[[#This Row],[GST applies?]] = "Yes", (AR[[#This Row],[Invoice value inc. VAT]] / 1 + AR[[#This Row],[GST %]]) * AR[[#This Row],[GST %]], 0)</f>
        <v>0</v>
      </c>
      <c r="J55" s="31">
        <f>_xlfn.XLOOKUP(AR[[#This Row],[Customer name]], Customer_master[Customer name], Customer_master[EOM or Net], 0)</f>
        <v>0</v>
      </c>
      <c r="K55" s="31">
        <f>_xlfn.XLOOKUP(AR[[#This Row],[Customer name]], Customer_master[Customer name], Customer_master[Terms days], 0)</f>
        <v>0</v>
      </c>
      <c r="L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" s="4"/>
      <c r="N55" s="46">
        <f>IF(AR[[#This Row],[Collection date - override (dd/mm/yyyy)]] &lt;&gt; "", AR[[#This Row],[Collection date - override (dd/mm/yyyy)]], AR[[#This Row],[Due date (dd/mm/yyyy)]])</f>
        <v>0</v>
      </c>
      <c r="O55" s="46">
        <f t="shared" si="0"/>
        <v>52</v>
      </c>
    </row>
    <row r="56" spans="3:15" x14ac:dyDescent="0.25">
      <c r="C56" s="24"/>
      <c r="D56" s="20"/>
      <c r="E56" s="4"/>
      <c r="F56" s="37"/>
      <c r="G56" s="38"/>
      <c r="H56" s="44">
        <f>Assumptions!$D$15</f>
        <v>0.1</v>
      </c>
      <c r="I56" s="45">
        <f>IF(AR[[#This Row],[GST applies?]] = "Yes", (AR[[#This Row],[Invoice value inc. VAT]] / 1 + AR[[#This Row],[GST %]]) * AR[[#This Row],[GST %]], 0)</f>
        <v>0</v>
      </c>
      <c r="J56" s="31">
        <f>_xlfn.XLOOKUP(AR[[#This Row],[Customer name]], Customer_master[Customer name], Customer_master[EOM or Net], 0)</f>
        <v>0</v>
      </c>
      <c r="K56" s="31">
        <f>_xlfn.XLOOKUP(AR[[#This Row],[Customer name]], Customer_master[Customer name], Customer_master[Terms days], 0)</f>
        <v>0</v>
      </c>
      <c r="L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" s="4"/>
      <c r="N56" s="46">
        <f>IF(AR[[#This Row],[Collection date - override (dd/mm/yyyy)]] &lt;&gt; "", AR[[#This Row],[Collection date - override (dd/mm/yyyy)]], AR[[#This Row],[Due date (dd/mm/yyyy)]])</f>
        <v>0</v>
      </c>
      <c r="O56" s="46">
        <f t="shared" si="0"/>
        <v>52</v>
      </c>
    </row>
    <row r="57" spans="3:15" x14ac:dyDescent="0.25">
      <c r="C57" s="24"/>
      <c r="D57" s="20"/>
      <c r="E57" s="4"/>
      <c r="F57" s="37"/>
      <c r="G57" s="38"/>
      <c r="H57" s="44">
        <f>Assumptions!$D$15</f>
        <v>0.1</v>
      </c>
      <c r="I57" s="45">
        <f>IF(AR[[#This Row],[GST applies?]] = "Yes", (AR[[#This Row],[Invoice value inc. VAT]] / 1 + AR[[#This Row],[GST %]]) * AR[[#This Row],[GST %]], 0)</f>
        <v>0</v>
      </c>
      <c r="J57" s="31">
        <f>_xlfn.XLOOKUP(AR[[#This Row],[Customer name]], Customer_master[Customer name], Customer_master[EOM or Net], 0)</f>
        <v>0</v>
      </c>
      <c r="K57" s="31">
        <f>_xlfn.XLOOKUP(AR[[#This Row],[Customer name]], Customer_master[Customer name], Customer_master[Terms days], 0)</f>
        <v>0</v>
      </c>
      <c r="L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" s="4"/>
      <c r="N57" s="46">
        <f>IF(AR[[#This Row],[Collection date - override (dd/mm/yyyy)]] &lt;&gt; "", AR[[#This Row],[Collection date - override (dd/mm/yyyy)]], AR[[#This Row],[Due date (dd/mm/yyyy)]])</f>
        <v>0</v>
      </c>
      <c r="O57" s="46">
        <f t="shared" si="0"/>
        <v>52</v>
      </c>
    </row>
    <row r="58" spans="3:15" x14ac:dyDescent="0.25">
      <c r="C58" s="28"/>
      <c r="D58" s="29"/>
      <c r="E58" s="41"/>
      <c r="F58" s="42"/>
      <c r="G58" s="43"/>
      <c r="H58" s="44">
        <f>Assumptions!$D$15</f>
        <v>0.1</v>
      </c>
      <c r="I58" s="45">
        <f>IF(AR[[#This Row],[GST applies?]] = "Yes", (AR[[#This Row],[Invoice value inc. VAT]] / 1 + AR[[#This Row],[GST %]]) * AR[[#This Row],[GST %]], 0)</f>
        <v>0</v>
      </c>
      <c r="J58" s="31">
        <f>_xlfn.XLOOKUP(AR[[#This Row],[Customer name]], Customer_master[Customer name], Customer_master[EOM or Net], 0)</f>
        <v>0</v>
      </c>
      <c r="K58" s="31">
        <f>_xlfn.XLOOKUP(AR[[#This Row],[Customer name]], Customer_master[Customer name], Customer_master[Terms days], 0)</f>
        <v>0</v>
      </c>
      <c r="L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" s="4"/>
      <c r="N58" s="46">
        <f>IF(AR[[#This Row],[Collection date - override (dd/mm/yyyy)]] &lt;&gt; "", AR[[#This Row],[Collection date - override (dd/mm/yyyy)]], AR[[#This Row],[Due date (dd/mm/yyyy)]])</f>
        <v>0</v>
      </c>
      <c r="O58" s="46">
        <f t="shared" si="0"/>
        <v>52</v>
      </c>
    </row>
    <row r="59" spans="3:15" x14ac:dyDescent="0.25">
      <c r="C59" s="28"/>
      <c r="D59" s="20"/>
      <c r="E59" s="4"/>
      <c r="F59" s="37"/>
      <c r="G59" s="24"/>
      <c r="H59" s="51">
        <f>Assumptions!$D$15</f>
        <v>0.1</v>
      </c>
      <c r="I59" s="45">
        <f>IF(AR[[#This Row],[GST applies?]] = "Yes", (AR[[#This Row],[Invoice value inc. VAT]] / 1 + AR[[#This Row],[GST %]]) * AR[[#This Row],[GST %]], 0)</f>
        <v>0</v>
      </c>
      <c r="J59" s="31">
        <f>_xlfn.XLOOKUP(AR[[#This Row],[Customer name]], Customer_master[Customer name], Customer_master[EOM or Net], 0)</f>
        <v>0</v>
      </c>
      <c r="K59" s="31">
        <f>_xlfn.XLOOKUP(AR[[#This Row],[Customer name]], Customer_master[Customer name], Customer_master[Terms days], 0)</f>
        <v>0</v>
      </c>
      <c r="L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" s="4"/>
      <c r="N59" s="46">
        <f>IF(AR[[#This Row],[Collection date - override (dd/mm/yyyy)]] &lt;&gt; "", AR[[#This Row],[Collection date - override (dd/mm/yyyy)]], AR[[#This Row],[Due date (dd/mm/yyyy)]])</f>
        <v>0</v>
      </c>
      <c r="O59" s="46">
        <f t="shared" si="0"/>
        <v>52</v>
      </c>
    </row>
    <row r="60" spans="3:15" x14ac:dyDescent="0.25">
      <c r="C60" s="28"/>
      <c r="D60" s="20"/>
      <c r="E60" s="4"/>
      <c r="F60" s="37"/>
      <c r="G60" s="24"/>
      <c r="H60" s="51">
        <f>Assumptions!$D$15</f>
        <v>0.1</v>
      </c>
      <c r="I60" s="45">
        <f>IF(AR[[#This Row],[GST applies?]] = "Yes", (AR[[#This Row],[Invoice value inc. VAT]] / 1 + AR[[#This Row],[GST %]]) * AR[[#This Row],[GST %]], 0)</f>
        <v>0</v>
      </c>
      <c r="J60" s="31">
        <f>_xlfn.XLOOKUP(AR[[#This Row],[Customer name]], Customer_master[Customer name], Customer_master[EOM or Net], 0)</f>
        <v>0</v>
      </c>
      <c r="K60" s="31">
        <f>_xlfn.XLOOKUP(AR[[#This Row],[Customer name]], Customer_master[Customer name], Customer_master[Terms days], 0)</f>
        <v>0</v>
      </c>
      <c r="L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" s="4"/>
      <c r="N60" s="46">
        <f>IF(AR[[#This Row],[Collection date - override (dd/mm/yyyy)]] &lt;&gt; "", AR[[#This Row],[Collection date - override (dd/mm/yyyy)]], AR[[#This Row],[Due date (dd/mm/yyyy)]])</f>
        <v>0</v>
      </c>
      <c r="O60" s="46">
        <f t="shared" si="0"/>
        <v>52</v>
      </c>
    </row>
    <row r="61" spans="3:15" x14ac:dyDescent="0.25">
      <c r="C61" s="28"/>
      <c r="D61" s="20"/>
      <c r="E61" s="4"/>
      <c r="F61" s="37"/>
      <c r="G61" s="24"/>
      <c r="H61" s="51">
        <f>Assumptions!$D$15</f>
        <v>0.1</v>
      </c>
      <c r="I61" s="45">
        <f>IF(AR[[#This Row],[GST applies?]] = "Yes", (AR[[#This Row],[Invoice value inc. VAT]] / 1 + AR[[#This Row],[GST %]]) * AR[[#This Row],[GST %]], 0)</f>
        <v>0</v>
      </c>
      <c r="J61" s="31">
        <f>_xlfn.XLOOKUP(AR[[#This Row],[Customer name]], Customer_master[Customer name], Customer_master[EOM or Net], 0)</f>
        <v>0</v>
      </c>
      <c r="K61" s="31">
        <f>_xlfn.XLOOKUP(AR[[#This Row],[Customer name]], Customer_master[Customer name], Customer_master[Terms days], 0)</f>
        <v>0</v>
      </c>
      <c r="L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" s="4"/>
      <c r="N61" s="46">
        <f>IF(AR[[#This Row],[Collection date - override (dd/mm/yyyy)]] &lt;&gt; "", AR[[#This Row],[Collection date - override (dd/mm/yyyy)]], AR[[#This Row],[Due date (dd/mm/yyyy)]])</f>
        <v>0</v>
      </c>
      <c r="O61" s="46">
        <f t="shared" si="0"/>
        <v>52</v>
      </c>
    </row>
    <row r="62" spans="3:15" x14ac:dyDescent="0.25">
      <c r="C62" s="28"/>
      <c r="D62" s="20"/>
      <c r="E62" s="4"/>
      <c r="F62" s="37"/>
      <c r="G62" s="24"/>
      <c r="H62" s="51">
        <f>Assumptions!$D$15</f>
        <v>0.1</v>
      </c>
      <c r="I62" s="45">
        <f>IF(AR[[#This Row],[GST applies?]] = "Yes", (AR[[#This Row],[Invoice value inc. VAT]] / 1 + AR[[#This Row],[GST %]]) * AR[[#This Row],[GST %]], 0)</f>
        <v>0</v>
      </c>
      <c r="J62" s="31">
        <f>_xlfn.XLOOKUP(AR[[#This Row],[Customer name]], Customer_master[Customer name], Customer_master[EOM or Net], 0)</f>
        <v>0</v>
      </c>
      <c r="K62" s="31">
        <f>_xlfn.XLOOKUP(AR[[#This Row],[Customer name]], Customer_master[Customer name], Customer_master[Terms days], 0)</f>
        <v>0</v>
      </c>
      <c r="L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" s="4"/>
      <c r="N62" s="46">
        <f>IF(AR[[#This Row],[Collection date - override (dd/mm/yyyy)]] &lt;&gt; "", AR[[#This Row],[Collection date - override (dd/mm/yyyy)]], AR[[#This Row],[Due date (dd/mm/yyyy)]])</f>
        <v>0</v>
      </c>
      <c r="O62" s="46">
        <f t="shared" si="0"/>
        <v>52</v>
      </c>
    </row>
    <row r="63" spans="3:15" x14ac:dyDescent="0.25">
      <c r="C63" s="28"/>
      <c r="D63" s="20"/>
      <c r="E63" s="4"/>
      <c r="F63" s="37"/>
      <c r="G63" s="24"/>
      <c r="H63" s="51">
        <f>Assumptions!$D$15</f>
        <v>0.1</v>
      </c>
      <c r="I63" s="45">
        <f>IF(AR[[#This Row],[GST applies?]] = "Yes", (AR[[#This Row],[Invoice value inc. VAT]] / 1 + AR[[#This Row],[GST %]]) * AR[[#This Row],[GST %]], 0)</f>
        <v>0</v>
      </c>
      <c r="J63" s="31">
        <f>_xlfn.XLOOKUP(AR[[#This Row],[Customer name]], Customer_master[Customer name], Customer_master[EOM or Net], 0)</f>
        <v>0</v>
      </c>
      <c r="K63" s="31">
        <f>_xlfn.XLOOKUP(AR[[#This Row],[Customer name]], Customer_master[Customer name], Customer_master[Terms days], 0)</f>
        <v>0</v>
      </c>
      <c r="L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" s="4"/>
      <c r="N63" s="46">
        <f>IF(AR[[#This Row],[Collection date - override (dd/mm/yyyy)]] &lt;&gt; "", AR[[#This Row],[Collection date - override (dd/mm/yyyy)]], AR[[#This Row],[Due date (dd/mm/yyyy)]])</f>
        <v>0</v>
      </c>
      <c r="O63" s="46">
        <f t="shared" si="0"/>
        <v>52</v>
      </c>
    </row>
    <row r="64" spans="3:15" x14ac:dyDescent="0.25">
      <c r="C64" s="28"/>
      <c r="D64" s="20"/>
      <c r="E64" s="4"/>
      <c r="F64" s="37"/>
      <c r="G64" s="24"/>
      <c r="H64" s="51">
        <f>Assumptions!$D$15</f>
        <v>0.1</v>
      </c>
      <c r="I64" s="45">
        <f>IF(AR[[#This Row],[GST applies?]] = "Yes", (AR[[#This Row],[Invoice value inc. VAT]] / 1 + AR[[#This Row],[GST %]]) * AR[[#This Row],[GST %]], 0)</f>
        <v>0</v>
      </c>
      <c r="J64" s="31">
        <f>_xlfn.XLOOKUP(AR[[#This Row],[Customer name]], Customer_master[Customer name], Customer_master[EOM or Net], 0)</f>
        <v>0</v>
      </c>
      <c r="K64" s="31">
        <f>_xlfn.XLOOKUP(AR[[#This Row],[Customer name]], Customer_master[Customer name], Customer_master[Terms days], 0)</f>
        <v>0</v>
      </c>
      <c r="L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" s="4"/>
      <c r="N64" s="46">
        <f>IF(AR[[#This Row],[Collection date - override (dd/mm/yyyy)]] &lt;&gt; "", AR[[#This Row],[Collection date - override (dd/mm/yyyy)]], AR[[#This Row],[Due date (dd/mm/yyyy)]])</f>
        <v>0</v>
      </c>
      <c r="O64" s="46">
        <f t="shared" si="0"/>
        <v>52</v>
      </c>
    </row>
    <row r="65" spans="3:15" x14ac:dyDescent="0.25">
      <c r="C65" s="28"/>
      <c r="D65" s="20"/>
      <c r="E65" s="4"/>
      <c r="F65" s="37"/>
      <c r="G65" s="24"/>
      <c r="H65" s="51">
        <f>Assumptions!$D$15</f>
        <v>0.1</v>
      </c>
      <c r="I65" s="45">
        <f>IF(AR[[#This Row],[GST applies?]] = "Yes", (AR[[#This Row],[Invoice value inc. VAT]] / 1 + AR[[#This Row],[GST %]]) * AR[[#This Row],[GST %]], 0)</f>
        <v>0</v>
      </c>
      <c r="J65" s="31">
        <f>_xlfn.XLOOKUP(AR[[#This Row],[Customer name]], Customer_master[Customer name], Customer_master[EOM or Net], 0)</f>
        <v>0</v>
      </c>
      <c r="K65" s="31">
        <f>_xlfn.XLOOKUP(AR[[#This Row],[Customer name]], Customer_master[Customer name], Customer_master[Terms days], 0)</f>
        <v>0</v>
      </c>
      <c r="L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" s="4"/>
      <c r="N65" s="46">
        <f>IF(AR[[#This Row],[Collection date - override (dd/mm/yyyy)]] &lt;&gt; "", AR[[#This Row],[Collection date - override (dd/mm/yyyy)]], AR[[#This Row],[Due date (dd/mm/yyyy)]])</f>
        <v>0</v>
      </c>
      <c r="O65" s="46">
        <f t="shared" si="0"/>
        <v>52</v>
      </c>
    </row>
    <row r="66" spans="3:15" x14ac:dyDescent="0.25">
      <c r="C66" s="28"/>
      <c r="D66" s="20"/>
      <c r="E66" s="4"/>
      <c r="F66" s="37"/>
      <c r="G66" s="24"/>
      <c r="H66" s="51">
        <f>Assumptions!$D$15</f>
        <v>0.1</v>
      </c>
      <c r="I66" s="45">
        <f>IF(AR[[#This Row],[GST applies?]] = "Yes", (AR[[#This Row],[Invoice value inc. VAT]] / 1 + AR[[#This Row],[GST %]]) * AR[[#This Row],[GST %]], 0)</f>
        <v>0</v>
      </c>
      <c r="J66" s="31">
        <f>_xlfn.XLOOKUP(AR[[#This Row],[Customer name]], Customer_master[Customer name], Customer_master[EOM or Net], 0)</f>
        <v>0</v>
      </c>
      <c r="K66" s="31">
        <f>_xlfn.XLOOKUP(AR[[#This Row],[Customer name]], Customer_master[Customer name], Customer_master[Terms days], 0)</f>
        <v>0</v>
      </c>
      <c r="L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" s="4"/>
      <c r="N66" s="46">
        <f>IF(AR[[#This Row],[Collection date - override (dd/mm/yyyy)]] &lt;&gt; "", AR[[#This Row],[Collection date - override (dd/mm/yyyy)]], AR[[#This Row],[Due date (dd/mm/yyyy)]])</f>
        <v>0</v>
      </c>
      <c r="O66" s="46">
        <f t="shared" si="0"/>
        <v>52</v>
      </c>
    </row>
    <row r="67" spans="3:15" x14ac:dyDescent="0.25">
      <c r="C67" s="28"/>
      <c r="D67" s="20"/>
      <c r="E67" s="4"/>
      <c r="F67" s="37"/>
      <c r="G67" s="24"/>
      <c r="H67" s="51">
        <f>Assumptions!$D$15</f>
        <v>0.1</v>
      </c>
      <c r="I67" s="45">
        <f>IF(AR[[#This Row],[GST applies?]] = "Yes", (AR[[#This Row],[Invoice value inc. VAT]] / 1 + AR[[#This Row],[GST %]]) * AR[[#This Row],[GST %]], 0)</f>
        <v>0</v>
      </c>
      <c r="J67" s="31">
        <f>_xlfn.XLOOKUP(AR[[#This Row],[Customer name]], Customer_master[Customer name], Customer_master[EOM or Net], 0)</f>
        <v>0</v>
      </c>
      <c r="K67" s="31">
        <f>_xlfn.XLOOKUP(AR[[#This Row],[Customer name]], Customer_master[Customer name], Customer_master[Terms days], 0)</f>
        <v>0</v>
      </c>
      <c r="L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" s="4"/>
      <c r="N67" s="46">
        <f>IF(AR[[#This Row],[Collection date - override (dd/mm/yyyy)]] &lt;&gt; "", AR[[#This Row],[Collection date - override (dd/mm/yyyy)]], AR[[#This Row],[Due date (dd/mm/yyyy)]])</f>
        <v>0</v>
      </c>
      <c r="O67" s="46">
        <f t="shared" si="0"/>
        <v>52</v>
      </c>
    </row>
    <row r="68" spans="3:15" x14ac:dyDescent="0.25">
      <c r="C68" s="28"/>
      <c r="D68" s="20"/>
      <c r="E68" s="4"/>
      <c r="F68" s="37"/>
      <c r="G68" s="24"/>
      <c r="H68" s="51">
        <f>Assumptions!$D$15</f>
        <v>0.1</v>
      </c>
      <c r="I68" s="45">
        <f>IF(AR[[#This Row],[GST applies?]] = "Yes", (AR[[#This Row],[Invoice value inc. VAT]] / 1 + AR[[#This Row],[GST %]]) * AR[[#This Row],[GST %]], 0)</f>
        <v>0</v>
      </c>
      <c r="J68" s="31">
        <f>_xlfn.XLOOKUP(AR[[#This Row],[Customer name]], Customer_master[Customer name], Customer_master[EOM or Net], 0)</f>
        <v>0</v>
      </c>
      <c r="K68" s="31">
        <f>_xlfn.XLOOKUP(AR[[#This Row],[Customer name]], Customer_master[Customer name], Customer_master[Terms days], 0)</f>
        <v>0</v>
      </c>
      <c r="L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" s="4"/>
      <c r="N68" s="46">
        <f>IF(AR[[#This Row],[Collection date - override (dd/mm/yyyy)]] &lt;&gt; "", AR[[#This Row],[Collection date - override (dd/mm/yyyy)]], AR[[#This Row],[Due date (dd/mm/yyyy)]])</f>
        <v>0</v>
      </c>
      <c r="O68" s="46">
        <f t="shared" si="0"/>
        <v>52</v>
      </c>
    </row>
    <row r="69" spans="3:15" x14ac:dyDescent="0.25">
      <c r="C69" s="28"/>
      <c r="D69" s="20"/>
      <c r="E69" s="4"/>
      <c r="F69" s="37"/>
      <c r="G69" s="24"/>
      <c r="H69" s="51">
        <f>Assumptions!$D$15</f>
        <v>0.1</v>
      </c>
      <c r="I69" s="45">
        <f>IF(AR[[#This Row],[GST applies?]] = "Yes", (AR[[#This Row],[Invoice value inc. VAT]] / 1 + AR[[#This Row],[GST %]]) * AR[[#This Row],[GST %]], 0)</f>
        <v>0</v>
      </c>
      <c r="J69" s="31">
        <f>_xlfn.XLOOKUP(AR[[#This Row],[Customer name]], Customer_master[Customer name], Customer_master[EOM or Net], 0)</f>
        <v>0</v>
      </c>
      <c r="K69" s="31">
        <f>_xlfn.XLOOKUP(AR[[#This Row],[Customer name]], Customer_master[Customer name], Customer_master[Terms days], 0)</f>
        <v>0</v>
      </c>
      <c r="L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" s="4"/>
      <c r="N69" s="46">
        <f>IF(AR[[#This Row],[Collection date - override (dd/mm/yyyy)]] &lt;&gt; "", AR[[#This Row],[Collection date - override (dd/mm/yyyy)]], AR[[#This Row],[Due date (dd/mm/yyyy)]])</f>
        <v>0</v>
      </c>
      <c r="O69" s="46">
        <f t="shared" si="0"/>
        <v>52</v>
      </c>
    </row>
    <row r="70" spans="3:15" x14ac:dyDescent="0.25">
      <c r="C70" s="28"/>
      <c r="D70" s="20"/>
      <c r="E70" s="4"/>
      <c r="F70" s="37"/>
      <c r="G70" s="24"/>
      <c r="H70" s="51">
        <f>Assumptions!$D$15</f>
        <v>0.1</v>
      </c>
      <c r="I70" s="45">
        <f>IF(AR[[#This Row],[GST applies?]] = "Yes", (AR[[#This Row],[Invoice value inc. VAT]] / 1 + AR[[#This Row],[GST %]]) * AR[[#This Row],[GST %]], 0)</f>
        <v>0</v>
      </c>
      <c r="J70" s="31">
        <f>_xlfn.XLOOKUP(AR[[#This Row],[Customer name]], Customer_master[Customer name], Customer_master[EOM or Net], 0)</f>
        <v>0</v>
      </c>
      <c r="K70" s="31">
        <f>_xlfn.XLOOKUP(AR[[#This Row],[Customer name]], Customer_master[Customer name], Customer_master[Terms days], 0)</f>
        <v>0</v>
      </c>
      <c r="L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" s="4"/>
      <c r="N70" s="46">
        <f>IF(AR[[#This Row],[Collection date - override (dd/mm/yyyy)]] &lt;&gt; "", AR[[#This Row],[Collection date - override (dd/mm/yyyy)]], AR[[#This Row],[Due date (dd/mm/yyyy)]])</f>
        <v>0</v>
      </c>
      <c r="O70" s="46">
        <f t="shared" si="0"/>
        <v>52</v>
      </c>
    </row>
    <row r="71" spans="3:15" x14ac:dyDescent="0.25">
      <c r="C71" s="28"/>
      <c r="D71" s="20"/>
      <c r="E71" s="4"/>
      <c r="F71" s="37"/>
      <c r="G71" s="24"/>
      <c r="H71" s="51">
        <f>Assumptions!$D$15</f>
        <v>0.1</v>
      </c>
      <c r="I71" s="45">
        <f>IF(AR[[#This Row],[GST applies?]] = "Yes", (AR[[#This Row],[Invoice value inc. VAT]] / 1 + AR[[#This Row],[GST %]]) * AR[[#This Row],[GST %]], 0)</f>
        <v>0</v>
      </c>
      <c r="J71" s="31">
        <f>_xlfn.XLOOKUP(AR[[#This Row],[Customer name]], Customer_master[Customer name], Customer_master[EOM or Net], 0)</f>
        <v>0</v>
      </c>
      <c r="K71" s="31">
        <f>_xlfn.XLOOKUP(AR[[#This Row],[Customer name]], Customer_master[Customer name], Customer_master[Terms days], 0)</f>
        <v>0</v>
      </c>
      <c r="L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" s="4"/>
      <c r="N71" s="46">
        <f>IF(AR[[#This Row],[Collection date - override (dd/mm/yyyy)]] &lt;&gt; "", AR[[#This Row],[Collection date - override (dd/mm/yyyy)]], AR[[#This Row],[Due date (dd/mm/yyyy)]])</f>
        <v>0</v>
      </c>
      <c r="O71" s="46">
        <f t="shared" si="0"/>
        <v>52</v>
      </c>
    </row>
    <row r="72" spans="3:15" x14ac:dyDescent="0.25">
      <c r="C72" s="28"/>
      <c r="D72" s="20"/>
      <c r="E72" s="4"/>
      <c r="F72" s="37"/>
      <c r="G72" s="24"/>
      <c r="H72" s="51">
        <f>Assumptions!$D$15</f>
        <v>0.1</v>
      </c>
      <c r="I72" s="45">
        <f>IF(AR[[#This Row],[GST applies?]] = "Yes", (AR[[#This Row],[Invoice value inc. VAT]] / 1 + AR[[#This Row],[GST %]]) * AR[[#This Row],[GST %]], 0)</f>
        <v>0</v>
      </c>
      <c r="J72" s="31">
        <f>_xlfn.XLOOKUP(AR[[#This Row],[Customer name]], Customer_master[Customer name], Customer_master[EOM or Net], 0)</f>
        <v>0</v>
      </c>
      <c r="K72" s="31">
        <f>_xlfn.XLOOKUP(AR[[#This Row],[Customer name]], Customer_master[Customer name], Customer_master[Terms days], 0)</f>
        <v>0</v>
      </c>
      <c r="L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" s="4"/>
      <c r="N72" s="46">
        <f>IF(AR[[#This Row],[Collection date - override (dd/mm/yyyy)]] &lt;&gt; "", AR[[#This Row],[Collection date - override (dd/mm/yyyy)]], AR[[#This Row],[Due date (dd/mm/yyyy)]])</f>
        <v>0</v>
      </c>
      <c r="O72" s="46">
        <f t="shared" si="0"/>
        <v>52</v>
      </c>
    </row>
    <row r="73" spans="3:15" x14ac:dyDescent="0.25">
      <c r="C73" s="28"/>
      <c r="D73" s="20"/>
      <c r="E73" s="4"/>
      <c r="F73" s="37"/>
      <c r="G73" s="24"/>
      <c r="H73" s="51">
        <f>Assumptions!$D$15</f>
        <v>0.1</v>
      </c>
      <c r="I73" s="45">
        <f>IF(AR[[#This Row],[GST applies?]] = "Yes", (AR[[#This Row],[Invoice value inc. VAT]] / 1 + AR[[#This Row],[GST %]]) * AR[[#This Row],[GST %]], 0)</f>
        <v>0</v>
      </c>
      <c r="J73" s="31">
        <f>_xlfn.XLOOKUP(AR[[#This Row],[Customer name]], Customer_master[Customer name], Customer_master[EOM or Net], 0)</f>
        <v>0</v>
      </c>
      <c r="K73" s="31">
        <f>_xlfn.XLOOKUP(AR[[#This Row],[Customer name]], Customer_master[Customer name], Customer_master[Terms days], 0)</f>
        <v>0</v>
      </c>
      <c r="L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" s="4"/>
      <c r="N73" s="46">
        <f>IF(AR[[#This Row],[Collection date - override (dd/mm/yyyy)]] &lt;&gt; "", AR[[#This Row],[Collection date - override (dd/mm/yyyy)]], AR[[#This Row],[Due date (dd/mm/yyyy)]])</f>
        <v>0</v>
      </c>
      <c r="O73" s="46">
        <f t="shared" ref="O73:O136" si="1">IF(GST_Freq="Monthly",
    DATE(YEAR(E73), MONTH(E73) + 1, 21),
    IF(GST_Freq="Quarterly",
        IF(MOD(MONTH(E73) + 2 - MOD(MOD(MONTH(E73) - GST_First_Month, 12), 3), 12) = 0,
            DATE(YEAR(E73), MONTH(E73) + 4 - MOD(MOD(MONTH(E73) - GST_First_Month, 12), 3), 28),
            DATE(YEAR(E73), MONTH(E73) + 3 - MOD(MOD(MONTH(E73) - GST_First_Month, 12), 3), 28)
        ),
        "Invalid frequency"
    )
)</f>
        <v>52</v>
      </c>
    </row>
    <row r="74" spans="3:15" x14ac:dyDescent="0.25">
      <c r="C74" s="28"/>
      <c r="D74" s="20"/>
      <c r="E74" s="4"/>
      <c r="F74" s="37"/>
      <c r="G74" s="24"/>
      <c r="H74" s="51">
        <f>Assumptions!$D$15</f>
        <v>0.1</v>
      </c>
      <c r="I74" s="45">
        <f>IF(AR[[#This Row],[GST applies?]] = "Yes", (AR[[#This Row],[Invoice value inc. VAT]] / 1 + AR[[#This Row],[GST %]]) * AR[[#This Row],[GST %]], 0)</f>
        <v>0</v>
      </c>
      <c r="J74" s="31">
        <f>_xlfn.XLOOKUP(AR[[#This Row],[Customer name]], Customer_master[Customer name], Customer_master[EOM or Net], 0)</f>
        <v>0</v>
      </c>
      <c r="K74" s="31">
        <f>_xlfn.XLOOKUP(AR[[#This Row],[Customer name]], Customer_master[Customer name], Customer_master[Terms days], 0)</f>
        <v>0</v>
      </c>
      <c r="L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" s="4"/>
      <c r="N74" s="46">
        <f>IF(AR[[#This Row],[Collection date - override (dd/mm/yyyy)]] &lt;&gt; "", AR[[#This Row],[Collection date - override (dd/mm/yyyy)]], AR[[#This Row],[Due date (dd/mm/yyyy)]])</f>
        <v>0</v>
      </c>
      <c r="O74" s="46">
        <f t="shared" si="1"/>
        <v>52</v>
      </c>
    </row>
    <row r="75" spans="3:15" x14ac:dyDescent="0.25">
      <c r="C75" s="28"/>
      <c r="D75" s="20"/>
      <c r="E75" s="4"/>
      <c r="F75" s="37"/>
      <c r="G75" s="24"/>
      <c r="H75" s="51">
        <f>Assumptions!$D$15</f>
        <v>0.1</v>
      </c>
      <c r="I75" s="45">
        <f>IF(AR[[#This Row],[GST applies?]] = "Yes", (AR[[#This Row],[Invoice value inc. VAT]] / 1 + AR[[#This Row],[GST %]]) * AR[[#This Row],[GST %]], 0)</f>
        <v>0</v>
      </c>
      <c r="J75" s="31">
        <f>_xlfn.XLOOKUP(AR[[#This Row],[Customer name]], Customer_master[Customer name], Customer_master[EOM or Net], 0)</f>
        <v>0</v>
      </c>
      <c r="K75" s="31">
        <f>_xlfn.XLOOKUP(AR[[#This Row],[Customer name]], Customer_master[Customer name], Customer_master[Terms days], 0)</f>
        <v>0</v>
      </c>
      <c r="L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" s="4"/>
      <c r="N75" s="46">
        <f>IF(AR[[#This Row],[Collection date - override (dd/mm/yyyy)]] &lt;&gt; "", AR[[#This Row],[Collection date - override (dd/mm/yyyy)]], AR[[#This Row],[Due date (dd/mm/yyyy)]])</f>
        <v>0</v>
      </c>
      <c r="O75" s="46">
        <f t="shared" si="1"/>
        <v>52</v>
      </c>
    </row>
    <row r="76" spans="3:15" x14ac:dyDescent="0.25">
      <c r="C76" s="28"/>
      <c r="D76" s="20"/>
      <c r="E76" s="4"/>
      <c r="F76" s="37"/>
      <c r="G76" s="24"/>
      <c r="H76" s="51">
        <f>Assumptions!$D$15</f>
        <v>0.1</v>
      </c>
      <c r="I76" s="45">
        <f>IF(AR[[#This Row],[GST applies?]] = "Yes", (AR[[#This Row],[Invoice value inc. VAT]] / 1 + AR[[#This Row],[GST %]]) * AR[[#This Row],[GST %]], 0)</f>
        <v>0</v>
      </c>
      <c r="J76" s="31">
        <f>_xlfn.XLOOKUP(AR[[#This Row],[Customer name]], Customer_master[Customer name], Customer_master[EOM or Net], 0)</f>
        <v>0</v>
      </c>
      <c r="K76" s="31">
        <f>_xlfn.XLOOKUP(AR[[#This Row],[Customer name]], Customer_master[Customer name], Customer_master[Terms days], 0)</f>
        <v>0</v>
      </c>
      <c r="L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" s="4"/>
      <c r="N76" s="46">
        <f>IF(AR[[#This Row],[Collection date - override (dd/mm/yyyy)]] &lt;&gt; "", AR[[#This Row],[Collection date - override (dd/mm/yyyy)]], AR[[#This Row],[Due date (dd/mm/yyyy)]])</f>
        <v>0</v>
      </c>
      <c r="O76" s="46">
        <f t="shared" si="1"/>
        <v>52</v>
      </c>
    </row>
    <row r="77" spans="3:15" x14ac:dyDescent="0.25">
      <c r="C77" s="28"/>
      <c r="D77" s="20"/>
      <c r="E77" s="4"/>
      <c r="F77" s="37"/>
      <c r="G77" s="24"/>
      <c r="H77" s="51">
        <f>Assumptions!$D$15</f>
        <v>0.1</v>
      </c>
      <c r="I77" s="45">
        <f>IF(AR[[#This Row],[GST applies?]] = "Yes", (AR[[#This Row],[Invoice value inc. VAT]] / 1 + AR[[#This Row],[GST %]]) * AR[[#This Row],[GST %]], 0)</f>
        <v>0</v>
      </c>
      <c r="J77" s="31">
        <f>_xlfn.XLOOKUP(AR[[#This Row],[Customer name]], Customer_master[Customer name], Customer_master[EOM or Net], 0)</f>
        <v>0</v>
      </c>
      <c r="K77" s="31">
        <f>_xlfn.XLOOKUP(AR[[#This Row],[Customer name]], Customer_master[Customer name], Customer_master[Terms days], 0)</f>
        <v>0</v>
      </c>
      <c r="L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" s="4"/>
      <c r="N77" s="46">
        <f>IF(AR[[#This Row],[Collection date - override (dd/mm/yyyy)]] &lt;&gt; "", AR[[#This Row],[Collection date - override (dd/mm/yyyy)]], AR[[#This Row],[Due date (dd/mm/yyyy)]])</f>
        <v>0</v>
      </c>
      <c r="O77" s="46">
        <f t="shared" si="1"/>
        <v>52</v>
      </c>
    </row>
    <row r="78" spans="3:15" x14ac:dyDescent="0.25">
      <c r="C78" s="28"/>
      <c r="D78" s="20"/>
      <c r="E78" s="4"/>
      <c r="F78" s="37"/>
      <c r="G78" s="24"/>
      <c r="H78" s="51">
        <f>Assumptions!$D$15</f>
        <v>0.1</v>
      </c>
      <c r="I78" s="45">
        <f>IF(AR[[#This Row],[GST applies?]] = "Yes", (AR[[#This Row],[Invoice value inc. VAT]] / 1 + AR[[#This Row],[GST %]]) * AR[[#This Row],[GST %]], 0)</f>
        <v>0</v>
      </c>
      <c r="J78" s="31">
        <f>_xlfn.XLOOKUP(AR[[#This Row],[Customer name]], Customer_master[Customer name], Customer_master[EOM or Net], 0)</f>
        <v>0</v>
      </c>
      <c r="K78" s="31">
        <f>_xlfn.XLOOKUP(AR[[#This Row],[Customer name]], Customer_master[Customer name], Customer_master[Terms days], 0)</f>
        <v>0</v>
      </c>
      <c r="L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" s="4"/>
      <c r="N78" s="46">
        <f>IF(AR[[#This Row],[Collection date - override (dd/mm/yyyy)]] &lt;&gt; "", AR[[#This Row],[Collection date - override (dd/mm/yyyy)]], AR[[#This Row],[Due date (dd/mm/yyyy)]])</f>
        <v>0</v>
      </c>
      <c r="O78" s="46">
        <f t="shared" si="1"/>
        <v>52</v>
      </c>
    </row>
    <row r="79" spans="3:15" x14ac:dyDescent="0.25">
      <c r="C79" s="28"/>
      <c r="D79" s="20"/>
      <c r="E79" s="4"/>
      <c r="F79" s="37"/>
      <c r="G79" s="24"/>
      <c r="H79" s="51">
        <f>Assumptions!$D$15</f>
        <v>0.1</v>
      </c>
      <c r="I79" s="45">
        <f>IF(AR[[#This Row],[GST applies?]] = "Yes", (AR[[#This Row],[Invoice value inc. VAT]] / 1 + AR[[#This Row],[GST %]]) * AR[[#This Row],[GST %]], 0)</f>
        <v>0</v>
      </c>
      <c r="J79" s="31">
        <f>_xlfn.XLOOKUP(AR[[#This Row],[Customer name]], Customer_master[Customer name], Customer_master[EOM or Net], 0)</f>
        <v>0</v>
      </c>
      <c r="K79" s="31">
        <f>_xlfn.XLOOKUP(AR[[#This Row],[Customer name]], Customer_master[Customer name], Customer_master[Terms days], 0)</f>
        <v>0</v>
      </c>
      <c r="L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" s="4"/>
      <c r="N79" s="46">
        <f>IF(AR[[#This Row],[Collection date - override (dd/mm/yyyy)]] &lt;&gt; "", AR[[#This Row],[Collection date - override (dd/mm/yyyy)]], AR[[#This Row],[Due date (dd/mm/yyyy)]])</f>
        <v>0</v>
      </c>
      <c r="O79" s="46">
        <f t="shared" si="1"/>
        <v>52</v>
      </c>
    </row>
    <row r="80" spans="3:15" x14ac:dyDescent="0.25">
      <c r="C80" s="28"/>
      <c r="D80" s="20"/>
      <c r="E80" s="4"/>
      <c r="F80" s="37"/>
      <c r="G80" s="24"/>
      <c r="H80" s="51">
        <f>Assumptions!$D$15</f>
        <v>0.1</v>
      </c>
      <c r="I80" s="45">
        <f>IF(AR[[#This Row],[GST applies?]] = "Yes", (AR[[#This Row],[Invoice value inc. VAT]] / 1 + AR[[#This Row],[GST %]]) * AR[[#This Row],[GST %]], 0)</f>
        <v>0</v>
      </c>
      <c r="J80" s="31">
        <f>_xlfn.XLOOKUP(AR[[#This Row],[Customer name]], Customer_master[Customer name], Customer_master[EOM or Net], 0)</f>
        <v>0</v>
      </c>
      <c r="K80" s="31">
        <f>_xlfn.XLOOKUP(AR[[#This Row],[Customer name]], Customer_master[Customer name], Customer_master[Terms days], 0)</f>
        <v>0</v>
      </c>
      <c r="L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" s="4"/>
      <c r="N80" s="46">
        <f>IF(AR[[#This Row],[Collection date - override (dd/mm/yyyy)]] &lt;&gt; "", AR[[#This Row],[Collection date - override (dd/mm/yyyy)]], AR[[#This Row],[Due date (dd/mm/yyyy)]])</f>
        <v>0</v>
      </c>
      <c r="O80" s="46">
        <f t="shared" si="1"/>
        <v>52</v>
      </c>
    </row>
    <row r="81" spans="3:15" x14ac:dyDescent="0.25">
      <c r="C81" s="28"/>
      <c r="D81" s="20"/>
      <c r="E81" s="4"/>
      <c r="F81" s="37"/>
      <c r="G81" s="24"/>
      <c r="H81" s="51">
        <f>Assumptions!$D$15</f>
        <v>0.1</v>
      </c>
      <c r="I81" s="45">
        <f>IF(AR[[#This Row],[GST applies?]] = "Yes", (AR[[#This Row],[Invoice value inc. VAT]] / 1 + AR[[#This Row],[GST %]]) * AR[[#This Row],[GST %]], 0)</f>
        <v>0</v>
      </c>
      <c r="J81" s="31">
        <f>_xlfn.XLOOKUP(AR[[#This Row],[Customer name]], Customer_master[Customer name], Customer_master[EOM or Net], 0)</f>
        <v>0</v>
      </c>
      <c r="K81" s="31">
        <f>_xlfn.XLOOKUP(AR[[#This Row],[Customer name]], Customer_master[Customer name], Customer_master[Terms days], 0)</f>
        <v>0</v>
      </c>
      <c r="L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" s="4"/>
      <c r="N81" s="46">
        <f>IF(AR[[#This Row],[Collection date - override (dd/mm/yyyy)]] &lt;&gt; "", AR[[#This Row],[Collection date - override (dd/mm/yyyy)]], AR[[#This Row],[Due date (dd/mm/yyyy)]])</f>
        <v>0</v>
      </c>
      <c r="O81" s="46">
        <f t="shared" si="1"/>
        <v>52</v>
      </c>
    </row>
    <row r="82" spans="3:15" x14ac:dyDescent="0.25">
      <c r="C82" s="28"/>
      <c r="D82" s="20"/>
      <c r="E82" s="4"/>
      <c r="F82" s="37"/>
      <c r="G82" s="24"/>
      <c r="H82" s="51">
        <f>Assumptions!$D$15</f>
        <v>0.1</v>
      </c>
      <c r="I82" s="45">
        <f>IF(AR[[#This Row],[GST applies?]] = "Yes", (AR[[#This Row],[Invoice value inc. VAT]] / 1 + AR[[#This Row],[GST %]]) * AR[[#This Row],[GST %]], 0)</f>
        <v>0</v>
      </c>
      <c r="J82" s="31">
        <f>_xlfn.XLOOKUP(AR[[#This Row],[Customer name]], Customer_master[Customer name], Customer_master[EOM or Net], 0)</f>
        <v>0</v>
      </c>
      <c r="K82" s="31">
        <f>_xlfn.XLOOKUP(AR[[#This Row],[Customer name]], Customer_master[Customer name], Customer_master[Terms days], 0)</f>
        <v>0</v>
      </c>
      <c r="L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" s="4"/>
      <c r="N82" s="46">
        <f>IF(AR[[#This Row],[Collection date - override (dd/mm/yyyy)]] &lt;&gt; "", AR[[#This Row],[Collection date - override (dd/mm/yyyy)]], AR[[#This Row],[Due date (dd/mm/yyyy)]])</f>
        <v>0</v>
      </c>
      <c r="O82" s="46">
        <f t="shared" si="1"/>
        <v>52</v>
      </c>
    </row>
    <row r="83" spans="3:15" x14ac:dyDescent="0.25">
      <c r="C83" s="28"/>
      <c r="D83" s="20"/>
      <c r="E83" s="4"/>
      <c r="F83" s="37"/>
      <c r="G83" s="24"/>
      <c r="H83" s="51">
        <f>Assumptions!$D$15</f>
        <v>0.1</v>
      </c>
      <c r="I83" s="45">
        <f>IF(AR[[#This Row],[GST applies?]] = "Yes", (AR[[#This Row],[Invoice value inc. VAT]] / 1 + AR[[#This Row],[GST %]]) * AR[[#This Row],[GST %]], 0)</f>
        <v>0</v>
      </c>
      <c r="J83" s="31">
        <f>_xlfn.XLOOKUP(AR[[#This Row],[Customer name]], Customer_master[Customer name], Customer_master[EOM or Net], 0)</f>
        <v>0</v>
      </c>
      <c r="K83" s="31">
        <f>_xlfn.XLOOKUP(AR[[#This Row],[Customer name]], Customer_master[Customer name], Customer_master[Terms days], 0)</f>
        <v>0</v>
      </c>
      <c r="L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" s="4"/>
      <c r="N83" s="46">
        <f>IF(AR[[#This Row],[Collection date - override (dd/mm/yyyy)]] &lt;&gt; "", AR[[#This Row],[Collection date - override (dd/mm/yyyy)]], AR[[#This Row],[Due date (dd/mm/yyyy)]])</f>
        <v>0</v>
      </c>
      <c r="O83" s="46">
        <f t="shared" si="1"/>
        <v>52</v>
      </c>
    </row>
    <row r="84" spans="3:15" x14ac:dyDescent="0.25">
      <c r="C84" s="28"/>
      <c r="D84" s="20"/>
      <c r="E84" s="4"/>
      <c r="F84" s="37"/>
      <c r="G84" s="24"/>
      <c r="H84" s="51">
        <f>Assumptions!$D$15</f>
        <v>0.1</v>
      </c>
      <c r="I84" s="45">
        <f>IF(AR[[#This Row],[GST applies?]] = "Yes", (AR[[#This Row],[Invoice value inc. VAT]] / 1 + AR[[#This Row],[GST %]]) * AR[[#This Row],[GST %]], 0)</f>
        <v>0</v>
      </c>
      <c r="J84" s="31">
        <f>_xlfn.XLOOKUP(AR[[#This Row],[Customer name]], Customer_master[Customer name], Customer_master[EOM or Net], 0)</f>
        <v>0</v>
      </c>
      <c r="K84" s="31">
        <f>_xlfn.XLOOKUP(AR[[#This Row],[Customer name]], Customer_master[Customer name], Customer_master[Terms days], 0)</f>
        <v>0</v>
      </c>
      <c r="L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" s="4"/>
      <c r="N84" s="46">
        <f>IF(AR[[#This Row],[Collection date - override (dd/mm/yyyy)]] &lt;&gt; "", AR[[#This Row],[Collection date - override (dd/mm/yyyy)]], AR[[#This Row],[Due date (dd/mm/yyyy)]])</f>
        <v>0</v>
      </c>
      <c r="O84" s="46">
        <f t="shared" si="1"/>
        <v>52</v>
      </c>
    </row>
    <row r="85" spans="3:15" x14ac:dyDescent="0.25">
      <c r="C85" s="28"/>
      <c r="D85" s="20"/>
      <c r="E85" s="4"/>
      <c r="F85" s="37"/>
      <c r="G85" s="24"/>
      <c r="H85" s="51">
        <f>Assumptions!$D$15</f>
        <v>0.1</v>
      </c>
      <c r="I85" s="45">
        <f>IF(AR[[#This Row],[GST applies?]] = "Yes", (AR[[#This Row],[Invoice value inc. VAT]] / 1 + AR[[#This Row],[GST %]]) * AR[[#This Row],[GST %]], 0)</f>
        <v>0</v>
      </c>
      <c r="J85" s="31">
        <f>_xlfn.XLOOKUP(AR[[#This Row],[Customer name]], Customer_master[Customer name], Customer_master[EOM or Net], 0)</f>
        <v>0</v>
      </c>
      <c r="K85" s="31">
        <f>_xlfn.XLOOKUP(AR[[#This Row],[Customer name]], Customer_master[Customer name], Customer_master[Terms days], 0)</f>
        <v>0</v>
      </c>
      <c r="L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" s="4"/>
      <c r="N85" s="46">
        <f>IF(AR[[#This Row],[Collection date - override (dd/mm/yyyy)]] &lt;&gt; "", AR[[#This Row],[Collection date - override (dd/mm/yyyy)]], AR[[#This Row],[Due date (dd/mm/yyyy)]])</f>
        <v>0</v>
      </c>
      <c r="O85" s="46">
        <f t="shared" si="1"/>
        <v>52</v>
      </c>
    </row>
    <row r="86" spans="3:15" x14ac:dyDescent="0.25">
      <c r="C86" s="28"/>
      <c r="D86" s="20"/>
      <c r="E86" s="4"/>
      <c r="F86" s="37"/>
      <c r="G86" s="24"/>
      <c r="H86" s="51">
        <f>Assumptions!$D$15</f>
        <v>0.1</v>
      </c>
      <c r="I86" s="45">
        <f>IF(AR[[#This Row],[GST applies?]] = "Yes", (AR[[#This Row],[Invoice value inc. VAT]] / 1 + AR[[#This Row],[GST %]]) * AR[[#This Row],[GST %]], 0)</f>
        <v>0</v>
      </c>
      <c r="J86" s="31">
        <f>_xlfn.XLOOKUP(AR[[#This Row],[Customer name]], Customer_master[Customer name], Customer_master[EOM or Net], 0)</f>
        <v>0</v>
      </c>
      <c r="K86" s="31">
        <f>_xlfn.XLOOKUP(AR[[#This Row],[Customer name]], Customer_master[Customer name], Customer_master[Terms days], 0)</f>
        <v>0</v>
      </c>
      <c r="L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" s="4"/>
      <c r="N86" s="46">
        <f>IF(AR[[#This Row],[Collection date - override (dd/mm/yyyy)]] &lt;&gt; "", AR[[#This Row],[Collection date - override (dd/mm/yyyy)]], AR[[#This Row],[Due date (dd/mm/yyyy)]])</f>
        <v>0</v>
      </c>
      <c r="O86" s="46">
        <f t="shared" si="1"/>
        <v>52</v>
      </c>
    </row>
    <row r="87" spans="3:15" x14ac:dyDescent="0.25">
      <c r="C87" s="28"/>
      <c r="D87" s="20"/>
      <c r="E87" s="4"/>
      <c r="F87" s="37"/>
      <c r="G87" s="24"/>
      <c r="H87" s="51">
        <f>Assumptions!$D$15</f>
        <v>0.1</v>
      </c>
      <c r="I87" s="45">
        <f>IF(AR[[#This Row],[GST applies?]] = "Yes", (AR[[#This Row],[Invoice value inc. VAT]] / 1 + AR[[#This Row],[GST %]]) * AR[[#This Row],[GST %]], 0)</f>
        <v>0</v>
      </c>
      <c r="J87" s="31">
        <f>_xlfn.XLOOKUP(AR[[#This Row],[Customer name]], Customer_master[Customer name], Customer_master[EOM or Net], 0)</f>
        <v>0</v>
      </c>
      <c r="K87" s="31">
        <f>_xlfn.XLOOKUP(AR[[#This Row],[Customer name]], Customer_master[Customer name], Customer_master[Terms days], 0)</f>
        <v>0</v>
      </c>
      <c r="L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" s="4"/>
      <c r="N87" s="46">
        <f>IF(AR[[#This Row],[Collection date - override (dd/mm/yyyy)]] &lt;&gt; "", AR[[#This Row],[Collection date - override (dd/mm/yyyy)]], AR[[#This Row],[Due date (dd/mm/yyyy)]])</f>
        <v>0</v>
      </c>
      <c r="O87" s="46">
        <f t="shared" si="1"/>
        <v>52</v>
      </c>
    </row>
    <row r="88" spans="3:15" x14ac:dyDescent="0.25">
      <c r="C88" s="28"/>
      <c r="D88" s="20"/>
      <c r="E88" s="4"/>
      <c r="F88" s="37"/>
      <c r="G88" s="24"/>
      <c r="H88" s="51">
        <f>Assumptions!$D$15</f>
        <v>0.1</v>
      </c>
      <c r="I88" s="45">
        <f>IF(AR[[#This Row],[GST applies?]] = "Yes", (AR[[#This Row],[Invoice value inc. VAT]] / 1 + AR[[#This Row],[GST %]]) * AR[[#This Row],[GST %]], 0)</f>
        <v>0</v>
      </c>
      <c r="J88" s="31">
        <f>_xlfn.XLOOKUP(AR[[#This Row],[Customer name]], Customer_master[Customer name], Customer_master[EOM or Net], 0)</f>
        <v>0</v>
      </c>
      <c r="K88" s="31">
        <f>_xlfn.XLOOKUP(AR[[#This Row],[Customer name]], Customer_master[Customer name], Customer_master[Terms days], 0)</f>
        <v>0</v>
      </c>
      <c r="L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" s="4"/>
      <c r="N88" s="46">
        <f>IF(AR[[#This Row],[Collection date - override (dd/mm/yyyy)]] &lt;&gt; "", AR[[#This Row],[Collection date - override (dd/mm/yyyy)]], AR[[#This Row],[Due date (dd/mm/yyyy)]])</f>
        <v>0</v>
      </c>
      <c r="O88" s="46">
        <f t="shared" si="1"/>
        <v>52</v>
      </c>
    </row>
    <row r="89" spans="3:15" x14ac:dyDescent="0.25">
      <c r="C89" s="28"/>
      <c r="D89" s="20"/>
      <c r="E89" s="4"/>
      <c r="F89" s="37"/>
      <c r="G89" s="24"/>
      <c r="H89" s="51">
        <f>Assumptions!$D$15</f>
        <v>0.1</v>
      </c>
      <c r="I89" s="45">
        <f>IF(AR[[#This Row],[GST applies?]] = "Yes", (AR[[#This Row],[Invoice value inc. VAT]] / 1 + AR[[#This Row],[GST %]]) * AR[[#This Row],[GST %]], 0)</f>
        <v>0</v>
      </c>
      <c r="J89" s="31">
        <f>_xlfn.XLOOKUP(AR[[#This Row],[Customer name]], Customer_master[Customer name], Customer_master[EOM or Net], 0)</f>
        <v>0</v>
      </c>
      <c r="K89" s="31">
        <f>_xlfn.XLOOKUP(AR[[#This Row],[Customer name]], Customer_master[Customer name], Customer_master[Terms days], 0)</f>
        <v>0</v>
      </c>
      <c r="L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" s="4"/>
      <c r="N89" s="46">
        <f>IF(AR[[#This Row],[Collection date - override (dd/mm/yyyy)]] &lt;&gt; "", AR[[#This Row],[Collection date - override (dd/mm/yyyy)]], AR[[#This Row],[Due date (dd/mm/yyyy)]])</f>
        <v>0</v>
      </c>
      <c r="O89" s="46">
        <f t="shared" si="1"/>
        <v>52</v>
      </c>
    </row>
    <row r="90" spans="3:15" x14ac:dyDescent="0.25">
      <c r="C90" s="28"/>
      <c r="D90" s="20"/>
      <c r="E90" s="4"/>
      <c r="F90" s="37"/>
      <c r="G90" s="24"/>
      <c r="H90" s="51">
        <f>Assumptions!$D$15</f>
        <v>0.1</v>
      </c>
      <c r="I90" s="45">
        <f>IF(AR[[#This Row],[GST applies?]] = "Yes", (AR[[#This Row],[Invoice value inc. VAT]] / 1 + AR[[#This Row],[GST %]]) * AR[[#This Row],[GST %]], 0)</f>
        <v>0</v>
      </c>
      <c r="J90" s="31">
        <f>_xlfn.XLOOKUP(AR[[#This Row],[Customer name]], Customer_master[Customer name], Customer_master[EOM or Net], 0)</f>
        <v>0</v>
      </c>
      <c r="K90" s="31">
        <f>_xlfn.XLOOKUP(AR[[#This Row],[Customer name]], Customer_master[Customer name], Customer_master[Terms days], 0)</f>
        <v>0</v>
      </c>
      <c r="L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" s="4"/>
      <c r="N90" s="46">
        <f>IF(AR[[#This Row],[Collection date - override (dd/mm/yyyy)]] &lt;&gt; "", AR[[#This Row],[Collection date - override (dd/mm/yyyy)]], AR[[#This Row],[Due date (dd/mm/yyyy)]])</f>
        <v>0</v>
      </c>
      <c r="O90" s="46">
        <f t="shared" si="1"/>
        <v>52</v>
      </c>
    </row>
    <row r="91" spans="3:15" x14ac:dyDescent="0.25">
      <c r="C91" s="28"/>
      <c r="D91" s="20"/>
      <c r="E91" s="4"/>
      <c r="F91" s="37"/>
      <c r="G91" s="24"/>
      <c r="H91" s="51">
        <f>Assumptions!$D$15</f>
        <v>0.1</v>
      </c>
      <c r="I91" s="45">
        <f>IF(AR[[#This Row],[GST applies?]] = "Yes", (AR[[#This Row],[Invoice value inc. VAT]] / 1 + AR[[#This Row],[GST %]]) * AR[[#This Row],[GST %]], 0)</f>
        <v>0</v>
      </c>
      <c r="J91" s="31">
        <f>_xlfn.XLOOKUP(AR[[#This Row],[Customer name]], Customer_master[Customer name], Customer_master[EOM or Net], 0)</f>
        <v>0</v>
      </c>
      <c r="K91" s="31">
        <f>_xlfn.XLOOKUP(AR[[#This Row],[Customer name]], Customer_master[Customer name], Customer_master[Terms days], 0)</f>
        <v>0</v>
      </c>
      <c r="L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" s="4"/>
      <c r="N91" s="46">
        <f>IF(AR[[#This Row],[Collection date - override (dd/mm/yyyy)]] &lt;&gt; "", AR[[#This Row],[Collection date - override (dd/mm/yyyy)]], AR[[#This Row],[Due date (dd/mm/yyyy)]])</f>
        <v>0</v>
      </c>
      <c r="O91" s="46">
        <f t="shared" si="1"/>
        <v>52</v>
      </c>
    </row>
    <row r="92" spans="3:15" x14ac:dyDescent="0.25">
      <c r="C92" s="28"/>
      <c r="D92" s="20"/>
      <c r="E92" s="4"/>
      <c r="F92" s="37"/>
      <c r="G92" s="24"/>
      <c r="H92" s="51">
        <f>Assumptions!$D$15</f>
        <v>0.1</v>
      </c>
      <c r="I92" s="45">
        <f>IF(AR[[#This Row],[GST applies?]] = "Yes", (AR[[#This Row],[Invoice value inc. VAT]] / 1 + AR[[#This Row],[GST %]]) * AR[[#This Row],[GST %]], 0)</f>
        <v>0</v>
      </c>
      <c r="J92" s="31">
        <f>_xlfn.XLOOKUP(AR[[#This Row],[Customer name]], Customer_master[Customer name], Customer_master[EOM or Net], 0)</f>
        <v>0</v>
      </c>
      <c r="K92" s="31">
        <f>_xlfn.XLOOKUP(AR[[#This Row],[Customer name]], Customer_master[Customer name], Customer_master[Terms days], 0)</f>
        <v>0</v>
      </c>
      <c r="L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" s="4"/>
      <c r="N92" s="46">
        <f>IF(AR[[#This Row],[Collection date - override (dd/mm/yyyy)]] &lt;&gt; "", AR[[#This Row],[Collection date - override (dd/mm/yyyy)]], AR[[#This Row],[Due date (dd/mm/yyyy)]])</f>
        <v>0</v>
      </c>
      <c r="O92" s="46">
        <f t="shared" si="1"/>
        <v>52</v>
      </c>
    </row>
    <row r="93" spans="3:15" x14ac:dyDescent="0.25">
      <c r="C93" s="28"/>
      <c r="D93" s="20"/>
      <c r="E93" s="4"/>
      <c r="F93" s="37"/>
      <c r="G93" s="24"/>
      <c r="H93" s="51">
        <f>Assumptions!$D$15</f>
        <v>0.1</v>
      </c>
      <c r="I93" s="45">
        <f>IF(AR[[#This Row],[GST applies?]] = "Yes", (AR[[#This Row],[Invoice value inc. VAT]] / 1 + AR[[#This Row],[GST %]]) * AR[[#This Row],[GST %]], 0)</f>
        <v>0</v>
      </c>
      <c r="J93" s="31">
        <f>_xlfn.XLOOKUP(AR[[#This Row],[Customer name]], Customer_master[Customer name], Customer_master[EOM or Net], 0)</f>
        <v>0</v>
      </c>
      <c r="K93" s="31">
        <f>_xlfn.XLOOKUP(AR[[#This Row],[Customer name]], Customer_master[Customer name], Customer_master[Terms days], 0)</f>
        <v>0</v>
      </c>
      <c r="L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" s="4"/>
      <c r="N93" s="46">
        <f>IF(AR[[#This Row],[Collection date - override (dd/mm/yyyy)]] &lt;&gt; "", AR[[#This Row],[Collection date - override (dd/mm/yyyy)]], AR[[#This Row],[Due date (dd/mm/yyyy)]])</f>
        <v>0</v>
      </c>
      <c r="O93" s="46">
        <f t="shared" si="1"/>
        <v>52</v>
      </c>
    </row>
    <row r="94" spans="3:15" x14ac:dyDescent="0.25">
      <c r="C94" s="28"/>
      <c r="D94" s="20"/>
      <c r="E94" s="4"/>
      <c r="F94" s="37"/>
      <c r="G94" s="24"/>
      <c r="H94" s="51">
        <f>Assumptions!$D$15</f>
        <v>0.1</v>
      </c>
      <c r="I94" s="45">
        <f>IF(AR[[#This Row],[GST applies?]] = "Yes", (AR[[#This Row],[Invoice value inc. VAT]] / 1 + AR[[#This Row],[GST %]]) * AR[[#This Row],[GST %]], 0)</f>
        <v>0</v>
      </c>
      <c r="J94" s="31">
        <f>_xlfn.XLOOKUP(AR[[#This Row],[Customer name]], Customer_master[Customer name], Customer_master[EOM or Net], 0)</f>
        <v>0</v>
      </c>
      <c r="K94" s="31">
        <f>_xlfn.XLOOKUP(AR[[#This Row],[Customer name]], Customer_master[Customer name], Customer_master[Terms days], 0)</f>
        <v>0</v>
      </c>
      <c r="L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" s="4"/>
      <c r="N94" s="46">
        <f>IF(AR[[#This Row],[Collection date - override (dd/mm/yyyy)]] &lt;&gt; "", AR[[#This Row],[Collection date - override (dd/mm/yyyy)]], AR[[#This Row],[Due date (dd/mm/yyyy)]])</f>
        <v>0</v>
      </c>
      <c r="O94" s="46">
        <f t="shared" si="1"/>
        <v>52</v>
      </c>
    </row>
    <row r="95" spans="3:15" x14ac:dyDescent="0.25">
      <c r="C95" s="28"/>
      <c r="D95" s="20"/>
      <c r="E95" s="4"/>
      <c r="F95" s="37"/>
      <c r="G95" s="24"/>
      <c r="H95" s="51">
        <f>Assumptions!$D$15</f>
        <v>0.1</v>
      </c>
      <c r="I95" s="45">
        <f>IF(AR[[#This Row],[GST applies?]] = "Yes", (AR[[#This Row],[Invoice value inc. VAT]] / 1 + AR[[#This Row],[GST %]]) * AR[[#This Row],[GST %]], 0)</f>
        <v>0</v>
      </c>
      <c r="J95" s="31">
        <f>_xlfn.XLOOKUP(AR[[#This Row],[Customer name]], Customer_master[Customer name], Customer_master[EOM or Net], 0)</f>
        <v>0</v>
      </c>
      <c r="K95" s="31">
        <f>_xlfn.XLOOKUP(AR[[#This Row],[Customer name]], Customer_master[Customer name], Customer_master[Terms days], 0)</f>
        <v>0</v>
      </c>
      <c r="L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" s="4"/>
      <c r="N95" s="46">
        <f>IF(AR[[#This Row],[Collection date - override (dd/mm/yyyy)]] &lt;&gt; "", AR[[#This Row],[Collection date - override (dd/mm/yyyy)]], AR[[#This Row],[Due date (dd/mm/yyyy)]])</f>
        <v>0</v>
      </c>
      <c r="O95" s="46">
        <f t="shared" si="1"/>
        <v>52</v>
      </c>
    </row>
    <row r="96" spans="3:15" x14ac:dyDescent="0.25">
      <c r="C96" s="28"/>
      <c r="D96" s="20"/>
      <c r="E96" s="4"/>
      <c r="F96" s="37"/>
      <c r="G96" s="24"/>
      <c r="H96" s="51">
        <f>Assumptions!$D$15</f>
        <v>0.1</v>
      </c>
      <c r="I96" s="45">
        <f>IF(AR[[#This Row],[GST applies?]] = "Yes", (AR[[#This Row],[Invoice value inc. VAT]] / 1 + AR[[#This Row],[GST %]]) * AR[[#This Row],[GST %]], 0)</f>
        <v>0</v>
      </c>
      <c r="J96" s="31">
        <f>_xlfn.XLOOKUP(AR[[#This Row],[Customer name]], Customer_master[Customer name], Customer_master[EOM or Net], 0)</f>
        <v>0</v>
      </c>
      <c r="K96" s="31">
        <f>_xlfn.XLOOKUP(AR[[#This Row],[Customer name]], Customer_master[Customer name], Customer_master[Terms days], 0)</f>
        <v>0</v>
      </c>
      <c r="L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" s="4"/>
      <c r="N96" s="46">
        <f>IF(AR[[#This Row],[Collection date - override (dd/mm/yyyy)]] &lt;&gt; "", AR[[#This Row],[Collection date - override (dd/mm/yyyy)]], AR[[#This Row],[Due date (dd/mm/yyyy)]])</f>
        <v>0</v>
      </c>
      <c r="O96" s="46">
        <f t="shared" si="1"/>
        <v>52</v>
      </c>
    </row>
    <row r="97" spans="3:15" x14ac:dyDescent="0.25">
      <c r="C97" s="28"/>
      <c r="D97" s="20"/>
      <c r="E97" s="4"/>
      <c r="F97" s="37"/>
      <c r="G97" s="24"/>
      <c r="H97" s="51">
        <f>Assumptions!$D$15</f>
        <v>0.1</v>
      </c>
      <c r="I97" s="45">
        <f>IF(AR[[#This Row],[GST applies?]] = "Yes", (AR[[#This Row],[Invoice value inc. VAT]] / 1 + AR[[#This Row],[GST %]]) * AR[[#This Row],[GST %]], 0)</f>
        <v>0</v>
      </c>
      <c r="J97" s="31">
        <f>_xlfn.XLOOKUP(AR[[#This Row],[Customer name]], Customer_master[Customer name], Customer_master[EOM or Net], 0)</f>
        <v>0</v>
      </c>
      <c r="K97" s="31">
        <f>_xlfn.XLOOKUP(AR[[#This Row],[Customer name]], Customer_master[Customer name], Customer_master[Terms days], 0)</f>
        <v>0</v>
      </c>
      <c r="L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" s="4"/>
      <c r="N97" s="46">
        <f>IF(AR[[#This Row],[Collection date - override (dd/mm/yyyy)]] &lt;&gt; "", AR[[#This Row],[Collection date - override (dd/mm/yyyy)]], AR[[#This Row],[Due date (dd/mm/yyyy)]])</f>
        <v>0</v>
      </c>
      <c r="O97" s="46">
        <f t="shared" si="1"/>
        <v>52</v>
      </c>
    </row>
    <row r="98" spans="3:15" x14ac:dyDescent="0.25">
      <c r="C98" s="28"/>
      <c r="D98" s="20"/>
      <c r="E98" s="4"/>
      <c r="F98" s="37"/>
      <c r="G98" s="24"/>
      <c r="H98" s="51">
        <f>Assumptions!$D$15</f>
        <v>0.1</v>
      </c>
      <c r="I98" s="45">
        <f>IF(AR[[#This Row],[GST applies?]] = "Yes", (AR[[#This Row],[Invoice value inc. VAT]] / 1 + AR[[#This Row],[GST %]]) * AR[[#This Row],[GST %]], 0)</f>
        <v>0</v>
      </c>
      <c r="J98" s="31">
        <f>_xlfn.XLOOKUP(AR[[#This Row],[Customer name]], Customer_master[Customer name], Customer_master[EOM or Net], 0)</f>
        <v>0</v>
      </c>
      <c r="K98" s="31">
        <f>_xlfn.XLOOKUP(AR[[#This Row],[Customer name]], Customer_master[Customer name], Customer_master[Terms days], 0)</f>
        <v>0</v>
      </c>
      <c r="L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" s="4"/>
      <c r="N98" s="46">
        <f>IF(AR[[#This Row],[Collection date - override (dd/mm/yyyy)]] &lt;&gt; "", AR[[#This Row],[Collection date - override (dd/mm/yyyy)]], AR[[#This Row],[Due date (dd/mm/yyyy)]])</f>
        <v>0</v>
      </c>
      <c r="O98" s="46">
        <f t="shared" si="1"/>
        <v>52</v>
      </c>
    </row>
    <row r="99" spans="3:15" x14ac:dyDescent="0.25">
      <c r="C99" s="28"/>
      <c r="D99" s="20"/>
      <c r="E99" s="4"/>
      <c r="F99" s="37"/>
      <c r="G99" s="24"/>
      <c r="H99" s="51">
        <f>Assumptions!$D$15</f>
        <v>0.1</v>
      </c>
      <c r="I99" s="45">
        <f>IF(AR[[#This Row],[GST applies?]] = "Yes", (AR[[#This Row],[Invoice value inc. VAT]] / 1 + AR[[#This Row],[GST %]]) * AR[[#This Row],[GST %]], 0)</f>
        <v>0</v>
      </c>
      <c r="J99" s="31">
        <f>_xlfn.XLOOKUP(AR[[#This Row],[Customer name]], Customer_master[Customer name], Customer_master[EOM or Net], 0)</f>
        <v>0</v>
      </c>
      <c r="K99" s="31">
        <f>_xlfn.XLOOKUP(AR[[#This Row],[Customer name]], Customer_master[Customer name], Customer_master[Terms days], 0)</f>
        <v>0</v>
      </c>
      <c r="L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" s="4"/>
      <c r="N99" s="46">
        <f>IF(AR[[#This Row],[Collection date - override (dd/mm/yyyy)]] &lt;&gt; "", AR[[#This Row],[Collection date - override (dd/mm/yyyy)]], AR[[#This Row],[Due date (dd/mm/yyyy)]])</f>
        <v>0</v>
      </c>
      <c r="O99" s="46">
        <f t="shared" si="1"/>
        <v>52</v>
      </c>
    </row>
    <row r="100" spans="3:15" x14ac:dyDescent="0.25">
      <c r="C100" s="28"/>
      <c r="D100" s="20"/>
      <c r="E100" s="4"/>
      <c r="F100" s="37"/>
      <c r="G100" s="24"/>
      <c r="H100" s="51">
        <f>Assumptions!$D$15</f>
        <v>0.1</v>
      </c>
      <c r="I100" s="45">
        <f>IF(AR[[#This Row],[GST applies?]] = "Yes", (AR[[#This Row],[Invoice value inc. VAT]] / 1 + AR[[#This Row],[GST %]]) * AR[[#This Row],[GST %]], 0)</f>
        <v>0</v>
      </c>
      <c r="J100" s="31">
        <f>_xlfn.XLOOKUP(AR[[#This Row],[Customer name]], Customer_master[Customer name], Customer_master[EOM or Net], 0)</f>
        <v>0</v>
      </c>
      <c r="K100" s="31">
        <f>_xlfn.XLOOKUP(AR[[#This Row],[Customer name]], Customer_master[Customer name], Customer_master[Terms days], 0)</f>
        <v>0</v>
      </c>
      <c r="L1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0" s="4"/>
      <c r="N100" s="46">
        <f>IF(AR[[#This Row],[Collection date - override (dd/mm/yyyy)]] &lt;&gt; "", AR[[#This Row],[Collection date - override (dd/mm/yyyy)]], AR[[#This Row],[Due date (dd/mm/yyyy)]])</f>
        <v>0</v>
      </c>
      <c r="O100" s="46">
        <f t="shared" si="1"/>
        <v>52</v>
      </c>
    </row>
    <row r="101" spans="3:15" x14ac:dyDescent="0.25">
      <c r="C101" s="28"/>
      <c r="D101" s="20"/>
      <c r="E101" s="4"/>
      <c r="F101" s="37"/>
      <c r="G101" s="24"/>
      <c r="H101" s="51">
        <f>Assumptions!$D$15</f>
        <v>0.1</v>
      </c>
      <c r="I101" s="45">
        <f>IF(AR[[#This Row],[GST applies?]] = "Yes", (AR[[#This Row],[Invoice value inc. VAT]] / 1 + AR[[#This Row],[GST %]]) * AR[[#This Row],[GST %]], 0)</f>
        <v>0</v>
      </c>
      <c r="J101" s="31">
        <f>_xlfn.XLOOKUP(AR[[#This Row],[Customer name]], Customer_master[Customer name], Customer_master[EOM or Net], 0)</f>
        <v>0</v>
      </c>
      <c r="K101" s="31">
        <f>_xlfn.XLOOKUP(AR[[#This Row],[Customer name]], Customer_master[Customer name], Customer_master[Terms days], 0)</f>
        <v>0</v>
      </c>
      <c r="L1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1" s="4"/>
      <c r="N101" s="46">
        <f>IF(AR[[#This Row],[Collection date - override (dd/mm/yyyy)]] &lt;&gt; "", AR[[#This Row],[Collection date - override (dd/mm/yyyy)]], AR[[#This Row],[Due date (dd/mm/yyyy)]])</f>
        <v>0</v>
      </c>
      <c r="O101" s="46">
        <f t="shared" si="1"/>
        <v>52</v>
      </c>
    </row>
    <row r="102" spans="3:15" x14ac:dyDescent="0.25">
      <c r="C102" s="28"/>
      <c r="D102" s="20"/>
      <c r="E102" s="4"/>
      <c r="F102" s="37"/>
      <c r="G102" s="24"/>
      <c r="H102" s="51">
        <f>Assumptions!$D$15</f>
        <v>0.1</v>
      </c>
      <c r="I102" s="45">
        <f>IF(AR[[#This Row],[GST applies?]] = "Yes", (AR[[#This Row],[Invoice value inc. VAT]] / 1 + AR[[#This Row],[GST %]]) * AR[[#This Row],[GST %]], 0)</f>
        <v>0</v>
      </c>
      <c r="J102" s="31">
        <f>_xlfn.XLOOKUP(AR[[#This Row],[Customer name]], Customer_master[Customer name], Customer_master[EOM or Net], 0)</f>
        <v>0</v>
      </c>
      <c r="K102" s="31">
        <f>_xlfn.XLOOKUP(AR[[#This Row],[Customer name]], Customer_master[Customer name], Customer_master[Terms days], 0)</f>
        <v>0</v>
      </c>
      <c r="L1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2" s="4"/>
      <c r="N102" s="46">
        <f>IF(AR[[#This Row],[Collection date - override (dd/mm/yyyy)]] &lt;&gt; "", AR[[#This Row],[Collection date - override (dd/mm/yyyy)]], AR[[#This Row],[Due date (dd/mm/yyyy)]])</f>
        <v>0</v>
      </c>
      <c r="O102" s="46">
        <f t="shared" si="1"/>
        <v>52</v>
      </c>
    </row>
    <row r="103" spans="3:15" x14ac:dyDescent="0.25">
      <c r="C103" s="28"/>
      <c r="D103" s="20"/>
      <c r="E103" s="4"/>
      <c r="F103" s="37"/>
      <c r="G103" s="24"/>
      <c r="H103" s="51">
        <f>Assumptions!$D$15</f>
        <v>0.1</v>
      </c>
      <c r="I103" s="45">
        <f>IF(AR[[#This Row],[GST applies?]] = "Yes", (AR[[#This Row],[Invoice value inc. VAT]] / 1 + AR[[#This Row],[GST %]]) * AR[[#This Row],[GST %]], 0)</f>
        <v>0</v>
      </c>
      <c r="J103" s="31">
        <f>_xlfn.XLOOKUP(AR[[#This Row],[Customer name]], Customer_master[Customer name], Customer_master[EOM or Net], 0)</f>
        <v>0</v>
      </c>
      <c r="K103" s="31">
        <f>_xlfn.XLOOKUP(AR[[#This Row],[Customer name]], Customer_master[Customer name], Customer_master[Terms days], 0)</f>
        <v>0</v>
      </c>
      <c r="L1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3" s="4"/>
      <c r="N103" s="46">
        <f>IF(AR[[#This Row],[Collection date - override (dd/mm/yyyy)]] &lt;&gt; "", AR[[#This Row],[Collection date - override (dd/mm/yyyy)]], AR[[#This Row],[Due date (dd/mm/yyyy)]])</f>
        <v>0</v>
      </c>
      <c r="O103" s="46">
        <f t="shared" si="1"/>
        <v>52</v>
      </c>
    </row>
    <row r="104" spans="3:15" x14ac:dyDescent="0.25">
      <c r="C104" s="28"/>
      <c r="D104" s="20"/>
      <c r="E104" s="4"/>
      <c r="F104" s="37"/>
      <c r="G104" s="24"/>
      <c r="H104" s="51">
        <f>Assumptions!$D$15</f>
        <v>0.1</v>
      </c>
      <c r="I104" s="45">
        <f>IF(AR[[#This Row],[GST applies?]] = "Yes", (AR[[#This Row],[Invoice value inc. VAT]] / 1 + AR[[#This Row],[GST %]]) * AR[[#This Row],[GST %]], 0)</f>
        <v>0</v>
      </c>
      <c r="J104" s="31">
        <f>_xlfn.XLOOKUP(AR[[#This Row],[Customer name]], Customer_master[Customer name], Customer_master[EOM or Net], 0)</f>
        <v>0</v>
      </c>
      <c r="K104" s="31">
        <f>_xlfn.XLOOKUP(AR[[#This Row],[Customer name]], Customer_master[Customer name], Customer_master[Terms days], 0)</f>
        <v>0</v>
      </c>
      <c r="L1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4" s="4"/>
      <c r="N104" s="46">
        <f>IF(AR[[#This Row],[Collection date - override (dd/mm/yyyy)]] &lt;&gt; "", AR[[#This Row],[Collection date - override (dd/mm/yyyy)]], AR[[#This Row],[Due date (dd/mm/yyyy)]])</f>
        <v>0</v>
      </c>
      <c r="O104" s="46">
        <f t="shared" si="1"/>
        <v>52</v>
      </c>
    </row>
    <row r="105" spans="3:15" x14ac:dyDescent="0.25">
      <c r="C105" s="28"/>
      <c r="D105" s="20"/>
      <c r="E105" s="4"/>
      <c r="F105" s="37"/>
      <c r="G105" s="24"/>
      <c r="H105" s="51">
        <f>Assumptions!$D$15</f>
        <v>0.1</v>
      </c>
      <c r="I105" s="45">
        <f>IF(AR[[#This Row],[GST applies?]] = "Yes", (AR[[#This Row],[Invoice value inc. VAT]] / 1 + AR[[#This Row],[GST %]]) * AR[[#This Row],[GST %]], 0)</f>
        <v>0</v>
      </c>
      <c r="J105" s="31">
        <f>_xlfn.XLOOKUP(AR[[#This Row],[Customer name]], Customer_master[Customer name], Customer_master[EOM or Net], 0)</f>
        <v>0</v>
      </c>
      <c r="K105" s="31">
        <f>_xlfn.XLOOKUP(AR[[#This Row],[Customer name]], Customer_master[Customer name], Customer_master[Terms days], 0)</f>
        <v>0</v>
      </c>
      <c r="L1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5" s="4"/>
      <c r="N105" s="46">
        <f>IF(AR[[#This Row],[Collection date - override (dd/mm/yyyy)]] &lt;&gt; "", AR[[#This Row],[Collection date - override (dd/mm/yyyy)]], AR[[#This Row],[Due date (dd/mm/yyyy)]])</f>
        <v>0</v>
      </c>
      <c r="O105" s="46">
        <f t="shared" si="1"/>
        <v>52</v>
      </c>
    </row>
    <row r="106" spans="3:15" x14ac:dyDescent="0.25">
      <c r="C106" s="28"/>
      <c r="D106" s="20"/>
      <c r="E106" s="4"/>
      <c r="F106" s="37"/>
      <c r="G106" s="24"/>
      <c r="H106" s="51">
        <f>Assumptions!$D$15</f>
        <v>0.1</v>
      </c>
      <c r="I106" s="45">
        <f>IF(AR[[#This Row],[GST applies?]] = "Yes", (AR[[#This Row],[Invoice value inc. VAT]] / 1 + AR[[#This Row],[GST %]]) * AR[[#This Row],[GST %]], 0)</f>
        <v>0</v>
      </c>
      <c r="J106" s="31">
        <f>_xlfn.XLOOKUP(AR[[#This Row],[Customer name]], Customer_master[Customer name], Customer_master[EOM or Net], 0)</f>
        <v>0</v>
      </c>
      <c r="K106" s="31">
        <f>_xlfn.XLOOKUP(AR[[#This Row],[Customer name]], Customer_master[Customer name], Customer_master[Terms days], 0)</f>
        <v>0</v>
      </c>
      <c r="L1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6" s="4"/>
      <c r="N106" s="46">
        <f>IF(AR[[#This Row],[Collection date - override (dd/mm/yyyy)]] &lt;&gt; "", AR[[#This Row],[Collection date - override (dd/mm/yyyy)]], AR[[#This Row],[Due date (dd/mm/yyyy)]])</f>
        <v>0</v>
      </c>
      <c r="O106" s="46">
        <f t="shared" si="1"/>
        <v>52</v>
      </c>
    </row>
    <row r="107" spans="3:15" x14ac:dyDescent="0.25">
      <c r="C107" s="28"/>
      <c r="D107" s="20"/>
      <c r="E107" s="4"/>
      <c r="F107" s="37"/>
      <c r="G107" s="24"/>
      <c r="H107" s="51">
        <f>Assumptions!$D$15</f>
        <v>0.1</v>
      </c>
      <c r="I107" s="45">
        <f>IF(AR[[#This Row],[GST applies?]] = "Yes", (AR[[#This Row],[Invoice value inc. VAT]] / 1 + AR[[#This Row],[GST %]]) * AR[[#This Row],[GST %]], 0)</f>
        <v>0</v>
      </c>
      <c r="J107" s="31">
        <f>_xlfn.XLOOKUP(AR[[#This Row],[Customer name]], Customer_master[Customer name], Customer_master[EOM or Net], 0)</f>
        <v>0</v>
      </c>
      <c r="K107" s="31">
        <f>_xlfn.XLOOKUP(AR[[#This Row],[Customer name]], Customer_master[Customer name], Customer_master[Terms days], 0)</f>
        <v>0</v>
      </c>
      <c r="L1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7" s="4"/>
      <c r="N107" s="46">
        <f>IF(AR[[#This Row],[Collection date - override (dd/mm/yyyy)]] &lt;&gt; "", AR[[#This Row],[Collection date - override (dd/mm/yyyy)]], AR[[#This Row],[Due date (dd/mm/yyyy)]])</f>
        <v>0</v>
      </c>
      <c r="O107" s="46">
        <f t="shared" si="1"/>
        <v>52</v>
      </c>
    </row>
    <row r="108" spans="3:15" x14ac:dyDescent="0.25">
      <c r="C108" s="28"/>
      <c r="D108" s="20"/>
      <c r="E108" s="4"/>
      <c r="F108" s="37"/>
      <c r="G108" s="24"/>
      <c r="H108" s="51">
        <f>Assumptions!$D$15</f>
        <v>0.1</v>
      </c>
      <c r="I108" s="45">
        <f>IF(AR[[#This Row],[GST applies?]] = "Yes", (AR[[#This Row],[Invoice value inc. VAT]] / 1 + AR[[#This Row],[GST %]]) * AR[[#This Row],[GST %]], 0)</f>
        <v>0</v>
      </c>
      <c r="J108" s="31">
        <f>_xlfn.XLOOKUP(AR[[#This Row],[Customer name]], Customer_master[Customer name], Customer_master[EOM or Net], 0)</f>
        <v>0</v>
      </c>
      <c r="K108" s="31">
        <f>_xlfn.XLOOKUP(AR[[#This Row],[Customer name]], Customer_master[Customer name], Customer_master[Terms days], 0)</f>
        <v>0</v>
      </c>
      <c r="L1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8" s="4"/>
      <c r="N108" s="46">
        <f>IF(AR[[#This Row],[Collection date - override (dd/mm/yyyy)]] &lt;&gt; "", AR[[#This Row],[Collection date - override (dd/mm/yyyy)]], AR[[#This Row],[Due date (dd/mm/yyyy)]])</f>
        <v>0</v>
      </c>
      <c r="O108" s="46">
        <f t="shared" si="1"/>
        <v>52</v>
      </c>
    </row>
    <row r="109" spans="3:15" x14ac:dyDescent="0.25">
      <c r="C109" s="28"/>
      <c r="D109" s="20"/>
      <c r="E109" s="4"/>
      <c r="F109" s="37"/>
      <c r="G109" s="24"/>
      <c r="H109" s="51">
        <f>Assumptions!$D$15</f>
        <v>0.1</v>
      </c>
      <c r="I109" s="45">
        <f>IF(AR[[#This Row],[GST applies?]] = "Yes", (AR[[#This Row],[Invoice value inc. VAT]] / 1 + AR[[#This Row],[GST %]]) * AR[[#This Row],[GST %]], 0)</f>
        <v>0</v>
      </c>
      <c r="J109" s="31">
        <f>_xlfn.XLOOKUP(AR[[#This Row],[Customer name]], Customer_master[Customer name], Customer_master[EOM or Net], 0)</f>
        <v>0</v>
      </c>
      <c r="K109" s="31">
        <f>_xlfn.XLOOKUP(AR[[#This Row],[Customer name]], Customer_master[Customer name], Customer_master[Terms days], 0)</f>
        <v>0</v>
      </c>
      <c r="L1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9" s="4"/>
      <c r="N109" s="46">
        <f>IF(AR[[#This Row],[Collection date - override (dd/mm/yyyy)]] &lt;&gt; "", AR[[#This Row],[Collection date - override (dd/mm/yyyy)]], AR[[#This Row],[Due date (dd/mm/yyyy)]])</f>
        <v>0</v>
      </c>
      <c r="O109" s="46">
        <f t="shared" si="1"/>
        <v>52</v>
      </c>
    </row>
    <row r="110" spans="3:15" x14ac:dyDescent="0.25">
      <c r="C110" s="28"/>
      <c r="D110" s="20"/>
      <c r="E110" s="4"/>
      <c r="F110" s="37"/>
      <c r="G110" s="24"/>
      <c r="H110" s="51">
        <f>Assumptions!$D$15</f>
        <v>0.1</v>
      </c>
      <c r="I110" s="45">
        <f>IF(AR[[#This Row],[GST applies?]] = "Yes", (AR[[#This Row],[Invoice value inc. VAT]] / 1 + AR[[#This Row],[GST %]]) * AR[[#This Row],[GST %]], 0)</f>
        <v>0</v>
      </c>
      <c r="J110" s="31">
        <f>_xlfn.XLOOKUP(AR[[#This Row],[Customer name]], Customer_master[Customer name], Customer_master[EOM or Net], 0)</f>
        <v>0</v>
      </c>
      <c r="K110" s="31">
        <f>_xlfn.XLOOKUP(AR[[#This Row],[Customer name]], Customer_master[Customer name], Customer_master[Terms days], 0)</f>
        <v>0</v>
      </c>
      <c r="L1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0" s="4"/>
      <c r="N110" s="46">
        <f>IF(AR[[#This Row],[Collection date - override (dd/mm/yyyy)]] &lt;&gt; "", AR[[#This Row],[Collection date - override (dd/mm/yyyy)]], AR[[#This Row],[Due date (dd/mm/yyyy)]])</f>
        <v>0</v>
      </c>
      <c r="O110" s="46">
        <f t="shared" si="1"/>
        <v>52</v>
      </c>
    </row>
    <row r="111" spans="3:15" x14ac:dyDescent="0.25">
      <c r="C111" s="28"/>
      <c r="D111" s="20"/>
      <c r="E111" s="4"/>
      <c r="F111" s="37"/>
      <c r="G111" s="24"/>
      <c r="H111" s="51">
        <f>Assumptions!$D$15</f>
        <v>0.1</v>
      </c>
      <c r="I111" s="45">
        <f>IF(AR[[#This Row],[GST applies?]] = "Yes", (AR[[#This Row],[Invoice value inc. VAT]] / 1 + AR[[#This Row],[GST %]]) * AR[[#This Row],[GST %]], 0)</f>
        <v>0</v>
      </c>
      <c r="J111" s="31">
        <f>_xlfn.XLOOKUP(AR[[#This Row],[Customer name]], Customer_master[Customer name], Customer_master[EOM or Net], 0)</f>
        <v>0</v>
      </c>
      <c r="K111" s="31">
        <f>_xlfn.XLOOKUP(AR[[#This Row],[Customer name]], Customer_master[Customer name], Customer_master[Terms days], 0)</f>
        <v>0</v>
      </c>
      <c r="L1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1" s="4"/>
      <c r="N111" s="46">
        <f>IF(AR[[#This Row],[Collection date - override (dd/mm/yyyy)]] &lt;&gt; "", AR[[#This Row],[Collection date - override (dd/mm/yyyy)]], AR[[#This Row],[Due date (dd/mm/yyyy)]])</f>
        <v>0</v>
      </c>
      <c r="O111" s="46">
        <f t="shared" si="1"/>
        <v>52</v>
      </c>
    </row>
    <row r="112" spans="3:15" x14ac:dyDescent="0.25">
      <c r="C112" s="28"/>
      <c r="D112" s="20"/>
      <c r="E112" s="4"/>
      <c r="F112" s="37"/>
      <c r="G112" s="24"/>
      <c r="H112" s="51">
        <f>Assumptions!$D$15</f>
        <v>0.1</v>
      </c>
      <c r="I112" s="45">
        <f>IF(AR[[#This Row],[GST applies?]] = "Yes", (AR[[#This Row],[Invoice value inc. VAT]] / 1 + AR[[#This Row],[GST %]]) * AR[[#This Row],[GST %]], 0)</f>
        <v>0</v>
      </c>
      <c r="J112" s="31">
        <f>_xlfn.XLOOKUP(AR[[#This Row],[Customer name]], Customer_master[Customer name], Customer_master[EOM or Net], 0)</f>
        <v>0</v>
      </c>
      <c r="K112" s="31">
        <f>_xlfn.XLOOKUP(AR[[#This Row],[Customer name]], Customer_master[Customer name], Customer_master[Terms days], 0)</f>
        <v>0</v>
      </c>
      <c r="L1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2" s="4"/>
      <c r="N112" s="46">
        <f>IF(AR[[#This Row],[Collection date - override (dd/mm/yyyy)]] &lt;&gt; "", AR[[#This Row],[Collection date - override (dd/mm/yyyy)]], AR[[#This Row],[Due date (dd/mm/yyyy)]])</f>
        <v>0</v>
      </c>
      <c r="O112" s="46">
        <f t="shared" si="1"/>
        <v>52</v>
      </c>
    </row>
    <row r="113" spans="3:15" x14ac:dyDescent="0.25">
      <c r="C113" s="28"/>
      <c r="D113" s="20"/>
      <c r="E113" s="4"/>
      <c r="F113" s="37"/>
      <c r="G113" s="24"/>
      <c r="H113" s="51">
        <f>Assumptions!$D$15</f>
        <v>0.1</v>
      </c>
      <c r="I113" s="45">
        <f>IF(AR[[#This Row],[GST applies?]] = "Yes", (AR[[#This Row],[Invoice value inc. VAT]] / 1 + AR[[#This Row],[GST %]]) * AR[[#This Row],[GST %]], 0)</f>
        <v>0</v>
      </c>
      <c r="J113" s="31">
        <f>_xlfn.XLOOKUP(AR[[#This Row],[Customer name]], Customer_master[Customer name], Customer_master[EOM or Net], 0)</f>
        <v>0</v>
      </c>
      <c r="K113" s="31">
        <f>_xlfn.XLOOKUP(AR[[#This Row],[Customer name]], Customer_master[Customer name], Customer_master[Terms days], 0)</f>
        <v>0</v>
      </c>
      <c r="L1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3" s="4"/>
      <c r="N113" s="46">
        <f>IF(AR[[#This Row],[Collection date - override (dd/mm/yyyy)]] &lt;&gt; "", AR[[#This Row],[Collection date - override (dd/mm/yyyy)]], AR[[#This Row],[Due date (dd/mm/yyyy)]])</f>
        <v>0</v>
      </c>
      <c r="O113" s="46">
        <f t="shared" si="1"/>
        <v>52</v>
      </c>
    </row>
    <row r="114" spans="3:15" x14ac:dyDescent="0.25">
      <c r="C114" s="28"/>
      <c r="D114" s="20"/>
      <c r="E114" s="4"/>
      <c r="F114" s="37"/>
      <c r="G114" s="24"/>
      <c r="H114" s="51">
        <f>Assumptions!$D$15</f>
        <v>0.1</v>
      </c>
      <c r="I114" s="45">
        <f>IF(AR[[#This Row],[GST applies?]] = "Yes", (AR[[#This Row],[Invoice value inc. VAT]] / 1 + AR[[#This Row],[GST %]]) * AR[[#This Row],[GST %]], 0)</f>
        <v>0</v>
      </c>
      <c r="J114" s="31">
        <f>_xlfn.XLOOKUP(AR[[#This Row],[Customer name]], Customer_master[Customer name], Customer_master[EOM or Net], 0)</f>
        <v>0</v>
      </c>
      <c r="K114" s="31">
        <f>_xlfn.XLOOKUP(AR[[#This Row],[Customer name]], Customer_master[Customer name], Customer_master[Terms days], 0)</f>
        <v>0</v>
      </c>
      <c r="L1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4" s="4"/>
      <c r="N114" s="46">
        <f>IF(AR[[#This Row],[Collection date - override (dd/mm/yyyy)]] &lt;&gt; "", AR[[#This Row],[Collection date - override (dd/mm/yyyy)]], AR[[#This Row],[Due date (dd/mm/yyyy)]])</f>
        <v>0</v>
      </c>
      <c r="O114" s="46">
        <f t="shared" si="1"/>
        <v>52</v>
      </c>
    </row>
    <row r="115" spans="3:15" x14ac:dyDescent="0.25">
      <c r="C115" s="28"/>
      <c r="D115" s="20"/>
      <c r="E115" s="4"/>
      <c r="F115" s="37"/>
      <c r="G115" s="24"/>
      <c r="H115" s="51">
        <f>Assumptions!$D$15</f>
        <v>0.1</v>
      </c>
      <c r="I115" s="45">
        <f>IF(AR[[#This Row],[GST applies?]] = "Yes", (AR[[#This Row],[Invoice value inc. VAT]] / 1 + AR[[#This Row],[GST %]]) * AR[[#This Row],[GST %]], 0)</f>
        <v>0</v>
      </c>
      <c r="J115" s="31">
        <f>_xlfn.XLOOKUP(AR[[#This Row],[Customer name]], Customer_master[Customer name], Customer_master[EOM or Net], 0)</f>
        <v>0</v>
      </c>
      <c r="K115" s="31">
        <f>_xlfn.XLOOKUP(AR[[#This Row],[Customer name]], Customer_master[Customer name], Customer_master[Terms days], 0)</f>
        <v>0</v>
      </c>
      <c r="L1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5" s="4"/>
      <c r="N115" s="46">
        <f>IF(AR[[#This Row],[Collection date - override (dd/mm/yyyy)]] &lt;&gt; "", AR[[#This Row],[Collection date - override (dd/mm/yyyy)]], AR[[#This Row],[Due date (dd/mm/yyyy)]])</f>
        <v>0</v>
      </c>
      <c r="O115" s="46">
        <f t="shared" si="1"/>
        <v>52</v>
      </c>
    </row>
    <row r="116" spans="3:15" x14ac:dyDescent="0.25">
      <c r="C116" s="28"/>
      <c r="D116" s="20"/>
      <c r="E116" s="4"/>
      <c r="F116" s="37"/>
      <c r="G116" s="24"/>
      <c r="H116" s="51">
        <f>Assumptions!$D$15</f>
        <v>0.1</v>
      </c>
      <c r="I116" s="45">
        <f>IF(AR[[#This Row],[GST applies?]] = "Yes", (AR[[#This Row],[Invoice value inc. VAT]] / 1 + AR[[#This Row],[GST %]]) * AR[[#This Row],[GST %]], 0)</f>
        <v>0</v>
      </c>
      <c r="J116" s="31">
        <f>_xlfn.XLOOKUP(AR[[#This Row],[Customer name]], Customer_master[Customer name], Customer_master[EOM or Net], 0)</f>
        <v>0</v>
      </c>
      <c r="K116" s="31">
        <f>_xlfn.XLOOKUP(AR[[#This Row],[Customer name]], Customer_master[Customer name], Customer_master[Terms days], 0)</f>
        <v>0</v>
      </c>
      <c r="L1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6" s="4"/>
      <c r="N116" s="46">
        <f>IF(AR[[#This Row],[Collection date - override (dd/mm/yyyy)]] &lt;&gt; "", AR[[#This Row],[Collection date - override (dd/mm/yyyy)]], AR[[#This Row],[Due date (dd/mm/yyyy)]])</f>
        <v>0</v>
      </c>
      <c r="O116" s="46">
        <f t="shared" si="1"/>
        <v>52</v>
      </c>
    </row>
    <row r="117" spans="3:15" x14ac:dyDescent="0.25">
      <c r="C117" s="28"/>
      <c r="D117" s="20"/>
      <c r="E117" s="4"/>
      <c r="F117" s="37"/>
      <c r="G117" s="24"/>
      <c r="H117" s="51">
        <f>Assumptions!$D$15</f>
        <v>0.1</v>
      </c>
      <c r="I117" s="45">
        <f>IF(AR[[#This Row],[GST applies?]] = "Yes", (AR[[#This Row],[Invoice value inc. VAT]] / 1 + AR[[#This Row],[GST %]]) * AR[[#This Row],[GST %]], 0)</f>
        <v>0</v>
      </c>
      <c r="J117" s="31">
        <f>_xlfn.XLOOKUP(AR[[#This Row],[Customer name]], Customer_master[Customer name], Customer_master[EOM or Net], 0)</f>
        <v>0</v>
      </c>
      <c r="K117" s="31">
        <f>_xlfn.XLOOKUP(AR[[#This Row],[Customer name]], Customer_master[Customer name], Customer_master[Terms days], 0)</f>
        <v>0</v>
      </c>
      <c r="L1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7" s="4"/>
      <c r="N117" s="46">
        <f>IF(AR[[#This Row],[Collection date - override (dd/mm/yyyy)]] &lt;&gt; "", AR[[#This Row],[Collection date - override (dd/mm/yyyy)]], AR[[#This Row],[Due date (dd/mm/yyyy)]])</f>
        <v>0</v>
      </c>
      <c r="O117" s="46">
        <f t="shared" si="1"/>
        <v>52</v>
      </c>
    </row>
    <row r="118" spans="3:15" x14ac:dyDescent="0.25">
      <c r="C118" s="28"/>
      <c r="D118" s="20"/>
      <c r="E118" s="4"/>
      <c r="F118" s="37"/>
      <c r="G118" s="24"/>
      <c r="H118" s="51">
        <f>Assumptions!$D$15</f>
        <v>0.1</v>
      </c>
      <c r="I118" s="45">
        <f>IF(AR[[#This Row],[GST applies?]] = "Yes", (AR[[#This Row],[Invoice value inc. VAT]] / 1 + AR[[#This Row],[GST %]]) * AR[[#This Row],[GST %]], 0)</f>
        <v>0</v>
      </c>
      <c r="J118" s="31">
        <f>_xlfn.XLOOKUP(AR[[#This Row],[Customer name]], Customer_master[Customer name], Customer_master[EOM or Net], 0)</f>
        <v>0</v>
      </c>
      <c r="K118" s="31">
        <f>_xlfn.XLOOKUP(AR[[#This Row],[Customer name]], Customer_master[Customer name], Customer_master[Terms days], 0)</f>
        <v>0</v>
      </c>
      <c r="L1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8" s="4"/>
      <c r="N118" s="46">
        <f>IF(AR[[#This Row],[Collection date - override (dd/mm/yyyy)]] &lt;&gt; "", AR[[#This Row],[Collection date - override (dd/mm/yyyy)]], AR[[#This Row],[Due date (dd/mm/yyyy)]])</f>
        <v>0</v>
      </c>
      <c r="O118" s="46">
        <f t="shared" si="1"/>
        <v>52</v>
      </c>
    </row>
    <row r="119" spans="3:15" x14ac:dyDescent="0.25">
      <c r="C119" s="28"/>
      <c r="D119" s="20"/>
      <c r="E119" s="4"/>
      <c r="F119" s="37"/>
      <c r="G119" s="24"/>
      <c r="H119" s="51">
        <f>Assumptions!$D$15</f>
        <v>0.1</v>
      </c>
      <c r="I119" s="45">
        <f>IF(AR[[#This Row],[GST applies?]] = "Yes", (AR[[#This Row],[Invoice value inc. VAT]] / 1 + AR[[#This Row],[GST %]]) * AR[[#This Row],[GST %]], 0)</f>
        <v>0</v>
      </c>
      <c r="J119" s="31">
        <f>_xlfn.XLOOKUP(AR[[#This Row],[Customer name]], Customer_master[Customer name], Customer_master[EOM or Net], 0)</f>
        <v>0</v>
      </c>
      <c r="K119" s="31">
        <f>_xlfn.XLOOKUP(AR[[#This Row],[Customer name]], Customer_master[Customer name], Customer_master[Terms days], 0)</f>
        <v>0</v>
      </c>
      <c r="L1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9" s="4"/>
      <c r="N119" s="46">
        <f>IF(AR[[#This Row],[Collection date - override (dd/mm/yyyy)]] &lt;&gt; "", AR[[#This Row],[Collection date - override (dd/mm/yyyy)]], AR[[#This Row],[Due date (dd/mm/yyyy)]])</f>
        <v>0</v>
      </c>
      <c r="O119" s="46">
        <f t="shared" si="1"/>
        <v>52</v>
      </c>
    </row>
    <row r="120" spans="3:15" x14ac:dyDescent="0.25">
      <c r="C120" s="28"/>
      <c r="D120" s="20"/>
      <c r="E120" s="4"/>
      <c r="F120" s="37"/>
      <c r="G120" s="24"/>
      <c r="H120" s="51">
        <f>Assumptions!$D$15</f>
        <v>0.1</v>
      </c>
      <c r="I120" s="45">
        <f>IF(AR[[#This Row],[GST applies?]] = "Yes", (AR[[#This Row],[Invoice value inc. VAT]] / 1 + AR[[#This Row],[GST %]]) * AR[[#This Row],[GST %]], 0)</f>
        <v>0</v>
      </c>
      <c r="J120" s="31">
        <f>_xlfn.XLOOKUP(AR[[#This Row],[Customer name]], Customer_master[Customer name], Customer_master[EOM or Net], 0)</f>
        <v>0</v>
      </c>
      <c r="K120" s="31">
        <f>_xlfn.XLOOKUP(AR[[#This Row],[Customer name]], Customer_master[Customer name], Customer_master[Terms days], 0)</f>
        <v>0</v>
      </c>
      <c r="L1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0" s="4"/>
      <c r="N120" s="46">
        <f>IF(AR[[#This Row],[Collection date - override (dd/mm/yyyy)]] &lt;&gt; "", AR[[#This Row],[Collection date - override (dd/mm/yyyy)]], AR[[#This Row],[Due date (dd/mm/yyyy)]])</f>
        <v>0</v>
      </c>
      <c r="O120" s="46">
        <f t="shared" si="1"/>
        <v>52</v>
      </c>
    </row>
    <row r="121" spans="3:15" x14ac:dyDescent="0.25">
      <c r="C121" s="28"/>
      <c r="D121" s="20"/>
      <c r="E121" s="4"/>
      <c r="F121" s="37"/>
      <c r="G121" s="24"/>
      <c r="H121" s="51">
        <f>Assumptions!$D$15</f>
        <v>0.1</v>
      </c>
      <c r="I121" s="45">
        <f>IF(AR[[#This Row],[GST applies?]] = "Yes", (AR[[#This Row],[Invoice value inc. VAT]] / 1 + AR[[#This Row],[GST %]]) * AR[[#This Row],[GST %]], 0)</f>
        <v>0</v>
      </c>
      <c r="J121" s="31">
        <f>_xlfn.XLOOKUP(AR[[#This Row],[Customer name]], Customer_master[Customer name], Customer_master[EOM or Net], 0)</f>
        <v>0</v>
      </c>
      <c r="K121" s="31">
        <f>_xlfn.XLOOKUP(AR[[#This Row],[Customer name]], Customer_master[Customer name], Customer_master[Terms days], 0)</f>
        <v>0</v>
      </c>
      <c r="L1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1" s="4"/>
      <c r="N121" s="46">
        <f>IF(AR[[#This Row],[Collection date - override (dd/mm/yyyy)]] &lt;&gt; "", AR[[#This Row],[Collection date - override (dd/mm/yyyy)]], AR[[#This Row],[Due date (dd/mm/yyyy)]])</f>
        <v>0</v>
      </c>
      <c r="O121" s="46">
        <f t="shared" si="1"/>
        <v>52</v>
      </c>
    </row>
    <row r="122" spans="3:15" x14ac:dyDescent="0.25">
      <c r="C122" s="28"/>
      <c r="D122" s="20"/>
      <c r="E122" s="4"/>
      <c r="F122" s="37"/>
      <c r="G122" s="24"/>
      <c r="H122" s="51">
        <f>Assumptions!$D$15</f>
        <v>0.1</v>
      </c>
      <c r="I122" s="45">
        <f>IF(AR[[#This Row],[GST applies?]] = "Yes", (AR[[#This Row],[Invoice value inc. VAT]] / 1 + AR[[#This Row],[GST %]]) * AR[[#This Row],[GST %]], 0)</f>
        <v>0</v>
      </c>
      <c r="J122" s="31">
        <f>_xlfn.XLOOKUP(AR[[#This Row],[Customer name]], Customer_master[Customer name], Customer_master[EOM or Net], 0)</f>
        <v>0</v>
      </c>
      <c r="K122" s="31">
        <f>_xlfn.XLOOKUP(AR[[#This Row],[Customer name]], Customer_master[Customer name], Customer_master[Terms days], 0)</f>
        <v>0</v>
      </c>
      <c r="L1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2" s="4"/>
      <c r="N122" s="46">
        <f>IF(AR[[#This Row],[Collection date - override (dd/mm/yyyy)]] &lt;&gt; "", AR[[#This Row],[Collection date - override (dd/mm/yyyy)]], AR[[#This Row],[Due date (dd/mm/yyyy)]])</f>
        <v>0</v>
      </c>
      <c r="O122" s="46">
        <f t="shared" si="1"/>
        <v>52</v>
      </c>
    </row>
    <row r="123" spans="3:15" x14ac:dyDescent="0.25">
      <c r="C123" s="28"/>
      <c r="D123" s="20"/>
      <c r="E123" s="4"/>
      <c r="F123" s="37"/>
      <c r="G123" s="24"/>
      <c r="H123" s="51">
        <f>Assumptions!$D$15</f>
        <v>0.1</v>
      </c>
      <c r="I123" s="45">
        <f>IF(AR[[#This Row],[GST applies?]] = "Yes", (AR[[#This Row],[Invoice value inc. VAT]] / 1 + AR[[#This Row],[GST %]]) * AR[[#This Row],[GST %]], 0)</f>
        <v>0</v>
      </c>
      <c r="J123" s="31">
        <f>_xlfn.XLOOKUP(AR[[#This Row],[Customer name]], Customer_master[Customer name], Customer_master[EOM or Net], 0)</f>
        <v>0</v>
      </c>
      <c r="K123" s="31">
        <f>_xlfn.XLOOKUP(AR[[#This Row],[Customer name]], Customer_master[Customer name], Customer_master[Terms days], 0)</f>
        <v>0</v>
      </c>
      <c r="L1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3" s="4"/>
      <c r="N123" s="46">
        <f>IF(AR[[#This Row],[Collection date - override (dd/mm/yyyy)]] &lt;&gt; "", AR[[#This Row],[Collection date - override (dd/mm/yyyy)]], AR[[#This Row],[Due date (dd/mm/yyyy)]])</f>
        <v>0</v>
      </c>
      <c r="O123" s="46">
        <f t="shared" si="1"/>
        <v>52</v>
      </c>
    </row>
    <row r="124" spans="3:15" x14ac:dyDescent="0.25">
      <c r="C124" s="28"/>
      <c r="D124" s="20"/>
      <c r="E124" s="4"/>
      <c r="F124" s="37"/>
      <c r="G124" s="24"/>
      <c r="H124" s="51">
        <f>Assumptions!$D$15</f>
        <v>0.1</v>
      </c>
      <c r="I124" s="45">
        <f>IF(AR[[#This Row],[GST applies?]] = "Yes", (AR[[#This Row],[Invoice value inc. VAT]] / 1 + AR[[#This Row],[GST %]]) * AR[[#This Row],[GST %]], 0)</f>
        <v>0</v>
      </c>
      <c r="J124" s="31">
        <f>_xlfn.XLOOKUP(AR[[#This Row],[Customer name]], Customer_master[Customer name], Customer_master[EOM or Net], 0)</f>
        <v>0</v>
      </c>
      <c r="K124" s="31">
        <f>_xlfn.XLOOKUP(AR[[#This Row],[Customer name]], Customer_master[Customer name], Customer_master[Terms days], 0)</f>
        <v>0</v>
      </c>
      <c r="L1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4" s="4"/>
      <c r="N124" s="46">
        <f>IF(AR[[#This Row],[Collection date - override (dd/mm/yyyy)]] &lt;&gt; "", AR[[#This Row],[Collection date - override (dd/mm/yyyy)]], AR[[#This Row],[Due date (dd/mm/yyyy)]])</f>
        <v>0</v>
      </c>
      <c r="O124" s="46">
        <f t="shared" si="1"/>
        <v>52</v>
      </c>
    </row>
    <row r="125" spans="3:15" x14ac:dyDescent="0.25">
      <c r="C125" s="28"/>
      <c r="D125" s="20"/>
      <c r="E125" s="4"/>
      <c r="F125" s="37"/>
      <c r="G125" s="24"/>
      <c r="H125" s="51">
        <f>Assumptions!$D$15</f>
        <v>0.1</v>
      </c>
      <c r="I125" s="45">
        <f>IF(AR[[#This Row],[GST applies?]] = "Yes", (AR[[#This Row],[Invoice value inc. VAT]] / 1 + AR[[#This Row],[GST %]]) * AR[[#This Row],[GST %]], 0)</f>
        <v>0</v>
      </c>
      <c r="J125" s="31">
        <f>_xlfn.XLOOKUP(AR[[#This Row],[Customer name]], Customer_master[Customer name], Customer_master[EOM or Net], 0)</f>
        <v>0</v>
      </c>
      <c r="K125" s="31">
        <f>_xlfn.XLOOKUP(AR[[#This Row],[Customer name]], Customer_master[Customer name], Customer_master[Terms days], 0)</f>
        <v>0</v>
      </c>
      <c r="L1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5" s="4"/>
      <c r="N125" s="46">
        <f>IF(AR[[#This Row],[Collection date - override (dd/mm/yyyy)]] &lt;&gt; "", AR[[#This Row],[Collection date - override (dd/mm/yyyy)]], AR[[#This Row],[Due date (dd/mm/yyyy)]])</f>
        <v>0</v>
      </c>
      <c r="O125" s="46">
        <f t="shared" si="1"/>
        <v>52</v>
      </c>
    </row>
    <row r="126" spans="3:15" x14ac:dyDescent="0.25">
      <c r="C126" s="28"/>
      <c r="D126" s="20"/>
      <c r="E126" s="4"/>
      <c r="F126" s="37"/>
      <c r="G126" s="24"/>
      <c r="H126" s="51">
        <f>Assumptions!$D$15</f>
        <v>0.1</v>
      </c>
      <c r="I126" s="45">
        <f>IF(AR[[#This Row],[GST applies?]] = "Yes", (AR[[#This Row],[Invoice value inc. VAT]] / 1 + AR[[#This Row],[GST %]]) * AR[[#This Row],[GST %]], 0)</f>
        <v>0</v>
      </c>
      <c r="J126" s="31">
        <f>_xlfn.XLOOKUP(AR[[#This Row],[Customer name]], Customer_master[Customer name], Customer_master[EOM or Net], 0)</f>
        <v>0</v>
      </c>
      <c r="K126" s="31">
        <f>_xlfn.XLOOKUP(AR[[#This Row],[Customer name]], Customer_master[Customer name], Customer_master[Terms days], 0)</f>
        <v>0</v>
      </c>
      <c r="L1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6" s="4"/>
      <c r="N126" s="46">
        <f>IF(AR[[#This Row],[Collection date - override (dd/mm/yyyy)]] &lt;&gt; "", AR[[#This Row],[Collection date - override (dd/mm/yyyy)]], AR[[#This Row],[Due date (dd/mm/yyyy)]])</f>
        <v>0</v>
      </c>
      <c r="O126" s="46">
        <f t="shared" si="1"/>
        <v>52</v>
      </c>
    </row>
    <row r="127" spans="3:15" x14ac:dyDescent="0.25">
      <c r="C127" s="28"/>
      <c r="D127" s="20"/>
      <c r="E127" s="4"/>
      <c r="F127" s="37"/>
      <c r="G127" s="24"/>
      <c r="H127" s="51">
        <f>Assumptions!$D$15</f>
        <v>0.1</v>
      </c>
      <c r="I127" s="45">
        <f>IF(AR[[#This Row],[GST applies?]] = "Yes", (AR[[#This Row],[Invoice value inc. VAT]] / 1 + AR[[#This Row],[GST %]]) * AR[[#This Row],[GST %]], 0)</f>
        <v>0</v>
      </c>
      <c r="J127" s="31">
        <f>_xlfn.XLOOKUP(AR[[#This Row],[Customer name]], Customer_master[Customer name], Customer_master[EOM or Net], 0)</f>
        <v>0</v>
      </c>
      <c r="K127" s="31">
        <f>_xlfn.XLOOKUP(AR[[#This Row],[Customer name]], Customer_master[Customer name], Customer_master[Terms days], 0)</f>
        <v>0</v>
      </c>
      <c r="L1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7" s="4"/>
      <c r="N127" s="46">
        <f>IF(AR[[#This Row],[Collection date - override (dd/mm/yyyy)]] &lt;&gt; "", AR[[#This Row],[Collection date - override (dd/mm/yyyy)]], AR[[#This Row],[Due date (dd/mm/yyyy)]])</f>
        <v>0</v>
      </c>
      <c r="O127" s="46">
        <f t="shared" si="1"/>
        <v>52</v>
      </c>
    </row>
    <row r="128" spans="3:15" x14ac:dyDescent="0.25">
      <c r="C128" s="28"/>
      <c r="D128" s="20"/>
      <c r="E128" s="4"/>
      <c r="F128" s="37"/>
      <c r="G128" s="24"/>
      <c r="H128" s="51">
        <f>Assumptions!$D$15</f>
        <v>0.1</v>
      </c>
      <c r="I128" s="45">
        <f>IF(AR[[#This Row],[GST applies?]] = "Yes", (AR[[#This Row],[Invoice value inc. VAT]] / 1 + AR[[#This Row],[GST %]]) * AR[[#This Row],[GST %]], 0)</f>
        <v>0</v>
      </c>
      <c r="J128" s="31">
        <f>_xlfn.XLOOKUP(AR[[#This Row],[Customer name]], Customer_master[Customer name], Customer_master[EOM or Net], 0)</f>
        <v>0</v>
      </c>
      <c r="K128" s="31">
        <f>_xlfn.XLOOKUP(AR[[#This Row],[Customer name]], Customer_master[Customer name], Customer_master[Terms days], 0)</f>
        <v>0</v>
      </c>
      <c r="L1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8" s="4"/>
      <c r="N128" s="46">
        <f>IF(AR[[#This Row],[Collection date - override (dd/mm/yyyy)]] &lt;&gt; "", AR[[#This Row],[Collection date - override (dd/mm/yyyy)]], AR[[#This Row],[Due date (dd/mm/yyyy)]])</f>
        <v>0</v>
      </c>
      <c r="O128" s="46">
        <f t="shared" si="1"/>
        <v>52</v>
      </c>
    </row>
    <row r="129" spans="3:15" x14ac:dyDescent="0.25">
      <c r="C129" s="28"/>
      <c r="D129" s="20"/>
      <c r="E129" s="4"/>
      <c r="F129" s="37"/>
      <c r="G129" s="24"/>
      <c r="H129" s="51">
        <f>Assumptions!$D$15</f>
        <v>0.1</v>
      </c>
      <c r="I129" s="45">
        <f>IF(AR[[#This Row],[GST applies?]] = "Yes", (AR[[#This Row],[Invoice value inc. VAT]] / 1 + AR[[#This Row],[GST %]]) * AR[[#This Row],[GST %]], 0)</f>
        <v>0</v>
      </c>
      <c r="J129" s="31">
        <f>_xlfn.XLOOKUP(AR[[#This Row],[Customer name]], Customer_master[Customer name], Customer_master[EOM or Net], 0)</f>
        <v>0</v>
      </c>
      <c r="K129" s="31">
        <f>_xlfn.XLOOKUP(AR[[#This Row],[Customer name]], Customer_master[Customer name], Customer_master[Terms days], 0)</f>
        <v>0</v>
      </c>
      <c r="L1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9" s="4"/>
      <c r="N129" s="46">
        <f>IF(AR[[#This Row],[Collection date - override (dd/mm/yyyy)]] &lt;&gt; "", AR[[#This Row],[Collection date - override (dd/mm/yyyy)]], AR[[#This Row],[Due date (dd/mm/yyyy)]])</f>
        <v>0</v>
      </c>
      <c r="O129" s="46">
        <f t="shared" si="1"/>
        <v>52</v>
      </c>
    </row>
    <row r="130" spans="3:15" x14ac:dyDescent="0.25">
      <c r="C130" s="28"/>
      <c r="D130" s="20"/>
      <c r="E130" s="4"/>
      <c r="F130" s="37"/>
      <c r="G130" s="24"/>
      <c r="H130" s="51">
        <f>Assumptions!$D$15</f>
        <v>0.1</v>
      </c>
      <c r="I130" s="45">
        <f>IF(AR[[#This Row],[GST applies?]] = "Yes", (AR[[#This Row],[Invoice value inc. VAT]] / 1 + AR[[#This Row],[GST %]]) * AR[[#This Row],[GST %]], 0)</f>
        <v>0</v>
      </c>
      <c r="J130" s="31">
        <f>_xlfn.XLOOKUP(AR[[#This Row],[Customer name]], Customer_master[Customer name], Customer_master[EOM or Net], 0)</f>
        <v>0</v>
      </c>
      <c r="K130" s="31">
        <f>_xlfn.XLOOKUP(AR[[#This Row],[Customer name]], Customer_master[Customer name], Customer_master[Terms days], 0)</f>
        <v>0</v>
      </c>
      <c r="L1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0" s="4"/>
      <c r="N130" s="46">
        <f>IF(AR[[#This Row],[Collection date - override (dd/mm/yyyy)]] &lt;&gt; "", AR[[#This Row],[Collection date - override (dd/mm/yyyy)]], AR[[#This Row],[Due date (dd/mm/yyyy)]])</f>
        <v>0</v>
      </c>
      <c r="O130" s="46">
        <f t="shared" si="1"/>
        <v>52</v>
      </c>
    </row>
    <row r="131" spans="3:15" x14ac:dyDescent="0.25">
      <c r="C131" s="28"/>
      <c r="D131" s="20"/>
      <c r="E131" s="4"/>
      <c r="F131" s="37"/>
      <c r="G131" s="24"/>
      <c r="H131" s="51">
        <f>Assumptions!$D$15</f>
        <v>0.1</v>
      </c>
      <c r="I131" s="45">
        <f>IF(AR[[#This Row],[GST applies?]] = "Yes", (AR[[#This Row],[Invoice value inc. VAT]] / 1 + AR[[#This Row],[GST %]]) * AR[[#This Row],[GST %]], 0)</f>
        <v>0</v>
      </c>
      <c r="J131" s="31">
        <f>_xlfn.XLOOKUP(AR[[#This Row],[Customer name]], Customer_master[Customer name], Customer_master[EOM or Net], 0)</f>
        <v>0</v>
      </c>
      <c r="K131" s="31">
        <f>_xlfn.XLOOKUP(AR[[#This Row],[Customer name]], Customer_master[Customer name], Customer_master[Terms days], 0)</f>
        <v>0</v>
      </c>
      <c r="L1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1" s="4"/>
      <c r="N131" s="46">
        <f>IF(AR[[#This Row],[Collection date - override (dd/mm/yyyy)]] &lt;&gt; "", AR[[#This Row],[Collection date - override (dd/mm/yyyy)]], AR[[#This Row],[Due date (dd/mm/yyyy)]])</f>
        <v>0</v>
      </c>
      <c r="O131" s="46">
        <f t="shared" si="1"/>
        <v>52</v>
      </c>
    </row>
    <row r="132" spans="3:15" x14ac:dyDescent="0.25">
      <c r="C132" s="28"/>
      <c r="D132" s="20"/>
      <c r="E132" s="4"/>
      <c r="F132" s="37"/>
      <c r="G132" s="24"/>
      <c r="H132" s="51">
        <f>Assumptions!$D$15</f>
        <v>0.1</v>
      </c>
      <c r="I132" s="45">
        <f>IF(AR[[#This Row],[GST applies?]] = "Yes", (AR[[#This Row],[Invoice value inc. VAT]] / 1 + AR[[#This Row],[GST %]]) * AR[[#This Row],[GST %]], 0)</f>
        <v>0</v>
      </c>
      <c r="J132" s="31">
        <f>_xlfn.XLOOKUP(AR[[#This Row],[Customer name]], Customer_master[Customer name], Customer_master[EOM or Net], 0)</f>
        <v>0</v>
      </c>
      <c r="K132" s="31">
        <f>_xlfn.XLOOKUP(AR[[#This Row],[Customer name]], Customer_master[Customer name], Customer_master[Terms days], 0)</f>
        <v>0</v>
      </c>
      <c r="L1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2" s="4"/>
      <c r="N132" s="46">
        <f>IF(AR[[#This Row],[Collection date - override (dd/mm/yyyy)]] &lt;&gt; "", AR[[#This Row],[Collection date - override (dd/mm/yyyy)]], AR[[#This Row],[Due date (dd/mm/yyyy)]])</f>
        <v>0</v>
      </c>
      <c r="O132" s="46">
        <f t="shared" si="1"/>
        <v>52</v>
      </c>
    </row>
    <row r="133" spans="3:15" x14ac:dyDescent="0.25">
      <c r="C133" s="28"/>
      <c r="D133" s="20"/>
      <c r="E133" s="4"/>
      <c r="F133" s="37"/>
      <c r="G133" s="24"/>
      <c r="H133" s="51">
        <f>Assumptions!$D$15</f>
        <v>0.1</v>
      </c>
      <c r="I133" s="45">
        <f>IF(AR[[#This Row],[GST applies?]] = "Yes", (AR[[#This Row],[Invoice value inc. VAT]] / 1 + AR[[#This Row],[GST %]]) * AR[[#This Row],[GST %]], 0)</f>
        <v>0</v>
      </c>
      <c r="J133" s="31">
        <f>_xlfn.XLOOKUP(AR[[#This Row],[Customer name]], Customer_master[Customer name], Customer_master[EOM or Net], 0)</f>
        <v>0</v>
      </c>
      <c r="K133" s="31">
        <f>_xlfn.XLOOKUP(AR[[#This Row],[Customer name]], Customer_master[Customer name], Customer_master[Terms days], 0)</f>
        <v>0</v>
      </c>
      <c r="L1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3" s="4"/>
      <c r="N133" s="46">
        <f>IF(AR[[#This Row],[Collection date - override (dd/mm/yyyy)]] &lt;&gt; "", AR[[#This Row],[Collection date - override (dd/mm/yyyy)]], AR[[#This Row],[Due date (dd/mm/yyyy)]])</f>
        <v>0</v>
      </c>
      <c r="O133" s="46">
        <f t="shared" si="1"/>
        <v>52</v>
      </c>
    </row>
    <row r="134" spans="3:15" x14ac:dyDescent="0.25">
      <c r="C134" s="28"/>
      <c r="D134" s="20"/>
      <c r="E134" s="4"/>
      <c r="F134" s="37"/>
      <c r="G134" s="24"/>
      <c r="H134" s="51">
        <f>Assumptions!$D$15</f>
        <v>0.1</v>
      </c>
      <c r="I134" s="45">
        <f>IF(AR[[#This Row],[GST applies?]] = "Yes", (AR[[#This Row],[Invoice value inc. VAT]] / 1 + AR[[#This Row],[GST %]]) * AR[[#This Row],[GST %]], 0)</f>
        <v>0</v>
      </c>
      <c r="J134" s="31">
        <f>_xlfn.XLOOKUP(AR[[#This Row],[Customer name]], Customer_master[Customer name], Customer_master[EOM or Net], 0)</f>
        <v>0</v>
      </c>
      <c r="K134" s="31">
        <f>_xlfn.XLOOKUP(AR[[#This Row],[Customer name]], Customer_master[Customer name], Customer_master[Terms days], 0)</f>
        <v>0</v>
      </c>
      <c r="L1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4" s="4"/>
      <c r="N134" s="46">
        <f>IF(AR[[#This Row],[Collection date - override (dd/mm/yyyy)]] &lt;&gt; "", AR[[#This Row],[Collection date - override (dd/mm/yyyy)]], AR[[#This Row],[Due date (dd/mm/yyyy)]])</f>
        <v>0</v>
      </c>
      <c r="O134" s="46">
        <f t="shared" si="1"/>
        <v>52</v>
      </c>
    </row>
    <row r="135" spans="3:15" x14ac:dyDescent="0.25">
      <c r="C135" s="28"/>
      <c r="D135" s="20"/>
      <c r="E135" s="4"/>
      <c r="F135" s="37"/>
      <c r="G135" s="24"/>
      <c r="H135" s="51">
        <f>Assumptions!$D$15</f>
        <v>0.1</v>
      </c>
      <c r="I135" s="45">
        <f>IF(AR[[#This Row],[GST applies?]] = "Yes", (AR[[#This Row],[Invoice value inc. VAT]] / 1 + AR[[#This Row],[GST %]]) * AR[[#This Row],[GST %]], 0)</f>
        <v>0</v>
      </c>
      <c r="J135" s="31">
        <f>_xlfn.XLOOKUP(AR[[#This Row],[Customer name]], Customer_master[Customer name], Customer_master[EOM or Net], 0)</f>
        <v>0</v>
      </c>
      <c r="K135" s="31">
        <f>_xlfn.XLOOKUP(AR[[#This Row],[Customer name]], Customer_master[Customer name], Customer_master[Terms days], 0)</f>
        <v>0</v>
      </c>
      <c r="L1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5" s="4"/>
      <c r="N135" s="46">
        <f>IF(AR[[#This Row],[Collection date - override (dd/mm/yyyy)]] &lt;&gt; "", AR[[#This Row],[Collection date - override (dd/mm/yyyy)]], AR[[#This Row],[Due date (dd/mm/yyyy)]])</f>
        <v>0</v>
      </c>
      <c r="O135" s="46">
        <f t="shared" si="1"/>
        <v>52</v>
      </c>
    </row>
    <row r="136" spans="3:15" x14ac:dyDescent="0.25">
      <c r="C136" s="28"/>
      <c r="D136" s="20"/>
      <c r="E136" s="4"/>
      <c r="F136" s="37"/>
      <c r="G136" s="24"/>
      <c r="H136" s="51">
        <f>Assumptions!$D$15</f>
        <v>0.1</v>
      </c>
      <c r="I136" s="45">
        <f>IF(AR[[#This Row],[GST applies?]] = "Yes", (AR[[#This Row],[Invoice value inc. VAT]] / 1 + AR[[#This Row],[GST %]]) * AR[[#This Row],[GST %]], 0)</f>
        <v>0</v>
      </c>
      <c r="J136" s="31">
        <f>_xlfn.XLOOKUP(AR[[#This Row],[Customer name]], Customer_master[Customer name], Customer_master[EOM or Net], 0)</f>
        <v>0</v>
      </c>
      <c r="K136" s="31">
        <f>_xlfn.XLOOKUP(AR[[#This Row],[Customer name]], Customer_master[Customer name], Customer_master[Terms days], 0)</f>
        <v>0</v>
      </c>
      <c r="L1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6" s="4"/>
      <c r="N136" s="46">
        <f>IF(AR[[#This Row],[Collection date - override (dd/mm/yyyy)]] &lt;&gt; "", AR[[#This Row],[Collection date - override (dd/mm/yyyy)]], AR[[#This Row],[Due date (dd/mm/yyyy)]])</f>
        <v>0</v>
      </c>
      <c r="O136" s="46">
        <f t="shared" si="1"/>
        <v>52</v>
      </c>
    </row>
    <row r="137" spans="3:15" x14ac:dyDescent="0.25">
      <c r="C137" s="28"/>
      <c r="D137" s="20"/>
      <c r="E137" s="4"/>
      <c r="F137" s="37"/>
      <c r="G137" s="24"/>
      <c r="H137" s="51">
        <f>Assumptions!$D$15</f>
        <v>0.1</v>
      </c>
      <c r="I137" s="45">
        <f>IF(AR[[#This Row],[GST applies?]] = "Yes", (AR[[#This Row],[Invoice value inc. VAT]] / 1 + AR[[#This Row],[GST %]]) * AR[[#This Row],[GST %]], 0)</f>
        <v>0</v>
      </c>
      <c r="J137" s="31">
        <f>_xlfn.XLOOKUP(AR[[#This Row],[Customer name]], Customer_master[Customer name], Customer_master[EOM or Net], 0)</f>
        <v>0</v>
      </c>
      <c r="K137" s="31">
        <f>_xlfn.XLOOKUP(AR[[#This Row],[Customer name]], Customer_master[Customer name], Customer_master[Terms days], 0)</f>
        <v>0</v>
      </c>
      <c r="L1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7" s="4"/>
      <c r="N137" s="46">
        <f>IF(AR[[#This Row],[Collection date - override (dd/mm/yyyy)]] &lt;&gt; "", AR[[#This Row],[Collection date - override (dd/mm/yyyy)]], AR[[#This Row],[Due date (dd/mm/yyyy)]])</f>
        <v>0</v>
      </c>
      <c r="O137" s="46">
        <f t="shared" ref="O137:O200" si="2">IF(GST_Freq="Monthly",
    DATE(YEAR(E137), MONTH(E137) + 1, 21),
    IF(GST_Freq="Quarterly",
        IF(MOD(MONTH(E137) + 2 - MOD(MOD(MONTH(E137) - GST_First_Month, 12), 3), 12) = 0,
            DATE(YEAR(E137), MONTH(E137) + 4 - MOD(MOD(MONTH(E137) - GST_First_Month, 12), 3), 28),
            DATE(YEAR(E137), MONTH(E137) + 3 - MOD(MOD(MONTH(E137) - GST_First_Month, 12), 3), 28)
        ),
        "Invalid frequency"
    )
)</f>
        <v>52</v>
      </c>
    </row>
    <row r="138" spans="3:15" x14ac:dyDescent="0.25">
      <c r="C138" s="28"/>
      <c r="D138" s="20"/>
      <c r="E138" s="4"/>
      <c r="F138" s="37"/>
      <c r="G138" s="24"/>
      <c r="H138" s="51">
        <f>Assumptions!$D$15</f>
        <v>0.1</v>
      </c>
      <c r="I138" s="45">
        <f>IF(AR[[#This Row],[GST applies?]] = "Yes", (AR[[#This Row],[Invoice value inc. VAT]] / 1 + AR[[#This Row],[GST %]]) * AR[[#This Row],[GST %]], 0)</f>
        <v>0</v>
      </c>
      <c r="J138" s="31">
        <f>_xlfn.XLOOKUP(AR[[#This Row],[Customer name]], Customer_master[Customer name], Customer_master[EOM or Net], 0)</f>
        <v>0</v>
      </c>
      <c r="K138" s="31">
        <f>_xlfn.XLOOKUP(AR[[#This Row],[Customer name]], Customer_master[Customer name], Customer_master[Terms days], 0)</f>
        <v>0</v>
      </c>
      <c r="L1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8" s="4"/>
      <c r="N138" s="46">
        <f>IF(AR[[#This Row],[Collection date - override (dd/mm/yyyy)]] &lt;&gt; "", AR[[#This Row],[Collection date - override (dd/mm/yyyy)]], AR[[#This Row],[Due date (dd/mm/yyyy)]])</f>
        <v>0</v>
      </c>
      <c r="O138" s="46">
        <f t="shared" si="2"/>
        <v>52</v>
      </c>
    </row>
    <row r="139" spans="3:15" x14ac:dyDescent="0.25">
      <c r="C139" s="28"/>
      <c r="D139" s="20"/>
      <c r="E139" s="4"/>
      <c r="F139" s="37"/>
      <c r="G139" s="24"/>
      <c r="H139" s="51">
        <f>Assumptions!$D$15</f>
        <v>0.1</v>
      </c>
      <c r="I139" s="45">
        <f>IF(AR[[#This Row],[GST applies?]] = "Yes", (AR[[#This Row],[Invoice value inc. VAT]] / 1 + AR[[#This Row],[GST %]]) * AR[[#This Row],[GST %]], 0)</f>
        <v>0</v>
      </c>
      <c r="J139" s="31">
        <f>_xlfn.XLOOKUP(AR[[#This Row],[Customer name]], Customer_master[Customer name], Customer_master[EOM or Net], 0)</f>
        <v>0</v>
      </c>
      <c r="K139" s="31">
        <f>_xlfn.XLOOKUP(AR[[#This Row],[Customer name]], Customer_master[Customer name], Customer_master[Terms days], 0)</f>
        <v>0</v>
      </c>
      <c r="L1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9" s="4"/>
      <c r="N139" s="46">
        <f>IF(AR[[#This Row],[Collection date - override (dd/mm/yyyy)]] &lt;&gt; "", AR[[#This Row],[Collection date - override (dd/mm/yyyy)]], AR[[#This Row],[Due date (dd/mm/yyyy)]])</f>
        <v>0</v>
      </c>
      <c r="O139" s="46">
        <f t="shared" si="2"/>
        <v>52</v>
      </c>
    </row>
    <row r="140" spans="3:15" x14ac:dyDescent="0.25">
      <c r="C140" s="28"/>
      <c r="D140" s="20"/>
      <c r="E140" s="4"/>
      <c r="F140" s="37"/>
      <c r="G140" s="24"/>
      <c r="H140" s="51">
        <f>Assumptions!$D$15</f>
        <v>0.1</v>
      </c>
      <c r="I140" s="45">
        <f>IF(AR[[#This Row],[GST applies?]] = "Yes", (AR[[#This Row],[Invoice value inc. VAT]] / 1 + AR[[#This Row],[GST %]]) * AR[[#This Row],[GST %]], 0)</f>
        <v>0</v>
      </c>
      <c r="J140" s="31">
        <f>_xlfn.XLOOKUP(AR[[#This Row],[Customer name]], Customer_master[Customer name], Customer_master[EOM or Net], 0)</f>
        <v>0</v>
      </c>
      <c r="K140" s="31">
        <f>_xlfn.XLOOKUP(AR[[#This Row],[Customer name]], Customer_master[Customer name], Customer_master[Terms days], 0)</f>
        <v>0</v>
      </c>
      <c r="L1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0" s="4"/>
      <c r="N140" s="46">
        <f>IF(AR[[#This Row],[Collection date - override (dd/mm/yyyy)]] &lt;&gt; "", AR[[#This Row],[Collection date - override (dd/mm/yyyy)]], AR[[#This Row],[Due date (dd/mm/yyyy)]])</f>
        <v>0</v>
      </c>
      <c r="O140" s="46">
        <f t="shared" si="2"/>
        <v>52</v>
      </c>
    </row>
    <row r="141" spans="3:15" x14ac:dyDescent="0.25">
      <c r="C141" s="28"/>
      <c r="D141" s="20"/>
      <c r="E141" s="4"/>
      <c r="F141" s="37"/>
      <c r="G141" s="24"/>
      <c r="H141" s="51">
        <f>Assumptions!$D$15</f>
        <v>0.1</v>
      </c>
      <c r="I141" s="45">
        <f>IF(AR[[#This Row],[GST applies?]] = "Yes", (AR[[#This Row],[Invoice value inc. VAT]] / 1 + AR[[#This Row],[GST %]]) * AR[[#This Row],[GST %]], 0)</f>
        <v>0</v>
      </c>
      <c r="J141" s="31">
        <f>_xlfn.XLOOKUP(AR[[#This Row],[Customer name]], Customer_master[Customer name], Customer_master[EOM or Net], 0)</f>
        <v>0</v>
      </c>
      <c r="K141" s="31">
        <f>_xlfn.XLOOKUP(AR[[#This Row],[Customer name]], Customer_master[Customer name], Customer_master[Terms days], 0)</f>
        <v>0</v>
      </c>
      <c r="L1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1" s="4"/>
      <c r="N141" s="46">
        <f>IF(AR[[#This Row],[Collection date - override (dd/mm/yyyy)]] &lt;&gt; "", AR[[#This Row],[Collection date - override (dd/mm/yyyy)]], AR[[#This Row],[Due date (dd/mm/yyyy)]])</f>
        <v>0</v>
      </c>
      <c r="O141" s="46">
        <f t="shared" si="2"/>
        <v>52</v>
      </c>
    </row>
    <row r="142" spans="3:15" x14ac:dyDescent="0.25">
      <c r="C142" s="28"/>
      <c r="D142" s="20"/>
      <c r="E142" s="4"/>
      <c r="F142" s="37"/>
      <c r="G142" s="24"/>
      <c r="H142" s="51">
        <f>Assumptions!$D$15</f>
        <v>0.1</v>
      </c>
      <c r="I142" s="45">
        <f>IF(AR[[#This Row],[GST applies?]] = "Yes", (AR[[#This Row],[Invoice value inc. VAT]] / 1 + AR[[#This Row],[GST %]]) * AR[[#This Row],[GST %]], 0)</f>
        <v>0</v>
      </c>
      <c r="J142" s="31">
        <f>_xlfn.XLOOKUP(AR[[#This Row],[Customer name]], Customer_master[Customer name], Customer_master[EOM or Net], 0)</f>
        <v>0</v>
      </c>
      <c r="K142" s="31">
        <f>_xlfn.XLOOKUP(AR[[#This Row],[Customer name]], Customer_master[Customer name], Customer_master[Terms days], 0)</f>
        <v>0</v>
      </c>
      <c r="L1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2" s="4"/>
      <c r="N142" s="46">
        <f>IF(AR[[#This Row],[Collection date - override (dd/mm/yyyy)]] &lt;&gt; "", AR[[#This Row],[Collection date - override (dd/mm/yyyy)]], AR[[#This Row],[Due date (dd/mm/yyyy)]])</f>
        <v>0</v>
      </c>
      <c r="O142" s="46">
        <f t="shared" si="2"/>
        <v>52</v>
      </c>
    </row>
    <row r="143" spans="3:15" x14ac:dyDescent="0.25">
      <c r="C143" s="28"/>
      <c r="D143" s="20"/>
      <c r="E143" s="4"/>
      <c r="F143" s="37"/>
      <c r="G143" s="24"/>
      <c r="H143" s="51">
        <f>Assumptions!$D$15</f>
        <v>0.1</v>
      </c>
      <c r="I143" s="45">
        <f>IF(AR[[#This Row],[GST applies?]] = "Yes", (AR[[#This Row],[Invoice value inc. VAT]] / 1 + AR[[#This Row],[GST %]]) * AR[[#This Row],[GST %]], 0)</f>
        <v>0</v>
      </c>
      <c r="J143" s="31">
        <f>_xlfn.XLOOKUP(AR[[#This Row],[Customer name]], Customer_master[Customer name], Customer_master[EOM or Net], 0)</f>
        <v>0</v>
      </c>
      <c r="K143" s="31">
        <f>_xlfn.XLOOKUP(AR[[#This Row],[Customer name]], Customer_master[Customer name], Customer_master[Terms days], 0)</f>
        <v>0</v>
      </c>
      <c r="L1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3" s="4"/>
      <c r="N143" s="46">
        <f>IF(AR[[#This Row],[Collection date - override (dd/mm/yyyy)]] &lt;&gt; "", AR[[#This Row],[Collection date - override (dd/mm/yyyy)]], AR[[#This Row],[Due date (dd/mm/yyyy)]])</f>
        <v>0</v>
      </c>
      <c r="O143" s="46">
        <f t="shared" si="2"/>
        <v>52</v>
      </c>
    </row>
    <row r="144" spans="3:15" x14ac:dyDescent="0.25">
      <c r="C144" s="28"/>
      <c r="D144" s="20"/>
      <c r="E144" s="4"/>
      <c r="F144" s="37"/>
      <c r="G144" s="24"/>
      <c r="H144" s="51">
        <f>Assumptions!$D$15</f>
        <v>0.1</v>
      </c>
      <c r="I144" s="45">
        <f>IF(AR[[#This Row],[GST applies?]] = "Yes", (AR[[#This Row],[Invoice value inc. VAT]] / 1 + AR[[#This Row],[GST %]]) * AR[[#This Row],[GST %]], 0)</f>
        <v>0</v>
      </c>
      <c r="J144" s="31">
        <f>_xlfn.XLOOKUP(AR[[#This Row],[Customer name]], Customer_master[Customer name], Customer_master[EOM or Net], 0)</f>
        <v>0</v>
      </c>
      <c r="K144" s="31">
        <f>_xlfn.XLOOKUP(AR[[#This Row],[Customer name]], Customer_master[Customer name], Customer_master[Terms days], 0)</f>
        <v>0</v>
      </c>
      <c r="L1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4" s="4"/>
      <c r="N144" s="46">
        <f>IF(AR[[#This Row],[Collection date - override (dd/mm/yyyy)]] &lt;&gt; "", AR[[#This Row],[Collection date - override (dd/mm/yyyy)]], AR[[#This Row],[Due date (dd/mm/yyyy)]])</f>
        <v>0</v>
      </c>
      <c r="O144" s="46">
        <f t="shared" si="2"/>
        <v>52</v>
      </c>
    </row>
    <row r="145" spans="3:15" x14ac:dyDescent="0.25">
      <c r="C145" s="28"/>
      <c r="D145" s="20"/>
      <c r="E145" s="4"/>
      <c r="F145" s="37"/>
      <c r="G145" s="24"/>
      <c r="H145" s="51">
        <f>Assumptions!$D$15</f>
        <v>0.1</v>
      </c>
      <c r="I145" s="45">
        <f>IF(AR[[#This Row],[GST applies?]] = "Yes", (AR[[#This Row],[Invoice value inc. VAT]] / 1 + AR[[#This Row],[GST %]]) * AR[[#This Row],[GST %]], 0)</f>
        <v>0</v>
      </c>
      <c r="J145" s="31">
        <f>_xlfn.XLOOKUP(AR[[#This Row],[Customer name]], Customer_master[Customer name], Customer_master[EOM or Net], 0)</f>
        <v>0</v>
      </c>
      <c r="K145" s="31">
        <f>_xlfn.XLOOKUP(AR[[#This Row],[Customer name]], Customer_master[Customer name], Customer_master[Terms days], 0)</f>
        <v>0</v>
      </c>
      <c r="L1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5" s="4"/>
      <c r="N145" s="46">
        <f>IF(AR[[#This Row],[Collection date - override (dd/mm/yyyy)]] &lt;&gt; "", AR[[#This Row],[Collection date - override (dd/mm/yyyy)]], AR[[#This Row],[Due date (dd/mm/yyyy)]])</f>
        <v>0</v>
      </c>
      <c r="O145" s="46">
        <f t="shared" si="2"/>
        <v>52</v>
      </c>
    </row>
    <row r="146" spans="3:15" x14ac:dyDescent="0.25">
      <c r="C146" s="28"/>
      <c r="D146" s="20"/>
      <c r="E146" s="4"/>
      <c r="F146" s="37"/>
      <c r="G146" s="24"/>
      <c r="H146" s="51">
        <f>Assumptions!$D$15</f>
        <v>0.1</v>
      </c>
      <c r="I146" s="45">
        <f>IF(AR[[#This Row],[GST applies?]] = "Yes", (AR[[#This Row],[Invoice value inc. VAT]] / 1 + AR[[#This Row],[GST %]]) * AR[[#This Row],[GST %]], 0)</f>
        <v>0</v>
      </c>
      <c r="J146" s="31">
        <f>_xlfn.XLOOKUP(AR[[#This Row],[Customer name]], Customer_master[Customer name], Customer_master[EOM or Net], 0)</f>
        <v>0</v>
      </c>
      <c r="K146" s="31">
        <f>_xlfn.XLOOKUP(AR[[#This Row],[Customer name]], Customer_master[Customer name], Customer_master[Terms days], 0)</f>
        <v>0</v>
      </c>
      <c r="L1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6" s="4"/>
      <c r="N146" s="46">
        <f>IF(AR[[#This Row],[Collection date - override (dd/mm/yyyy)]] &lt;&gt; "", AR[[#This Row],[Collection date - override (dd/mm/yyyy)]], AR[[#This Row],[Due date (dd/mm/yyyy)]])</f>
        <v>0</v>
      </c>
      <c r="O146" s="46">
        <f t="shared" si="2"/>
        <v>52</v>
      </c>
    </row>
    <row r="147" spans="3:15" x14ac:dyDescent="0.25">
      <c r="C147" s="28"/>
      <c r="D147" s="20"/>
      <c r="E147" s="4"/>
      <c r="F147" s="37"/>
      <c r="G147" s="24"/>
      <c r="H147" s="51">
        <f>Assumptions!$D$15</f>
        <v>0.1</v>
      </c>
      <c r="I147" s="45">
        <f>IF(AR[[#This Row],[GST applies?]] = "Yes", (AR[[#This Row],[Invoice value inc. VAT]] / 1 + AR[[#This Row],[GST %]]) * AR[[#This Row],[GST %]], 0)</f>
        <v>0</v>
      </c>
      <c r="J147" s="31">
        <f>_xlfn.XLOOKUP(AR[[#This Row],[Customer name]], Customer_master[Customer name], Customer_master[EOM or Net], 0)</f>
        <v>0</v>
      </c>
      <c r="K147" s="31">
        <f>_xlfn.XLOOKUP(AR[[#This Row],[Customer name]], Customer_master[Customer name], Customer_master[Terms days], 0)</f>
        <v>0</v>
      </c>
      <c r="L1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7" s="4"/>
      <c r="N147" s="46">
        <f>IF(AR[[#This Row],[Collection date - override (dd/mm/yyyy)]] &lt;&gt; "", AR[[#This Row],[Collection date - override (dd/mm/yyyy)]], AR[[#This Row],[Due date (dd/mm/yyyy)]])</f>
        <v>0</v>
      </c>
      <c r="O147" s="46">
        <f t="shared" si="2"/>
        <v>52</v>
      </c>
    </row>
    <row r="148" spans="3:15" x14ac:dyDescent="0.25">
      <c r="C148" s="28"/>
      <c r="D148" s="20"/>
      <c r="E148" s="4"/>
      <c r="F148" s="37"/>
      <c r="G148" s="24"/>
      <c r="H148" s="51">
        <f>Assumptions!$D$15</f>
        <v>0.1</v>
      </c>
      <c r="I148" s="45">
        <f>IF(AR[[#This Row],[GST applies?]] = "Yes", (AR[[#This Row],[Invoice value inc. VAT]] / 1 + AR[[#This Row],[GST %]]) * AR[[#This Row],[GST %]], 0)</f>
        <v>0</v>
      </c>
      <c r="J148" s="31">
        <f>_xlfn.XLOOKUP(AR[[#This Row],[Customer name]], Customer_master[Customer name], Customer_master[EOM or Net], 0)</f>
        <v>0</v>
      </c>
      <c r="K148" s="31">
        <f>_xlfn.XLOOKUP(AR[[#This Row],[Customer name]], Customer_master[Customer name], Customer_master[Terms days], 0)</f>
        <v>0</v>
      </c>
      <c r="L1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8" s="4"/>
      <c r="N148" s="46">
        <f>IF(AR[[#This Row],[Collection date - override (dd/mm/yyyy)]] &lt;&gt; "", AR[[#This Row],[Collection date - override (dd/mm/yyyy)]], AR[[#This Row],[Due date (dd/mm/yyyy)]])</f>
        <v>0</v>
      </c>
      <c r="O148" s="46">
        <f t="shared" si="2"/>
        <v>52</v>
      </c>
    </row>
    <row r="149" spans="3:15" x14ac:dyDescent="0.25">
      <c r="C149" s="28"/>
      <c r="D149" s="20"/>
      <c r="E149" s="4"/>
      <c r="F149" s="37"/>
      <c r="G149" s="24"/>
      <c r="H149" s="51">
        <f>Assumptions!$D$15</f>
        <v>0.1</v>
      </c>
      <c r="I149" s="45">
        <f>IF(AR[[#This Row],[GST applies?]] = "Yes", (AR[[#This Row],[Invoice value inc. VAT]] / 1 + AR[[#This Row],[GST %]]) * AR[[#This Row],[GST %]], 0)</f>
        <v>0</v>
      </c>
      <c r="J149" s="31">
        <f>_xlfn.XLOOKUP(AR[[#This Row],[Customer name]], Customer_master[Customer name], Customer_master[EOM or Net], 0)</f>
        <v>0</v>
      </c>
      <c r="K149" s="31">
        <f>_xlfn.XLOOKUP(AR[[#This Row],[Customer name]], Customer_master[Customer name], Customer_master[Terms days], 0)</f>
        <v>0</v>
      </c>
      <c r="L1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9" s="4"/>
      <c r="N149" s="46">
        <f>IF(AR[[#This Row],[Collection date - override (dd/mm/yyyy)]] &lt;&gt; "", AR[[#This Row],[Collection date - override (dd/mm/yyyy)]], AR[[#This Row],[Due date (dd/mm/yyyy)]])</f>
        <v>0</v>
      </c>
      <c r="O149" s="46">
        <f t="shared" si="2"/>
        <v>52</v>
      </c>
    </row>
    <row r="150" spans="3:15" x14ac:dyDescent="0.25">
      <c r="C150" s="28"/>
      <c r="D150" s="20"/>
      <c r="E150" s="4"/>
      <c r="F150" s="37"/>
      <c r="G150" s="24"/>
      <c r="H150" s="51">
        <f>Assumptions!$D$15</f>
        <v>0.1</v>
      </c>
      <c r="I150" s="45">
        <f>IF(AR[[#This Row],[GST applies?]] = "Yes", (AR[[#This Row],[Invoice value inc. VAT]] / 1 + AR[[#This Row],[GST %]]) * AR[[#This Row],[GST %]], 0)</f>
        <v>0</v>
      </c>
      <c r="J150" s="31">
        <f>_xlfn.XLOOKUP(AR[[#This Row],[Customer name]], Customer_master[Customer name], Customer_master[EOM or Net], 0)</f>
        <v>0</v>
      </c>
      <c r="K150" s="31">
        <f>_xlfn.XLOOKUP(AR[[#This Row],[Customer name]], Customer_master[Customer name], Customer_master[Terms days], 0)</f>
        <v>0</v>
      </c>
      <c r="L1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0" s="4"/>
      <c r="N150" s="46">
        <f>IF(AR[[#This Row],[Collection date - override (dd/mm/yyyy)]] &lt;&gt; "", AR[[#This Row],[Collection date - override (dd/mm/yyyy)]], AR[[#This Row],[Due date (dd/mm/yyyy)]])</f>
        <v>0</v>
      </c>
      <c r="O150" s="46">
        <f t="shared" si="2"/>
        <v>52</v>
      </c>
    </row>
    <row r="151" spans="3:15" x14ac:dyDescent="0.25">
      <c r="C151" s="28"/>
      <c r="D151" s="20"/>
      <c r="E151" s="4"/>
      <c r="F151" s="37"/>
      <c r="G151" s="24"/>
      <c r="H151" s="51">
        <f>Assumptions!$D$15</f>
        <v>0.1</v>
      </c>
      <c r="I151" s="45">
        <f>IF(AR[[#This Row],[GST applies?]] = "Yes", (AR[[#This Row],[Invoice value inc. VAT]] / 1 + AR[[#This Row],[GST %]]) * AR[[#This Row],[GST %]], 0)</f>
        <v>0</v>
      </c>
      <c r="J151" s="31">
        <f>_xlfn.XLOOKUP(AR[[#This Row],[Customer name]], Customer_master[Customer name], Customer_master[EOM or Net], 0)</f>
        <v>0</v>
      </c>
      <c r="K151" s="31">
        <f>_xlfn.XLOOKUP(AR[[#This Row],[Customer name]], Customer_master[Customer name], Customer_master[Terms days], 0)</f>
        <v>0</v>
      </c>
      <c r="L1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1" s="4"/>
      <c r="N151" s="46">
        <f>IF(AR[[#This Row],[Collection date - override (dd/mm/yyyy)]] &lt;&gt; "", AR[[#This Row],[Collection date - override (dd/mm/yyyy)]], AR[[#This Row],[Due date (dd/mm/yyyy)]])</f>
        <v>0</v>
      </c>
      <c r="O151" s="46">
        <f t="shared" si="2"/>
        <v>52</v>
      </c>
    </row>
    <row r="152" spans="3:15" x14ac:dyDescent="0.25">
      <c r="C152" s="28"/>
      <c r="D152" s="20"/>
      <c r="E152" s="4"/>
      <c r="F152" s="37"/>
      <c r="G152" s="24"/>
      <c r="H152" s="51">
        <f>Assumptions!$D$15</f>
        <v>0.1</v>
      </c>
      <c r="I152" s="45">
        <f>IF(AR[[#This Row],[GST applies?]] = "Yes", (AR[[#This Row],[Invoice value inc. VAT]] / 1 + AR[[#This Row],[GST %]]) * AR[[#This Row],[GST %]], 0)</f>
        <v>0</v>
      </c>
      <c r="J152" s="31">
        <f>_xlfn.XLOOKUP(AR[[#This Row],[Customer name]], Customer_master[Customer name], Customer_master[EOM or Net], 0)</f>
        <v>0</v>
      </c>
      <c r="K152" s="31">
        <f>_xlfn.XLOOKUP(AR[[#This Row],[Customer name]], Customer_master[Customer name], Customer_master[Terms days], 0)</f>
        <v>0</v>
      </c>
      <c r="L1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2" s="4"/>
      <c r="N152" s="46">
        <f>IF(AR[[#This Row],[Collection date - override (dd/mm/yyyy)]] &lt;&gt; "", AR[[#This Row],[Collection date - override (dd/mm/yyyy)]], AR[[#This Row],[Due date (dd/mm/yyyy)]])</f>
        <v>0</v>
      </c>
      <c r="O152" s="46">
        <f t="shared" si="2"/>
        <v>52</v>
      </c>
    </row>
    <row r="153" spans="3:15" x14ac:dyDescent="0.25">
      <c r="C153" s="28"/>
      <c r="D153" s="20"/>
      <c r="E153" s="4"/>
      <c r="F153" s="37"/>
      <c r="G153" s="24"/>
      <c r="H153" s="51">
        <f>Assumptions!$D$15</f>
        <v>0.1</v>
      </c>
      <c r="I153" s="45">
        <f>IF(AR[[#This Row],[GST applies?]] = "Yes", (AR[[#This Row],[Invoice value inc. VAT]] / 1 + AR[[#This Row],[GST %]]) * AR[[#This Row],[GST %]], 0)</f>
        <v>0</v>
      </c>
      <c r="J153" s="31">
        <f>_xlfn.XLOOKUP(AR[[#This Row],[Customer name]], Customer_master[Customer name], Customer_master[EOM or Net], 0)</f>
        <v>0</v>
      </c>
      <c r="K153" s="31">
        <f>_xlfn.XLOOKUP(AR[[#This Row],[Customer name]], Customer_master[Customer name], Customer_master[Terms days], 0)</f>
        <v>0</v>
      </c>
      <c r="L1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3" s="4"/>
      <c r="N153" s="46">
        <f>IF(AR[[#This Row],[Collection date - override (dd/mm/yyyy)]] &lt;&gt; "", AR[[#This Row],[Collection date - override (dd/mm/yyyy)]], AR[[#This Row],[Due date (dd/mm/yyyy)]])</f>
        <v>0</v>
      </c>
      <c r="O153" s="46">
        <f t="shared" si="2"/>
        <v>52</v>
      </c>
    </row>
    <row r="154" spans="3:15" x14ac:dyDescent="0.25">
      <c r="C154" s="28"/>
      <c r="D154" s="20"/>
      <c r="E154" s="4"/>
      <c r="F154" s="37"/>
      <c r="G154" s="24"/>
      <c r="H154" s="51">
        <f>Assumptions!$D$15</f>
        <v>0.1</v>
      </c>
      <c r="I154" s="45">
        <f>IF(AR[[#This Row],[GST applies?]] = "Yes", (AR[[#This Row],[Invoice value inc. VAT]] / 1 + AR[[#This Row],[GST %]]) * AR[[#This Row],[GST %]], 0)</f>
        <v>0</v>
      </c>
      <c r="J154" s="31">
        <f>_xlfn.XLOOKUP(AR[[#This Row],[Customer name]], Customer_master[Customer name], Customer_master[EOM or Net], 0)</f>
        <v>0</v>
      </c>
      <c r="K154" s="31">
        <f>_xlfn.XLOOKUP(AR[[#This Row],[Customer name]], Customer_master[Customer name], Customer_master[Terms days], 0)</f>
        <v>0</v>
      </c>
      <c r="L1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4" s="4"/>
      <c r="N154" s="46">
        <f>IF(AR[[#This Row],[Collection date - override (dd/mm/yyyy)]] &lt;&gt; "", AR[[#This Row],[Collection date - override (dd/mm/yyyy)]], AR[[#This Row],[Due date (dd/mm/yyyy)]])</f>
        <v>0</v>
      </c>
      <c r="O154" s="46">
        <f t="shared" si="2"/>
        <v>52</v>
      </c>
    </row>
    <row r="155" spans="3:15" x14ac:dyDescent="0.25">
      <c r="C155" s="28"/>
      <c r="D155" s="20"/>
      <c r="E155" s="4"/>
      <c r="F155" s="37"/>
      <c r="G155" s="24"/>
      <c r="H155" s="51">
        <f>Assumptions!$D$15</f>
        <v>0.1</v>
      </c>
      <c r="I155" s="45">
        <f>IF(AR[[#This Row],[GST applies?]] = "Yes", (AR[[#This Row],[Invoice value inc. VAT]] / 1 + AR[[#This Row],[GST %]]) * AR[[#This Row],[GST %]], 0)</f>
        <v>0</v>
      </c>
      <c r="J155" s="31">
        <f>_xlfn.XLOOKUP(AR[[#This Row],[Customer name]], Customer_master[Customer name], Customer_master[EOM or Net], 0)</f>
        <v>0</v>
      </c>
      <c r="K155" s="31">
        <f>_xlfn.XLOOKUP(AR[[#This Row],[Customer name]], Customer_master[Customer name], Customer_master[Terms days], 0)</f>
        <v>0</v>
      </c>
      <c r="L1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5" s="4"/>
      <c r="N155" s="46">
        <f>IF(AR[[#This Row],[Collection date - override (dd/mm/yyyy)]] &lt;&gt; "", AR[[#This Row],[Collection date - override (dd/mm/yyyy)]], AR[[#This Row],[Due date (dd/mm/yyyy)]])</f>
        <v>0</v>
      </c>
      <c r="O155" s="46">
        <f t="shared" si="2"/>
        <v>52</v>
      </c>
    </row>
    <row r="156" spans="3:15" x14ac:dyDescent="0.25">
      <c r="C156" s="28"/>
      <c r="D156" s="20"/>
      <c r="E156" s="4"/>
      <c r="F156" s="37"/>
      <c r="G156" s="24"/>
      <c r="H156" s="51">
        <f>Assumptions!$D$15</f>
        <v>0.1</v>
      </c>
      <c r="I156" s="45">
        <f>IF(AR[[#This Row],[GST applies?]] = "Yes", (AR[[#This Row],[Invoice value inc. VAT]] / 1 + AR[[#This Row],[GST %]]) * AR[[#This Row],[GST %]], 0)</f>
        <v>0</v>
      </c>
      <c r="J156" s="31">
        <f>_xlfn.XLOOKUP(AR[[#This Row],[Customer name]], Customer_master[Customer name], Customer_master[EOM or Net], 0)</f>
        <v>0</v>
      </c>
      <c r="K156" s="31">
        <f>_xlfn.XLOOKUP(AR[[#This Row],[Customer name]], Customer_master[Customer name], Customer_master[Terms days], 0)</f>
        <v>0</v>
      </c>
      <c r="L1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6" s="4"/>
      <c r="N156" s="46">
        <f>IF(AR[[#This Row],[Collection date - override (dd/mm/yyyy)]] &lt;&gt; "", AR[[#This Row],[Collection date - override (dd/mm/yyyy)]], AR[[#This Row],[Due date (dd/mm/yyyy)]])</f>
        <v>0</v>
      </c>
      <c r="O156" s="46">
        <f t="shared" si="2"/>
        <v>52</v>
      </c>
    </row>
    <row r="157" spans="3:15" x14ac:dyDescent="0.25">
      <c r="C157" s="28"/>
      <c r="D157" s="20"/>
      <c r="E157" s="4"/>
      <c r="F157" s="37"/>
      <c r="G157" s="24"/>
      <c r="H157" s="51">
        <f>Assumptions!$D$15</f>
        <v>0.1</v>
      </c>
      <c r="I157" s="45">
        <f>IF(AR[[#This Row],[GST applies?]] = "Yes", (AR[[#This Row],[Invoice value inc. VAT]] / 1 + AR[[#This Row],[GST %]]) * AR[[#This Row],[GST %]], 0)</f>
        <v>0</v>
      </c>
      <c r="J157" s="31">
        <f>_xlfn.XLOOKUP(AR[[#This Row],[Customer name]], Customer_master[Customer name], Customer_master[EOM or Net], 0)</f>
        <v>0</v>
      </c>
      <c r="K157" s="31">
        <f>_xlfn.XLOOKUP(AR[[#This Row],[Customer name]], Customer_master[Customer name], Customer_master[Terms days], 0)</f>
        <v>0</v>
      </c>
      <c r="L1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7" s="4"/>
      <c r="N157" s="46">
        <f>IF(AR[[#This Row],[Collection date - override (dd/mm/yyyy)]] &lt;&gt; "", AR[[#This Row],[Collection date - override (dd/mm/yyyy)]], AR[[#This Row],[Due date (dd/mm/yyyy)]])</f>
        <v>0</v>
      </c>
      <c r="O157" s="46">
        <f t="shared" si="2"/>
        <v>52</v>
      </c>
    </row>
    <row r="158" spans="3:15" x14ac:dyDescent="0.25">
      <c r="C158" s="28"/>
      <c r="D158" s="20"/>
      <c r="E158" s="4"/>
      <c r="F158" s="37"/>
      <c r="G158" s="24"/>
      <c r="H158" s="51">
        <f>Assumptions!$D$15</f>
        <v>0.1</v>
      </c>
      <c r="I158" s="45">
        <f>IF(AR[[#This Row],[GST applies?]] = "Yes", (AR[[#This Row],[Invoice value inc. VAT]] / 1 + AR[[#This Row],[GST %]]) * AR[[#This Row],[GST %]], 0)</f>
        <v>0</v>
      </c>
      <c r="J158" s="31">
        <f>_xlfn.XLOOKUP(AR[[#This Row],[Customer name]], Customer_master[Customer name], Customer_master[EOM or Net], 0)</f>
        <v>0</v>
      </c>
      <c r="K158" s="31">
        <f>_xlfn.XLOOKUP(AR[[#This Row],[Customer name]], Customer_master[Customer name], Customer_master[Terms days], 0)</f>
        <v>0</v>
      </c>
      <c r="L1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8" s="4"/>
      <c r="N158" s="46">
        <f>IF(AR[[#This Row],[Collection date - override (dd/mm/yyyy)]] &lt;&gt; "", AR[[#This Row],[Collection date - override (dd/mm/yyyy)]], AR[[#This Row],[Due date (dd/mm/yyyy)]])</f>
        <v>0</v>
      </c>
      <c r="O158" s="46">
        <f t="shared" si="2"/>
        <v>52</v>
      </c>
    </row>
    <row r="159" spans="3:15" x14ac:dyDescent="0.25">
      <c r="C159" s="28"/>
      <c r="D159" s="20"/>
      <c r="E159" s="4"/>
      <c r="F159" s="37"/>
      <c r="G159" s="24"/>
      <c r="H159" s="51">
        <f>Assumptions!$D$15</f>
        <v>0.1</v>
      </c>
      <c r="I159" s="45">
        <f>IF(AR[[#This Row],[GST applies?]] = "Yes", (AR[[#This Row],[Invoice value inc. VAT]] / 1 + AR[[#This Row],[GST %]]) * AR[[#This Row],[GST %]], 0)</f>
        <v>0</v>
      </c>
      <c r="J159" s="31">
        <f>_xlfn.XLOOKUP(AR[[#This Row],[Customer name]], Customer_master[Customer name], Customer_master[EOM or Net], 0)</f>
        <v>0</v>
      </c>
      <c r="K159" s="31">
        <f>_xlfn.XLOOKUP(AR[[#This Row],[Customer name]], Customer_master[Customer name], Customer_master[Terms days], 0)</f>
        <v>0</v>
      </c>
      <c r="L1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9" s="4"/>
      <c r="N159" s="46">
        <f>IF(AR[[#This Row],[Collection date - override (dd/mm/yyyy)]] &lt;&gt; "", AR[[#This Row],[Collection date - override (dd/mm/yyyy)]], AR[[#This Row],[Due date (dd/mm/yyyy)]])</f>
        <v>0</v>
      </c>
      <c r="O159" s="46">
        <f t="shared" si="2"/>
        <v>52</v>
      </c>
    </row>
    <row r="160" spans="3:15" x14ac:dyDescent="0.25">
      <c r="C160" s="28"/>
      <c r="D160" s="20"/>
      <c r="E160" s="4"/>
      <c r="F160" s="37"/>
      <c r="G160" s="24"/>
      <c r="H160" s="51">
        <f>Assumptions!$D$15</f>
        <v>0.1</v>
      </c>
      <c r="I160" s="45">
        <f>IF(AR[[#This Row],[GST applies?]] = "Yes", (AR[[#This Row],[Invoice value inc. VAT]] / 1 + AR[[#This Row],[GST %]]) * AR[[#This Row],[GST %]], 0)</f>
        <v>0</v>
      </c>
      <c r="J160" s="31">
        <f>_xlfn.XLOOKUP(AR[[#This Row],[Customer name]], Customer_master[Customer name], Customer_master[EOM or Net], 0)</f>
        <v>0</v>
      </c>
      <c r="K160" s="31">
        <f>_xlfn.XLOOKUP(AR[[#This Row],[Customer name]], Customer_master[Customer name], Customer_master[Terms days], 0)</f>
        <v>0</v>
      </c>
      <c r="L1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0" s="4"/>
      <c r="N160" s="46">
        <f>IF(AR[[#This Row],[Collection date - override (dd/mm/yyyy)]] &lt;&gt; "", AR[[#This Row],[Collection date - override (dd/mm/yyyy)]], AR[[#This Row],[Due date (dd/mm/yyyy)]])</f>
        <v>0</v>
      </c>
      <c r="O160" s="46">
        <f t="shared" si="2"/>
        <v>52</v>
      </c>
    </row>
    <row r="161" spans="3:15" x14ac:dyDescent="0.25">
      <c r="C161" s="28"/>
      <c r="D161" s="20"/>
      <c r="E161" s="4"/>
      <c r="F161" s="37"/>
      <c r="G161" s="24"/>
      <c r="H161" s="51">
        <f>Assumptions!$D$15</f>
        <v>0.1</v>
      </c>
      <c r="I161" s="45">
        <f>IF(AR[[#This Row],[GST applies?]] = "Yes", (AR[[#This Row],[Invoice value inc. VAT]] / 1 + AR[[#This Row],[GST %]]) * AR[[#This Row],[GST %]], 0)</f>
        <v>0</v>
      </c>
      <c r="J161" s="31">
        <f>_xlfn.XLOOKUP(AR[[#This Row],[Customer name]], Customer_master[Customer name], Customer_master[EOM or Net], 0)</f>
        <v>0</v>
      </c>
      <c r="K161" s="31">
        <f>_xlfn.XLOOKUP(AR[[#This Row],[Customer name]], Customer_master[Customer name], Customer_master[Terms days], 0)</f>
        <v>0</v>
      </c>
      <c r="L1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1" s="4"/>
      <c r="N161" s="46">
        <f>IF(AR[[#This Row],[Collection date - override (dd/mm/yyyy)]] &lt;&gt; "", AR[[#This Row],[Collection date - override (dd/mm/yyyy)]], AR[[#This Row],[Due date (dd/mm/yyyy)]])</f>
        <v>0</v>
      </c>
      <c r="O161" s="46">
        <f t="shared" si="2"/>
        <v>52</v>
      </c>
    </row>
    <row r="162" spans="3:15" x14ac:dyDescent="0.25">
      <c r="C162" s="28"/>
      <c r="D162" s="20"/>
      <c r="E162" s="4"/>
      <c r="F162" s="37"/>
      <c r="G162" s="24"/>
      <c r="H162" s="51">
        <f>Assumptions!$D$15</f>
        <v>0.1</v>
      </c>
      <c r="I162" s="45">
        <f>IF(AR[[#This Row],[GST applies?]] = "Yes", (AR[[#This Row],[Invoice value inc. VAT]] / 1 + AR[[#This Row],[GST %]]) * AR[[#This Row],[GST %]], 0)</f>
        <v>0</v>
      </c>
      <c r="J162" s="31">
        <f>_xlfn.XLOOKUP(AR[[#This Row],[Customer name]], Customer_master[Customer name], Customer_master[EOM or Net], 0)</f>
        <v>0</v>
      </c>
      <c r="K162" s="31">
        <f>_xlfn.XLOOKUP(AR[[#This Row],[Customer name]], Customer_master[Customer name], Customer_master[Terms days], 0)</f>
        <v>0</v>
      </c>
      <c r="L1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2" s="4"/>
      <c r="N162" s="46">
        <f>IF(AR[[#This Row],[Collection date - override (dd/mm/yyyy)]] &lt;&gt; "", AR[[#This Row],[Collection date - override (dd/mm/yyyy)]], AR[[#This Row],[Due date (dd/mm/yyyy)]])</f>
        <v>0</v>
      </c>
      <c r="O162" s="46">
        <f t="shared" si="2"/>
        <v>52</v>
      </c>
    </row>
    <row r="163" spans="3:15" x14ac:dyDescent="0.25">
      <c r="C163" s="28"/>
      <c r="D163" s="20"/>
      <c r="E163" s="4"/>
      <c r="F163" s="37"/>
      <c r="G163" s="24"/>
      <c r="H163" s="51">
        <f>Assumptions!$D$15</f>
        <v>0.1</v>
      </c>
      <c r="I163" s="45">
        <f>IF(AR[[#This Row],[GST applies?]] = "Yes", (AR[[#This Row],[Invoice value inc. VAT]] / 1 + AR[[#This Row],[GST %]]) * AR[[#This Row],[GST %]], 0)</f>
        <v>0</v>
      </c>
      <c r="J163" s="31">
        <f>_xlfn.XLOOKUP(AR[[#This Row],[Customer name]], Customer_master[Customer name], Customer_master[EOM or Net], 0)</f>
        <v>0</v>
      </c>
      <c r="K163" s="31">
        <f>_xlfn.XLOOKUP(AR[[#This Row],[Customer name]], Customer_master[Customer name], Customer_master[Terms days], 0)</f>
        <v>0</v>
      </c>
      <c r="L1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3" s="4"/>
      <c r="N163" s="46">
        <f>IF(AR[[#This Row],[Collection date - override (dd/mm/yyyy)]] &lt;&gt; "", AR[[#This Row],[Collection date - override (dd/mm/yyyy)]], AR[[#This Row],[Due date (dd/mm/yyyy)]])</f>
        <v>0</v>
      </c>
      <c r="O163" s="46">
        <f t="shared" si="2"/>
        <v>52</v>
      </c>
    </row>
    <row r="164" spans="3:15" x14ac:dyDescent="0.25">
      <c r="C164" s="28"/>
      <c r="D164" s="20"/>
      <c r="E164" s="4"/>
      <c r="F164" s="37"/>
      <c r="G164" s="24"/>
      <c r="H164" s="51">
        <f>Assumptions!$D$15</f>
        <v>0.1</v>
      </c>
      <c r="I164" s="45">
        <f>IF(AR[[#This Row],[GST applies?]] = "Yes", (AR[[#This Row],[Invoice value inc. VAT]] / 1 + AR[[#This Row],[GST %]]) * AR[[#This Row],[GST %]], 0)</f>
        <v>0</v>
      </c>
      <c r="J164" s="31">
        <f>_xlfn.XLOOKUP(AR[[#This Row],[Customer name]], Customer_master[Customer name], Customer_master[EOM or Net], 0)</f>
        <v>0</v>
      </c>
      <c r="K164" s="31">
        <f>_xlfn.XLOOKUP(AR[[#This Row],[Customer name]], Customer_master[Customer name], Customer_master[Terms days], 0)</f>
        <v>0</v>
      </c>
      <c r="L1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4" s="4"/>
      <c r="N164" s="46">
        <f>IF(AR[[#This Row],[Collection date - override (dd/mm/yyyy)]] &lt;&gt; "", AR[[#This Row],[Collection date - override (dd/mm/yyyy)]], AR[[#This Row],[Due date (dd/mm/yyyy)]])</f>
        <v>0</v>
      </c>
      <c r="O164" s="46">
        <f t="shared" si="2"/>
        <v>52</v>
      </c>
    </row>
    <row r="165" spans="3:15" x14ac:dyDescent="0.25">
      <c r="C165" s="28"/>
      <c r="D165" s="20"/>
      <c r="E165" s="4"/>
      <c r="F165" s="37"/>
      <c r="G165" s="24"/>
      <c r="H165" s="51">
        <f>Assumptions!$D$15</f>
        <v>0.1</v>
      </c>
      <c r="I165" s="45">
        <f>IF(AR[[#This Row],[GST applies?]] = "Yes", (AR[[#This Row],[Invoice value inc. VAT]] / 1 + AR[[#This Row],[GST %]]) * AR[[#This Row],[GST %]], 0)</f>
        <v>0</v>
      </c>
      <c r="J165" s="31">
        <f>_xlfn.XLOOKUP(AR[[#This Row],[Customer name]], Customer_master[Customer name], Customer_master[EOM or Net], 0)</f>
        <v>0</v>
      </c>
      <c r="K165" s="31">
        <f>_xlfn.XLOOKUP(AR[[#This Row],[Customer name]], Customer_master[Customer name], Customer_master[Terms days], 0)</f>
        <v>0</v>
      </c>
      <c r="L1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5" s="4"/>
      <c r="N165" s="46">
        <f>IF(AR[[#This Row],[Collection date - override (dd/mm/yyyy)]] &lt;&gt; "", AR[[#This Row],[Collection date - override (dd/mm/yyyy)]], AR[[#This Row],[Due date (dd/mm/yyyy)]])</f>
        <v>0</v>
      </c>
      <c r="O165" s="46">
        <f t="shared" si="2"/>
        <v>52</v>
      </c>
    </row>
    <row r="166" spans="3:15" x14ac:dyDescent="0.25">
      <c r="C166" s="28"/>
      <c r="D166" s="20"/>
      <c r="E166" s="4"/>
      <c r="F166" s="37"/>
      <c r="G166" s="24"/>
      <c r="H166" s="51">
        <f>Assumptions!$D$15</f>
        <v>0.1</v>
      </c>
      <c r="I166" s="45">
        <f>IF(AR[[#This Row],[GST applies?]] = "Yes", (AR[[#This Row],[Invoice value inc. VAT]] / 1 + AR[[#This Row],[GST %]]) * AR[[#This Row],[GST %]], 0)</f>
        <v>0</v>
      </c>
      <c r="J166" s="31">
        <f>_xlfn.XLOOKUP(AR[[#This Row],[Customer name]], Customer_master[Customer name], Customer_master[EOM or Net], 0)</f>
        <v>0</v>
      </c>
      <c r="K166" s="31">
        <f>_xlfn.XLOOKUP(AR[[#This Row],[Customer name]], Customer_master[Customer name], Customer_master[Terms days], 0)</f>
        <v>0</v>
      </c>
      <c r="L1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6" s="4"/>
      <c r="N166" s="46">
        <f>IF(AR[[#This Row],[Collection date - override (dd/mm/yyyy)]] &lt;&gt; "", AR[[#This Row],[Collection date - override (dd/mm/yyyy)]], AR[[#This Row],[Due date (dd/mm/yyyy)]])</f>
        <v>0</v>
      </c>
      <c r="O166" s="46">
        <f t="shared" si="2"/>
        <v>52</v>
      </c>
    </row>
    <row r="167" spans="3:15" x14ac:dyDescent="0.25">
      <c r="C167" s="28"/>
      <c r="D167" s="20"/>
      <c r="E167" s="4"/>
      <c r="F167" s="37"/>
      <c r="G167" s="24"/>
      <c r="H167" s="51">
        <f>Assumptions!$D$15</f>
        <v>0.1</v>
      </c>
      <c r="I167" s="45">
        <f>IF(AR[[#This Row],[GST applies?]] = "Yes", (AR[[#This Row],[Invoice value inc. VAT]] / 1 + AR[[#This Row],[GST %]]) * AR[[#This Row],[GST %]], 0)</f>
        <v>0</v>
      </c>
      <c r="J167" s="31">
        <f>_xlfn.XLOOKUP(AR[[#This Row],[Customer name]], Customer_master[Customer name], Customer_master[EOM or Net], 0)</f>
        <v>0</v>
      </c>
      <c r="K167" s="31">
        <f>_xlfn.XLOOKUP(AR[[#This Row],[Customer name]], Customer_master[Customer name], Customer_master[Terms days], 0)</f>
        <v>0</v>
      </c>
      <c r="L1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7" s="4"/>
      <c r="N167" s="46">
        <f>IF(AR[[#This Row],[Collection date - override (dd/mm/yyyy)]] &lt;&gt; "", AR[[#This Row],[Collection date - override (dd/mm/yyyy)]], AR[[#This Row],[Due date (dd/mm/yyyy)]])</f>
        <v>0</v>
      </c>
      <c r="O167" s="46">
        <f t="shared" si="2"/>
        <v>52</v>
      </c>
    </row>
    <row r="168" spans="3:15" x14ac:dyDescent="0.25">
      <c r="C168" s="28"/>
      <c r="D168" s="20"/>
      <c r="E168" s="4"/>
      <c r="F168" s="37"/>
      <c r="G168" s="24"/>
      <c r="H168" s="51">
        <f>Assumptions!$D$15</f>
        <v>0.1</v>
      </c>
      <c r="I168" s="45">
        <f>IF(AR[[#This Row],[GST applies?]] = "Yes", (AR[[#This Row],[Invoice value inc. VAT]] / 1 + AR[[#This Row],[GST %]]) * AR[[#This Row],[GST %]], 0)</f>
        <v>0</v>
      </c>
      <c r="J168" s="31">
        <f>_xlfn.XLOOKUP(AR[[#This Row],[Customer name]], Customer_master[Customer name], Customer_master[EOM or Net], 0)</f>
        <v>0</v>
      </c>
      <c r="K168" s="31">
        <f>_xlfn.XLOOKUP(AR[[#This Row],[Customer name]], Customer_master[Customer name], Customer_master[Terms days], 0)</f>
        <v>0</v>
      </c>
      <c r="L1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8" s="4"/>
      <c r="N168" s="46">
        <f>IF(AR[[#This Row],[Collection date - override (dd/mm/yyyy)]] &lt;&gt; "", AR[[#This Row],[Collection date - override (dd/mm/yyyy)]], AR[[#This Row],[Due date (dd/mm/yyyy)]])</f>
        <v>0</v>
      </c>
      <c r="O168" s="46">
        <f t="shared" si="2"/>
        <v>52</v>
      </c>
    </row>
    <row r="169" spans="3:15" x14ac:dyDescent="0.25">
      <c r="C169" s="28"/>
      <c r="D169" s="20"/>
      <c r="E169" s="4"/>
      <c r="F169" s="37"/>
      <c r="G169" s="24"/>
      <c r="H169" s="51">
        <f>Assumptions!$D$15</f>
        <v>0.1</v>
      </c>
      <c r="I169" s="45">
        <f>IF(AR[[#This Row],[GST applies?]] = "Yes", (AR[[#This Row],[Invoice value inc. VAT]] / 1 + AR[[#This Row],[GST %]]) * AR[[#This Row],[GST %]], 0)</f>
        <v>0</v>
      </c>
      <c r="J169" s="31">
        <f>_xlfn.XLOOKUP(AR[[#This Row],[Customer name]], Customer_master[Customer name], Customer_master[EOM or Net], 0)</f>
        <v>0</v>
      </c>
      <c r="K169" s="31">
        <f>_xlfn.XLOOKUP(AR[[#This Row],[Customer name]], Customer_master[Customer name], Customer_master[Terms days], 0)</f>
        <v>0</v>
      </c>
      <c r="L1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9" s="4"/>
      <c r="N169" s="46">
        <f>IF(AR[[#This Row],[Collection date - override (dd/mm/yyyy)]] &lt;&gt; "", AR[[#This Row],[Collection date - override (dd/mm/yyyy)]], AR[[#This Row],[Due date (dd/mm/yyyy)]])</f>
        <v>0</v>
      </c>
      <c r="O169" s="46">
        <f t="shared" si="2"/>
        <v>52</v>
      </c>
    </row>
    <row r="170" spans="3:15" x14ac:dyDescent="0.25">
      <c r="C170" s="28"/>
      <c r="D170" s="20"/>
      <c r="E170" s="4"/>
      <c r="F170" s="37"/>
      <c r="G170" s="24"/>
      <c r="H170" s="51">
        <f>Assumptions!$D$15</f>
        <v>0.1</v>
      </c>
      <c r="I170" s="45">
        <f>IF(AR[[#This Row],[GST applies?]] = "Yes", (AR[[#This Row],[Invoice value inc. VAT]] / 1 + AR[[#This Row],[GST %]]) * AR[[#This Row],[GST %]], 0)</f>
        <v>0</v>
      </c>
      <c r="J170" s="31">
        <f>_xlfn.XLOOKUP(AR[[#This Row],[Customer name]], Customer_master[Customer name], Customer_master[EOM or Net], 0)</f>
        <v>0</v>
      </c>
      <c r="K170" s="31">
        <f>_xlfn.XLOOKUP(AR[[#This Row],[Customer name]], Customer_master[Customer name], Customer_master[Terms days], 0)</f>
        <v>0</v>
      </c>
      <c r="L1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0" s="4"/>
      <c r="N170" s="46">
        <f>IF(AR[[#This Row],[Collection date - override (dd/mm/yyyy)]] &lt;&gt; "", AR[[#This Row],[Collection date - override (dd/mm/yyyy)]], AR[[#This Row],[Due date (dd/mm/yyyy)]])</f>
        <v>0</v>
      </c>
      <c r="O170" s="46">
        <f t="shared" si="2"/>
        <v>52</v>
      </c>
    </row>
    <row r="171" spans="3:15" x14ac:dyDescent="0.25">
      <c r="C171" s="28"/>
      <c r="D171" s="20"/>
      <c r="E171" s="4"/>
      <c r="F171" s="37"/>
      <c r="G171" s="24"/>
      <c r="H171" s="51">
        <f>Assumptions!$D$15</f>
        <v>0.1</v>
      </c>
      <c r="I171" s="45">
        <f>IF(AR[[#This Row],[GST applies?]] = "Yes", (AR[[#This Row],[Invoice value inc. VAT]] / 1 + AR[[#This Row],[GST %]]) * AR[[#This Row],[GST %]], 0)</f>
        <v>0</v>
      </c>
      <c r="J171" s="31">
        <f>_xlfn.XLOOKUP(AR[[#This Row],[Customer name]], Customer_master[Customer name], Customer_master[EOM or Net], 0)</f>
        <v>0</v>
      </c>
      <c r="K171" s="31">
        <f>_xlfn.XLOOKUP(AR[[#This Row],[Customer name]], Customer_master[Customer name], Customer_master[Terms days], 0)</f>
        <v>0</v>
      </c>
      <c r="L1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1" s="4"/>
      <c r="N171" s="46">
        <f>IF(AR[[#This Row],[Collection date - override (dd/mm/yyyy)]] &lt;&gt; "", AR[[#This Row],[Collection date - override (dd/mm/yyyy)]], AR[[#This Row],[Due date (dd/mm/yyyy)]])</f>
        <v>0</v>
      </c>
      <c r="O171" s="46">
        <f t="shared" si="2"/>
        <v>52</v>
      </c>
    </row>
    <row r="172" spans="3:15" x14ac:dyDescent="0.25">
      <c r="C172" s="28"/>
      <c r="D172" s="20"/>
      <c r="E172" s="4"/>
      <c r="F172" s="37"/>
      <c r="G172" s="24"/>
      <c r="H172" s="51">
        <f>Assumptions!$D$15</f>
        <v>0.1</v>
      </c>
      <c r="I172" s="45">
        <f>IF(AR[[#This Row],[GST applies?]] = "Yes", (AR[[#This Row],[Invoice value inc. VAT]] / 1 + AR[[#This Row],[GST %]]) * AR[[#This Row],[GST %]], 0)</f>
        <v>0</v>
      </c>
      <c r="J172" s="31">
        <f>_xlfn.XLOOKUP(AR[[#This Row],[Customer name]], Customer_master[Customer name], Customer_master[EOM or Net], 0)</f>
        <v>0</v>
      </c>
      <c r="K172" s="31">
        <f>_xlfn.XLOOKUP(AR[[#This Row],[Customer name]], Customer_master[Customer name], Customer_master[Terms days], 0)</f>
        <v>0</v>
      </c>
      <c r="L1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2" s="4"/>
      <c r="N172" s="46">
        <f>IF(AR[[#This Row],[Collection date - override (dd/mm/yyyy)]] &lt;&gt; "", AR[[#This Row],[Collection date - override (dd/mm/yyyy)]], AR[[#This Row],[Due date (dd/mm/yyyy)]])</f>
        <v>0</v>
      </c>
      <c r="O172" s="46">
        <f t="shared" si="2"/>
        <v>52</v>
      </c>
    </row>
    <row r="173" spans="3:15" x14ac:dyDescent="0.25">
      <c r="C173" s="28"/>
      <c r="D173" s="20"/>
      <c r="E173" s="4"/>
      <c r="F173" s="37"/>
      <c r="G173" s="24"/>
      <c r="H173" s="51">
        <f>Assumptions!$D$15</f>
        <v>0.1</v>
      </c>
      <c r="I173" s="45">
        <f>IF(AR[[#This Row],[GST applies?]] = "Yes", (AR[[#This Row],[Invoice value inc. VAT]] / 1 + AR[[#This Row],[GST %]]) * AR[[#This Row],[GST %]], 0)</f>
        <v>0</v>
      </c>
      <c r="J173" s="31">
        <f>_xlfn.XLOOKUP(AR[[#This Row],[Customer name]], Customer_master[Customer name], Customer_master[EOM or Net], 0)</f>
        <v>0</v>
      </c>
      <c r="K173" s="31">
        <f>_xlfn.XLOOKUP(AR[[#This Row],[Customer name]], Customer_master[Customer name], Customer_master[Terms days], 0)</f>
        <v>0</v>
      </c>
      <c r="L1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3" s="4"/>
      <c r="N173" s="46">
        <f>IF(AR[[#This Row],[Collection date - override (dd/mm/yyyy)]] &lt;&gt; "", AR[[#This Row],[Collection date - override (dd/mm/yyyy)]], AR[[#This Row],[Due date (dd/mm/yyyy)]])</f>
        <v>0</v>
      </c>
      <c r="O173" s="46">
        <f t="shared" si="2"/>
        <v>52</v>
      </c>
    </row>
    <row r="174" spans="3:15" x14ac:dyDescent="0.25">
      <c r="C174" s="28"/>
      <c r="D174" s="20"/>
      <c r="E174" s="4"/>
      <c r="F174" s="37"/>
      <c r="G174" s="24"/>
      <c r="H174" s="51">
        <f>Assumptions!$D$15</f>
        <v>0.1</v>
      </c>
      <c r="I174" s="45">
        <f>IF(AR[[#This Row],[GST applies?]] = "Yes", (AR[[#This Row],[Invoice value inc. VAT]] / 1 + AR[[#This Row],[GST %]]) * AR[[#This Row],[GST %]], 0)</f>
        <v>0</v>
      </c>
      <c r="J174" s="31">
        <f>_xlfn.XLOOKUP(AR[[#This Row],[Customer name]], Customer_master[Customer name], Customer_master[EOM or Net], 0)</f>
        <v>0</v>
      </c>
      <c r="K174" s="31">
        <f>_xlfn.XLOOKUP(AR[[#This Row],[Customer name]], Customer_master[Customer name], Customer_master[Terms days], 0)</f>
        <v>0</v>
      </c>
      <c r="L1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4" s="4"/>
      <c r="N174" s="46">
        <f>IF(AR[[#This Row],[Collection date - override (dd/mm/yyyy)]] &lt;&gt; "", AR[[#This Row],[Collection date - override (dd/mm/yyyy)]], AR[[#This Row],[Due date (dd/mm/yyyy)]])</f>
        <v>0</v>
      </c>
      <c r="O174" s="46">
        <f t="shared" si="2"/>
        <v>52</v>
      </c>
    </row>
    <row r="175" spans="3:15" x14ac:dyDescent="0.25">
      <c r="C175" s="28"/>
      <c r="D175" s="20"/>
      <c r="E175" s="4"/>
      <c r="F175" s="37"/>
      <c r="G175" s="24"/>
      <c r="H175" s="51">
        <f>Assumptions!$D$15</f>
        <v>0.1</v>
      </c>
      <c r="I175" s="45">
        <f>IF(AR[[#This Row],[GST applies?]] = "Yes", (AR[[#This Row],[Invoice value inc. VAT]] / 1 + AR[[#This Row],[GST %]]) * AR[[#This Row],[GST %]], 0)</f>
        <v>0</v>
      </c>
      <c r="J175" s="31">
        <f>_xlfn.XLOOKUP(AR[[#This Row],[Customer name]], Customer_master[Customer name], Customer_master[EOM or Net], 0)</f>
        <v>0</v>
      </c>
      <c r="K175" s="31">
        <f>_xlfn.XLOOKUP(AR[[#This Row],[Customer name]], Customer_master[Customer name], Customer_master[Terms days], 0)</f>
        <v>0</v>
      </c>
      <c r="L1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5" s="4"/>
      <c r="N175" s="46">
        <f>IF(AR[[#This Row],[Collection date - override (dd/mm/yyyy)]] &lt;&gt; "", AR[[#This Row],[Collection date - override (dd/mm/yyyy)]], AR[[#This Row],[Due date (dd/mm/yyyy)]])</f>
        <v>0</v>
      </c>
      <c r="O175" s="46">
        <f t="shared" si="2"/>
        <v>52</v>
      </c>
    </row>
    <row r="176" spans="3:15" x14ac:dyDescent="0.25">
      <c r="C176" s="28"/>
      <c r="D176" s="20"/>
      <c r="E176" s="4"/>
      <c r="F176" s="37"/>
      <c r="G176" s="24"/>
      <c r="H176" s="51">
        <f>Assumptions!$D$15</f>
        <v>0.1</v>
      </c>
      <c r="I176" s="45">
        <f>IF(AR[[#This Row],[GST applies?]] = "Yes", (AR[[#This Row],[Invoice value inc. VAT]] / 1 + AR[[#This Row],[GST %]]) * AR[[#This Row],[GST %]], 0)</f>
        <v>0</v>
      </c>
      <c r="J176" s="31">
        <f>_xlfn.XLOOKUP(AR[[#This Row],[Customer name]], Customer_master[Customer name], Customer_master[EOM or Net], 0)</f>
        <v>0</v>
      </c>
      <c r="K176" s="31">
        <f>_xlfn.XLOOKUP(AR[[#This Row],[Customer name]], Customer_master[Customer name], Customer_master[Terms days], 0)</f>
        <v>0</v>
      </c>
      <c r="L1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6" s="4"/>
      <c r="N176" s="46">
        <f>IF(AR[[#This Row],[Collection date - override (dd/mm/yyyy)]] &lt;&gt; "", AR[[#This Row],[Collection date - override (dd/mm/yyyy)]], AR[[#This Row],[Due date (dd/mm/yyyy)]])</f>
        <v>0</v>
      </c>
      <c r="O176" s="46">
        <f t="shared" si="2"/>
        <v>52</v>
      </c>
    </row>
    <row r="177" spans="3:15" x14ac:dyDescent="0.25">
      <c r="C177" s="28"/>
      <c r="D177" s="20"/>
      <c r="E177" s="4"/>
      <c r="F177" s="37"/>
      <c r="G177" s="24"/>
      <c r="H177" s="51">
        <f>Assumptions!$D$15</f>
        <v>0.1</v>
      </c>
      <c r="I177" s="45">
        <f>IF(AR[[#This Row],[GST applies?]] = "Yes", (AR[[#This Row],[Invoice value inc. VAT]] / 1 + AR[[#This Row],[GST %]]) * AR[[#This Row],[GST %]], 0)</f>
        <v>0</v>
      </c>
      <c r="J177" s="31">
        <f>_xlfn.XLOOKUP(AR[[#This Row],[Customer name]], Customer_master[Customer name], Customer_master[EOM or Net], 0)</f>
        <v>0</v>
      </c>
      <c r="K177" s="31">
        <f>_xlfn.XLOOKUP(AR[[#This Row],[Customer name]], Customer_master[Customer name], Customer_master[Terms days], 0)</f>
        <v>0</v>
      </c>
      <c r="L1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7" s="4"/>
      <c r="N177" s="46">
        <f>IF(AR[[#This Row],[Collection date - override (dd/mm/yyyy)]] &lt;&gt; "", AR[[#This Row],[Collection date - override (dd/mm/yyyy)]], AR[[#This Row],[Due date (dd/mm/yyyy)]])</f>
        <v>0</v>
      </c>
      <c r="O177" s="46">
        <f t="shared" si="2"/>
        <v>52</v>
      </c>
    </row>
    <row r="178" spans="3:15" x14ac:dyDescent="0.25">
      <c r="C178" s="28"/>
      <c r="D178" s="20"/>
      <c r="E178" s="4"/>
      <c r="F178" s="37"/>
      <c r="G178" s="24"/>
      <c r="H178" s="51">
        <f>Assumptions!$D$15</f>
        <v>0.1</v>
      </c>
      <c r="I178" s="45">
        <f>IF(AR[[#This Row],[GST applies?]] = "Yes", (AR[[#This Row],[Invoice value inc. VAT]] / 1 + AR[[#This Row],[GST %]]) * AR[[#This Row],[GST %]], 0)</f>
        <v>0</v>
      </c>
      <c r="J178" s="31">
        <f>_xlfn.XLOOKUP(AR[[#This Row],[Customer name]], Customer_master[Customer name], Customer_master[EOM or Net], 0)</f>
        <v>0</v>
      </c>
      <c r="K178" s="31">
        <f>_xlfn.XLOOKUP(AR[[#This Row],[Customer name]], Customer_master[Customer name], Customer_master[Terms days], 0)</f>
        <v>0</v>
      </c>
      <c r="L1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8" s="4"/>
      <c r="N178" s="46">
        <f>IF(AR[[#This Row],[Collection date - override (dd/mm/yyyy)]] &lt;&gt; "", AR[[#This Row],[Collection date - override (dd/mm/yyyy)]], AR[[#This Row],[Due date (dd/mm/yyyy)]])</f>
        <v>0</v>
      </c>
      <c r="O178" s="46">
        <f t="shared" si="2"/>
        <v>52</v>
      </c>
    </row>
    <row r="179" spans="3:15" x14ac:dyDescent="0.25">
      <c r="C179" s="28"/>
      <c r="D179" s="20"/>
      <c r="E179" s="4"/>
      <c r="F179" s="37"/>
      <c r="G179" s="24"/>
      <c r="H179" s="51">
        <f>Assumptions!$D$15</f>
        <v>0.1</v>
      </c>
      <c r="I179" s="45">
        <f>IF(AR[[#This Row],[GST applies?]] = "Yes", (AR[[#This Row],[Invoice value inc. VAT]] / 1 + AR[[#This Row],[GST %]]) * AR[[#This Row],[GST %]], 0)</f>
        <v>0</v>
      </c>
      <c r="J179" s="31">
        <f>_xlfn.XLOOKUP(AR[[#This Row],[Customer name]], Customer_master[Customer name], Customer_master[EOM or Net], 0)</f>
        <v>0</v>
      </c>
      <c r="K179" s="31">
        <f>_xlfn.XLOOKUP(AR[[#This Row],[Customer name]], Customer_master[Customer name], Customer_master[Terms days], 0)</f>
        <v>0</v>
      </c>
      <c r="L1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9" s="4"/>
      <c r="N179" s="46">
        <f>IF(AR[[#This Row],[Collection date - override (dd/mm/yyyy)]] &lt;&gt; "", AR[[#This Row],[Collection date - override (dd/mm/yyyy)]], AR[[#This Row],[Due date (dd/mm/yyyy)]])</f>
        <v>0</v>
      </c>
      <c r="O179" s="46">
        <f t="shared" si="2"/>
        <v>52</v>
      </c>
    </row>
    <row r="180" spans="3:15" x14ac:dyDescent="0.25">
      <c r="C180" s="28"/>
      <c r="D180" s="20"/>
      <c r="E180" s="4"/>
      <c r="F180" s="37"/>
      <c r="G180" s="24"/>
      <c r="H180" s="51">
        <f>Assumptions!$D$15</f>
        <v>0.1</v>
      </c>
      <c r="I180" s="45">
        <f>IF(AR[[#This Row],[GST applies?]] = "Yes", (AR[[#This Row],[Invoice value inc. VAT]] / 1 + AR[[#This Row],[GST %]]) * AR[[#This Row],[GST %]], 0)</f>
        <v>0</v>
      </c>
      <c r="J180" s="31">
        <f>_xlfn.XLOOKUP(AR[[#This Row],[Customer name]], Customer_master[Customer name], Customer_master[EOM or Net], 0)</f>
        <v>0</v>
      </c>
      <c r="K180" s="31">
        <f>_xlfn.XLOOKUP(AR[[#This Row],[Customer name]], Customer_master[Customer name], Customer_master[Terms days], 0)</f>
        <v>0</v>
      </c>
      <c r="L1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0" s="4"/>
      <c r="N180" s="46">
        <f>IF(AR[[#This Row],[Collection date - override (dd/mm/yyyy)]] &lt;&gt; "", AR[[#This Row],[Collection date - override (dd/mm/yyyy)]], AR[[#This Row],[Due date (dd/mm/yyyy)]])</f>
        <v>0</v>
      </c>
      <c r="O180" s="46">
        <f t="shared" si="2"/>
        <v>52</v>
      </c>
    </row>
    <row r="181" spans="3:15" x14ac:dyDescent="0.25">
      <c r="C181" s="28"/>
      <c r="D181" s="20"/>
      <c r="E181" s="4"/>
      <c r="F181" s="37"/>
      <c r="G181" s="24"/>
      <c r="H181" s="51">
        <f>Assumptions!$D$15</f>
        <v>0.1</v>
      </c>
      <c r="I181" s="45">
        <f>IF(AR[[#This Row],[GST applies?]] = "Yes", (AR[[#This Row],[Invoice value inc. VAT]] / 1 + AR[[#This Row],[GST %]]) * AR[[#This Row],[GST %]], 0)</f>
        <v>0</v>
      </c>
      <c r="J181" s="31">
        <f>_xlfn.XLOOKUP(AR[[#This Row],[Customer name]], Customer_master[Customer name], Customer_master[EOM or Net], 0)</f>
        <v>0</v>
      </c>
      <c r="K181" s="31">
        <f>_xlfn.XLOOKUP(AR[[#This Row],[Customer name]], Customer_master[Customer name], Customer_master[Terms days], 0)</f>
        <v>0</v>
      </c>
      <c r="L1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1" s="4"/>
      <c r="N181" s="46">
        <f>IF(AR[[#This Row],[Collection date - override (dd/mm/yyyy)]] &lt;&gt; "", AR[[#This Row],[Collection date - override (dd/mm/yyyy)]], AR[[#This Row],[Due date (dd/mm/yyyy)]])</f>
        <v>0</v>
      </c>
      <c r="O181" s="46">
        <f t="shared" si="2"/>
        <v>52</v>
      </c>
    </row>
    <row r="182" spans="3:15" x14ac:dyDescent="0.25">
      <c r="C182" s="28"/>
      <c r="D182" s="20"/>
      <c r="E182" s="4"/>
      <c r="F182" s="37"/>
      <c r="G182" s="24"/>
      <c r="H182" s="51">
        <f>Assumptions!$D$15</f>
        <v>0.1</v>
      </c>
      <c r="I182" s="45">
        <f>IF(AR[[#This Row],[GST applies?]] = "Yes", (AR[[#This Row],[Invoice value inc. VAT]] / 1 + AR[[#This Row],[GST %]]) * AR[[#This Row],[GST %]], 0)</f>
        <v>0</v>
      </c>
      <c r="J182" s="31">
        <f>_xlfn.XLOOKUP(AR[[#This Row],[Customer name]], Customer_master[Customer name], Customer_master[EOM or Net], 0)</f>
        <v>0</v>
      </c>
      <c r="K182" s="31">
        <f>_xlfn.XLOOKUP(AR[[#This Row],[Customer name]], Customer_master[Customer name], Customer_master[Terms days], 0)</f>
        <v>0</v>
      </c>
      <c r="L1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2" s="4"/>
      <c r="N182" s="46">
        <f>IF(AR[[#This Row],[Collection date - override (dd/mm/yyyy)]] &lt;&gt; "", AR[[#This Row],[Collection date - override (dd/mm/yyyy)]], AR[[#This Row],[Due date (dd/mm/yyyy)]])</f>
        <v>0</v>
      </c>
      <c r="O182" s="46">
        <f t="shared" si="2"/>
        <v>52</v>
      </c>
    </row>
    <row r="183" spans="3:15" x14ac:dyDescent="0.25">
      <c r="C183" s="28"/>
      <c r="D183" s="20"/>
      <c r="E183" s="4"/>
      <c r="F183" s="37"/>
      <c r="G183" s="24"/>
      <c r="H183" s="51">
        <f>Assumptions!$D$15</f>
        <v>0.1</v>
      </c>
      <c r="I183" s="45">
        <f>IF(AR[[#This Row],[GST applies?]] = "Yes", (AR[[#This Row],[Invoice value inc. VAT]] / 1 + AR[[#This Row],[GST %]]) * AR[[#This Row],[GST %]], 0)</f>
        <v>0</v>
      </c>
      <c r="J183" s="31">
        <f>_xlfn.XLOOKUP(AR[[#This Row],[Customer name]], Customer_master[Customer name], Customer_master[EOM or Net], 0)</f>
        <v>0</v>
      </c>
      <c r="K183" s="31">
        <f>_xlfn.XLOOKUP(AR[[#This Row],[Customer name]], Customer_master[Customer name], Customer_master[Terms days], 0)</f>
        <v>0</v>
      </c>
      <c r="L1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3" s="4"/>
      <c r="N183" s="46">
        <f>IF(AR[[#This Row],[Collection date - override (dd/mm/yyyy)]] &lt;&gt; "", AR[[#This Row],[Collection date - override (dd/mm/yyyy)]], AR[[#This Row],[Due date (dd/mm/yyyy)]])</f>
        <v>0</v>
      </c>
      <c r="O183" s="46">
        <f t="shared" si="2"/>
        <v>52</v>
      </c>
    </row>
    <row r="184" spans="3:15" x14ac:dyDescent="0.25">
      <c r="C184" s="28"/>
      <c r="D184" s="20"/>
      <c r="E184" s="4"/>
      <c r="F184" s="37"/>
      <c r="G184" s="24"/>
      <c r="H184" s="51">
        <f>Assumptions!$D$15</f>
        <v>0.1</v>
      </c>
      <c r="I184" s="45">
        <f>IF(AR[[#This Row],[GST applies?]] = "Yes", (AR[[#This Row],[Invoice value inc. VAT]] / 1 + AR[[#This Row],[GST %]]) * AR[[#This Row],[GST %]], 0)</f>
        <v>0</v>
      </c>
      <c r="J184" s="31">
        <f>_xlfn.XLOOKUP(AR[[#This Row],[Customer name]], Customer_master[Customer name], Customer_master[EOM or Net], 0)</f>
        <v>0</v>
      </c>
      <c r="K184" s="31">
        <f>_xlfn.XLOOKUP(AR[[#This Row],[Customer name]], Customer_master[Customer name], Customer_master[Terms days], 0)</f>
        <v>0</v>
      </c>
      <c r="L1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4" s="4"/>
      <c r="N184" s="46">
        <f>IF(AR[[#This Row],[Collection date - override (dd/mm/yyyy)]] &lt;&gt; "", AR[[#This Row],[Collection date - override (dd/mm/yyyy)]], AR[[#This Row],[Due date (dd/mm/yyyy)]])</f>
        <v>0</v>
      </c>
      <c r="O184" s="46">
        <f t="shared" si="2"/>
        <v>52</v>
      </c>
    </row>
    <row r="185" spans="3:15" x14ac:dyDescent="0.25">
      <c r="C185" s="28"/>
      <c r="D185" s="20"/>
      <c r="E185" s="4"/>
      <c r="F185" s="37"/>
      <c r="G185" s="24"/>
      <c r="H185" s="51">
        <f>Assumptions!$D$15</f>
        <v>0.1</v>
      </c>
      <c r="I185" s="45">
        <f>IF(AR[[#This Row],[GST applies?]] = "Yes", (AR[[#This Row],[Invoice value inc. VAT]] / 1 + AR[[#This Row],[GST %]]) * AR[[#This Row],[GST %]], 0)</f>
        <v>0</v>
      </c>
      <c r="J185" s="31">
        <f>_xlfn.XLOOKUP(AR[[#This Row],[Customer name]], Customer_master[Customer name], Customer_master[EOM or Net], 0)</f>
        <v>0</v>
      </c>
      <c r="K185" s="31">
        <f>_xlfn.XLOOKUP(AR[[#This Row],[Customer name]], Customer_master[Customer name], Customer_master[Terms days], 0)</f>
        <v>0</v>
      </c>
      <c r="L1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5" s="4"/>
      <c r="N185" s="46">
        <f>IF(AR[[#This Row],[Collection date - override (dd/mm/yyyy)]] &lt;&gt; "", AR[[#This Row],[Collection date - override (dd/mm/yyyy)]], AR[[#This Row],[Due date (dd/mm/yyyy)]])</f>
        <v>0</v>
      </c>
      <c r="O185" s="46">
        <f t="shared" si="2"/>
        <v>52</v>
      </c>
    </row>
    <row r="186" spans="3:15" x14ac:dyDescent="0.25">
      <c r="C186" s="28"/>
      <c r="D186" s="20"/>
      <c r="E186" s="4"/>
      <c r="F186" s="37"/>
      <c r="G186" s="24"/>
      <c r="H186" s="51">
        <f>Assumptions!$D$15</f>
        <v>0.1</v>
      </c>
      <c r="I186" s="45">
        <f>IF(AR[[#This Row],[GST applies?]] = "Yes", (AR[[#This Row],[Invoice value inc. VAT]] / 1 + AR[[#This Row],[GST %]]) * AR[[#This Row],[GST %]], 0)</f>
        <v>0</v>
      </c>
      <c r="J186" s="31">
        <f>_xlfn.XLOOKUP(AR[[#This Row],[Customer name]], Customer_master[Customer name], Customer_master[EOM or Net], 0)</f>
        <v>0</v>
      </c>
      <c r="K186" s="31">
        <f>_xlfn.XLOOKUP(AR[[#This Row],[Customer name]], Customer_master[Customer name], Customer_master[Terms days], 0)</f>
        <v>0</v>
      </c>
      <c r="L1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6" s="4"/>
      <c r="N186" s="46">
        <f>IF(AR[[#This Row],[Collection date - override (dd/mm/yyyy)]] &lt;&gt; "", AR[[#This Row],[Collection date - override (dd/mm/yyyy)]], AR[[#This Row],[Due date (dd/mm/yyyy)]])</f>
        <v>0</v>
      </c>
      <c r="O186" s="46">
        <f t="shared" si="2"/>
        <v>52</v>
      </c>
    </row>
    <row r="187" spans="3:15" x14ac:dyDescent="0.25">
      <c r="C187" s="28"/>
      <c r="D187" s="20"/>
      <c r="E187" s="4"/>
      <c r="F187" s="37"/>
      <c r="G187" s="24"/>
      <c r="H187" s="51">
        <f>Assumptions!$D$15</f>
        <v>0.1</v>
      </c>
      <c r="I187" s="45">
        <f>IF(AR[[#This Row],[GST applies?]] = "Yes", (AR[[#This Row],[Invoice value inc. VAT]] / 1 + AR[[#This Row],[GST %]]) * AR[[#This Row],[GST %]], 0)</f>
        <v>0</v>
      </c>
      <c r="J187" s="31">
        <f>_xlfn.XLOOKUP(AR[[#This Row],[Customer name]], Customer_master[Customer name], Customer_master[EOM or Net], 0)</f>
        <v>0</v>
      </c>
      <c r="K187" s="31">
        <f>_xlfn.XLOOKUP(AR[[#This Row],[Customer name]], Customer_master[Customer name], Customer_master[Terms days], 0)</f>
        <v>0</v>
      </c>
      <c r="L1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7" s="4"/>
      <c r="N187" s="46">
        <f>IF(AR[[#This Row],[Collection date - override (dd/mm/yyyy)]] &lt;&gt; "", AR[[#This Row],[Collection date - override (dd/mm/yyyy)]], AR[[#This Row],[Due date (dd/mm/yyyy)]])</f>
        <v>0</v>
      </c>
      <c r="O187" s="46">
        <f t="shared" si="2"/>
        <v>52</v>
      </c>
    </row>
    <row r="188" spans="3:15" x14ac:dyDescent="0.25">
      <c r="C188" s="28"/>
      <c r="D188" s="20"/>
      <c r="E188" s="4"/>
      <c r="F188" s="37"/>
      <c r="G188" s="24"/>
      <c r="H188" s="51">
        <f>Assumptions!$D$15</f>
        <v>0.1</v>
      </c>
      <c r="I188" s="45">
        <f>IF(AR[[#This Row],[GST applies?]] = "Yes", (AR[[#This Row],[Invoice value inc. VAT]] / 1 + AR[[#This Row],[GST %]]) * AR[[#This Row],[GST %]], 0)</f>
        <v>0</v>
      </c>
      <c r="J188" s="31">
        <f>_xlfn.XLOOKUP(AR[[#This Row],[Customer name]], Customer_master[Customer name], Customer_master[EOM or Net], 0)</f>
        <v>0</v>
      </c>
      <c r="K188" s="31">
        <f>_xlfn.XLOOKUP(AR[[#This Row],[Customer name]], Customer_master[Customer name], Customer_master[Terms days], 0)</f>
        <v>0</v>
      </c>
      <c r="L1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8" s="4"/>
      <c r="N188" s="46">
        <f>IF(AR[[#This Row],[Collection date - override (dd/mm/yyyy)]] &lt;&gt; "", AR[[#This Row],[Collection date - override (dd/mm/yyyy)]], AR[[#This Row],[Due date (dd/mm/yyyy)]])</f>
        <v>0</v>
      </c>
      <c r="O188" s="46">
        <f t="shared" si="2"/>
        <v>52</v>
      </c>
    </row>
    <row r="189" spans="3:15" x14ac:dyDescent="0.25">
      <c r="C189" s="28"/>
      <c r="D189" s="20"/>
      <c r="E189" s="4"/>
      <c r="F189" s="37"/>
      <c r="G189" s="24"/>
      <c r="H189" s="51">
        <f>Assumptions!$D$15</f>
        <v>0.1</v>
      </c>
      <c r="I189" s="45">
        <f>IF(AR[[#This Row],[GST applies?]] = "Yes", (AR[[#This Row],[Invoice value inc. VAT]] / 1 + AR[[#This Row],[GST %]]) * AR[[#This Row],[GST %]], 0)</f>
        <v>0</v>
      </c>
      <c r="J189" s="31">
        <f>_xlfn.XLOOKUP(AR[[#This Row],[Customer name]], Customer_master[Customer name], Customer_master[EOM or Net], 0)</f>
        <v>0</v>
      </c>
      <c r="K189" s="31">
        <f>_xlfn.XLOOKUP(AR[[#This Row],[Customer name]], Customer_master[Customer name], Customer_master[Terms days], 0)</f>
        <v>0</v>
      </c>
      <c r="L1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9" s="4"/>
      <c r="N189" s="46">
        <f>IF(AR[[#This Row],[Collection date - override (dd/mm/yyyy)]] &lt;&gt; "", AR[[#This Row],[Collection date - override (dd/mm/yyyy)]], AR[[#This Row],[Due date (dd/mm/yyyy)]])</f>
        <v>0</v>
      </c>
      <c r="O189" s="46">
        <f t="shared" si="2"/>
        <v>52</v>
      </c>
    </row>
    <row r="190" spans="3:15" x14ac:dyDescent="0.25">
      <c r="C190" s="28"/>
      <c r="D190" s="20"/>
      <c r="E190" s="4"/>
      <c r="F190" s="37"/>
      <c r="G190" s="24"/>
      <c r="H190" s="51">
        <f>Assumptions!$D$15</f>
        <v>0.1</v>
      </c>
      <c r="I190" s="45">
        <f>IF(AR[[#This Row],[GST applies?]] = "Yes", (AR[[#This Row],[Invoice value inc. VAT]] / 1 + AR[[#This Row],[GST %]]) * AR[[#This Row],[GST %]], 0)</f>
        <v>0</v>
      </c>
      <c r="J190" s="31">
        <f>_xlfn.XLOOKUP(AR[[#This Row],[Customer name]], Customer_master[Customer name], Customer_master[EOM or Net], 0)</f>
        <v>0</v>
      </c>
      <c r="K190" s="31">
        <f>_xlfn.XLOOKUP(AR[[#This Row],[Customer name]], Customer_master[Customer name], Customer_master[Terms days], 0)</f>
        <v>0</v>
      </c>
      <c r="L1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0" s="4"/>
      <c r="N190" s="46">
        <f>IF(AR[[#This Row],[Collection date - override (dd/mm/yyyy)]] &lt;&gt; "", AR[[#This Row],[Collection date - override (dd/mm/yyyy)]], AR[[#This Row],[Due date (dd/mm/yyyy)]])</f>
        <v>0</v>
      </c>
      <c r="O190" s="46">
        <f t="shared" si="2"/>
        <v>52</v>
      </c>
    </row>
    <row r="191" spans="3:15" x14ac:dyDescent="0.25">
      <c r="C191" s="28"/>
      <c r="D191" s="20"/>
      <c r="E191" s="4"/>
      <c r="F191" s="37"/>
      <c r="G191" s="24"/>
      <c r="H191" s="51">
        <f>Assumptions!$D$15</f>
        <v>0.1</v>
      </c>
      <c r="I191" s="45">
        <f>IF(AR[[#This Row],[GST applies?]] = "Yes", (AR[[#This Row],[Invoice value inc. VAT]] / 1 + AR[[#This Row],[GST %]]) * AR[[#This Row],[GST %]], 0)</f>
        <v>0</v>
      </c>
      <c r="J191" s="31">
        <f>_xlfn.XLOOKUP(AR[[#This Row],[Customer name]], Customer_master[Customer name], Customer_master[EOM or Net], 0)</f>
        <v>0</v>
      </c>
      <c r="K191" s="31">
        <f>_xlfn.XLOOKUP(AR[[#This Row],[Customer name]], Customer_master[Customer name], Customer_master[Terms days], 0)</f>
        <v>0</v>
      </c>
      <c r="L1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1" s="4"/>
      <c r="N191" s="46">
        <f>IF(AR[[#This Row],[Collection date - override (dd/mm/yyyy)]] &lt;&gt; "", AR[[#This Row],[Collection date - override (dd/mm/yyyy)]], AR[[#This Row],[Due date (dd/mm/yyyy)]])</f>
        <v>0</v>
      </c>
      <c r="O191" s="46">
        <f t="shared" si="2"/>
        <v>52</v>
      </c>
    </row>
    <row r="192" spans="3:15" x14ac:dyDescent="0.25">
      <c r="C192" s="28"/>
      <c r="D192" s="20"/>
      <c r="E192" s="4"/>
      <c r="F192" s="37"/>
      <c r="G192" s="24"/>
      <c r="H192" s="51">
        <f>Assumptions!$D$15</f>
        <v>0.1</v>
      </c>
      <c r="I192" s="45">
        <f>IF(AR[[#This Row],[GST applies?]] = "Yes", (AR[[#This Row],[Invoice value inc. VAT]] / 1 + AR[[#This Row],[GST %]]) * AR[[#This Row],[GST %]], 0)</f>
        <v>0</v>
      </c>
      <c r="J192" s="31">
        <f>_xlfn.XLOOKUP(AR[[#This Row],[Customer name]], Customer_master[Customer name], Customer_master[EOM or Net], 0)</f>
        <v>0</v>
      </c>
      <c r="K192" s="31">
        <f>_xlfn.XLOOKUP(AR[[#This Row],[Customer name]], Customer_master[Customer name], Customer_master[Terms days], 0)</f>
        <v>0</v>
      </c>
      <c r="L1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2" s="4"/>
      <c r="N192" s="46">
        <f>IF(AR[[#This Row],[Collection date - override (dd/mm/yyyy)]] &lt;&gt; "", AR[[#This Row],[Collection date - override (dd/mm/yyyy)]], AR[[#This Row],[Due date (dd/mm/yyyy)]])</f>
        <v>0</v>
      </c>
      <c r="O192" s="46">
        <f t="shared" si="2"/>
        <v>52</v>
      </c>
    </row>
    <row r="193" spans="3:15" x14ac:dyDescent="0.25">
      <c r="C193" s="28"/>
      <c r="D193" s="20"/>
      <c r="E193" s="4"/>
      <c r="F193" s="37"/>
      <c r="G193" s="24"/>
      <c r="H193" s="51">
        <f>Assumptions!$D$15</f>
        <v>0.1</v>
      </c>
      <c r="I193" s="45">
        <f>IF(AR[[#This Row],[GST applies?]] = "Yes", (AR[[#This Row],[Invoice value inc. VAT]] / 1 + AR[[#This Row],[GST %]]) * AR[[#This Row],[GST %]], 0)</f>
        <v>0</v>
      </c>
      <c r="J193" s="31">
        <f>_xlfn.XLOOKUP(AR[[#This Row],[Customer name]], Customer_master[Customer name], Customer_master[EOM or Net], 0)</f>
        <v>0</v>
      </c>
      <c r="K193" s="31">
        <f>_xlfn.XLOOKUP(AR[[#This Row],[Customer name]], Customer_master[Customer name], Customer_master[Terms days], 0)</f>
        <v>0</v>
      </c>
      <c r="L1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3" s="4"/>
      <c r="N193" s="46">
        <f>IF(AR[[#This Row],[Collection date - override (dd/mm/yyyy)]] &lt;&gt; "", AR[[#This Row],[Collection date - override (dd/mm/yyyy)]], AR[[#This Row],[Due date (dd/mm/yyyy)]])</f>
        <v>0</v>
      </c>
      <c r="O193" s="46">
        <f t="shared" si="2"/>
        <v>52</v>
      </c>
    </row>
    <row r="194" spans="3:15" x14ac:dyDescent="0.25">
      <c r="C194" s="28"/>
      <c r="D194" s="20"/>
      <c r="E194" s="4"/>
      <c r="F194" s="37"/>
      <c r="G194" s="24"/>
      <c r="H194" s="51">
        <f>Assumptions!$D$15</f>
        <v>0.1</v>
      </c>
      <c r="I194" s="45">
        <f>IF(AR[[#This Row],[GST applies?]] = "Yes", (AR[[#This Row],[Invoice value inc. VAT]] / 1 + AR[[#This Row],[GST %]]) * AR[[#This Row],[GST %]], 0)</f>
        <v>0</v>
      </c>
      <c r="J194" s="31">
        <f>_xlfn.XLOOKUP(AR[[#This Row],[Customer name]], Customer_master[Customer name], Customer_master[EOM or Net], 0)</f>
        <v>0</v>
      </c>
      <c r="K194" s="31">
        <f>_xlfn.XLOOKUP(AR[[#This Row],[Customer name]], Customer_master[Customer name], Customer_master[Terms days], 0)</f>
        <v>0</v>
      </c>
      <c r="L1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4" s="4"/>
      <c r="N194" s="46">
        <f>IF(AR[[#This Row],[Collection date - override (dd/mm/yyyy)]] &lt;&gt; "", AR[[#This Row],[Collection date - override (dd/mm/yyyy)]], AR[[#This Row],[Due date (dd/mm/yyyy)]])</f>
        <v>0</v>
      </c>
      <c r="O194" s="46">
        <f t="shared" si="2"/>
        <v>52</v>
      </c>
    </row>
    <row r="195" spans="3:15" x14ac:dyDescent="0.25">
      <c r="C195" s="28"/>
      <c r="D195" s="20"/>
      <c r="E195" s="4"/>
      <c r="F195" s="37"/>
      <c r="G195" s="24"/>
      <c r="H195" s="51">
        <f>Assumptions!$D$15</f>
        <v>0.1</v>
      </c>
      <c r="I195" s="45">
        <f>IF(AR[[#This Row],[GST applies?]] = "Yes", (AR[[#This Row],[Invoice value inc. VAT]] / 1 + AR[[#This Row],[GST %]]) * AR[[#This Row],[GST %]], 0)</f>
        <v>0</v>
      </c>
      <c r="J195" s="31">
        <f>_xlfn.XLOOKUP(AR[[#This Row],[Customer name]], Customer_master[Customer name], Customer_master[EOM or Net], 0)</f>
        <v>0</v>
      </c>
      <c r="K195" s="31">
        <f>_xlfn.XLOOKUP(AR[[#This Row],[Customer name]], Customer_master[Customer name], Customer_master[Terms days], 0)</f>
        <v>0</v>
      </c>
      <c r="L1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5" s="4"/>
      <c r="N195" s="46">
        <f>IF(AR[[#This Row],[Collection date - override (dd/mm/yyyy)]] &lt;&gt; "", AR[[#This Row],[Collection date - override (dd/mm/yyyy)]], AR[[#This Row],[Due date (dd/mm/yyyy)]])</f>
        <v>0</v>
      </c>
      <c r="O195" s="46">
        <f t="shared" si="2"/>
        <v>52</v>
      </c>
    </row>
    <row r="196" spans="3:15" x14ac:dyDescent="0.25">
      <c r="C196" s="28"/>
      <c r="D196" s="20"/>
      <c r="E196" s="4"/>
      <c r="F196" s="37"/>
      <c r="G196" s="24"/>
      <c r="H196" s="51">
        <f>Assumptions!$D$15</f>
        <v>0.1</v>
      </c>
      <c r="I196" s="45">
        <f>IF(AR[[#This Row],[GST applies?]] = "Yes", (AR[[#This Row],[Invoice value inc. VAT]] / 1 + AR[[#This Row],[GST %]]) * AR[[#This Row],[GST %]], 0)</f>
        <v>0</v>
      </c>
      <c r="J196" s="31">
        <f>_xlfn.XLOOKUP(AR[[#This Row],[Customer name]], Customer_master[Customer name], Customer_master[EOM or Net], 0)</f>
        <v>0</v>
      </c>
      <c r="K196" s="31">
        <f>_xlfn.XLOOKUP(AR[[#This Row],[Customer name]], Customer_master[Customer name], Customer_master[Terms days], 0)</f>
        <v>0</v>
      </c>
      <c r="L1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6" s="4"/>
      <c r="N196" s="46">
        <f>IF(AR[[#This Row],[Collection date - override (dd/mm/yyyy)]] &lt;&gt; "", AR[[#This Row],[Collection date - override (dd/mm/yyyy)]], AR[[#This Row],[Due date (dd/mm/yyyy)]])</f>
        <v>0</v>
      </c>
      <c r="O196" s="46">
        <f t="shared" si="2"/>
        <v>52</v>
      </c>
    </row>
    <row r="197" spans="3:15" x14ac:dyDescent="0.25">
      <c r="C197" s="28"/>
      <c r="D197" s="20"/>
      <c r="E197" s="4"/>
      <c r="F197" s="37"/>
      <c r="G197" s="24"/>
      <c r="H197" s="51">
        <f>Assumptions!$D$15</f>
        <v>0.1</v>
      </c>
      <c r="I197" s="45">
        <f>IF(AR[[#This Row],[GST applies?]] = "Yes", (AR[[#This Row],[Invoice value inc. VAT]] / 1 + AR[[#This Row],[GST %]]) * AR[[#This Row],[GST %]], 0)</f>
        <v>0</v>
      </c>
      <c r="J197" s="31">
        <f>_xlfn.XLOOKUP(AR[[#This Row],[Customer name]], Customer_master[Customer name], Customer_master[EOM or Net], 0)</f>
        <v>0</v>
      </c>
      <c r="K197" s="31">
        <f>_xlfn.XLOOKUP(AR[[#This Row],[Customer name]], Customer_master[Customer name], Customer_master[Terms days], 0)</f>
        <v>0</v>
      </c>
      <c r="L1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7" s="4"/>
      <c r="N197" s="46">
        <f>IF(AR[[#This Row],[Collection date - override (dd/mm/yyyy)]] &lt;&gt; "", AR[[#This Row],[Collection date - override (dd/mm/yyyy)]], AR[[#This Row],[Due date (dd/mm/yyyy)]])</f>
        <v>0</v>
      </c>
      <c r="O197" s="46">
        <f t="shared" si="2"/>
        <v>52</v>
      </c>
    </row>
    <row r="198" spans="3:15" x14ac:dyDescent="0.25">
      <c r="C198" s="28"/>
      <c r="D198" s="20"/>
      <c r="E198" s="4"/>
      <c r="F198" s="37"/>
      <c r="G198" s="24"/>
      <c r="H198" s="51">
        <f>Assumptions!$D$15</f>
        <v>0.1</v>
      </c>
      <c r="I198" s="45">
        <f>IF(AR[[#This Row],[GST applies?]] = "Yes", (AR[[#This Row],[Invoice value inc. VAT]] / 1 + AR[[#This Row],[GST %]]) * AR[[#This Row],[GST %]], 0)</f>
        <v>0</v>
      </c>
      <c r="J198" s="31">
        <f>_xlfn.XLOOKUP(AR[[#This Row],[Customer name]], Customer_master[Customer name], Customer_master[EOM or Net], 0)</f>
        <v>0</v>
      </c>
      <c r="K198" s="31">
        <f>_xlfn.XLOOKUP(AR[[#This Row],[Customer name]], Customer_master[Customer name], Customer_master[Terms days], 0)</f>
        <v>0</v>
      </c>
      <c r="L1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8" s="4"/>
      <c r="N198" s="46">
        <f>IF(AR[[#This Row],[Collection date - override (dd/mm/yyyy)]] &lt;&gt; "", AR[[#This Row],[Collection date - override (dd/mm/yyyy)]], AR[[#This Row],[Due date (dd/mm/yyyy)]])</f>
        <v>0</v>
      </c>
      <c r="O198" s="46">
        <f t="shared" si="2"/>
        <v>52</v>
      </c>
    </row>
    <row r="199" spans="3:15" x14ac:dyDescent="0.25">
      <c r="C199" s="28"/>
      <c r="D199" s="20"/>
      <c r="E199" s="4"/>
      <c r="F199" s="37"/>
      <c r="G199" s="24"/>
      <c r="H199" s="51">
        <f>Assumptions!$D$15</f>
        <v>0.1</v>
      </c>
      <c r="I199" s="45">
        <f>IF(AR[[#This Row],[GST applies?]] = "Yes", (AR[[#This Row],[Invoice value inc. VAT]] / 1 + AR[[#This Row],[GST %]]) * AR[[#This Row],[GST %]], 0)</f>
        <v>0</v>
      </c>
      <c r="J199" s="31">
        <f>_xlfn.XLOOKUP(AR[[#This Row],[Customer name]], Customer_master[Customer name], Customer_master[EOM or Net], 0)</f>
        <v>0</v>
      </c>
      <c r="K199" s="31">
        <f>_xlfn.XLOOKUP(AR[[#This Row],[Customer name]], Customer_master[Customer name], Customer_master[Terms days], 0)</f>
        <v>0</v>
      </c>
      <c r="L1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9" s="4"/>
      <c r="N199" s="46">
        <f>IF(AR[[#This Row],[Collection date - override (dd/mm/yyyy)]] &lt;&gt; "", AR[[#This Row],[Collection date - override (dd/mm/yyyy)]], AR[[#This Row],[Due date (dd/mm/yyyy)]])</f>
        <v>0</v>
      </c>
      <c r="O199" s="46">
        <f t="shared" si="2"/>
        <v>52</v>
      </c>
    </row>
    <row r="200" spans="3:15" x14ac:dyDescent="0.25">
      <c r="C200" s="28"/>
      <c r="D200" s="20"/>
      <c r="E200" s="4"/>
      <c r="F200" s="37"/>
      <c r="G200" s="24"/>
      <c r="H200" s="51">
        <f>Assumptions!$D$15</f>
        <v>0.1</v>
      </c>
      <c r="I200" s="45">
        <f>IF(AR[[#This Row],[GST applies?]] = "Yes", (AR[[#This Row],[Invoice value inc. VAT]] / 1 + AR[[#This Row],[GST %]]) * AR[[#This Row],[GST %]], 0)</f>
        <v>0</v>
      </c>
      <c r="J200" s="31">
        <f>_xlfn.XLOOKUP(AR[[#This Row],[Customer name]], Customer_master[Customer name], Customer_master[EOM or Net], 0)</f>
        <v>0</v>
      </c>
      <c r="K200" s="31">
        <f>_xlfn.XLOOKUP(AR[[#This Row],[Customer name]], Customer_master[Customer name], Customer_master[Terms days], 0)</f>
        <v>0</v>
      </c>
      <c r="L2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0" s="4"/>
      <c r="N200" s="46">
        <f>IF(AR[[#This Row],[Collection date - override (dd/mm/yyyy)]] &lt;&gt; "", AR[[#This Row],[Collection date - override (dd/mm/yyyy)]], AR[[#This Row],[Due date (dd/mm/yyyy)]])</f>
        <v>0</v>
      </c>
      <c r="O200" s="46">
        <f t="shared" si="2"/>
        <v>52</v>
      </c>
    </row>
    <row r="201" spans="3:15" x14ac:dyDescent="0.25">
      <c r="C201" s="28"/>
      <c r="D201" s="20"/>
      <c r="E201" s="4"/>
      <c r="F201" s="37"/>
      <c r="G201" s="24"/>
      <c r="H201" s="51">
        <f>Assumptions!$D$15</f>
        <v>0.1</v>
      </c>
      <c r="I201" s="45">
        <f>IF(AR[[#This Row],[GST applies?]] = "Yes", (AR[[#This Row],[Invoice value inc. VAT]] / 1 + AR[[#This Row],[GST %]]) * AR[[#This Row],[GST %]], 0)</f>
        <v>0</v>
      </c>
      <c r="J201" s="31">
        <f>_xlfn.XLOOKUP(AR[[#This Row],[Customer name]], Customer_master[Customer name], Customer_master[EOM or Net], 0)</f>
        <v>0</v>
      </c>
      <c r="K201" s="31">
        <f>_xlfn.XLOOKUP(AR[[#This Row],[Customer name]], Customer_master[Customer name], Customer_master[Terms days], 0)</f>
        <v>0</v>
      </c>
      <c r="L2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1" s="4"/>
      <c r="N201" s="46">
        <f>IF(AR[[#This Row],[Collection date - override (dd/mm/yyyy)]] &lt;&gt; "", AR[[#This Row],[Collection date - override (dd/mm/yyyy)]], AR[[#This Row],[Due date (dd/mm/yyyy)]])</f>
        <v>0</v>
      </c>
      <c r="O201" s="46">
        <f t="shared" ref="O201:O264" si="3">IF(GST_Freq="Monthly",
    DATE(YEAR(E201), MONTH(E201) + 1, 21),
    IF(GST_Freq="Quarterly",
        IF(MOD(MONTH(E201) + 2 - MOD(MOD(MONTH(E201) - GST_First_Month, 12), 3), 12) = 0,
            DATE(YEAR(E201), MONTH(E201) + 4 - MOD(MOD(MONTH(E201) - GST_First_Month, 12), 3), 28),
            DATE(YEAR(E201), MONTH(E201) + 3 - MOD(MOD(MONTH(E201) - GST_First_Month, 12), 3), 28)
        ),
        "Invalid frequency"
    )
)</f>
        <v>52</v>
      </c>
    </row>
    <row r="202" spans="3:15" x14ac:dyDescent="0.25">
      <c r="C202" s="28"/>
      <c r="D202" s="20"/>
      <c r="E202" s="4"/>
      <c r="F202" s="37"/>
      <c r="G202" s="24"/>
      <c r="H202" s="51">
        <f>Assumptions!$D$15</f>
        <v>0.1</v>
      </c>
      <c r="I202" s="45">
        <f>IF(AR[[#This Row],[GST applies?]] = "Yes", (AR[[#This Row],[Invoice value inc. VAT]] / 1 + AR[[#This Row],[GST %]]) * AR[[#This Row],[GST %]], 0)</f>
        <v>0</v>
      </c>
      <c r="J202" s="31">
        <f>_xlfn.XLOOKUP(AR[[#This Row],[Customer name]], Customer_master[Customer name], Customer_master[EOM or Net], 0)</f>
        <v>0</v>
      </c>
      <c r="K202" s="31">
        <f>_xlfn.XLOOKUP(AR[[#This Row],[Customer name]], Customer_master[Customer name], Customer_master[Terms days], 0)</f>
        <v>0</v>
      </c>
      <c r="L2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2" s="4"/>
      <c r="N202" s="46">
        <f>IF(AR[[#This Row],[Collection date - override (dd/mm/yyyy)]] &lt;&gt; "", AR[[#This Row],[Collection date - override (dd/mm/yyyy)]], AR[[#This Row],[Due date (dd/mm/yyyy)]])</f>
        <v>0</v>
      </c>
      <c r="O202" s="46">
        <f t="shared" si="3"/>
        <v>52</v>
      </c>
    </row>
    <row r="203" spans="3:15" x14ac:dyDescent="0.25">
      <c r="C203" s="28"/>
      <c r="D203" s="20"/>
      <c r="E203" s="4"/>
      <c r="F203" s="37"/>
      <c r="G203" s="24"/>
      <c r="H203" s="51">
        <f>Assumptions!$D$15</f>
        <v>0.1</v>
      </c>
      <c r="I203" s="45">
        <f>IF(AR[[#This Row],[GST applies?]] = "Yes", (AR[[#This Row],[Invoice value inc. VAT]] / 1 + AR[[#This Row],[GST %]]) * AR[[#This Row],[GST %]], 0)</f>
        <v>0</v>
      </c>
      <c r="J203" s="31">
        <f>_xlfn.XLOOKUP(AR[[#This Row],[Customer name]], Customer_master[Customer name], Customer_master[EOM or Net], 0)</f>
        <v>0</v>
      </c>
      <c r="K203" s="31">
        <f>_xlfn.XLOOKUP(AR[[#This Row],[Customer name]], Customer_master[Customer name], Customer_master[Terms days], 0)</f>
        <v>0</v>
      </c>
      <c r="L2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3" s="4"/>
      <c r="N203" s="46">
        <f>IF(AR[[#This Row],[Collection date - override (dd/mm/yyyy)]] &lt;&gt; "", AR[[#This Row],[Collection date - override (dd/mm/yyyy)]], AR[[#This Row],[Due date (dd/mm/yyyy)]])</f>
        <v>0</v>
      </c>
      <c r="O203" s="46">
        <f t="shared" si="3"/>
        <v>52</v>
      </c>
    </row>
    <row r="204" spans="3:15" x14ac:dyDescent="0.25">
      <c r="C204" s="28"/>
      <c r="D204" s="20"/>
      <c r="E204" s="4"/>
      <c r="F204" s="37"/>
      <c r="G204" s="24"/>
      <c r="H204" s="51">
        <f>Assumptions!$D$15</f>
        <v>0.1</v>
      </c>
      <c r="I204" s="45">
        <f>IF(AR[[#This Row],[GST applies?]] = "Yes", (AR[[#This Row],[Invoice value inc. VAT]] / 1 + AR[[#This Row],[GST %]]) * AR[[#This Row],[GST %]], 0)</f>
        <v>0</v>
      </c>
      <c r="J204" s="31">
        <f>_xlfn.XLOOKUP(AR[[#This Row],[Customer name]], Customer_master[Customer name], Customer_master[EOM or Net], 0)</f>
        <v>0</v>
      </c>
      <c r="K204" s="31">
        <f>_xlfn.XLOOKUP(AR[[#This Row],[Customer name]], Customer_master[Customer name], Customer_master[Terms days], 0)</f>
        <v>0</v>
      </c>
      <c r="L2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4" s="4"/>
      <c r="N204" s="46">
        <f>IF(AR[[#This Row],[Collection date - override (dd/mm/yyyy)]] &lt;&gt; "", AR[[#This Row],[Collection date - override (dd/mm/yyyy)]], AR[[#This Row],[Due date (dd/mm/yyyy)]])</f>
        <v>0</v>
      </c>
      <c r="O204" s="46">
        <f t="shared" si="3"/>
        <v>52</v>
      </c>
    </row>
    <row r="205" spans="3:15" x14ac:dyDescent="0.25">
      <c r="C205" s="28"/>
      <c r="D205" s="20"/>
      <c r="E205" s="4"/>
      <c r="F205" s="37"/>
      <c r="G205" s="24"/>
      <c r="H205" s="51">
        <f>Assumptions!$D$15</f>
        <v>0.1</v>
      </c>
      <c r="I205" s="45">
        <f>IF(AR[[#This Row],[GST applies?]] = "Yes", (AR[[#This Row],[Invoice value inc. VAT]] / 1 + AR[[#This Row],[GST %]]) * AR[[#This Row],[GST %]], 0)</f>
        <v>0</v>
      </c>
      <c r="J205" s="31">
        <f>_xlfn.XLOOKUP(AR[[#This Row],[Customer name]], Customer_master[Customer name], Customer_master[EOM or Net], 0)</f>
        <v>0</v>
      </c>
      <c r="K205" s="31">
        <f>_xlfn.XLOOKUP(AR[[#This Row],[Customer name]], Customer_master[Customer name], Customer_master[Terms days], 0)</f>
        <v>0</v>
      </c>
      <c r="L2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5" s="4"/>
      <c r="N205" s="46">
        <f>IF(AR[[#This Row],[Collection date - override (dd/mm/yyyy)]] &lt;&gt; "", AR[[#This Row],[Collection date - override (dd/mm/yyyy)]], AR[[#This Row],[Due date (dd/mm/yyyy)]])</f>
        <v>0</v>
      </c>
      <c r="O205" s="46">
        <f t="shared" si="3"/>
        <v>52</v>
      </c>
    </row>
    <row r="206" spans="3:15" x14ac:dyDescent="0.25">
      <c r="C206" s="28"/>
      <c r="D206" s="20"/>
      <c r="E206" s="4"/>
      <c r="F206" s="37"/>
      <c r="G206" s="24"/>
      <c r="H206" s="51">
        <f>Assumptions!$D$15</f>
        <v>0.1</v>
      </c>
      <c r="I206" s="45">
        <f>IF(AR[[#This Row],[GST applies?]] = "Yes", (AR[[#This Row],[Invoice value inc. VAT]] / 1 + AR[[#This Row],[GST %]]) * AR[[#This Row],[GST %]], 0)</f>
        <v>0</v>
      </c>
      <c r="J206" s="31">
        <f>_xlfn.XLOOKUP(AR[[#This Row],[Customer name]], Customer_master[Customer name], Customer_master[EOM or Net], 0)</f>
        <v>0</v>
      </c>
      <c r="K206" s="31">
        <f>_xlfn.XLOOKUP(AR[[#This Row],[Customer name]], Customer_master[Customer name], Customer_master[Terms days], 0)</f>
        <v>0</v>
      </c>
      <c r="L2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6" s="4"/>
      <c r="N206" s="46">
        <f>IF(AR[[#This Row],[Collection date - override (dd/mm/yyyy)]] &lt;&gt; "", AR[[#This Row],[Collection date - override (dd/mm/yyyy)]], AR[[#This Row],[Due date (dd/mm/yyyy)]])</f>
        <v>0</v>
      </c>
      <c r="O206" s="46">
        <f t="shared" si="3"/>
        <v>52</v>
      </c>
    </row>
    <row r="207" spans="3:15" x14ac:dyDescent="0.25">
      <c r="C207" s="28"/>
      <c r="D207" s="20"/>
      <c r="E207" s="4"/>
      <c r="F207" s="37"/>
      <c r="G207" s="24"/>
      <c r="H207" s="51">
        <f>Assumptions!$D$15</f>
        <v>0.1</v>
      </c>
      <c r="I207" s="45">
        <f>IF(AR[[#This Row],[GST applies?]] = "Yes", (AR[[#This Row],[Invoice value inc. VAT]] / 1 + AR[[#This Row],[GST %]]) * AR[[#This Row],[GST %]], 0)</f>
        <v>0</v>
      </c>
      <c r="J207" s="31">
        <f>_xlfn.XLOOKUP(AR[[#This Row],[Customer name]], Customer_master[Customer name], Customer_master[EOM or Net], 0)</f>
        <v>0</v>
      </c>
      <c r="K207" s="31">
        <f>_xlfn.XLOOKUP(AR[[#This Row],[Customer name]], Customer_master[Customer name], Customer_master[Terms days], 0)</f>
        <v>0</v>
      </c>
      <c r="L2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7" s="4"/>
      <c r="N207" s="46">
        <f>IF(AR[[#This Row],[Collection date - override (dd/mm/yyyy)]] &lt;&gt; "", AR[[#This Row],[Collection date - override (dd/mm/yyyy)]], AR[[#This Row],[Due date (dd/mm/yyyy)]])</f>
        <v>0</v>
      </c>
      <c r="O207" s="46">
        <f t="shared" si="3"/>
        <v>52</v>
      </c>
    </row>
    <row r="208" spans="3:15" x14ac:dyDescent="0.25">
      <c r="C208" s="28"/>
      <c r="D208" s="20"/>
      <c r="E208" s="4"/>
      <c r="F208" s="37"/>
      <c r="G208" s="24"/>
      <c r="H208" s="51">
        <f>Assumptions!$D$15</f>
        <v>0.1</v>
      </c>
      <c r="I208" s="45">
        <f>IF(AR[[#This Row],[GST applies?]] = "Yes", (AR[[#This Row],[Invoice value inc. VAT]] / 1 + AR[[#This Row],[GST %]]) * AR[[#This Row],[GST %]], 0)</f>
        <v>0</v>
      </c>
      <c r="J208" s="31">
        <f>_xlfn.XLOOKUP(AR[[#This Row],[Customer name]], Customer_master[Customer name], Customer_master[EOM or Net], 0)</f>
        <v>0</v>
      </c>
      <c r="K208" s="31">
        <f>_xlfn.XLOOKUP(AR[[#This Row],[Customer name]], Customer_master[Customer name], Customer_master[Terms days], 0)</f>
        <v>0</v>
      </c>
      <c r="L2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8" s="4"/>
      <c r="N208" s="46">
        <f>IF(AR[[#This Row],[Collection date - override (dd/mm/yyyy)]] &lt;&gt; "", AR[[#This Row],[Collection date - override (dd/mm/yyyy)]], AR[[#This Row],[Due date (dd/mm/yyyy)]])</f>
        <v>0</v>
      </c>
      <c r="O208" s="46">
        <f t="shared" si="3"/>
        <v>52</v>
      </c>
    </row>
    <row r="209" spans="3:15" x14ac:dyDescent="0.25">
      <c r="C209" s="28"/>
      <c r="D209" s="20"/>
      <c r="E209" s="4"/>
      <c r="F209" s="37"/>
      <c r="G209" s="24"/>
      <c r="H209" s="51">
        <f>Assumptions!$D$15</f>
        <v>0.1</v>
      </c>
      <c r="I209" s="45">
        <f>IF(AR[[#This Row],[GST applies?]] = "Yes", (AR[[#This Row],[Invoice value inc. VAT]] / 1 + AR[[#This Row],[GST %]]) * AR[[#This Row],[GST %]], 0)</f>
        <v>0</v>
      </c>
      <c r="J209" s="31">
        <f>_xlfn.XLOOKUP(AR[[#This Row],[Customer name]], Customer_master[Customer name], Customer_master[EOM or Net], 0)</f>
        <v>0</v>
      </c>
      <c r="K209" s="31">
        <f>_xlfn.XLOOKUP(AR[[#This Row],[Customer name]], Customer_master[Customer name], Customer_master[Terms days], 0)</f>
        <v>0</v>
      </c>
      <c r="L2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9" s="4"/>
      <c r="N209" s="46">
        <f>IF(AR[[#This Row],[Collection date - override (dd/mm/yyyy)]] &lt;&gt; "", AR[[#This Row],[Collection date - override (dd/mm/yyyy)]], AR[[#This Row],[Due date (dd/mm/yyyy)]])</f>
        <v>0</v>
      </c>
      <c r="O209" s="46">
        <f t="shared" si="3"/>
        <v>52</v>
      </c>
    </row>
    <row r="210" spans="3:15" x14ac:dyDescent="0.25">
      <c r="C210" s="28"/>
      <c r="D210" s="20"/>
      <c r="E210" s="4"/>
      <c r="F210" s="37"/>
      <c r="G210" s="24"/>
      <c r="H210" s="51">
        <f>Assumptions!$D$15</f>
        <v>0.1</v>
      </c>
      <c r="I210" s="45">
        <f>IF(AR[[#This Row],[GST applies?]] = "Yes", (AR[[#This Row],[Invoice value inc. VAT]] / 1 + AR[[#This Row],[GST %]]) * AR[[#This Row],[GST %]], 0)</f>
        <v>0</v>
      </c>
      <c r="J210" s="31">
        <f>_xlfn.XLOOKUP(AR[[#This Row],[Customer name]], Customer_master[Customer name], Customer_master[EOM or Net], 0)</f>
        <v>0</v>
      </c>
      <c r="K210" s="31">
        <f>_xlfn.XLOOKUP(AR[[#This Row],[Customer name]], Customer_master[Customer name], Customer_master[Terms days], 0)</f>
        <v>0</v>
      </c>
      <c r="L2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0" s="4"/>
      <c r="N210" s="46">
        <f>IF(AR[[#This Row],[Collection date - override (dd/mm/yyyy)]] &lt;&gt; "", AR[[#This Row],[Collection date - override (dd/mm/yyyy)]], AR[[#This Row],[Due date (dd/mm/yyyy)]])</f>
        <v>0</v>
      </c>
      <c r="O210" s="46">
        <f t="shared" si="3"/>
        <v>52</v>
      </c>
    </row>
    <row r="211" spans="3:15" x14ac:dyDescent="0.25">
      <c r="C211" s="28"/>
      <c r="D211" s="20"/>
      <c r="E211" s="4"/>
      <c r="F211" s="37"/>
      <c r="G211" s="24"/>
      <c r="H211" s="51">
        <f>Assumptions!$D$15</f>
        <v>0.1</v>
      </c>
      <c r="I211" s="45">
        <f>IF(AR[[#This Row],[GST applies?]] = "Yes", (AR[[#This Row],[Invoice value inc. VAT]] / 1 + AR[[#This Row],[GST %]]) * AR[[#This Row],[GST %]], 0)</f>
        <v>0</v>
      </c>
      <c r="J211" s="31">
        <f>_xlfn.XLOOKUP(AR[[#This Row],[Customer name]], Customer_master[Customer name], Customer_master[EOM or Net], 0)</f>
        <v>0</v>
      </c>
      <c r="K211" s="31">
        <f>_xlfn.XLOOKUP(AR[[#This Row],[Customer name]], Customer_master[Customer name], Customer_master[Terms days], 0)</f>
        <v>0</v>
      </c>
      <c r="L2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1" s="4"/>
      <c r="N211" s="46">
        <f>IF(AR[[#This Row],[Collection date - override (dd/mm/yyyy)]] &lt;&gt; "", AR[[#This Row],[Collection date - override (dd/mm/yyyy)]], AR[[#This Row],[Due date (dd/mm/yyyy)]])</f>
        <v>0</v>
      </c>
      <c r="O211" s="46">
        <f t="shared" si="3"/>
        <v>52</v>
      </c>
    </row>
    <row r="212" spans="3:15" x14ac:dyDescent="0.25">
      <c r="C212" s="28"/>
      <c r="D212" s="20"/>
      <c r="E212" s="4"/>
      <c r="F212" s="37"/>
      <c r="G212" s="24"/>
      <c r="H212" s="51">
        <f>Assumptions!$D$15</f>
        <v>0.1</v>
      </c>
      <c r="I212" s="45">
        <f>IF(AR[[#This Row],[GST applies?]] = "Yes", (AR[[#This Row],[Invoice value inc. VAT]] / 1 + AR[[#This Row],[GST %]]) * AR[[#This Row],[GST %]], 0)</f>
        <v>0</v>
      </c>
      <c r="J212" s="31">
        <f>_xlfn.XLOOKUP(AR[[#This Row],[Customer name]], Customer_master[Customer name], Customer_master[EOM or Net], 0)</f>
        <v>0</v>
      </c>
      <c r="K212" s="31">
        <f>_xlfn.XLOOKUP(AR[[#This Row],[Customer name]], Customer_master[Customer name], Customer_master[Terms days], 0)</f>
        <v>0</v>
      </c>
      <c r="L2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2" s="4"/>
      <c r="N212" s="46">
        <f>IF(AR[[#This Row],[Collection date - override (dd/mm/yyyy)]] &lt;&gt; "", AR[[#This Row],[Collection date - override (dd/mm/yyyy)]], AR[[#This Row],[Due date (dd/mm/yyyy)]])</f>
        <v>0</v>
      </c>
      <c r="O212" s="46">
        <f t="shared" si="3"/>
        <v>52</v>
      </c>
    </row>
    <row r="213" spans="3:15" x14ac:dyDescent="0.25">
      <c r="C213" s="28"/>
      <c r="D213" s="20"/>
      <c r="E213" s="4"/>
      <c r="F213" s="37"/>
      <c r="G213" s="24"/>
      <c r="H213" s="51">
        <f>Assumptions!$D$15</f>
        <v>0.1</v>
      </c>
      <c r="I213" s="45">
        <f>IF(AR[[#This Row],[GST applies?]] = "Yes", (AR[[#This Row],[Invoice value inc. VAT]] / 1 + AR[[#This Row],[GST %]]) * AR[[#This Row],[GST %]], 0)</f>
        <v>0</v>
      </c>
      <c r="J213" s="31">
        <f>_xlfn.XLOOKUP(AR[[#This Row],[Customer name]], Customer_master[Customer name], Customer_master[EOM or Net], 0)</f>
        <v>0</v>
      </c>
      <c r="K213" s="31">
        <f>_xlfn.XLOOKUP(AR[[#This Row],[Customer name]], Customer_master[Customer name], Customer_master[Terms days], 0)</f>
        <v>0</v>
      </c>
      <c r="L2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3" s="4"/>
      <c r="N213" s="46">
        <f>IF(AR[[#This Row],[Collection date - override (dd/mm/yyyy)]] &lt;&gt; "", AR[[#This Row],[Collection date - override (dd/mm/yyyy)]], AR[[#This Row],[Due date (dd/mm/yyyy)]])</f>
        <v>0</v>
      </c>
      <c r="O213" s="46">
        <f t="shared" si="3"/>
        <v>52</v>
      </c>
    </row>
    <row r="214" spans="3:15" x14ac:dyDescent="0.25">
      <c r="C214" s="28"/>
      <c r="D214" s="20"/>
      <c r="E214" s="4"/>
      <c r="F214" s="37"/>
      <c r="G214" s="24"/>
      <c r="H214" s="51">
        <f>Assumptions!$D$15</f>
        <v>0.1</v>
      </c>
      <c r="I214" s="45">
        <f>IF(AR[[#This Row],[GST applies?]] = "Yes", (AR[[#This Row],[Invoice value inc. VAT]] / 1 + AR[[#This Row],[GST %]]) * AR[[#This Row],[GST %]], 0)</f>
        <v>0</v>
      </c>
      <c r="J214" s="31">
        <f>_xlfn.XLOOKUP(AR[[#This Row],[Customer name]], Customer_master[Customer name], Customer_master[EOM or Net], 0)</f>
        <v>0</v>
      </c>
      <c r="K214" s="31">
        <f>_xlfn.XLOOKUP(AR[[#This Row],[Customer name]], Customer_master[Customer name], Customer_master[Terms days], 0)</f>
        <v>0</v>
      </c>
      <c r="L2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4" s="4"/>
      <c r="N214" s="46">
        <f>IF(AR[[#This Row],[Collection date - override (dd/mm/yyyy)]] &lt;&gt; "", AR[[#This Row],[Collection date - override (dd/mm/yyyy)]], AR[[#This Row],[Due date (dd/mm/yyyy)]])</f>
        <v>0</v>
      </c>
      <c r="O214" s="46">
        <f t="shared" si="3"/>
        <v>52</v>
      </c>
    </row>
    <row r="215" spans="3:15" x14ac:dyDescent="0.25">
      <c r="C215" s="28"/>
      <c r="D215" s="20"/>
      <c r="E215" s="4"/>
      <c r="F215" s="37"/>
      <c r="G215" s="24"/>
      <c r="H215" s="51">
        <f>Assumptions!$D$15</f>
        <v>0.1</v>
      </c>
      <c r="I215" s="45">
        <f>IF(AR[[#This Row],[GST applies?]] = "Yes", (AR[[#This Row],[Invoice value inc. VAT]] / 1 + AR[[#This Row],[GST %]]) * AR[[#This Row],[GST %]], 0)</f>
        <v>0</v>
      </c>
      <c r="J215" s="31">
        <f>_xlfn.XLOOKUP(AR[[#This Row],[Customer name]], Customer_master[Customer name], Customer_master[EOM or Net], 0)</f>
        <v>0</v>
      </c>
      <c r="K215" s="31">
        <f>_xlfn.XLOOKUP(AR[[#This Row],[Customer name]], Customer_master[Customer name], Customer_master[Terms days], 0)</f>
        <v>0</v>
      </c>
      <c r="L2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5" s="4"/>
      <c r="N215" s="46">
        <f>IF(AR[[#This Row],[Collection date - override (dd/mm/yyyy)]] &lt;&gt; "", AR[[#This Row],[Collection date - override (dd/mm/yyyy)]], AR[[#This Row],[Due date (dd/mm/yyyy)]])</f>
        <v>0</v>
      </c>
      <c r="O215" s="46">
        <f t="shared" si="3"/>
        <v>52</v>
      </c>
    </row>
    <row r="216" spans="3:15" x14ac:dyDescent="0.25">
      <c r="C216" s="28"/>
      <c r="D216" s="20"/>
      <c r="E216" s="4"/>
      <c r="F216" s="37"/>
      <c r="G216" s="24"/>
      <c r="H216" s="51">
        <f>Assumptions!$D$15</f>
        <v>0.1</v>
      </c>
      <c r="I216" s="45">
        <f>IF(AR[[#This Row],[GST applies?]] = "Yes", (AR[[#This Row],[Invoice value inc. VAT]] / 1 + AR[[#This Row],[GST %]]) * AR[[#This Row],[GST %]], 0)</f>
        <v>0</v>
      </c>
      <c r="J216" s="31">
        <f>_xlfn.XLOOKUP(AR[[#This Row],[Customer name]], Customer_master[Customer name], Customer_master[EOM or Net], 0)</f>
        <v>0</v>
      </c>
      <c r="K216" s="31">
        <f>_xlfn.XLOOKUP(AR[[#This Row],[Customer name]], Customer_master[Customer name], Customer_master[Terms days], 0)</f>
        <v>0</v>
      </c>
      <c r="L2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6" s="4"/>
      <c r="N216" s="46">
        <f>IF(AR[[#This Row],[Collection date - override (dd/mm/yyyy)]] &lt;&gt; "", AR[[#This Row],[Collection date - override (dd/mm/yyyy)]], AR[[#This Row],[Due date (dd/mm/yyyy)]])</f>
        <v>0</v>
      </c>
      <c r="O216" s="46">
        <f t="shared" si="3"/>
        <v>52</v>
      </c>
    </row>
    <row r="217" spans="3:15" x14ac:dyDescent="0.25">
      <c r="C217" s="28"/>
      <c r="D217" s="20"/>
      <c r="E217" s="4"/>
      <c r="F217" s="37"/>
      <c r="G217" s="24"/>
      <c r="H217" s="51">
        <f>Assumptions!$D$15</f>
        <v>0.1</v>
      </c>
      <c r="I217" s="45">
        <f>IF(AR[[#This Row],[GST applies?]] = "Yes", (AR[[#This Row],[Invoice value inc. VAT]] / 1 + AR[[#This Row],[GST %]]) * AR[[#This Row],[GST %]], 0)</f>
        <v>0</v>
      </c>
      <c r="J217" s="31">
        <f>_xlfn.XLOOKUP(AR[[#This Row],[Customer name]], Customer_master[Customer name], Customer_master[EOM or Net], 0)</f>
        <v>0</v>
      </c>
      <c r="K217" s="31">
        <f>_xlfn.XLOOKUP(AR[[#This Row],[Customer name]], Customer_master[Customer name], Customer_master[Terms days], 0)</f>
        <v>0</v>
      </c>
      <c r="L2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7" s="4"/>
      <c r="N217" s="46">
        <f>IF(AR[[#This Row],[Collection date - override (dd/mm/yyyy)]] &lt;&gt; "", AR[[#This Row],[Collection date - override (dd/mm/yyyy)]], AR[[#This Row],[Due date (dd/mm/yyyy)]])</f>
        <v>0</v>
      </c>
      <c r="O217" s="46">
        <f t="shared" si="3"/>
        <v>52</v>
      </c>
    </row>
    <row r="218" spans="3:15" x14ac:dyDescent="0.25">
      <c r="C218" s="28"/>
      <c r="D218" s="20"/>
      <c r="E218" s="4"/>
      <c r="F218" s="37"/>
      <c r="G218" s="24"/>
      <c r="H218" s="51">
        <f>Assumptions!$D$15</f>
        <v>0.1</v>
      </c>
      <c r="I218" s="45">
        <f>IF(AR[[#This Row],[GST applies?]] = "Yes", (AR[[#This Row],[Invoice value inc. VAT]] / 1 + AR[[#This Row],[GST %]]) * AR[[#This Row],[GST %]], 0)</f>
        <v>0</v>
      </c>
      <c r="J218" s="31">
        <f>_xlfn.XLOOKUP(AR[[#This Row],[Customer name]], Customer_master[Customer name], Customer_master[EOM or Net], 0)</f>
        <v>0</v>
      </c>
      <c r="K218" s="31">
        <f>_xlfn.XLOOKUP(AR[[#This Row],[Customer name]], Customer_master[Customer name], Customer_master[Terms days], 0)</f>
        <v>0</v>
      </c>
      <c r="L2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8" s="4"/>
      <c r="N218" s="46">
        <f>IF(AR[[#This Row],[Collection date - override (dd/mm/yyyy)]] &lt;&gt; "", AR[[#This Row],[Collection date - override (dd/mm/yyyy)]], AR[[#This Row],[Due date (dd/mm/yyyy)]])</f>
        <v>0</v>
      </c>
      <c r="O218" s="46">
        <f t="shared" si="3"/>
        <v>52</v>
      </c>
    </row>
    <row r="219" spans="3:15" x14ac:dyDescent="0.25">
      <c r="C219" s="28"/>
      <c r="D219" s="20"/>
      <c r="E219" s="4"/>
      <c r="F219" s="37"/>
      <c r="G219" s="24"/>
      <c r="H219" s="51">
        <f>Assumptions!$D$15</f>
        <v>0.1</v>
      </c>
      <c r="I219" s="45">
        <f>IF(AR[[#This Row],[GST applies?]] = "Yes", (AR[[#This Row],[Invoice value inc. VAT]] / 1 + AR[[#This Row],[GST %]]) * AR[[#This Row],[GST %]], 0)</f>
        <v>0</v>
      </c>
      <c r="J219" s="31">
        <f>_xlfn.XLOOKUP(AR[[#This Row],[Customer name]], Customer_master[Customer name], Customer_master[EOM or Net], 0)</f>
        <v>0</v>
      </c>
      <c r="K219" s="31">
        <f>_xlfn.XLOOKUP(AR[[#This Row],[Customer name]], Customer_master[Customer name], Customer_master[Terms days], 0)</f>
        <v>0</v>
      </c>
      <c r="L2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9" s="4"/>
      <c r="N219" s="46">
        <f>IF(AR[[#This Row],[Collection date - override (dd/mm/yyyy)]] &lt;&gt; "", AR[[#This Row],[Collection date - override (dd/mm/yyyy)]], AR[[#This Row],[Due date (dd/mm/yyyy)]])</f>
        <v>0</v>
      </c>
      <c r="O219" s="46">
        <f t="shared" si="3"/>
        <v>52</v>
      </c>
    </row>
    <row r="220" spans="3:15" x14ac:dyDescent="0.25">
      <c r="C220" s="28"/>
      <c r="D220" s="20"/>
      <c r="E220" s="4"/>
      <c r="F220" s="37"/>
      <c r="G220" s="24"/>
      <c r="H220" s="51">
        <f>Assumptions!$D$15</f>
        <v>0.1</v>
      </c>
      <c r="I220" s="45">
        <f>IF(AR[[#This Row],[GST applies?]] = "Yes", (AR[[#This Row],[Invoice value inc. VAT]] / 1 + AR[[#This Row],[GST %]]) * AR[[#This Row],[GST %]], 0)</f>
        <v>0</v>
      </c>
      <c r="J220" s="31">
        <f>_xlfn.XLOOKUP(AR[[#This Row],[Customer name]], Customer_master[Customer name], Customer_master[EOM or Net], 0)</f>
        <v>0</v>
      </c>
      <c r="K220" s="31">
        <f>_xlfn.XLOOKUP(AR[[#This Row],[Customer name]], Customer_master[Customer name], Customer_master[Terms days], 0)</f>
        <v>0</v>
      </c>
      <c r="L2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0" s="4"/>
      <c r="N220" s="46">
        <f>IF(AR[[#This Row],[Collection date - override (dd/mm/yyyy)]] &lt;&gt; "", AR[[#This Row],[Collection date - override (dd/mm/yyyy)]], AR[[#This Row],[Due date (dd/mm/yyyy)]])</f>
        <v>0</v>
      </c>
      <c r="O220" s="46">
        <f t="shared" si="3"/>
        <v>52</v>
      </c>
    </row>
    <row r="221" spans="3:15" x14ac:dyDescent="0.25">
      <c r="C221" s="28"/>
      <c r="D221" s="20"/>
      <c r="E221" s="4"/>
      <c r="F221" s="37"/>
      <c r="G221" s="24"/>
      <c r="H221" s="51">
        <f>Assumptions!$D$15</f>
        <v>0.1</v>
      </c>
      <c r="I221" s="45">
        <f>IF(AR[[#This Row],[GST applies?]] = "Yes", (AR[[#This Row],[Invoice value inc. VAT]] / 1 + AR[[#This Row],[GST %]]) * AR[[#This Row],[GST %]], 0)</f>
        <v>0</v>
      </c>
      <c r="J221" s="31">
        <f>_xlfn.XLOOKUP(AR[[#This Row],[Customer name]], Customer_master[Customer name], Customer_master[EOM or Net], 0)</f>
        <v>0</v>
      </c>
      <c r="K221" s="31">
        <f>_xlfn.XLOOKUP(AR[[#This Row],[Customer name]], Customer_master[Customer name], Customer_master[Terms days], 0)</f>
        <v>0</v>
      </c>
      <c r="L2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1" s="4"/>
      <c r="N221" s="46">
        <f>IF(AR[[#This Row],[Collection date - override (dd/mm/yyyy)]] &lt;&gt; "", AR[[#This Row],[Collection date - override (dd/mm/yyyy)]], AR[[#This Row],[Due date (dd/mm/yyyy)]])</f>
        <v>0</v>
      </c>
      <c r="O221" s="46">
        <f t="shared" si="3"/>
        <v>52</v>
      </c>
    </row>
    <row r="222" spans="3:15" x14ac:dyDescent="0.25">
      <c r="C222" s="28"/>
      <c r="D222" s="20"/>
      <c r="E222" s="4"/>
      <c r="F222" s="37"/>
      <c r="G222" s="24"/>
      <c r="H222" s="51">
        <f>Assumptions!$D$15</f>
        <v>0.1</v>
      </c>
      <c r="I222" s="45">
        <f>IF(AR[[#This Row],[GST applies?]] = "Yes", (AR[[#This Row],[Invoice value inc. VAT]] / 1 + AR[[#This Row],[GST %]]) * AR[[#This Row],[GST %]], 0)</f>
        <v>0</v>
      </c>
      <c r="J222" s="31">
        <f>_xlfn.XLOOKUP(AR[[#This Row],[Customer name]], Customer_master[Customer name], Customer_master[EOM or Net], 0)</f>
        <v>0</v>
      </c>
      <c r="K222" s="31">
        <f>_xlfn.XLOOKUP(AR[[#This Row],[Customer name]], Customer_master[Customer name], Customer_master[Terms days], 0)</f>
        <v>0</v>
      </c>
      <c r="L2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2" s="4"/>
      <c r="N222" s="46">
        <f>IF(AR[[#This Row],[Collection date - override (dd/mm/yyyy)]] &lt;&gt; "", AR[[#This Row],[Collection date - override (dd/mm/yyyy)]], AR[[#This Row],[Due date (dd/mm/yyyy)]])</f>
        <v>0</v>
      </c>
      <c r="O222" s="46">
        <f t="shared" si="3"/>
        <v>52</v>
      </c>
    </row>
    <row r="223" spans="3:15" x14ac:dyDescent="0.25">
      <c r="C223" s="28"/>
      <c r="D223" s="20"/>
      <c r="E223" s="4"/>
      <c r="F223" s="37"/>
      <c r="G223" s="24"/>
      <c r="H223" s="51">
        <f>Assumptions!$D$15</f>
        <v>0.1</v>
      </c>
      <c r="I223" s="45">
        <f>IF(AR[[#This Row],[GST applies?]] = "Yes", (AR[[#This Row],[Invoice value inc. VAT]] / 1 + AR[[#This Row],[GST %]]) * AR[[#This Row],[GST %]], 0)</f>
        <v>0</v>
      </c>
      <c r="J223" s="31">
        <f>_xlfn.XLOOKUP(AR[[#This Row],[Customer name]], Customer_master[Customer name], Customer_master[EOM or Net], 0)</f>
        <v>0</v>
      </c>
      <c r="K223" s="31">
        <f>_xlfn.XLOOKUP(AR[[#This Row],[Customer name]], Customer_master[Customer name], Customer_master[Terms days], 0)</f>
        <v>0</v>
      </c>
      <c r="L2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3" s="4"/>
      <c r="N223" s="46">
        <f>IF(AR[[#This Row],[Collection date - override (dd/mm/yyyy)]] &lt;&gt; "", AR[[#This Row],[Collection date - override (dd/mm/yyyy)]], AR[[#This Row],[Due date (dd/mm/yyyy)]])</f>
        <v>0</v>
      </c>
      <c r="O223" s="46">
        <f t="shared" si="3"/>
        <v>52</v>
      </c>
    </row>
    <row r="224" spans="3:15" x14ac:dyDescent="0.25">
      <c r="C224" s="28"/>
      <c r="D224" s="20"/>
      <c r="E224" s="4"/>
      <c r="F224" s="37"/>
      <c r="G224" s="24"/>
      <c r="H224" s="51">
        <f>Assumptions!$D$15</f>
        <v>0.1</v>
      </c>
      <c r="I224" s="45">
        <f>IF(AR[[#This Row],[GST applies?]] = "Yes", (AR[[#This Row],[Invoice value inc. VAT]] / 1 + AR[[#This Row],[GST %]]) * AR[[#This Row],[GST %]], 0)</f>
        <v>0</v>
      </c>
      <c r="J224" s="31">
        <f>_xlfn.XLOOKUP(AR[[#This Row],[Customer name]], Customer_master[Customer name], Customer_master[EOM or Net], 0)</f>
        <v>0</v>
      </c>
      <c r="K224" s="31">
        <f>_xlfn.XLOOKUP(AR[[#This Row],[Customer name]], Customer_master[Customer name], Customer_master[Terms days], 0)</f>
        <v>0</v>
      </c>
      <c r="L2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4" s="4"/>
      <c r="N224" s="46">
        <f>IF(AR[[#This Row],[Collection date - override (dd/mm/yyyy)]] &lt;&gt; "", AR[[#This Row],[Collection date - override (dd/mm/yyyy)]], AR[[#This Row],[Due date (dd/mm/yyyy)]])</f>
        <v>0</v>
      </c>
      <c r="O224" s="46">
        <f t="shared" si="3"/>
        <v>52</v>
      </c>
    </row>
    <row r="225" spans="3:15" x14ac:dyDescent="0.25">
      <c r="C225" s="28"/>
      <c r="D225" s="20"/>
      <c r="E225" s="4"/>
      <c r="F225" s="37"/>
      <c r="G225" s="24"/>
      <c r="H225" s="51">
        <f>Assumptions!$D$15</f>
        <v>0.1</v>
      </c>
      <c r="I225" s="45">
        <f>IF(AR[[#This Row],[GST applies?]] = "Yes", (AR[[#This Row],[Invoice value inc. VAT]] / 1 + AR[[#This Row],[GST %]]) * AR[[#This Row],[GST %]], 0)</f>
        <v>0</v>
      </c>
      <c r="J225" s="31">
        <f>_xlfn.XLOOKUP(AR[[#This Row],[Customer name]], Customer_master[Customer name], Customer_master[EOM or Net], 0)</f>
        <v>0</v>
      </c>
      <c r="K225" s="31">
        <f>_xlfn.XLOOKUP(AR[[#This Row],[Customer name]], Customer_master[Customer name], Customer_master[Terms days], 0)</f>
        <v>0</v>
      </c>
      <c r="L2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5" s="4"/>
      <c r="N225" s="46">
        <f>IF(AR[[#This Row],[Collection date - override (dd/mm/yyyy)]] &lt;&gt; "", AR[[#This Row],[Collection date - override (dd/mm/yyyy)]], AR[[#This Row],[Due date (dd/mm/yyyy)]])</f>
        <v>0</v>
      </c>
      <c r="O225" s="46">
        <f t="shared" si="3"/>
        <v>52</v>
      </c>
    </row>
    <row r="226" spans="3:15" x14ac:dyDescent="0.25">
      <c r="C226" s="28"/>
      <c r="D226" s="20"/>
      <c r="E226" s="4"/>
      <c r="F226" s="37"/>
      <c r="G226" s="24"/>
      <c r="H226" s="51">
        <f>Assumptions!$D$15</f>
        <v>0.1</v>
      </c>
      <c r="I226" s="45">
        <f>IF(AR[[#This Row],[GST applies?]] = "Yes", (AR[[#This Row],[Invoice value inc. VAT]] / 1 + AR[[#This Row],[GST %]]) * AR[[#This Row],[GST %]], 0)</f>
        <v>0</v>
      </c>
      <c r="J226" s="31">
        <f>_xlfn.XLOOKUP(AR[[#This Row],[Customer name]], Customer_master[Customer name], Customer_master[EOM or Net], 0)</f>
        <v>0</v>
      </c>
      <c r="K226" s="31">
        <f>_xlfn.XLOOKUP(AR[[#This Row],[Customer name]], Customer_master[Customer name], Customer_master[Terms days], 0)</f>
        <v>0</v>
      </c>
      <c r="L2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6" s="4"/>
      <c r="N226" s="46">
        <f>IF(AR[[#This Row],[Collection date - override (dd/mm/yyyy)]] &lt;&gt; "", AR[[#This Row],[Collection date - override (dd/mm/yyyy)]], AR[[#This Row],[Due date (dd/mm/yyyy)]])</f>
        <v>0</v>
      </c>
      <c r="O226" s="46">
        <f t="shared" si="3"/>
        <v>52</v>
      </c>
    </row>
    <row r="227" spans="3:15" x14ac:dyDescent="0.25">
      <c r="C227" s="28"/>
      <c r="D227" s="20"/>
      <c r="E227" s="4"/>
      <c r="F227" s="37"/>
      <c r="G227" s="24"/>
      <c r="H227" s="51">
        <f>Assumptions!$D$15</f>
        <v>0.1</v>
      </c>
      <c r="I227" s="45">
        <f>IF(AR[[#This Row],[GST applies?]] = "Yes", (AR[[#This Row],[Invoice value inc. VAT]] / 1 + AR[[#This Row],[GST %]]) * AR[[#This Row],[GST %]], 0)</f>
        <v>0</v>
      </c>
      <c r="J227" s="31">
        <f>_xlfn.XLOOKUP(AR[[#This Row],[Customer name]], Customer_master[Customer name], Customer_master[EOM or Net], 0)</f>
        <v>0</v>
      </c>
      <c r="K227" s="31">
        <f>_xlfn.XLOOKUP(AR[[#This Row],[Customer name]], Customer_master[Customer name], Customer_master[Terms days], 0)</f>
        <v>0</v>
      </c>
      <c r="L2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7" s="4"/>
      <c r="N227" s="46">
        <f>IF(AR[[#This Row],[Collection date - override (dd/mm/yyyy)]] &lt;&gt; "", AR[[#This Row],[Collection date - override (dd/mm/yyyy)]], AR[[#This Row],[Due date (dd/mm/yyyy)]])</f>
        <v>0</v>
      </c>
      <c r="O227" s="46">
        <f t="shared" si="3"/>
        <v>52</v>
      </c>
    </row>
    <row r="228" spans="3:15" x14ac:dyDescent="0.25">
      <c r="C228" s="28"/>
      <c r="D228" s="20"/>
      <c r="E228" s="4"/>
      <c r="F228" s="37"/>
      <c r="G228" s="24"/>
      <c r="H228" s="51">
        <f>Assumptions!$D$15</f>
        <v>0.1</v>
      </c>
      <c r="I228" s="45">
        <f>IF(AR[[#This Row],[GST applies?]] = "Yes", (AR[[#This Row],[Invoice value inc. VAT]] / 1 + AR[[#This Row],[GST %]]) * AR[[#This Row],[GST %]], 0)</f>
        <v>0</v>
      </c>
      <c r="J228" s="31">
        <f>_xlfn.XLOOKUP(AR[[#This Row],[Customer name]], Customer_master[Customer name], Customer_master[EOM or Net], 0)</f>
        <v>0</v>
      </c>
      <c r="K228" s="31">
        <f>_xlfn.XLOOKUP(AR[[#This Row],[Customer name]], Customer_master[Customer name], Customer_master[Terms days], 0)</f>
        <v>0</v>
      </c>
      <c r="L2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8" s="4"/>
      <c r="N228" s="46">
        <f>IF(AR[[#This Row],[Collection date - override (dd/mm/yyyy)]] &lt;&gt; "", AR[[#This Row],[Collection date - override (dd/mm/yyyy)]], AR[[#This Row],[Due date (dd/mm/yyyy)]])</f>
        <v>0</v>
      </c>
      <c r="O228" s="46">
        <f t="shared" si="3"/>
        <v>52</v>
      </c>
    </row>
    <row r="229" spans="3:15" x14ac:dyDescent="0.25">
      <c r="C229" s="28"/>
      <c r="D229" s="20"/>
      <c r="E229" s="4"/>
      <c r="F229" s="37"/>
      <c r="G229" s="24"/>
      <c r="H229" s="51">
        <f>Assumptions!$D$15</f>
        <v>0.1</v>
      </c>
      <c r="I229" s="45">
        <f>IF(AR[[#This Row],[GST applies?]] = "Yes", (AR[[#This Row],[Invoice value inc. VAT]] / 1 + AR[[#This Row],[GST %]]) * AR[[#This Row],[GST %]], 0)</f>
        <v>0</v>
      </c>
      <c r="J229" s="31">
        <f>_xlfn.XLOOKUP(AR[[#This Row],[Customer name]], Customer_master[Customer name], Customer_master[EOM or Net], 0)</f>
        <v>0</v>
      </c>
      <c r="K229" s="31">
        <f>_xlfn.XLOOKUP(AR[[#This Row],[Customer name]], Customer_master[Customer name], Customer_master[Terms days], 0)</f>
        <v>0</v>
      </c>
      <c r="L2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9" s="4"/>
      <c r="N229" s="46">
        <f>IF(AR[[#This Row],[Collection date - override (dd/mm/yyyy)]] &lt;&gt; "", AR[[#This Row],[Collection date - override (dd/mm/yyyy)]], AR[[#This Row],[Due date (dd/mm/yyyy)]])</f>
        <v>0</v>
      </c>
      <c r="O229" s="46">
        <f t="shared" si="3"/>
        <v>52</v>
      </c>
    </row>
    <row r="230" spans="3:15" x14ac:dyDescent="0.25">
      <c r="C230" s="28"/>
      <c r="D230" s="20"/>
      <c r="E230" s="4"/>
      <c r="F230" s="37"/>
      <c r="G230" s="24"/>
      <c r="H230" s="51">
        <f>Assumptions!$D$15</f>
        <v>0.1</v>
      </c>
      <c r="I230" s="45">
        <f>IF(AR[[#This Row],[GST applies?]] = "Yes", (AR[[#This Row],[Invoice value inc. VAT]] / 1 + AR[[#This Row],[GST %]]) * AR[[#This Row],[GST %]], 0)</f>
        <v>0</v>
      </c>
      <c r="J230" s="31">
        <f>_xlfn.XLOOKUP(AR[[#This Row],[Customer name]], Customer_master[Customer name], Customer_master[EOM or Net], 0)</f>
        <v>0</v>
      </c>
      <c r="K230" s="31">
        <f>_xlfn.XLOOKUP(AR[[#This Row],[Customer name]], Customer_master[Customer name], Customer_master[Terms days], 0)</f>
        <v>0</v>
      </c>
      <c r="L2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0" s="4"/>
      <c r="N230" s="46">
        <f>IF(AR[[#This Row],[Collection date - override (dd/mm/yyyy)]] &lt;&gt; "", AR[[#This Row],[Collection date - override (dd/mm/yyyy)]], AR[[#This Row],[Due date (dd/mm/yyyy)]])</f>
        <v>0</v>
      </c>
      <c r="O230" s="46">
        <f t="shared" si="3"/>
        <v>52</v>
      </c>
    </row>
    <row r="231" spans="3:15" x14ac:dyDescent="0.25">
      <c r="C231" s="28"/>
      <c r="D231" s="20"/>
      <c r="E231" s="4"/>
      <c r="F231" s="37"/>
      <c r="G231" s="24"/>
      <c r="H231" s="51">
        <f>Assumptions!$D$15</f>
        <v>0.1</v>
      </c>
      <c r="I231" s="45">
        <f>IF(AR[[#This Row],[GST applies?]] = "Yes", (AR[[#This Row],[Invoice value inc. VAT]] / 1 + AR[[#This Row],[GST %]]) * AR[[#This Row],[GST %]], 0)</f>
        <v>0</v>
      </c>
      <c r="J231" s="31">
        <f>_xlfn.XLOOKUP(AR[[#This Row],[Customer name]], Customer_master[Customer name], Customer_master[EOM or Net], 0)</f>
        <v>0</v>
      </c>
      <c r="K231" s="31">
        <f>_xlfn.XLOOKUP(AR[[#This Row],[Customer name]], Customer_master[Customer name], Customer_master[Terms days], 0)</f>
        <v>0</v>
      </c>
      <c r="L2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1" s="4"/>
      <c r="N231" s="46">
        <f>IF(AR[[#This Row],[Collection date - override (dd/mm/yyyy)]] &lt;&gt; "", AR[[#This Row],[Collection date - override (dd/mm/yyyy)]], AR[[#This Row],[Due date (dd/mm/yyyy)]])</f>
        <v>0</v>
      </c>
      <c r="O231" s="46">
        <f t="shared" si="3"/>
        <v>52</v>
      </c>
    </row>
    <row r="232" spans="3:15" x14ac:dyDescent="0.25">
      <c r="C232" s="28"/>
      <c r="D232" s="20"/>
      <c r="E232" s="4"/>
      <c r="F232" s="37"/>
      <c r="G232" s="24"/>
      <c r="H232" s="51">
        <f>Assumptions!$D$15</f>
        <v>0.1</v>
      </c>
      <c r="I232" s="45">
        <f>IF(AR[[#This Row],[GST applies?]] = "Yes", (AR[[#This Row],[Invoice value inc. VAT]] / 1 + AR[[#This Row],[GST %]]) * AR[[#This Row],[GST %]], 0)</f>
        <v>0</v>
      </c>
      <c r="J232" s="31">
        <f>_xlfn.XLOOKUP(AR[[#This Row],[Customer name]], Customer_master[Customer name], Customer_master[EOM or Net], 0)</f>
        <v>0</v>
      </c>
      <c r="K232" s="31">
        <f>_xlfn.XLOOKUP(AR[[#This Row],[Customer name]], Customer_master[Customer name], Customer_master[Terms days], 0)</f>
        <v>0</v>
      </c>
      <c r="L2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2" s="4"/>
      <c r="N232" s="46">
        <f>IF(AR[[#This Row],[Collection date - override (dd/mm/yyyy)]] &lt;&gt; "", AR[[#This Row],[Collection date - override (dd/mm/yyyy)]], AR[[#This Row],[Due date (dd/mm/yyyy)]])</f>
        <v>0</v>
      </c>
      <c r="O232" s="46">
        <f t="shared" si="3"/>
        <v>52</v>
      </c>
    </row>
    <row r="233" spans="3:15" x14ac:dyDescent="0.25">
      <c r="C233" s="28"/>
      <c r="D233" s="20"/>
      <c r="E233" s="4"/>
      <c r="F233" s="37"/>
      <c r="G233" s="24"/>
      <c r="H233" s="51">
        <f>Assumptions!$D$15</f>
        <v>0.1</v>
      </c>
      <c r="I233" s="45">
        <f>IF(AR[[#This Row],[GST applies?]] = "Yes", (AR[[#This Row],[Invoice value inc. VAT]] / 1 + AR[[#This Row],[GST %]]) * AR[[#This Row],[GST %]], 0)</f>
        <v>0</v>
      </c>
      <c r="J233" s="31">
        <f>_xlfn.XLOOKUP(AR[[#This Row],[Customer name]], Customer_master[Customer name], Customer_master[EOM or Net], 0)</f>
        <v>0</v>
      </c>
      <c r="K233" s="31">
        <f>_xlfn.XLOOKUP(AR[[#This Row],[Customer name]], Customer_master[Customer name], Customer_master[Terms days], 0)</f>
        <v>0</v>
      </c>
      <c r="L2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3" s="4"/>
      <c r="N233" s="46">
        <f>IF(AR[[#This Row],[Collection date - override (dd/mm/yyyy)]] &lt;&gt; "", AR[[#This Row],[Collection date - override (dd/mm/yyyy)]], AR[[#This Row],[Due date (dd/mm/yyyy)]])</f>
        <v>0</v>
      </c>
      <c r="O233" s="46">
        <f t="shared" si="3"/>
        <v>52</v>
      </c>
    </row>
    <row r="234" spans="3:15" x14ac:dyDescent="0.25">
      <c r="C234" s="28"/>
      <c r="D234" s="20"/>
      <c r="E234" s="4"/>
      <c r="F234" s="37"/>
      <c r="G234" s="24"/>
      <c r="H234" s="51">
        <f>Assumptions!$D$15</f>
        <v>0.1</v>
      </c>
      <c r="I234" s="45">
        <f>IF(AR[[#This Row],[GST applies?]] = "Yes", (AR[[#This Row],[Invoice value inc. VAT]] / 1 + AR[[#This Row],[GST %]]) * AR[[#This Row],[GST %]], 0)</f>
        <v>0</v>
      </c>
      <c r="J234" s="31">
        <f>_xlfn.XLOOKUP(AR[[#This Row],[Customer name]], Customer_master[Customer name], Customer_master[EOM or Net], 0)</f>
        <v>0</v>
      </c>
      <c r="K234" s="31">
        <f>_xlfn.XLOOKUP(AR[[#This Row],[Customer name]], Customer_master[Customer name], Customer_master[Terms days], 0)</f>
        <v>0</v>
      </c>
      <c r="L2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4" s="4"/>
      <c r="N234" s="46">
        <f>IF(AR[[#This Row],[Collection date - override (dd/mm/yyyy)]] &lt;&gt; "", AR[[#This Row],[Collection date - override (dd/mm/yyyy)]], AR[[#This Row],[Due date (dd/mm/yyyy)]])</f>
        <v>0</v>
      </c>
      <c r="O234" s="46">
        <f t="shared" si="3"/>
        <v>52</v>
      </c>
    </row>
    <row r="235" spans="3:15" x14ac:dyDescent="0.25">
      <c r="C235" s="28"/>
      <c r="D235" s="20"/>
      <c r="E235" s="4"/>
      <c r="F235" s="37"/>
      <c r="G235" s="24"/>
      <c r="H235" s="51">
        <f>Assumptions!$D$15</f>
        <v>0.1</v>
      </c>
      <c r="I235" s="45">
        <f>IF(AR[[#This Row],[GST applies?]] = "Yes", (AR[[#This Row],[Invoice value inc. VAT]] / 1 + AR[[#This Row],[GST %]]) * AR[[#This Row],[GST %]], 0)</f>
        <v>0</v>
      </c>
      <c r="J235" s="31">
        <f>_xlfn.XLOOKUP(AR[[#This Row],[Customer name]], Customer_master[Customer name], Customer_master[EOM or Net], 0)</f>
        <v>0</v>
      </c>
      <c r="K235" s="31">
        <f>_xlfn.XLOOKUP(AR[[#This Row],[Customer name]], Customer_master[Customer name], Customer_master[Terms days], 0)</f>
        <v>0</v>
      </c>
      <c r="L2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5" s="4"/>
      <c r="N235" s="46">
        <f>IF(AR[[#This Row],[Collection date - override (dd/mm/yyyy)]] &lt;&gt; "", AR[[#This Row],[Collection date - override (dd/mm/yyyy)]], AR[[#This Row],[Due date (dd/mm/yyyy)]])</f>
        <v>0</v>
      </c>
      <c r="O235" s="46">
        <f t="shared" si="3"/>
        <v>52</v>
      </c>
    </row>
    <row r="236" spans="3:15" x14ac:dyDescent="0.25">
      <c r="C236" s="28"/>
      <c r="D236" s="20"/>
      <c r="E236" s="4"/>
      <c r="F236" s="37"/>
      <c r="G236" s="24"/>
      <c r="H236" s="51">
        <f>Assumptions!$D$15</f>
        <v>0.1</v>
      </c>
      <c r="I236" s="45">
        <f>IF(AR[[#This Row],[GST applies?]] = "Yes", (AR[[#This Row],[Invoice value inc. VAT]] / 1 + AR[[#This Row],[GST %]]) * AR[[#This Row],[GST %]], 0)</f>
        <v>0</v>
      </c>
      <c r="J236" s="31">
        <f>_xlfn.XLOOKUP(AR[[#This Row],[Customer name]], Customer_master[Customer name], Customer_master[EOM or Net], 0)</f>
        <v>0</v>
      </c>
      <c r="K236" s="31">
        <f>_xlfn.XLOOKUP(AR[[#This Row],[Customer name]], Customer_master[Customer name], Customer_master[Terms days], 0)</f>
        <v>0</v>
      </c>
      <c r="L2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6" s="4"/>
      <c r="N236" s="46">
        <f>IF(AR[[#This Row],[Collection date - override (dd/mm/yyyy)]] &lt;&gt; "", AR[[#This Row],[Collection date - override (dd/mm/yyyy)]], AR[[#This Row],[Due date (dd/mm/yyyy)]])</f>
        <v>0</v>
      </c>
      <c r="O236" s="46">
        <f t="shared" si="3"/>
        <v>52</v>
      </c>
    </row>
    <row r="237" spans="3:15" x14ac:dyDescent="0.25">
      <c r="C237" s="28"/>
      <c r="D237" s="20"/>
      <c r="E237" s="4"/>
      <c r="F237" s="37"/>
      <c r="G237" s="24"/>
      <c r="H237" s="51">
        <f>Assumptions!$D$15</f>
        <v>0.1</v>
      </c>
      <c r="I237" s="45">
        <f>IF(AR[[#This Row],[GST applies?]] = "Yes", (AR[[#This Row],[Invoice value inc. VAT]] / 1 + AR[[#This Row],[GST %]]) * AR[[#This Row],[GST %]], 0)</f>
        <v>0</v>
      </c>
      <c r="J237" s="31">
        <f>_xlfn.XLOOKUP(AR[[#This Row],[Customer name]], Customer_master[Customer name], Customer_master[EOM or Net], 0)</f>
        <v>0</v>
      </c>
      <c r="K237" s="31">
        <f>_xlfn.XLOOKUP(AR[[#This Row],[Customer name]], Customer_master[Customer name], Customer_master[Terms days], 0)</f>
        <v>0</v>
      </c>
      <c r="L2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7" s="4"/>
      <c r="N237" s="46">
        <f>IF(AR[[#This Row],[Collection date - override (dd/mm/yyyy)]] &lt;&gt; "", AR[[#This Row],[Collection date - override (dd/mm/yyyy)]], AR[[#This Row],[Due date (dd/mm/yyyy)]])</f>
        <v>0</v>
      </c>
      <c r="O237" s="46">
        <f t="shared" si="3"/>
        <v>52</v>
      </c>
    </row>
    <row r="238" spans="3:15" x14ac:dyDescent="0.25">
      <c r="C238" s="28"/>
      <c r="D238" s="20"/>
      <c r="E238" s="4"/>
      <c r="F238" s="37"/>
      <c r="G238" s="24"/>
      <c r="H238" s="51">
        <f>Assumptions!$D$15</f>
        <v>0.1</v>
      </c>
      <c r="I238" s="45">
        <f>IF(AR[[#This Row],[GST applies?]] = "Yes", (AR[[#This Row],[Invoice value inc. VAT]] / 1 + AR[[#This Row],[GST %]]) * AR[[#This Row],[GST %]], 0)</f>
        <v>0</v>
      </c>
      <c r="J238" s="31">
        <f>_xlfn.XLOOKUP(AR[[#This Row],[Customer name]], Customer_master[Customer name], Customer_master[EOM or Net], 0)</f>
        <v>0</v>
      </c>
      <c r="K238" s="31">
        <f>_xlfn.XLOOKUP(AR[[#This Row],[Customer name]], Customer_master[Customer name], Customer_master[Terms days], 0)</f>
        <v>0</v>
      </c>
      <c r="L2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8" s="4"/>
      <c r="N238" s="46">
        <f>IF(AR[[#This Row],[Collection date - override (dd/mm/yyyy)]] &lt;&gt; "", AR[[#This Row],[Collection date - override (dd/mm/yyyy)]], AR[[#This Row],[Due date (dd/mm/yyyy)]])</f>
        <v>0</v>
      </c>
      <c r="O238" s="46">
        <f t="shared" si="3"/>
        <v>52</v>
      </c>
    </row>
    <row r="239" spans="3:15" x14ac:dyDescent="0.25">
      <c r="C239" s="28"/>
      <c r="D239" s="20"/>
      <c r="E239" s="4"/>
      <c r="F239" s="37"/>
      <c r="G239" s="24"/>
      <c r="H239" s="51">
        <f>Assumptions!$D$15</f>
        <v>0.1</v>
      </c>
      <c r="I239" s="45">
        <f>IF(AR[[#This Row],[GST applies?]] = "Yes", (AR[[#This Row],[Invoice value inc. VAT]] / 1 + AR[[#This Row],[GST %]]) * AR[[#This Row],[GST %]], 0)</f>
        <v>0</v>
      </c>
      <c r="J239" s="31">
        <f>_xlfn.XLOOKUP(AR[[#This Row],[Customer name]], Customer_master[Customer name], Customer_master[EOM or Net], 0)</f>
        <v>0</v>
      </c>
      <c r="K239" s="31">
        <f>_xlfn.XLOOKUP(AR[[#This Row],[Customer name]], Customer_master[Customer name], Customer_master[Terms days], 0)</f>
        <v>0</v>
      </c>
      <c r="L2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9" s="4"/>
      <c r="N239" s="46">
        <f>IF(AR[[#This Row],[Collection date - override (dd/mm/yyyy)]] &lt;&gt; "", AR[[#This Row],[Collection date - override (dd/mm/yyyy)]], AR[[#This Row],[Due date (dd/mm/yyyy)]])</f>
        <v>0</v>
      </c>
      <c r="O239" s="46">
        <f t="shared" si="3"/>
        <v>52</v>
      </c>
    </row>
    <row r="240" spans="3:15" x14ac:dyDescent="0.25">
      <c r="C240" s="28"/>
      <c r="D240" s="20"/>
      <c r="E240" s="4"/>
      <c r="F240" s="37"/>
      <c r="G240" s="24"/>
      <c r="H240" s="51">
        <f>Assumptions!$D$15</f>
        <v>0.1</v>
      </c>
      <c r="I240" s="45">
        <f>IF(AR[[#This Row],[GST applies?]] = "Yes", (AR[[#This Row],[Invoice value inc. VAT]] / 1 + AR[[#This Row],[GST %]]) * AR[[#This Row],[GST %]], 0)</f>
        <v>0</v>
      </c>
      <c r="J240" s="31">
        <f>_xlfn.XLOOKUP(AR[[#This Row],[Customer name]], Customer_master[Customer name], Customer_master[EOM or Net], 0)</f>
        <v>0</v>
      </c>
      <c r="K240" s="31">
        <f>_xlfn.XLOOKUP(AR[[#This Row],[Customer name]], Customer_master[Customer name], Customer_master[Terms days], 0)</f>
        <v>0</v>
      </c>
      <c r="L2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0" s="4"/>
      <c r="N240" s="46">
        <f>IF(AR[[#This Row],[Collection date - override (dd/mm/yyyy)]] &lt;&gt; "", AR[[#This Row],[Collection date - override (dd/mm/yyyy)]], AR[[#This Row],[Due date (dd/mm/yyyy)]])</f>
        <v>0</v>
      </c>
      <c r="O240" s="46">
        <f t="shared" si="3"/>
        <v>52</v>
      </c>
    </row>
    <row r="241" spans="3:15" x14ac:dyDescent="0.25">
      <c r="C241" s="28"/>
      <c r="D241" s="20"/>
      <c r="E241" s="4"/>
      <c r="F241" s="37"/>
      <c r="G241" s="24"/>
      <c r="H241" s="51">
        <f>Assumptions!$D$15</f>
        <v>0.1</v>
      </c>
      <c r="I241" s="45">
        <f>IF(AR[[#This Row],[GST applies?]] = "Yes", (AR[[#This Row],[Invoice value inc. VAT]] / 1 + AR[[#This Row],[GST %]]) * AR[[#This Row],[GST %]], 0)</f>
        <v>0</v>
      </c>
      <c r="J241" s="31">
        <f>_xlfn.XLOOKUP(AR[[#This Row],[Customer name]], Customer_master[Customer name], Customer_master[EOM or Net], 0)</f>
        <v>0</v>
      </c>
      <c r="K241" s="31">
        <f>_xlfn.XLOOKUP(AR[[#This Row],[Customer name]], Customer_master[Customer name], Customer_master[Terms days], 0)</f>
        <v>0</v>
      </c>
      <c r="L2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1" s="4"/>
      <c r="N241" s="46">
        <f>IF(AR[[#This Row],[Collection date - override (dd/mm/yyyy)]] &lt;&gt; "", AR[[#This Row],[Collection date - override (dd/mm/yyyy)]], AR[[#This Row],[Due date (dd/mm/yyyy)]])</f>
        <v>0</v>
      </c>
      <c r="O241" s="46">
        <f t="shared" si="3"/>
        <v>52</v>
      </c>
    </row>
    <row r="242" spans="3:15" x14ac:dyDescent="0.25">
      <c r="C242" s="28"/>
      <c r="D242" s="20"/>
      <c r="E242" s="4"/>
      <c r="F242" s="37"/>
      <c r="G242" s="24"/>
      <c r="H242" s="51">
        <f>Assumptions!$D$15</f>
        <v>0.1</v>
      </c>
      <c r="I242" s="45">
        <f>IF(AR[[#This Row],[GST applies?]] = "Yes", (AR[[#This Row],[Invoice value inc. VAT]] / 1 + AR[[#This Row],[GST %]]) * AR[[#This Row],[GST %]], 0)</f>
        <v>0</v>
      </c>
      <c r="J242" s="31">
        <f>_xlfn.XLOOKUP(AR[[#This Row],[Customer name]], Customer_master[Customer name], Customer_master[EOM or Net], 0)</f>
        <v>0</v>
      </c>
      <c r="K242" s="31">
        <f>_xlfn.XLOOKUP(AR[[#This Row],[Customer name]], Customer_master[Customer name], Customer_master[Terms days], 0)</f>
        <v>0</v>
      </c>
      <c r="L2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2" s="4"/>
      <c r="N242" s="46">
        <f>IF(AR[[#This Row],[Collection date - override (dd/mm/yyyy)]] &lt;&gt; "", AR[[#This Row],[Collection date - override (dd/mm/yyyy)]], AR[[#This Row],[Due date (dd/mm/yyyy)]])</f>
        <v>0</v>
      </c>
      <c r="O242" s="46">
        <f t="shared" si="3"/>
        <v>52</v>
      </c>
    </row>
    <row r="243" spans="3:15" x14ac:dyDescent="0.25">
      <c r="C243" s="28"/>
      <c r="D243" s="20"/>
      <c r="E243" s="4"/>
      <c r="F243" s="37"/>
      <c r="G243" s="24"/>
      <c r="H243" s="51">
        <f>Assumptions!$D$15</f>
        <v>0.1</v>
      </c>
      <c r="I243" s="45">
        <f>IF(AR[[#This Row],[GST applies?]] = "Yes", (AR[[#This Row],[Invoice value inc. VAT]] / 1 + AR[[#This Row],[GST %]]) * AR[[#This Row],[GST %]], 0)</f>
        <v>0</v>
      </c>
      <c r="J243" s="31">
        <f>_xlfn.XLOOKUP(AR[[#This Row],[Customer name]], Customer_master[Customer name], Customer_master[EOM or Net], 0)</f>
        <v>0</v>
      </c>
      <c r="K243" s="31">
        <f>_xlfn.XLOOKUP(AR[[#This Row],[Customer name]], Customer_master[Customer name], Customer_master[Terms days], 0)</f>
        <v>0</v>
      </c>
      <c r="L2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3" s="4"/>
      <c r="N243" s="46">
        <f>IF(AR[[#This Row],[Collection date - override (dd/mm/yyyy)]] &lt;&gt; "", AR[[#This Row],[Collection date - override (dd/mm/yyyy)]], AR[[#This Row],[Due date (dd/mm/yyyy)]])</f>
        <v>0</v>
      </c>
      <c r="O243" s="46">
        <f t="shared" si="3"/>
        <v>52</v>
      </c>
    </row>
    <row r="244" spans="3:15" x14ac:dyDescent="0.25">
      <c r="C244" s="28"/>
      <c r="D244" s="20"/>
      <c r="E244" s="4"/>
      <c r="F244" s="37"/>
      <c r="G244" s="24"/>
      <c r="H244" s="51">
        <f>Assumptions!$D$15</f>
        <v>0.1</v>
      </c>
      <c r="I244" s="45">
        <f>IF(AR[[#This Row],[GST applies?]] = "Yes", (AR[[#This Row],[Invoice value inc. VAT]] / 1 + AR[[#This Row],[GST %]]) * AR[[#This Row],[GST %]], 0)</f>
        <v>0</v>
      </c>
      <c r="J244" s="31">
        <f>_xlfn.XLOOKUP(AR[[#This Row],[Customer name]], Customer_master[Customer name], Customer_master[EOM or Net], 0)</f>
        <v>0</v>
      </c>
      <c r="K244" s="31">
        <f>_xlfn.XLOOKUP(AR[[#This Row],[Customer name]], Customer_master[Customer name], Customer_master[Terms days], 0)</f>
        <v>0</v>
      </c>
      <c r="L2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4" s="4"/>
      <c r="N244" s="46">
        <f>IF(AR[[#This Row],[Collection date - override (dd/mm/yyyy)]] &lt;&gt; "", AR[[#This Row],[Collection date - override (dd/mm/yyyy)]], AR[[#This Row],[Due date (dd/mm/yyyy)]])</f>
        <v>0</v>
      </c>
      <c r="O244" s="46">
        <f t="shared" si="3"/>
        <v>52</v>
      </c>
    </row>
    <row r="245" spans="3:15" x14ac:dyDescent="0.25">
      <c r="C245" s="28"/>
      <c r="D245" s="20"/>
      <c r="E245" s="4"/>
      <c r="F245" s="37"/>
      <c r="G245" s="24"/>
      <c r="H245" s="51">
        <f>Assumptions!$D$15</f>
        <v>0.1</v>
      </c>
      <c r="I245" s="45">
        <f>IF(AR[[#This Row],[GST applies?]] = "Yes", (AR[[#This Row],[Invoice value inc. VAT]] / 1 + AR[[#This Row],[GST %]]) * AR[[#This Row],[GST %]], 0)</f>
        <v>0</v>
      </c>
      <c r="J245" s="31">
        <f>_xlfn.XLOOKUP(AR[[#This Row],[Customer name]], Customer_master[Customer name], Customer_master[EOM or Net], 0)</f>
        <v>0</v>
      </c>
      <c r="K245" s="31">
        <f>_xlfn.XLOOKUP(AR[[#This Row],[Customer name]], Customer_master[Customer name], Customer_master[Terms days], 0)</f>
        <v>0</v>
      </c>
      <c r="L2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5" s="4"/>
      <c r="N245" s="46">
        <f>IF(AR[[#This Row],[Collection date - override (dd/mm/yyyy)]] &lt;&gt; "", AR[[#This Row],[Collection date - override (dd/mm/yyyy)]], AR[[#This Row],[Due date (dd/mm/yyyy)]])</f>
        <v>0</v>
      </c>
      <c r="O245" s="46">
        <f t="shared" si="3"/>
        <v>52</v>
      </c>
    </row>
    <row r="246" spans="3:15" x14ac:dyDescent="0.25">
      <c r="C246" s="28"/>
      <c r="D246" s="20"/>
      <c r="E246" s="4"/>
      <c r="F246" s="37"/>
      <c r="G246" s="24"/>
      <c r="H246" s="51">
        <f>Assumptions!$D$15</f>
        <v>0.1</v>
      </c>
      <c r="I246" s="45">
        <f>IF(AR[[#This Row],[GST applies?]] = "Yes", (AR[[#This Row],[Invoice value inc. VAT]] / 1 + AR[[#This Row],[GST %]]) * AR[[#This Row],[GST %]], 0)</f>
        <v>0</v>
      </c>
      <c r="J246" s="31">
        <f>_xlfn.XLOOKUP(AR[[#This Row],[Customer name]], Customer_master[Customer name], Customer_master[EOM or Net], 0)</f>
        <v>0</v>
      </c>
      <c r="K246" s="31">
        <f>_xlfn.XLOOKUP(AR[[#This Row],[Customer name]], Customer_master[Customer name], Customer_master[Terms days], 0)</f>
        <v>0</v>
      </c>
      <c r="L2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6" s="4"/>
      <c r="N246" s="46">
        <f>IF(AR[[#This Row],[Collection date - override (dd/mm/yyyy)]] &lt;&gt; "", AR[[#This Row],[Collection date - override (dd/mm/yyyy)]], AR[[#This Row],[Due date (dd/mm/yyyy)]])</f>
        <v>0</v>
      </c>
      <c r="O246" s="46">
        <f t="shared" si="3"/>
        <v>52</v>
      </c>
    </row>
    <row r="247" spans="3:15" x14ac:dyDescent="0.25">
      <c r="C247" s="28"/>
      <c r="D247" s="20"/>
      <c r="E247" s="4"/>
      <c r="F247" s="37"/>
      <c r="G247" s="24"/>
      <c r="H247" s="51">
        <f>Assumptions!$D$15</f>
        <v>0.1</v>
      </c>
      <c r="I247" s="45">
        <f>IF(AR[[#This Row],[GST applies?]] = "Yes", (AR[[#This Row],[Invoice value inc. VAT]] / 1 + AR[[#This Row],[GST %]]) * AR[[#This Row],[GST %]], 0)</f>
        <v>0</v>
      </c>
      <c r="J247" s="31">
        <f>_xlfn.XLOOKUP(AR[[#This Row],[Customer name]], Customer_master[Customer name], Customer_master[EOM or Net], 0)</f>
        <v>0</v>
      </c>
      <c r="K247" s="31">
        <f>_xlfn.XLOOKUP(AR[[#This Row],[Customer name]], Customer_master[Customer name], Customer_master[Terms days], 0)</f>
        <v>0</v>
      </c>
      <c r="L2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7" s="4"/>
      <c r="N247" s="46">
        <f>IF(AR[[#This Row],[Collection date - override (dd/mm/yyyy)]] &lt;&gt; "", AR[[#This Row],[Collection date - override (dd/mm/yyyy)]], AR[[#This Row],[Due date (dd/mm/yyyy)]])</f>
        <v>0</v>
      </c>
      <c r="O247" s="46">
        <f t="shared" si="3"/>
        <v>52</v>
      </c>
    </row>
    <row r="248" spans="3:15" x14ac:dyDescent="0.25">
      <c r="C248" s="28"/>
      <c r="D248" s="20"/>
      <c r="E248" s="4"/>
      <c r="F248" s="37"/>
      <c r="G248" s="24"/>
      <c r="H248" s="51">
        <f>Assumptions!$D$15</f>
        <v>0.1</v>
      </c>
      <c r="I248" s="45">
        <f>IF(AR[[#This Row],[GST applies?]] = "Yes", (AR[[#This Row],[Invoice value inc. VAT]] / 1 + AR[[#This Row],[GST %]]) * AR[[#This Row],[GST %]], 0)</f>
        <v>0</v>
      </c>
      <c r="J248" s="31">
        <f>_xlfn.XLOOKUP(AR[[#This Row],[Customer name]], Customer_master[Customer name], Customer_master[EOM or Net], 0)</f>
        <v>0</v>
      </c>
      <c r="K248" s="31">
        <f>_xlfn.XLOOKUP(AR[[#This Row],[Customer name]], Customer_master[Customer name], Customer_master[Terms days], 0)</f>
        <v>0</v>
      </c>
      <c r="L2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8" s="4"/>
      <c r="N248" s="46">
        <f>IF(AR[[#This Row],[Collection date - override (dd/mm/yyyy)]] &lt;&gt; "", AR[[#This Row],[Collection date - override (dd/mm/yyyy)]], AR[[#This Row],[Due date (dd/mm/yyyy)]])</f>
        <v>0</v>
      </c>
      <c r="O248" s="46">
        <f t="shared" si="3"/>
        <v>52</v>
      </c>
    </row>
    <row r="249" spans="3:15" x14ac:dyDescent="0.25">
      <c r="C249" s="28"/>
      <c r="D249" s="20"/>
      <c r="E249" s="4"/>
      <c r="F249" s="37"/>
      <c r="G249" s="24"/>
      <c r="H249" s="51">
        <f>Assumptions!$D$15</f>
        <v>0.1</v>
      </c>
      <c r="I249" s="45">
        <f>IF(AR[[#This Row],[GST applies?]] = "Yes", (AR[[#This Row],[Invoice value inc. VAT]] / 1 + AR[[#This Row],[GST %]]) * AR[[#This Row],[GST %]], 0)</f>
        <v>0</v>
      </c>
      <c r="J249" s="31">
        <f>_xlfn.XLOOKUP(AR[[#This Row],[Customer name]], Customer_master[Customer name], Customer_master[EOM or Net], 0)</f>
        <v>0</v>
      </c>
      <c r="K249" s="31">
        <f>_xlfn.XLOOKUP(AR[[#This Row],[Customer name]], Customer_master[Customer name], Customer_master[Terms days], 0)</f>
        <v>0</v>
      </c>
      <c r="L2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9" s="4"/>
      <c r="N249" s="46">
        <f>IF(AR[[#This Row],[Collection date - override (dd/mm/yyyy)]] &lt;&gt; "", AR[[#This Row],[Collection date - override (dd/mm/yyyy)]], AR[[#This Row],[Due date (dd/mm/yyyy)]])</f>
        <v>0</v>
      </c>
      <c r="O249" s="46">
        <f t="shared" si="3"/>
        <v>52</v>
      </c>
    </row>
    <row r="250" spans="3:15" x14ac:dyDescent="0.25">
      <c r="C250" s="28"/>
      <c r="D250" s="20"/>
      <c r="E250" s="4"/>
      <c r="F250" s="37"/>
      <c r="G250" s="24"/>
      <c r="H250" s="51">
        <f>Assumptions!$D$15</f>
        <v>0.1</v>
      </c>
      <c r="I250" s="45">
        <f>IF(AR[[#This Row],[GST applies?]] = "Yes", (AR[[#This Row],[Invoice value inc. VAT]] / 1 + AR[[#This Row],[GST %]]) * AR[[#This Row],[GST %]], 0)</f>
        <v>0</v>
      </c>
      <c r="J250" s="31">
        <f>_xlfn.XLOOKUP(AR[[#This Row],[Customer name]], Customer_master[Customer name], Customer_master[EOM or Net], 0)</f>
        <v>0</v>
      </c>
      <c r="K250" s="31">
        <f>_xlfn.XLOOKUP(AR[[#This Row],[Customer name]], Customer_master[Customer name], Customer_master[Terms days], 0)</f>
        <v>0</v>
      </c>
      <c r="L2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0" s="4"/>
      <c r="N250" s="46">
        <f>IF(AR[[#This Row],[Collection date - override (dd/mm/yyyy)]] &lt;&gt; "", AR[[#This Row],[Collection date - override (dd/mm/yyyy)]], AR[[#This Row],[Due date (dd/mm/yyyy)]])</f>
        <v>0</v>
      </c>
      <c r="O250" s="46">
        <f t="shared" si="3"/>
        <v>52</v>
      </c>
    </row>
    <row r="251" spans="3:15" x14ac:dyDescent="0.25">
      <c r="C251" s="28"/>
      <c r="D251" s="20"/>
      <c r="E251" s="4"/>
      <c r="F251" s="37"/>
      <c r="G251" s="24"/>
      <c r="H251" s="51">
        <f>Assumptions!$D$15</f>
        <v>0.1</v>
      </c>
      <c r="I251" s="45">
        <f>IF(AR[[#This Row],[GST applies?]] = "Yes", (AR[[#This Row],[Invoice value inc. VAT]] / 1 + AR[[#This Row],[GST %]]) * AR[[#This Row],[GST %]], 0)</f>
        <v>0</v>
      </c>
      <c r="J251" s="31">
        <f>_xlfn.XLOOKUP(AR[[#This Row],[Customer name]], Customer_master[Customer name], Customer_master[EOM or Net], 0)</f>
        <v>0</v>
      </c>
      <c r="K251" s="31">
        <f>_xlfn.XLOOKUP(AR[[#This Row],[Customer name]], Customer_master[Customer name], Customer_master[Terms days], 0)</f>
        <v>0</v>
      </c>
      <c r="L2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1" s="4"/>
      <c r="N251" s="46">
        <f>IF(AR[[#This Row],[Collection date - override (dd/mm/yyyy)]] &lt;&gt; "", AR[[#This Row],[Collection date - override (dd/mm/yyyy)]], AR[[#This Row],[Due date (dd/mm/yyyy)]])</f>
        <v>0</v>
      </c>
      <c r="O251" s="46">
        <f t="shared" si="3"/>
        <v>52</v>
      </c>
    </row>
    <row r="252" spans="3:15" x14ac:dyDescent="0.25">
      <c r="C252" s="28"/>
      <c r="D252" s="20"/>
      <c r="E252" s="4"/>
      <c r="F252" s="37"/>
      <c r="G252" s="24"/>
      <c r="H252" s="51">
        <f>Assumptions!$D$15</f>
        <v>0.1</v>
      </c>
      <c r="I252" s="45">
        <f>IF(AR[[#This Row],[GST applies?]] = "Yes", (AR[[#This Row],[Invoice value inc. VAT]] / 1 + AR[[#This Row],[GST %]]) * AR[[#This Row],[GST %]], 0)</f>
        <v>0</v>
      </c>
      <c r="J252" s="31">
        <f>_xlfn.XLOOKUP(AR[[#This Row],[Customer name]], Customer_master[Customer name], Customer_master[EOM or Net], 0)</f>
        <v>0</v>
      </c>
      <c r="K252" s="31">
        <f>_xlfn.XLOOKUP(AR[[#This Row],[Customer name]], Customer_master[Customer name], Customer_master[Terms days], 0)</f>
        <v>0</v>
      </c>
      <c r="L2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2" s="4"/>
      <c r="N252" s="46">
        <f>IF(AR[[#This Row],[Collection date - override (dd/mm/yyyy)]] &lt;&gt; "", AR[[#This Row],[Collection date - override (dd/mm/yyyy)]], AR[[#This Row],[Due date (dd/mm/yyyy)]])</f>
        <v>0</v>
      </c>
      <c r="O252" s="46">
        <f t="shared" si="3"/>
        <v>52</v>
      </c>
    </row>
    <row r="253" spans="3:15" x14ac:dyDescent="0.25">
      <c r="C253" s="28"/>
      <c r="D253" s="20"/>
      <c r="E253" s="4"/>
      <c r="F253" s="37"/>
      <c r="G253" s="24"/>
      <c r="H253" s="51">
        <f>Assumptions!$D$15</f>
        <v>0.1</v>
      </c>
      <c r="I253" s="45">
        <f>IF(AR[[#This Row],[GST applies?]] = "Yes", (AR[[#This Row],[Invoice value inc. VAT]] / 1 + AR[[#This Row],[GST %]]) * AR[[#This Row],[GST %]], 0)</f>
        <v>0</v>
      </c>
      <c r="J253" s="31">
        <f>_xlfn.XLOOKUP(AR[[#This Row],[Customer name]], Customer_master[Customer name], Customer_master[EOM or Net], 0)</f>
        <v>0</v>
      </c>
      <c r="K253" s="31">
        <f>_xlfn.XLOOKUP(AR[[#This Row],[Customer name]], Customer_master[Customer name], Customer_master[Terms days], 0)</f>
        <v>0</v>
      </c>
      <c r="L2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3" s="4"/>
      <c r="N253" s="46">
        <f>IF(AR[[#This Row],[Collection date - override (dd/mm/yyyy)]] &lt;&gt; "", AR[[#This Row],[Collection date - override (dd/mm/yyyy)]], AR[[#This Row],[Due date (dd/mm/yyyy)]])</f>
        <v>0</v>
      </c>
      <c r="O253" s="46">
        <f t="shared" si="3"/>
        <v>52</v>
      </c>
    </row>
    <row r="254" spans="3:15" x14ac:dyDescent="0.25">
      <c r="C254" s="28"/>
      <c r="D254" s="20"/>
      <c r="E254" s="4"/>
      <c r="F254" s="37"/>
      <c r="G254" s="24"/>
      <c r="H254" s="51">
        <f>Assumptions!$D$15</f>
        <v>0.1</v>
      </c>
      <c r="I254" s="45">
        <f>IF(AR[[#This Row],[GST applies?]] = "Yes", (AR[[#This Row],[Invoice value inc. VAT]] / 1 + AR[[#This Row],[GST %]]) * AR[[#This Row],[GST %]], 0)</f>
        <v>0</v>
      </c>
      <c r="J254" s="31">
        <f>_xlfn.XLOOKUP(AR[[#This Row],[Customer name]], Customer_master[Customer name], Customer_master[EOM or Net], 0)</f>
        <v>0</v>
      </c>
      <c r="K254" s="31">
        <f>_xlfn.XLOOKUP(AR[[#This Row],[Customer name]], Customer_master[Customer name], Customer_master[Terms days], 0)</f>
        <v>0</v>
      </c>
      <c r="L2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4" s="4"/>
      <c r="N254" s="46">
        <f>IF(AR[[#This Row],[Collection date - override (dd/mm/yyyy)]] &lt;&gt; "", AR[[#This Row],[Collection date - override (dd/mm/yyyy)]], AR[[#This Row],[Due date (dd/mm/yyyy)]])</f>
        <v>0</v>
      </c>
      <c r="O254" s="46">
        <f t="shared" si="3"/>
        <v>52</v>
      </c>
    </row>
    <row r="255" spans="3:15" x14ac:dyDescent="0.25">
      <c r="C255" s="28"/>
      <c r="D255" s="20"/>
      <c r="E255" s="4"/>
      <c r="F255" s="37"/>
      <c r="G255" s="24"/>
      <c r="H255" s="51">
        <f>Assumptions!$D$15</f>
        <v>0.1</v>
      </c>
      <c r="I255" s="45">
        <f>IF(AR[[#This Row],[GST applies?]] = "Yes", (AR[[#This Row],[Invoice value inc. VAT]] / 1 + AR[[#This Row],[GST %]]) * AR[[#This Row],[GST %]], 0)</f>
        <v>0</v>
      </c>
      <c r="J255" s="31">
        <f>_xlfn.XLOOKUP(AR[[#This Row],[Customer name]], Customer_master[Customer name], Customer_master[EOM or Net], 0)</f>
        <v>0</v>
      </c>
      <c r="K255" s="31">
        <f>_xlfn.XLOOKUP(AR[[#This Row],[Customer name]], Customer_master[Customer name], Customer_master[Terms days], 0)</f>
        <v>0</v>
      </c>
      <c r="L2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5" s="4"/>
      <c r="N255" s="46">
        <f>IF(AR[[#This Row],[Collection date - override (dd/mm/yyyy)]] &lt;&gt; "", AR[[#This Row],[Collection date - override (dd/mm/yyyy)]], AR[[#This Row],[Due date (dd/mm/yyyy)]])</f>
        <v>0</v>
      </c>
      <c r="O255" s="46">
        <f t="shared" si="3"/>
        <v>52</v>
      </c>
    </row>
    <row r="256" spans="3:15" x14ac:dyDescent="0.25">
      <c r="C256" s="28"/>
      <c r="D256" s="20"/>
      <c r="E256" s="4"/>
      <c r="F256" s="37"/>
      <c r="G256" s="24"/>
      <c r="H256" s="51">
        <f>Assumptions!$D$15</f>
        <v>0.1</v>
      </c>
      <c r="I256" s="45">
        <f>IF(AR[[#This Row],[GST applies?]] = "Yes", (AR[[#This Row],[Invoice value inc. VAT]] / 1 + AR[[#This Row],[GST %]]) * AR[[#This Row],[GST %]], 0)</f>
        <v>0</v>
      </c>
      <c r="J256" s="31">
        <f>_xlfn.XLOOKUP(AR[[#This Row],[Customer name]], Customer_master[Customer name], Customer_master[EOM or Net], 0)</f>
        <v>0</v>
      </c>
      <c r="K256" s="31">
        <f>_xlfn.XLOOKUP(AR[[#This Row],[Customer name]], Customer_master[Customer name], Customer_master[Terms days], 0)</f>
        <v>0</v>
      </c>
      <c r="L2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6" s="4"/>
      <c r="N256" s="46">
        <f>IF(AR[[#This Row],[Collection date - override (dd/mm/yyyy)]] &lt;&gt; "", AR[[#This Row],[Collection date - override (dd/mm/yyyy)]], AR[[#This Row],[Due date (dd/mm/yyyy)]])</f>
        <v>0</v>
      </c>
      <c r="O256" s="46">
        <f t="shared" si="3"/>
        <v>52</v>
      </c>
    </row>
    <row r="257" spans="3:15" x14ac:dyDescent="0.25">
      <c r="C257" s="28"/>
      <c r="D257" s="20"/>
      <c r="E257" s="4"/>
      <c r="F257" s="37"/>
      <c r="G257" s="24"/>
      <c r="H257" s="51">
        <f>Assumptions!$D$15</f>
        <v>0.1</v>
      </c>
      <c r="I257" s="45">
        <f>IF(AR[[#This Row],[GST applies?]] = "Yes", (AR[[#This Row],[Invoice value inc. VAT]] / 1 + AR[[#This Row],[GST %]]) * AR[[#This Row],[GST %]], 0)</f>
        <v>0</v>
      </c>
      <c r="J257" s="31">
        <f>_xlfn.XLOOKUP(AR[[#This Row],[Customer name]], Customer_master[Customer name], Customer_master[EOM or Net], 0)</f>
        <v>0</v>
      </c>
      <c r="K257" s="31">
        <f>_xlfn.XLOOKUP(AR[[#This Row],[Customer name]], Customer_master[Customer name], Customer_master[Terms days], 0)</f>
        <v>0</v>
      </c>
      <c r="L2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7" s="4"/>
      <c r="N257" s="46">
        <f>IF(AR[[#This Row],[Collection date - override (dd/mm/yyyy)]] &lt;&gt; "", AR[[#This Row],[Collection date - override (dd/mm/yyyy)]], AR[[#This Row],[Due date (dd/mm/yyyy)]])</f>
        <v>0</v>
      </c>
      <c r="O257" s="46">
        <f t="shared" si="3"/>
        <v>52</v>
      </c>
    </row>
    <row r="258" spans="3:15" x14ac:dyDescent="0.25">
      <c r="C258" s="28"/>
      <c r="D258" s="20"/>
      <c r="E258" s="4"/>
      <c r="F258" s="37"/>
      <c r="G258" s="24"/>
      <c r="H258" s="51">
        <f>Assumptions!$D$15</f>
        <v>0.1</v>
      </c>
      <c r="I258" s="45">
        <f>IF(AR[[#This Row],[GST applies?]] = "Yes", (AR[[#This Row],[Invoice value inc. VAT]] / 1 + AR[[#This Row],[GST %]]) * AR[[#This Row],[GST %]], 0)</f>
        <v>0</v>
      </c>
      <c r="J258" s="31">
        <f>_xlfn.XLOOKUP(AR[[#This Row],[Customer name]], Customer_master[Customer name], Customer_master[EOM or Net], 0)</f>
        <v>0</v>
      </c>
      <c r="K258" s="31">
        <f>_xlfn.XLOOKUP(AR[[#This Row],[Customer name]], Customer_master[Customer name], Customer_master[Terms days], 0)</f>
        <v>0</v>
      </c>
      <c r="L2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8" s="4"/>
      <c r="N258" s="46">
        <f>IF(AR[[#This Row],[Collection date - override (dd/mm/yyyy)]] &lt;&gt; "", AR[[#This Row],[Collection date - override (dd/mm/yyyy)]], AR[[#This Row],[Due date (dd/mm/yyyy)]])</f>
        <v>0</v>
      </c>
      <c r="O258" s="46">
        <f t="shared" si="3"/>
        <v>52</v>
      </c>
    </row>
    <row r="259" spans="3:15" x14ac:dyDescent="0.25">
      <c r="C259" s="28"/>
      <c r="D259" s="20"/>
      <c r="E259" s="4"/>
      <c r="F259" s="37"/>
      <c r="G259" s="24"/>
      <c r="H259" s="51">
        <f>Assumptions!$D$15</f>
        <v>0.1</v>
      </c>
      <c r="I259" s="45">
        <f>IF(AR[[#This Row],[GST applies?]] = "Yes", (AR[[#This Row],[Invoice value inc. VAT]] / 1 + AR[[#This Row],[GST %]]) * AR[[#This Row],[GST %]], 0)</f>
        <v>0</v>
      </c>
      <c r="J259" s="31">
        <f>_xlfn.XLOOKUP(AR[[#This Row],[Customer name]], Customer_master[Customer name], Customer_master[EOM or Net], 0)</f>
        <v>0</v>
      </c>
      <c r="K259" s="31">
        <f>_xlfn.XLOOKUP(AR[[#This Row],[Customer name]], Customer_master[Customer name], Customer_master[Terms days], 0)</f>
        <v>0</v>
      </c>
      <c r="L2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9" s="4"/>
      <c r="N259" s="46">
        <f>IF(AR[[#This Row],[Collection date - override (dd/mm/yyyy)]] &lt;&gt; "", AR[[#This Row],[Collection date - override (dd/mm/yyyy)]], AR[[#This Row],[Due date (dd/mm/yyyy)]])</f>
        <v>0</v>
      </c>
      <c r="O259" s="46">
        <f t="shared" si="3"/>
        <v>52</v>
      </c>
    </row>
    <row r="260" spans="3:15" x14ac:dyDescent="0.25">
      <c r="C260" s="28"/>
      <c r="D260" s="20"/>
      <c r="E260" s="4"/>
      <c r="F260" s="37"/>
      <c r="G260" s="24"/>
      <c r="H260" s="51">
        <f>Assumptions!$D$15</f>
        <v>0.1</v>
      </c>
      <c r="I260" s="45">
        <f>IF(AR[[#This Row],[GST applies?]] = "Yes", (AR[[#This Row],[Invoice value inc. VAT]] / 1 + AR[[#This Row],[GST %]]) * AR[[#This Row],[GST %]], 0)</f>
        <v>0</v>
      </c>
      <c r="J260" s="31">
        <f>_xlfn.XLOOKUP(AR[[#This Row],[Customer name]], Customer_master[Customer name], Customer_master[EOM or Net], 0)</f>
        <v>0</v>
      </c>
      <c r="K260" s="31">
        <f>_xlfn.XLOOKUP(AR[[#This Row],[Customer name]], Customer_master[Customer name], Customer_master[Terms days], 0)</f>
        <v>0</v>
      </c>
      <c r="L2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0" s="4"/>
      <c r="N260" s="46">
        <f>IF(AR[[#This Row],[Collection date - override (dd/mm/yyyy)]] &lt;&gt; "", AR[[#This Row],[Collection date - override (dd/mm/yyyy)]], AR[[#This Row],[Due date (dd/mm/yyyy)]])</f>
        <v>0</v>
      </c>
      <c r="O260" s="46">
        <f t="shared" si="3"/>
        <v>52</v>
      </c>
    </row>
    <row r="261" spans="3:15" x14ac:dyDescent="0.25">
      <c r="C261" s="28"/>
      <c r="D261" s="20"/>
      <c r="E261" s="4"/>
      <c r="F261" s="37"/>
      <c r="G261" s="24"/>
      <c r="H261" s="51">
        <f>Assumptions!$D$15</f>
        <v>0.1</v>
      </c>
      <c r="I261" s="45">
        <f>IF(AR[[#This Row],[GST applies?]] = "Yes", (AR[[#This Row],[Invoice value inc. VAT]] / 1 + AR[[#This Row],[GST %]]) * AR[[#This Row],[GST %]], 0)</f>
        <v>0</v>
      </c>
      <c r="J261" s="31">
        <f>_xlfn.XLOOKUP(AR[[#This Row],[Customer name]], Customer_master[Customer name], Customer_master[EOM or Net], 0)</f>
        <v>0</v>
      </c>
      <c r="K261" s="31">
        <f>_xlfn.XLOOKUP(AR[[#This Row],[Customer name]], Customer_master[Customer name], Customer_master[Terms days], 0)</f>
        <v>0</v>
      </c>
      <c r="L2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1" s="4"/>
      <c r="N261" s="46">
        <f>IF(AR[[#This Row],[Collection date - override (dd/mm/yyyy)]] &lt;&gt; "", AR[[#This Row],[Collection date - override (dd/mm/yyyy)]], AR[[#This Row],[Due date (dd/mm/yyyy)]])</f>
        <v>0</v>
      </c>
      <c r="O261" s="46">
        <f t="shared" si="3"/>
        <v>52</v>
      </c>
    </row>
    <row r="262" spans="3:15" x14ac:dyDescent="0.25">
      <c r="C262" s="28"/>
      <c r="D262" s="20"/>
      <c r="E262" s="4"/>
      <c r="F262" s="37"/>
      <c r="G262" s="24"/>
      <c r="H262" s="51">
        <f>Assumptions!$D$15</f>
        <v>0.1</v>
      </c>
      <c r="I262" s="45">
        <f>IF(AR[[#This Row],[GST applies?]] = "Yes", (AR[[#This Row],[Invoice value inc. VAT]] / 1 + AR[[#This Row],[GST %]]) * AR[[#This Row],[GST %]], 0)</f>
        <v>0</v>
      </c>
      <c r="J262" s="31">
        <f>_xlfn.XLOOKUP(AR[[#This Row],[Customer name]], Customer_master[Customer name], Customer_master[EOM or Net], 0)</f>
        <v>0</v>
      </c>
      <c r="K262" s="31">
        <f>_xlfn.XLOOKUP(AR[[#This Row],[Customer name]], Customer_master[Customer name], Customer_master[Terms days], 0)</f>
        <v>0</v>
      </c>
      <c r="L2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2" s="4"/>
      <c r="N262" s="46">
        <f>IF(AR[[#This Row],[Collection date - override (dd/mm/yyyy)]] &lt;&gt; "", AR[[#This Row],[Collection date - override (dd/mm/yyyy)]], AR[[#This Row],[Due date (dd/mm/yyyy)]])</f>
        <v>0</v>
      </c>
      <c r="O262" s="46">
        <f t="shared" si="3"/>
        <v>52</v>
      </c>
    </row>
    <row r="263" spans="3:15" x14ac:dyDescent="0.25">
      <c r="C263" s="28"/>
      <c r="D263" s="20"/>
      <c r="E263" s="4"/>
      <c r="F263" s="37"/>
      <c r="G263" s="24"/>
      <c r="H263" s="51">
        <f>Assumptions!$D$15</f>
        <v>0.1</v>
      </c>
      <c r="I263" s="45">
        <f>IF(AR[[#This Row],[GST applies?]] = "Yes", (AR[[#This Row],[Invoice value inc. VAT]] / 1 + AR[[#This Row],[GST %]]) * AR[[#This Row],[GST %]], 0)</f>
        <v>0</v>
      </c>
      <c r="J263" s="31">
        <f>_xlfn.XLOOKUP(AR[[#This Row],[Customer name]], Customer_master[Customer name], Customer_master[EOM or Net], 0)</f>
        <v>0</v>
      </c>
      <c r="K263" s="31">
        <f>_xlfn.XLOOKUP(AR[[#This Row],[Customer name]], Customer_master[Customer name], Customer_master[Terms days], 0)</f>
        <v>0</v>
      </c>
      <c r="L2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3" s="4"/>
      <c r="N263" s="46">
        <f>IF(AR[[#This Row],[Collection date - override (dd/mm/yyyy)]] &lt;&gt; "", AR[[#This Row],[Collection date - override (dd/mm/yyyy)]], AR[[#This Row],[Due date (dd/mm/yyyy)]])</f>
        <v>0</v>
      </c>
      <c r="O263" s="46">
        <f t="shared" si="3"/>
        <v>52</v>
      </c>
    </row>
    <row r="264" spans="3:15" x14ac:dyDescent="0.25">
      <c r="C264" s="28"/>
      <c r="D264" s="20"/>
      <c r="E264" s="4"/>
      <c r="F264" s="37"/>
      <c r="G264" s="24"/>
      <c r="H264" s="51">
        <f>Assumptions!$D$15</f>
        <v>0.1</v>
      </c>
      <c r="I264" s="45">
        <f>IF(AR[[#This Row],[GST applies?]] = "Yes", (AR[[#This Row],[Invoice value inc. VAT]] / 1 + AR[[#This Row],[GST %]]) * AR[[#This Row],[GST %]], 0)</f>
        <v>0</v>
      </c>
      <c r="J264" s="31">
        <f>_xlfn.XLOOKUP(AR[[#This Row],[Customer name]], Customer_master[Customer name], Customer_master[EOM or Net], 0)</f>
        <v>0</v>
      </c>
      <c r="K264" s="31">
        <f>_xlfn.XLOOKUP(AR[[#This Row],[Customer name]], Customer_master[Customer name], Customer_master[Terms days], 0)</f>
        <v>0</v>
      </c>
      <c r="L2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4" s="4"/>
      <c r="N264" s="46">
        <f>IF(AR[[#This Row],[Collection date - override (dd/mm/yyyy)]] &lt;&gt; "", AR[[#This Row],[Collection date - override (dd/mm/yyyy)]], AR[[#This Row],[Due date (dd/mm/yyyy)]])</f>
        <v>0</v>
      </c>
      <c r="O264" s="46">
        <f t="shared" si="3"/>
        <v>52</v>
      </c>
    </row>
    <row r="265" spans="3:15" x14ac:dyDescent="0.25">
      <c r="C265" s="28"/>
      <c r="D265" s="20"/>
      <c r="E265" s="4"/>
      <c r="F265" s="37"/>
      <c r="G265" s="24"/>
      <c r="H265" s="51">
        <f>Assumptions!$D$15</f>
        <v>0.1</v>
      </c>
      <c r="I265" s="45">
        <f>IF(AR[[#This Row],[GST applies?]] = "Yes", (AR[[#This Row],[Invoice value inc. VAT]] / 1 + AR[[#This Row],[GST %]]) * AR[[#This Row],[GST %]], 0)</f>
        <v>0</v>
      </c>
      <c r="J265" s="31">
        <f>_xlfn.XLOOKUP(AR[[#This Row],[Customer name]], Customer_master[Customer name], Customer_master[EOM or Net], 0)</f>
        <v>0</v>
      </c>
      <c r="K265" s="31">
        <f>_xlfn.XLOOKUP(AR[[#This Row],[Customer name]], Customer_master[Customer name], Customer_master[Terms days], 0)</f>
        <v>0</v>
      </c>
      <c r="L2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5" s="4"/>
      <c r="N265" s="46">
        <f>IF(AR[[#This Row],[Collection date - override (dd/mm/yyyy)]] &lt;&gt; "", AR[[#This Row],[Collection date - override (dd/mm/yyyy)]], AR[[#This Row],[Due date (dd/mm/yyyy)]])</f>
        <v>0</v>
      </c>
      <c r="O265" s="46">
        <f t="shared" ref="O265:O328" si="4">IF(GST_Freq="Monthly",
    DATE(YEAR(E265), MONTH(E265) + 1, 21),
    IF(GST_Freq="Quarterly",
        IF(MOD(MONTH(E265) + 2 - MOD(MOD(MONTH(E265) - GST_First_Month, 12), 3), 12) = 0,
            DATE(YEAR(E265), MONTH(E265) + 4 - MOD(MOD(MONTH(E265) - GST_First_Month, 12), 3), 28),
            DATE(YEAR(E265), MONTH(E265) + 3 - MOD(MOD(MONTH(E265) - GST_First_Month, 12), 3), 28)
        ),
        "Invalid frequency"
    )
)</f>
        <v>52</v>
      </c>
    </row>
    <row r="266" spans="3:15" x14ac:dyDescent="0.25">
      <c r="C266" s="28"/>
      <c r="D266" s="20"/>
      <c r="E266" s="4"/>
      <c r="F266" s="37"/>
      <c r="G266" s="24"/>
      <c r="H266" s="51">
        <f>Assumptions!$D$15</f>
        <v>0.1</v>
      </c>
      <c r="I266" s="45">
        <f>IF(AR[[#This Row],[GST applies?]] = "Yes", (AR[[#This Row],[Invoice value inc. VAT]] / 1 + AR[[#This Row],[GST %]]) * AR[[#This Row],[GST %]], 0)</f>
        <v>0</v>
      </c>
      <c r="J266" s="31">
        <f>_xlfn.XLOOKUP(AR[[#This Row],[Customer name]], Customer_master[Customer name], Customer_master[EOM or Net], 0)</f>
        <v>0</v>
      </c>
      <c r="K266" s="31">
        <f>_xlfn.XLOOKUP(AR[[#This Row],[Customer name]], Customer_master[Customer name], Customer_master[Terms days], 0)</f>
        <v>0</v>
      </c>
      <c r="L2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6" s="4"/>
      <c r="N266" s="46">
        <f>IF(AR[[#This Row],[Collection date - override (dd/mm/yyyy)]] &lt;&gt; "", AR[[#This Row],[Collection date - override (dd/mm/yyyy)]], AR[[#This Row],[Due date (dd/mm/yyyy)]])</f>
        <v>0</v>
      </c>
      <c r="O266" s="46">
        <f t="shared" si="4"/>
        <v>52</v>
      </c>
    </row>
    <row r="267" spans="3:15" x14ac:dyDescent="0.25">
      <c r="C267" s="28"/>
      <c r="D267" s="20"/>
      <c r="E267" s="4"/>
      <c r="F267" s="37"/>
      <c r="G267" s="24"/>
      <c r="H267" s="51">
        <f>Assumptions!$D$15</f>
        <v>0.1</v>
      </c>
      <c r="I267" s="45">
        <f>IF(AR[[#This Row],[GST applies?]] = "Yes", (AR[[#This Row],[Invoice value inc. VAT]] / 1 + AR[[#This Row],[GST %]]) * AR[[#This Row],[GST %]], 0)</f>
        <v>0</v>
      </c>
      <c r="J267" s="31">
        <f>_xlfn.XLOOKUP(AR[[#This Row],[Customer name]], Customer_master[Customer name], Customer_master[EOM or Net], 0)</f>
        <v>0</v>
      </c>
      <c r="K267" s="31">
        <f>_xlfn.XLOOKUP(AR[[#This Row],[Customer name]], Customer_master[Customer name], Customer_master[Terms days], 0)</f>
        <v>0</v>
      </c>
      <c r="L2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7" s="4"/>
      <c r="N267" s="46">
        <f>IF(AR[[#This Row],[Collection date - override (dd/mm/yyyy)]] &lt;&gt; "", AR[[#This Row],[Collection date - override (dd/mm/yyyy)]], AR[[#This Row],[Due date (dd/mm/yyyy)]])</f>
        <v>0</v>
      </c>
      <c r="O267" s="46">
        <f t="shared" si="4"/>
        <v>52</v>
      </c>
    </row>
    <row r="268" spans="3:15" x14ac:dyDescent="0.25">
      <c r="C268" s="28"/>
      <c r="D268" s="20"/>
      <c r="E268" s="4"/>
      <c r="F268" s="37"/>
      <c r="G268" s="24"/>
      <c r="H268" s="51">
        <f>Assumptions!$D$15</f>
        <v>0.1</v>
      </c>
      <c r="I268" s="45">
        <f>IF(AR[[#This Row],[GST applies?]] = "Yes", (AR[[#This Row],[Invoice value inc. VAT]] / 1 + AR[[#This Row],[GST %]]) * AR[[#This Row],[GST %]], 0)</f>
        <v>0</v>
      </c>
      <c r="J268" s="31">
        <f>_xlfn.XLOOKUP(AR[[#This Row],[Customer name]], Customer_master[Customer name], Customer_master[EOM or Net], 0)</f>
        <v>0</v>
      </c>
      <c r="K268" s="31">
        <f>_xlfn.XLOOKUP(AR[[#This Row],[Customer name]], Customer_master[Customer name], Customer_master[Terms days], 0)</f>
        <v>0</v>
      </c>
      <c r="L2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8" s="4"/>
      <c r="N268" s="46">
        <f>IF(AR[[#This Row],[Collection date - override (dd/mm/yyyy)]] &lt;&gt; "", AR[[#This Row],[Collection date - override (dd/mm/yyyy)]], AR[[#This Row],[Due date (dd/mm/yyyy)]])</f>
        <v>0</v>
      </c>
      <c r="O268" s="46">
        <f t="shared" si="4"/>
        <v>52</v>
      </c>
    </row>
    <row r="269" spans="3:15" x14ac:dyDescent="0.25">
      <c r="C269" s="28"/>
      <c r="D269" s="20"/>
      <c r="E269" s="4"/>
      <c r="F269" s="37"/>
      <c r="G269" s="24"/>
      <c r="H269" s="51">
        <f>Assumptions!$D$15</f>
        <v>0.1</v>
      </c>
      <c r="I269" s="45">
        <f>IF(AR[[#This Row],[GST applies?]] = "Yes", (AR[[#This Row],[Invoice value inc. VAT]] / 1 + AR[[#This Row],[GST %]]) * AR[[#This Row],[GST %]], 0)</f>
        <v>0</v>
      </c>
      <c r="J269" s="31">
        <f>_xlfn.XLOOKUP(AR[[#This Row],[Customer name]], Customer_master[Customer name], Customer_master[EOM or Net], 0)</f>
        <v>0</v>
      </c>
      <c r="K269" s="31">
        <f>_xlfn.XLOOKUP(AR[[#This Row],[Customer name]], Customer_master[Customer name], Customer_master[Terms days], 0)</f>
        <v>0</v>
      </c>
      <c r="L2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9" s="4"/>
      <c r="N269" s="46">
        <f>IF(AR[[#This Row],[Collection date - override (dd/mm/yyyy)]] &lt;&gt; "", AR[[#This Row],[Collection date - override (dd/mm/yyyy)]], AR[[#This Row],[Due date (dd/mm/yyyy)]])</f>
        <v>0</v>
      </c>
      <c r="O269" s="46">
        <f t="shared" si="4"/>
        <v>52</v>
      </c>
    </row>
    <row r="270" spans="3:15" x14ac:dyDescent="0.25">
      <c r="C270" s="28"/>
      <c r="D270" s="20"/>
      <c r="E270" s="4"/>
      <c r="F270" s="37"/>
      <c r="G270" s="24"/>
      <c r="H270" s="51">
        <f>Assumptions!$D$15</f>
        <v>0.1</v>
      </c>
      <c r="I270" s="45">
        <f>IF(AR[[#This Row],[GST applies?]] = "Yes", (AR[[#This Row],[Invoice value inc. VAT]] / 1 + AR[[#This Row],[GST %]]) * AR[[#This Row],[GST %]], 0)</f>
        <v>0</v>
      </c>
      <c r="J270" s="31">
        <f>_xlfn.XLOOKUP(AR[[#This Row],[Customer name]], Customer_master[Customer name], Customer_master[EOM or Net], 0)</f>
        <v>0</v>
      </c>
      <c r="K270" s="31">
        <f>_xlfn.XLOOKUP(AR[[#This Row],[Customer name]], Customer_master[Customer name], Customer_master[Terms days], 0)</f>
        <v>0</v>
      </c>
      <c r="L2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0" s="4"/>
      <c r="N270" s="46">
        <f>IF(AR[[#This Row],[Collection date - override (dd/mm/yyyy)]] &lt;&gt; "", AR[[#This Row],[Collection date - override (dd/mm/yyyy)]], AR[[#This Row],[Due date (dd/mm/yyyy)]])</f>
        <v>0</v>
      </c>
      <c r="O270" s="46">
        <f t="shared" si="4"/>
        <v>52</v>
      </c>
    </row>
    <row r="271" spans="3:15" x14ac:dyDescent="0.25">
      <c r="C271" s="28"/>
      <c r="D271" s="20"/>
      <c r="E271" s="4"/>
      <c r="F271" s="37"/>
      <c r="G271" s="24"/>
      <c r="H271" s="51">
        <f>Assumptions!$D$15</f>
        <v>0.1</v>
      </c>
      <c r="I271" s="45">
        <f>IF(AR[[#This Row],[GST applies?]] = "Yes", (AR[[#This Row],[Invoice value inc. VAT]] / 1 + AR[[#This Row],[GST %]]) * AR[[#This Row],[GST %]], 0)</f>
        <v>0</v>
      </c>
      <c r="J271" s="31">
        <f>_xlfn.XLOOKUP(AR[[#This Row],[Customer name]], Customer_master[Customer name], Customer_master[EOM or Net], 0)</f>
        <v>0</v>
      </c>
      <c r="K271" s="31">
        <f>_xlfn.XLOOKUP(AR[[#This Row],[Customer name]], Customer_master[Customer name], Customer_master[Terms days], 0)</f>
        <v>0</v>
      </c>
      <c r="L2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1" s="4"/>
      <c r="N271" s="46">
        <f>IF(AR[[#This Row],[Collection date - override (dd/mm/yyyy)]] &lt;&gt; "", AR[[#This Row],[Collection date - override (dd/mm/yyyy)]], AR[[#This Row],[Due date (dd/mm/yyyy)]])</f>
        <v>0</v>
      </c>
      <c r="O271" s="46">
        <f t="shared" si="4"/>
        <v>52</v>
      </c>
    </row>
    <row r="272" spans="3:15" x14ac:dyDescent="0.25">
      <c r="C272" s="28"/>
      <c r="D272" s="20"/>
      <c r="E272" s="4"/>
      <c r="F272" s="37"/>
      <c r="G272" s="24"/>
      <c r="H272" s="51">
        <f>Assumptions!$D$15</f>
        <v>0.1</v>
      </c>
      <c r="I272" s="45">
        <f>IF(AR[[#This Row],[GST applies?]] = "Yes", (AR[[#This Row],[Invoice value inc. VAT]] / 1 + AR[[#This Row],[GST %]]) * AR[[#This Row],[GST %]], 0)</f>
        <v>0</v>
      </c>
      <c r="J272" s="31">
        <f>_xlfn.XLOOKUP(AR[[#This Row],[Customer name]], Customer_master[Customer name], Customer_master[EOM or Net], 0)</f>
        <v>0</v>
      </c>
      <c r="K272" s="31">
        <f>_xlfn.XLOOKUP(AR[[#This Row],[Customer name]], Customer_master[Customer name], Customer_master[Terms days], 0)</f>
        <v>0</v>
      </c>
      <c r="L2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2" s="4"/>
      <c r="N272" s="46">
        <f>IF(AR[[#This Row],[Collection date - override (dd/mm/yyyy)]] &lt;&gt; "", AR[[#This Row],[Collection date - override (dd/mm/yyyy)]], AR[[#This Row],[Due date (dd/mm/yyyy)]])</f>
        <v>0</v>
      </c>
      <c r="O272" s="46">
        <f t="shared" si="4"/>
        <v>52</v>
      </c>
    </row>
    <row r="273" spans="3:15" x14ac:dyDescent="0.25">
      <c r="C273" s="28"/>
      <c r="D273" s="20"/>
      <c r="E273" s="4"/>
      <c r="F273" s="37"/>
      <c r="G273" s="24"/>
      <c r="H273" s="51">
        <f>Assumptions!$D$15</f>
        <v>0.1</v>
      </c>
      <c r="I273" s="45">
        <f>IF(AR[[#This Row],[GST applies?]] = "Yes", (AR[[#This Row],[Invoice value inc. VAT]] / 1 + AR[[#This Row],[GST %]]) * AR[[#This Row],[GST %]], 0)</f>
        <v>0</v>
      </c>
      <c r="J273" s="31">
        <f>_xlfn.XLOOKUP(AR[[#This Row],[Customer name]], Customer_master[Customer name], Customer_master[EOM or Net], 0)</f>
        <v>0</v>
      </c>
      <c r="K273" s="31">
        <f>_xlfn.XLOOKUP(AR[[#This Row],[Customer name]], Customer_master[Customer name], Customer_master[Terms days], 0)</f>
        <v>0</v>
      </c>
      <c r="L2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3" s="4"/>
      <c r="N273" s="46">
        <f>IF(AR[[#This Row],[Collection date - override (dd/mm/yyyy)]] &lt;&gt; "", AR[[#This Row],[Collection date - override (dd/mm/yyyy)]], AR[[#This Row],[Due date (dd/mm/yyyy)]])</f>
        <v>0</v>
      </c>
      <c r="O273" s="46">
        <f t="shared" si="4"/>
        <v>52</v>
      </c>
    </row>
    <row r="274" spans="3:15" x14ac:dyDescent="0.25">
      <c r="C274" s="28"/>
      <c r="D274" s="20"/>
      <c r="E274" s="4"/>
      <c r="F274" s="37"/>
      <c r="G274" s="24"/>
      <c r="H274" s="51">
        <f>Assumptions!$D$15</f>
        <v>0.1</v>
      </c>
      <c r="I274" s="45">
        <f>IF(AR[[#This Row],[GST applies?]] = "Yes", (AR[[#This Row],[Invoice value inc. VAT]] / 1 + AR[[#This Row],[GST %]]) * AR[[#This Row],[GST %]], 0)</f>
        <v>0</v>
      </c>
      <c r="J274" s="31">
        <f>_xlfn.XLOOKUP(AR[[#This Row],[Customer name]], Customer_master[Customer name], Customer_master[EOM or Net], 0)</f>
        <v>0</v>
      </c>
      <c r="K274" s="31">
        <f>_xlfn.XLOOKUP(AR[[#This Row],[Customer name]], Customer_master[Customer name], Customer_master[Terms days], 0)</f>
        <v>0</v>
      </c>
      <c r="L2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4" s="4"/>
      <c r="N274" s="46">
        <f>IF(AR[[#This Row],[Collection date - override (dd/mm/yyyy)]] &lt;&gt; "", AR[[#This Row],[Collection date - override (dd/mm/yyyy)]], AR[[#This Row],[Due date (dd/mm/yyyy)]])</f>
        <v>0</v>
      </c>
      <c r="O274" s="46">
        <f t="shared" si="4"/>
        <v>52</v>
      </c>
    </row>
    <row r="275" spans="3:15" x14ac:dyDescent="0.25">
      <c r="C275" s="28"/>
      <c r="D275" s="20"/>
      <c r="E275" s="4"/>
      <c r="F275" s="37"/>
      <c r="G275" s="24"/>
      <c r="H275" s="51">
        <f>Assumptions!$D$15</f>
        <v>0.1</v>
      </c>
      <c r="I275" s="45">
        <f>IF(AR[[#This Row],[GST applies?]] = "Yes", (AR[[#This Row],[Invoice value inc. VAT]] / 1 + AR[[#This Row],[GST %]]) * AR[[#This Row],[GST %]], 0)</f>
        <v>0</v>
      </c>
      <c r="J275" s="31">
        <f>_xlfn.XLOOKUP(AR[[#This Row],[Customer name]], Customer_master[Customer name], Customer_master[EOM or Net], 0)</f>
        <v>0</v>
      </c>
      <c r="K275" s="31">
        <f>_xlfn.XLOOKUP(AR[[#This Row],[Customer name]], Customer_master[Customer name], Customer_master[Terms days], 0)</f>
        <v>0</v>
      </c>
      <c r="L2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5" s="4"/>
      <c r="N275" s="46">
        <f>IF(AR[[#This Row],[Collection date - override (dd/mm/yyyy)]] &lt;&gt; "", AR[[#This Row],[Collection date - override (dd/mm/yyyy)]], AR[[#This Row],[Due date (dd/mm/yyyy)]])</f>
        <v>0</v>
      </c>
      <c r="O275" s="46">
        <f t="shared" si="4"/>
        <v>52</v>
      </c>
    </row>
    <row r="276" spans="3:15" x14ac:dyDescent="0.25">
      <c r="C276" s="28"/>
      <c r="D276" s="20"/>
      <c r="E276" s="4"/>
      <c r="F276" s="37"/>
      <c r="G276" s="24"/>
      <c r="H276" s="51">
        <f>Assumptions!$D$15</f>
        <v>0.1</v>
      </c>
      <c r="I276" s="45">
        <f>IF(AR[[#This Row],[GST applies?]] = "Yes", (AR[[#This Row],[Invoice value inc. VAT]] / 1 + AR[[#This Row],[GST %]]) * AR[[#This Row],[GST %]], 0)</f>
        <v>0</v>
      </c>
      <c r="J276" s="31">
        <f>_xlfn.XLOOKUP(AR[[#This Row],[Customer name]], Customer_master[Customer name], Customer_master[EOM or Net], 0)</f>
        <v>0</v>
      </c>
      <c r="K276" s="31">
        <f>_xlfn.XLOOKUP(AR[[#This Row],[Customer name]], Customer_master[Customer name], Customer_master[Terms days], 0)</f>
        <v>0</v>
      </c>
      <c r="L2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6" s="4"/>
      <c r="N276" s="46">
        <f>IF(AR[[#This Row],[Collection date - override (dd/mm/yyyy)]] &lt;&gt; "", AR[[#This Row],[Collection date - override (dd/mm/yyyy)]], AR[[#This Row],[Due date (dd/mm/yyyy)]])</f>
        <v>0</v>
      </c>
      <c r="O276" s="46">
        <f t="shared" si="4"/>
        <v>52</v>
      </c>
    </row>
    <row r="277" spans="3:15" x14ac:dyDescent="0.25">
      <c r="C277" s="28"/>
      <c r="D277" s="20"/>
      <c r="E277" s="4"/>
      <c r="F277" s="37"/>
      <c r="G277" s="24"/>
      <c r="H277" s="51">
        <f>Assumptions!$D$15</f>
        <v>0.1</v>
      </c>
      <c r="I277" s="45">
        <f>IF(AR[[#This Row],[GST applies?]] = "Yes", (AR[[#This Row],[Invoice value inc. VAT]] / 1 + AR[[#This Row],[GST %]]) * AR[[#This Row],[GST %]], 0)</f>
        <v>0</v>
      </c>
      <c r="J277" s="31">
        <f>_xlfn.XLOOKUP(AR[[#This Row],[Customer name]], Customer_master[Customer name], Customer_master[EOM or Net], 0)</f>
        <v>0</v>
      </c>
      <c r="K277" s="31">
        <f>_xlfn.XLOOKUP(AR[[#This Row],[Customer name]], Customer_master[Customer name], Customer_master[Terms days], 0)</f>
        <v>0</v>
      </c>
      <c r="L2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7" s="4"/>
      <c r="N277" s="46">
        <f>IF(AR[[#This Row],[Collection date - override (dd/mm/yyyy)]] &lt;&gt; "", AR[[#This Row],[Collection date - override (dd/mm/yyyy)]], AR[[#This Row],[Due date (dd/mm/yyyy)]])</f>
        <v>0</v>
      </c>
      <c r="O277" s="46">
        <f t="shared" si="4"/>
        <v>52</v>
      </c>
    </row>
    <row r="278" spans="3:15" x14ac:dyDescent="0.25">
      <c r="C278" s="28"/>
      <c r="D278" s="20"/>
      <c r="E278" s="4"/>
      <c r="F278" s="37"/>
      <c r="G278" s="24"/>
      <c r="H278" s="51">
        <f>Assumptions!$D$15</f>
        <v>0.1</v>
      </c>
      <c r="I278" s="45">
        <f>IF(AR[[#This Row],[GST applies?]] = "Yes", (AR[[#This Row],[Invoice value inc. VAT]] / 1 + AR[[#This Row],[GST %]]) * AR[[#This Row],[GST %]], 0)</f>
        <v>0</v>
      </c>
      <c r="J278" s="31">
        <f>_xlfn.XLOOKUP(AR[[#This Row],[Customer name]], Customer_master[Customer name], Customer_master[EOM or Net], 0)</f>
        <v>0</v>
      </c>
      <c r="K278" s="31">
        <f>_xlfn.XLOOKUP(AR[[#This Row],[Customer name]], Customer_master[Customer name], Customer_master[Terms days], 0)</f>
        <v>0</v>
      </c>
      <c r="L2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8" s="4"/>
      <c r="N278" s="46">
        <f>IF(AR[[#This Row],[Collection date - override (dd/mm/yyyy)]] &lt;&gt; "", AR[[#This Row],[Collection date - override (dd/mm/yyyy)]], AR[[#This Row],[Due date (dd/mm/yyyy)]])</f>
        <v>0</v>
      </c>
      <c r="O278" s="46">
        <f t="shared" si="4"/>
        <v>52</v>
      </c>
    </row>
    <row r="279" spans="3:15" x14ac:dyDescent="0.25">
      <c r="C279" s="28"/>
      <c r="D279" s="20"/>
      <c r="E279" s="4"/>
      <c r="F279" s="37"/>
      <c r="G279" s="24"/>
      <c r="H279" s="51">
        <f>Assumptions!$D$15</f>
        <v>0.1</v>
      </c>
      <c r="I279" s="45">
        <f>IF(AR[[#This Row],[GST applies?]] = "Yes", (AR[[#This Row],[Invoice value inc. VAT]] / 1 + AR[[#This Row],[GST %]]) * AR[[#This Row],[GST %]], 0)</f>
        <v>0</v>
      </c>
      <c r="J279" s="31">
        <f>_xlfn.XLOOKUP(AR[[#This Row],[Customer name]], Customer_master[Customer name], Customer_master[EOM or Net], 0)</f>
        <v>0</v>
      </c>
      <c r="K279" s="31">
        <f>_xlfn.XLOOKUP(AR[[#This Row],[Customer name]], Customer_master[Customer name], Customer_master[Terms days], 0)</f>
        <v>0</v>
      </c>
      <c r="L2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9" s="4"/>
      <c r="N279" s="46">
        <f>IF(AR[[#This Row],[Collection date - override (dd/mm/yyyy)]] &lt;&gt; "", AR[[#This Row],[Collection date - override (dd/mm/yyyy)]], AR[[#This Row],[Due date (dd/mm/yyyy)]])</f>
        <v>0</v>
      </c>
      <c r="O279" s="46">
        <f t="shared" si="4"/>
        <v>52</v>
      </c>
    </row>
    <row r="280" spans="3:15" x14ac:dyDescent="0.25">
      <c r="C280" s="28"/>
      <c r="D280" s="20"/>
      <c r="E280" s="4"/>
      <c r="F280" s="37"/>
      <c r="G280" s="24"/>
      <c r="H280" s="51">
        <f>Assumptions!$D$15</f>
        <v>0.1</v>
      </c>
      <c r="I280" s="45">
        <f>IF(AR[[#This Row],[GST applies?]] = "Yes", (AR[[#This Row],[Invoice value inc. VAT]] / 1 + AR[[#This Row],[GST %]]) * AR[[#This Row],[GST %]], 0)</f>
        <v>0</v>
      </c>
      <c r="J280" s="31">
        <f>_xlfn.XLOOKUP(AR[[#This Row],[Customer name]], Customer_master[Customer name], Customer_master[EOM or Net], 0)</f>
        <v>0</v>
      </c>
      <c r="K280" s="31">
        <f>_xlfn.XLOOKUP(AR[[#This Row],[Customer name]], Customer_master[Customer name], Customer_master[Terms days], 0)</f>
        <v>0</v>
      </c>
      <c r="L2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0" s="4"/>
      <c r="N280" s="46">
        <f>IF(AR[[#This Row],[Collection date - override (dd/mm/yyyy)]] &lt;&gt; "", AR[[#This Row],[Collection date - override (dd/mm/yyyy)]], AR[[#This Row],[Due date (dd/mm/yyyy)]])</f>
        <v>0</v>
      </c>
      <c r="O280" s="46">
        <f t="shared" si="4"/>
        <v>52</v>
      </c>
    </row>
    <row r="281" spans="3:15" x14ac:dyDescent="0.25">
      <c r="C281" s="28"/>
      <c r="D281" s="20"/>
      <c r="E281" s="4"/>
      <c r="F281" s="37"/>
      <c r="G281" s="24"/>
      <c r="H281" s="51">
        <f>Assumptions!$D$15</f>
        <v>0.1</v>
      </c>
      <c r="I281" s="45">
        <f>IF(AR[[#This Row],[GST applies?]] = "Yes", (AR[[#This Row],[Invoice value inc. VAT]] / 1 + AR[[#This Row],[GST %]]) * AR[[#This Row],[GST %]], 0)</f>
        <v>0</v>
      </c>
      <c r="J281" s="31">
        <f>_xlfn.XLOOKUP(AR[[#This Row],[Customer name]], Customer_master[Customer name], Customer_master[EOM or Net], 0)</f>
        <v>0</v>
      </c>
      <c r="K281" s="31">
        <f>_xlfn.XLOOKUP(AR[[#This Row],[Customer name]], Customer_master[Customer name], Customer_master[Terms days], 0)</f>
        <v>0</v>
      </c>
      <c r="L2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1" s="4"/>
      <c r="N281" s="46">
        <f>IF(AR[[#This Row],[Collection date - override (dd/mm/yyyy)]] &lt;&gt; "", AR[[#This Row],[Collection date - override (dd/mm/yyyy)]], AR[[#This Row],[Due date (dd/mm/yyyy)]])</f>
        <v>0</v>
      </c>
      <c r="O281" s="46">
        <f t="shared" si="4"/>
        <v>52</v>
      </c>
    </row>
    <row r="282" spans="3:15" x14ac:dyDescent="0.25">
      <c r="C282" s="28"/>
      <c r="D282" s="20"/>
      <c r="E282" s="4"/>
      <c r="F282" s="37"/>
      <c r="G282" s="24"/>
      <c r="H282" s="51">
        <f>Assumptions!$D$15</f>
        <v>0.1</v>
      </c>
      <c r="I282" s="45">
        <f>IF(AR[[#This Row],[GST applies?]] = "Yes", (AR[[#This Row],[Invoice value inc. VAT]] / 1 + AR[[#This Row],[GST %]]) * AR[[#This Row],[GST %]], 0)</f>
        <v>0</v>
      </c>
      <c r="J282" s="31">
        <f>_xlfn.XLOOKUP(AR[[#This Row],[Customer name]], Customer_master[Customer name], Customer_master[EOM or Net], 0)</f>
        <v>0</v>
      </c>
      <c r="K282" s="31">
        <f>_xlfn.XLOOKUP(AR[[#This Row],[Customer name]], Customer_master[Customer name], Customer_master[Terms days], 0)</f>
        <v>0</v>
      </c>
      <c r="L2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2" s="4"/>
      <c r="N282" s="46">
        <f>IF(AR[[#This Row],[Collection date - override (dd/mm/yyyy)]] &lt;&gt; "", AR[[#This Row],[Collection date - override (dd/mm/yyyy)]], AR[[#This Row],[Due date (dd/mm/yyyy)]])</f>
        <v>0</v>
      </c>
      <c r="O282" s="46">
        <f t="shared" si="4"/>
        <v>52</v>
      </c>
    </row>
    <row r="283" spans="3:15" x14ac:dyDescent="0.25">
      <c r="C283" s="28"/>
      <c r="D283" s="20"/>
      <c r="E283" s="4"/>
      <c r="F283" s="37"/>
      <c r="G283" s="24"/>
      <c r="H283" s="51">
        <f>Assumptions!$D$15</f>
        <v>0.1</v>
      </c>
      <c r="I283" s="45">
        <f>IF(AR[[#This Row],[GST applies?]] = "Yes", (AR[[#This Row],[Invoice value inc. VAT]] / 1 + AR[[#This Row],[GST %]]) * AR[[#This Row],[GST %]], 0)</f>
        <v>0</v>
      </c>
      <c r="J283" s="31">
        <f>_xlfn.XLOOKUP(AR[[#This Row],[Customer name]], Customer_master[Customer name], Customer_master[EOM or Net], 0)</f>
        <v>0</v>
      </c>
      <c r="K283" s="31">
        <f>_xlfn.XLOOKUP(AR[[#This Row],[Customer name]], Customer_master[Customer name], Customer_master[Terms days], 0)</f>
        <v>0</v>
      </c>
      <c r="L2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3" s="4"/>
      <c r="N283" s="46">
        <f>IF(AR[[#This Row],[Collection date - override (dd/mm/yyyy)]] &lt;&gt; "", AR[[#This Row],[Collection date - override (dd/mm/yyyy)]], AR[[#This Row],[Due date (dd/mm/yyyy)]])</f>
        <v>0</v>
      </c>
      <c r="O283" s="46">
        <f t="shared" si="4"/>
        <v>52</v>
      </c>
    </row>
    <row r="284" spans="3:15" x14ac:dyDescent="0.25">
      <c r="C284" s="28"/>
      <c r="D284" s="20"/>
      <c r="E284" s="4"/>
      <c r="F284" s="37"/>
      <c r="G284" s="24"/>
      <c r="H284" s="51">
        <f>Assumptions!$D$15</f>
        <v>0.1</v>
      </c>
      <c r="I284" s="45">
        <f>IF(AR[[#This Row],[GST applies?]] = "Yes", (AR[[#This Row],[Invoice value inc. VAT]] / 1 + AR[[#This Row],[GST %]]) * AR[[#This Row],[GST %]], 0)</f>
        <v>0</v>
      </c>
      <c r="J284" s="31">
        <f>_xlfn.XLOOKUP(AR[[#This Row],[Customer name]], Customer_master[Customer name], Customer_master[EOM or Net], 0)</f>
        <v>0</v>
      </c>
      <c r="K284" s="31">
        <f>_xlfn.XLOOKUP(AR[[#This Row],[Customer name]], Customer_master[Customer name], Customer_master[Terms days], 0)</f>
        <v>0</v>
      </c>
      <c r="L2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4" s="4"/>
      <c r="N284" s="46">
        <f>IF(AR[[#This Row],[Collection date - override (dd/mm/yyyy)]] &lt;&gt; "", AR[[#This Row],[Collection date - override (dd/mm/yyyy)]], AR[[#This Row],[Due date (dd/mm/yyyy)]])</f>
        <v>0</v>
      </c>
      <c r="O284" s="46">
        <f t="shared" si="4"/>
        <v>52</v>
      </c>
    </row>
    <row r="285" spans="3:15" x14ac:dyDescent="0.25">
      <c r="C285" s="28"/>
      <c r="D285" s="20"/>
      <c r="E285" s="4"/>
      <c r="F285" s="37"/>
      <c r="G285" s="24"/>
      <c r="H285" s="51">
        <f>Assumptions!$D$15</f>
        <v>0.1</v>
      </c>
      <c r="I285" s="45">
        <f>IF(AR[[#This Row],[GST applies?]] = "Yes", (AR[[#This Row],[Invoice value inc. VAT]] / 1 + AR[[#This Row],[GST %]]) * AR[[#This Row],[GST %]], 0)</f>
        <v>0</v>
      </c>
      <c r="J285" s="31">
        <f>_xlfn.XLOOKUP(AR[[#This Row],[Customer name]], Customer_master[Customer name], Customer_master[EOM or Net], 0)</f>
        <v>0</v>
      </c>
      <c r="K285" s="31">
        <f>_xlfn.XLOOKUP(AR[[#This Row],[Customer name]], Customer_master[Customer name], Customer_master[Terms days], 0)</f>
        <v>0</v>
      </c>
      <c r="L2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5" s="4"/>
      <c r="N285" s="46">
        <f>IF(AR[[#This Row],[Collection date - override (dd/mm/yyyy)]] &lt;&gt; "", AR[[#This Row],[Collection date - override (dd/mm/yyyy)]], AR[[#This Row],[Due date (dd/mm/yyyy)]])</f>
        <v>0</v>
      </c>
      <c r="O285" s="46">
        <f t="shared" si="4"/>
        <v>52</v>
      </c>
    </row>
    <row r="286" spans="3:15" x14ac:dyDescent="0.25">
      <c r="C286" s="28"/>
      <c r="D286" s="20"/>
      <c r="E286" s="4"/>
      <c r="F286" s="37"/>
      <c r="G286" s="24"/>
      <c r="H286" s="51">
        <f>Assumptions!$D$15</f>
        <v>0.1</v>
      </c>
      <c r="I286" s="45">
        <f>IF(AR[[#This Row],[GST applies?]] = "Yes", (AR[[#This Row],[Invoice value inc. VAT]] / 1 + AR[[#This Row],[GST %]]) * AR[[#This Row],[GST %]], 0)</f>
        <v>0</v>
      </c>
      <c r="J286" s="31">
        <f>_xlfn.XLOOKUP(AR[[#This Row],[Customer name]], Customer_master[Customer name], Customer_master[EOM or Net], 0)</f>
        <v>0</v>
      </c>
      <c r="K286" s="31">
        <f>_xlfn.XLOOKUP(AR[[#This Row],[Customer name]], Customer_master[Customer name], Customer_master[Terms days], 0)</f>
        <v>0</v>
      </c>
      <c r="L2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6" s="4"/>
      <c r="N286" s="46">
        <f>IF(AR[[#This Row],[Collection date - override (dd/mm/yyyy)]] &lt;&gt; "", AR[[#This Row],[Collection date - override (dd/mm/yyyy)]], AR[[#This Row],[Due date (dd/mm/yyyy)]])</f>
        <v>0</v>
      </c>
      <c r="O286" s="46">
        <f t="shared" si="4"/>
        <v>52</v>
      </c>
    </row>
    <row r="287" spans="3:15" x14ac:dyDescent="0.25">
      <c r="C287" s="28"/>
      <c r="D287" s="20"/>
      <c r="E287" s="4"/>
      <c r="F287" s="37"/>
      <c r="G287" s="24"/>
      <c r="H287" s="51">
        <f>Assumptions!$D$15</f>
        <v>0.1</v>
      </c>
      <c r="I287" s="45">
        <f>IF(AR[[#This Row],[GST applies?]] = "Yes", (AR[[#This Row],[Invoice value inc. VAT]] / 1 + AR[[#This Row],[GST %]]) * AR[[#This Row],[GST %]], 0)</f>
        <v>0</v>
      </c>
      <c r="J287" s="31">
        <f>_xlfn.XLOOKUP(AR[[#This Row],[Customer name]], Customer_master[Customer name], Customer_master[EOM or Net], 0)</f>
        <v>0</v>
      </c>
      <c r="K287" s="31">
        <f>_xlfn.XLOOKUP(AR[[#This Row],[Customer name]], Customer_master[Customer name], Customer_master[Terms days], 0)</f>
        <v>0</v>
      </c>
      <c r="L2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7" s="4"/>
      <c r="N287" s="46">
        <f>IF(AR[[#This Row],[Collection date - override (dd/mm/yyyy)]] &lt;&gt; "", AR[[#This Row],[Collection date - override (dd/mm/yyyy)]], AR[[#This Row],[Due date (dd/mm/yyyy)]])</f>
        <v>0</v>
      </c>
      <c r="O287" s="46">
        <f t="shared" si="4"/>
        <v>52</v>
      </c>
    </row>
    <row r="288" spans="3:15" x14ac:dyDescent="0.25">
      <c r="C288" s="28"/>
      <c r="D288" s="20"/>
      <c r="E288" s="4"/>
      <c r="F288" s="37"/>
      <c r="G288" s="24"/>
      <c r="H288" s="51">
        <f>Assumptions!$D$15</f>
        <v>0.1</v>
      </c>
      <c r="I288" s="45">
        <f>IF(AR[[#This Row],[GST applies?]] = "Yes", (AR[[#This Row],[Invoice value inc. VAT]] / 1 + AR[[#This Row],[GST %]]) * AR[[#This Row],[GST %]], 0)</f>
        <v>0</v>
      </c>
      <c r="J288" s="31">
        <f>_xlfn.XLOOKUP(AR[[#This Row],[Customer name]], Customer_master[Customer name], Customer_master[EOM or Net], 0)</f>
        <v>0</v>
      </c>
      <c r="K288" s="31">
        <f>_xlfn.XLOOKUP(AR[[#This Row],[Customer name]], Customer_master[Customer name], Customer_master[Terms days], 0)</f>
        <v>0</v>
      </c>
      <c r="L2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8" s="4"/>
      <c r="N288" s="46">
        <f>IF(AR[[#This Row],[Collection date - override (dd/mm/yyyy)]] &lt;&gt; "", AR[[#This Row],[Collection date - override (dd/mm/yyyy)]], AR[[#This Row],[Due date (dd/mm/yyyy)]])</f>
        <v>0</v>
      </c>
      <c r="O288" s="46">
        <f t="shared" si="4"/>
        <v>52</v>
      </c>
    </row>
    <row r="289" spans="3:15" x14ac:dyDescent="0.25">
      <c r="C289" s="28"/>
      <c r="D289" s="20"/>
      <c r="E289" s="4"/>
      <c r="F289" s="37"/>
      <c r="G289" s="24"/>
      <c r="H289" s="51">
        <f>Assumptions!$D$15</f>
        <v>0.1</v>
      </c>
      <c r="I289" s="45">
        <f>IF(AR[[#This Row],[GST applies?]] = "Yes", (AR[[#This Row],[Invoice value inc. VAT]] / 1 + AR[[#This Row],[GST %]]) * AR[[#This Row],[GST %]], 0)</f>
        <v>0</v>
      </c>
      <c r="J289" s="31">
        <f>_xlfn.XLOOKUP(AR[[#This Row],[Customer name]], Customer_master[Customer name], Customer_master[EOM or Net], 0)</f>
        <v>0</v>
      </c>
      <c r="K289" s="31">
        <f>_xlfn.XLOOKUP(AR[[#This Row],[Customer name]], Customer_master[Customer name], Customer_master[Terms days], 0)</f>
        <v>0</v>
      </c>
      <c r="L2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9" s="4"/>
      <c r="N289" s="46">
        <f>IF(AR[[#This Row],[Collection date - override (dd/mm/yyyy)]] &lt;&gt; "", AR[[#This Row],[Collection date - override (dd/mm/yyyy)]], AR[[#This Row],[Due date (dd/mm/yyyy)]])</f>
        <v>0</v>
      </c>
      <c r="O289" s="46">
        <f t="shared" si="4"/>
        <v>52</v>
      </c>
    </row>
    <row r="290" spans="3:15" x14ac:dyDescent="0.25">
      <c r="C290" s="28"/>
      <c r="D290" s="20"/>
      <c r="E290" s="4"/>
      <c r="F290" s="37"/>
      <c r="G290" s="24"/>
      <c r="H290" s="51">
        <f>Assumptions!$D$15</f>
        <v>0.1</v>
      </c>
      <c r="I290" s="45">
        <f>IF(AR[[#This Row],[GST applies?]] = "Yes", (AR[[#This Row],[Invoice value inc. VAT]] / 1 + AR[[#This Row],[GST %]]) * AR[[#This Row],[GST %]], 0)</f>
        <v>0</v>
      </c>
      <c r="J290" s="31">
        <f>_xlfn.XLOOKUP(AR[[#This Row],[Customer name]], Customer_master[Customer name], Customer_master[EOM or Net], 0)</f>
        <v>0</v>
      </c>
      <c r="K290" s="31">
        <f>_xlfn.XLOOKUP(AR[[#This Row],[Customer name]], Customer_master[Customer name], Customer_master[Terms days], 0)</f>
        <v>0</v>
      </c>
      <c r="L2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0" s="4"/>
      <c r="N290" s="46">
        <f>IF(AR[[#This Row],[Collection date - override (dd/mm/yyyy)]] &lt;&gt; "", AR[[#This Row],[Collection date - override (dd/mm/yyyy)]], AR[[#This Row],[Due date (dd/mm/yyyy)]])</f>
        <v>0</v>
      </c>
      <c r="O290" s="46">
        <f t="shared" si="4"/>
        <v>52</v>
      </c>
    </row>
    <row r="291" spans="3:15" x14ac:dyDescent="0.25">
      <c r="C291" s="28"/>
      <c r="D291" s="20"/>
      <c r="E291" s="4"/>
      <c r="F291" s="37"/>
      <c r="G291" s="24"/>
      <c r="H291" s="51">
        <f>Assumptions!$D$15</f>
        <v>0.1</v>
      </c>
      <c r="I291" s="45">
        <f>IF(AR[[#This Row],[GST applies?]] = "Yes", (AR[[#This Row],[Invoice value inc. VAT]] / 1 + AR[[#This Row],[GST %]]) * AR[[#This Row],[GST %]], 0)</f>
        <v>0</v>
      </c>
      <c r="J291" s="31">
        <f>_xlfn.XLOOKUP(AR[[#This Row],[Customer name]], Customer_master[Customer name], Customer_master[EOM or Net], 0)</f>
        <v>0</v>
      </c>
      <c r="K291" s="31">
        <f>_xlfn.XLOOKUP(AR[[#This Row],[Customer name]], Customer_master[Customer name], Customer_master[Terms days], 0)</f>
        <v>0</v>
      </c>
      <c r="L2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1" s="4"/>
      <c r="N291" s="46">
        <f>IF(AR[[#This Row],[Collection date - override (dd/mm/yyyy)]] &lt;&gt; "", AR[[#This Row],[Collection date - override (dd/mm/yyyy)]], AR[[#This Row],[Due date (dd/mm/yyyy)]])</f>
        <v>0</v>
      </c>
      <c r="O291" s="46">
        <f t="shared" si="4"/>
        <v>52</v>
      </c>
    </row>
    <row r="292" spans="3:15" x14ac:dyDescent="0.25">
      <c r="C292" s="28"/>
      <c r="D292" s="20"/>
      <c r="E292" s="4"/>
      <c r="F292" s="37"/>
      <c r="G292" s="24"/>
      <c r="H292" s="51">
        <f>Assumptions!$D$15</f>
        <v>0.1</v>
      </c>
      <c r="I292" s="45">
        <f>IF(AR[[#This Row],[GST applies?]] = "Yes", (AR[[#This Row],[Invoice value inc. VAT]] / 1 + AR[[#This Row],[GST %]]) * AR[[#This Row],[GST %]], 0)</f>
        <v>0</v>
      </c>
      <c r="J292" s="31">
        <f>_xlfn.XLOOKUP(AR[[#This Row],[Customer name]], Customer_master[Customer name], Customer_master[EOM or Net], 0)</f>
        <v>0</v>
      </c>
      <c r="K292" s="31">
        <f>_xlfn.XLOOKUP(AR[[#This Row],[Customer name]], Customer_master[Customer name], Customer_master[Terms days], 0)</f>
        <v>0</v>
      </c>
      <c r="L2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2" s="4"/>
      <c r="N292" s="46">
        <f>IF(AR[[#This Row],[Collection date - override (dd/mm/yyyy)]] &lt;&gt; "", AR[[#This Row],[Collection date - override (dd/mm/yyyy)]], AR[[#This Row],[Due date (dd/mm/yyyy)]])</f>
        <v>0</v>
      </c>
      <c r="O292" s="46">
        <f t="shared" si="4"/>
        <v>52</v>
      </c>
    </row>
    <row r="293" spans="3:15" x14ac:dyDescent="0.25">
      <c r="C293" s="28"/>
      <c r="D293" s="20"/>
      <c r="E293" s="4"/>
      <c r="F293" s="37"/>
      <c r="G293" s="24"/>
      <c r="H293" s="51">
        <f>Assumptions!$D$15</f>
        <v>0.1</v>
      </c>
      <c r="I293" s="45">
        <f>IF(AR[[#This Row],[GST applies?]] = "Yes", (AR[[#This Row],[Invoice value inc. VAT]] / 1 + AR[[#This Row],[GST %]]) * AR[[#This Row],[GST %]], 0)</f>
        <v>0</v>
      </c>
      <c r="J293" s="31">
        <f>_xlfn.XLOOKUP(AR[[#This Row],[Customer name]], Customer_master[Customer name], Customer_master[EOM or Net], 0)</f>
        <v>0</v>
      </c>
      <c r="K293" s="31">
        <f>_xlfn.XLOOKUP(AR[[#This Row],[Customer name]], Customer_master[Customer name], Customer_master[Terms days], 0)</f>
        <v>0</v>
      </c>
      <c r="L2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3" s="4"/>
      <c r="N293" s="46">
        <f>IF(AR[[#This Row],[Collection date - override (dd/mm/yyyy)]] &lt;&gt; "", AR[[#This Row],[Collection date - override (dd/mm/yyyy)]], AR[[#This Row],[Due date (dd/mm/yyyy)]])</f>
        <v>0</v>
      </c>
      <c r="O293" s="46">
        <f t="shared" si="4"/>
        <v>52</v>
      </c>
    </row>
    <row r="294" spans="3:15" x14ac:dyDescent="0.25">
      <c r="C294" s="28"/>
      <c r="D294" s="20"/>
      <c r="E294" s="4"/>
      <c r="F294" s="37"/>
      <c r="G294" s="24"/>
      <c r="H294" s="51">
        <f>Assumptions!$D$15</f>
        <v>0.1</v>
      </c>
      <c r="I294" s="45">
        <f>IF(AR[[#This Row],[GST applies?]] = "Yes", (AR[[#This Row],[Invoice value inc. VAT]] / 1 + AR[[#This Row],[GST %]]) * AR[[#This Row],[GST %]], 0)</f>
        <v>0</v>
      </c>
      <c r="J294" s="31">
        <f>_xlfn.XLOOKUP(AR[[#This Row],[Customer name]], Customer_master[Customer name], Customer_master[EOM or Net], 0)</f>
        <v>0</v>
      </c>
      <c r="K294" s="31">
        <f>_xlfn.XLOOKUP(AR[[#This Row],[Customer name]], Customer_master[Customer name], Customer_master[Terms days], 0)</f>
        <v>0</v>
      </c>
      <c r="L2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4" s="4"/>
      <c r="N294" s="46">
        <f>IF(AR[[#This Row],[Collection date - override (dd/mm/yyyy)]] &lt;&gt; "", AR[[#This Row],[Collection date - override (dd/mm/yyyy)]], AR[[#This Row],[Due date (dd/mm/yyyy)]])</f>
        <v>0</v>
      </c>
      <c r="O294" s="46">
        <f t="shared" si="4"/>
        <v>52</v>
      </c>
    </row>
    <row r="295" spans="3:15" x14ac:dyDescent="0.25">
      <c r="C295" s="28"/>
      <c r="D295" s="20"/>
      <c r="E295" s="4"/>
      <c r="F295" s="37"/>
      <c r="G295" s="24"/>
      <c r="H295" s="51">
        <f>Assumptions!$D$15</f>
        <v>0.1</v>
      </c>
      <c r="I295" s="45">
        <f>IF(AR[[#This Row],[GST applies?]] = "Yes", (AR[[#This Row],[Invoice value inc. VAT]] / 1 + AR[[#This Row],[GST %]]) * AR[[#This Row],[GST %]], 0)</f>
        <v>0</v>
      </c>
      <c r="J295" s="31">
        <f>_xlfn.XLOOKUP(AR[[#This Row],[Customer name]], Customer_master[Customer name], Customer_master[EOM or Net], 0)</f>
        <v>0</v>
      </c>
      <c r="K295" s="31">
        <f>_xlfn.XLOOKUP(AR[[#This Row],[Customer name]], Customer_master[Customer name], Customer_master[Terms days], 0)</f>
        <v>0</v>
      </c>
      <c r="L2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5" s="4"/>
      <c r="N295" s="46">
        <f>IF(AR[[#This Row],[Collection date - override (dd/mm/yyyy)]] &lt;&gt; "", AR[[#This Row],[Collection date - override (dd/mm/yyyy)]], AR[[#This Row],[Due date (dd/mm/yyyy)]])</f>
        <v>0</v>
      </c>
      <c r="O295" s="46">
        <f t="shared" si="4"/>
        <v>52</v>
      </c>
    </row>
    <row r="296" spans="3:15" x14ac:dyDescent="0.25">
      <c r="C296" s="28"/>
      <c r="D296" s="20"/>
      <c r="E296" s="4"/>
      <c r="F296" s="37"/>
      <c r="G296" s="24"/>
      <c r="H296" s="51">
        <f>Assumptions!$D$15</f>
        <v>0.1</v>
      </c>
      <c r="I296" s="45">
        <f>IF(AR[[#This Row],[GST applies?]] = "Yes", (AR[[#This Row],[Invoice value inc. VAT]] / 1 + AR[[#This Row],[GST %]]) * AR[[#This Row],[GST %]], 0)</f>
        <v>0</v>
      </c>
      <c r="J296" s="31">
        <f>_xlfn.XLOOKUP(AR[[#This Row],[Customer name]], Customer_master[Customer name], Customer_master[EOM or Net], 0)</f>
        <v>0</v>
      </c>
      <c r="K296" s="31">
        <f>_xlfn.XLOOKUP(AR[[#This Row],[Customer name]], Customer_master[Customer name], Customer_master[Terms days], 0)</f>
        <v>0</v>
      </c>
      <c r="L2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6" s="4"/>
      <c r="N296" s="46">
        <f>IF(AR[[#This Row],[Collection date - override (dd/mm/yyyy)]] &lt;&gt; "", AR[[#This Row],[Collection date - override (dd/mm/yyyy)]], AR[[#This Row],[Due date (dd/mm/yyyy)]])</f>
        <v>0</v>
      </c>
      <c r="O296" s="46">
        <f t="shared" si="4"/>
        <v>52</v>
      </c>
    </row>
    <row r="297" spans="3:15" x14ac:dyDescent="0.25">
      <c r="C297" s="28"/>
      <c r="D297" s="20"/>
      <c r="E297" s="4"/>
      <c r="F297" s="37"/>
      <c r="G297" s="24"/>
      <c r="H297" s="51">
        <f>Assumptions!$D$15</f>
        <v>0.1</v>
      </c>
      <c r="I297" s="45">
        <f>IF(AR[[#This Row],[GST applies?]] = "Yes", (AR[[#This Row],[Invoice value inc. VAT]] / 1 + AR[[#This Row],[GST %]]) * AR[[#This Row],[GST %]], 0)</f>
        <v>0</v>
      </c>
      <c r="J297" s="31">
        <f>_xlfn.XLOOKUP(AR[[#This Row],[Customer name]], Customer_master[Customer name], Customer_master[EOM or Net], 0)</f>
        <v>0</v>
      </c>
      <c r="K297" s="31">
        <f>_xlfn.XLOOKUP(AR[[#This Row],[Customer name]], Customer_master[Customer name], Customer_master[Terms days], 0)</f>
        <v>0</v>
      </c>
      <c r="L2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7" s="4"/>
      <c r="N297" s="46">
        <f>IF(AR[[#This Row],[Collection date - override (dd/mm/yyyy)]] &lt;&gt; "", AR[[#This Row],[Collection date - override (dd/mm/yyyy)]], AR[[#This Row],[Due date (dd/mm/yyyy)]])</f>
        <v>0</v>
      </c>
      <c r="O297" s="46">
        <f t="shared" si="4"/>
        <v>52</v>
      </c>
    </row>
    <row r="298" spans="3:15" x14ac:dyDescent="0.25">
      <c r="C298" s="28"/>
      <c r="D298" s="20"/>
      <c r="E298" s="4"/>
      <c r="F298" s="37"/>
      <c r="G298" s="24"/>
      <c r="H298" s="51">
        <f>Assumptions!$D$15</f>
        <v>0.1</v>
      </c>
      <c r="I298" s="45">
        <f>IF(AR[[#This Row],[GST applies?]] = "Yes", (AR[[#This Row],[Invoice value inc. VAT]] / 1 + AR[[#This Row],[GST %]]) * AR[[#This Row],[GST %]], 0)</f>
        <v>0</v>
      </c>
      <c r="J298" s="31">
        <f>_xlfn.XLOOKUP(AR[[#This Row],[Customer name]], Customer_master[Customer name], Customer_master[EOM or Net], 0)</f>
        <v>0</v>
      </c>
      <c r="K298" s="31">
        <f>_xlfn.XLOOKUP(AR[[#This Row],[Customer name]], Customer_master[Customer name], Customer_master[Terms days], 0)</f>
        <v>0</v>
      </c>
      <c r="L2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8" s="4"/>
      <c r="N298" s="46">
        <f>IF(AR[[#This Row],[Collection date - override (dd/mm/yyyy)]] &lt;&gt; "", AR[[#This Row],[Collection date - override (dd/mm/yyyy)]], AR[[#This Row],[Due date (dd/mm/yyyy)]])</f>
        <v>0</v>
      </c>
      <c r="O298" s="46">
        <f t="shared" si="4"/>
        <v>52</v>
      </c>
    </row>
    <row r="299" spans="3:15" x14ac:dyDescent="0.25">
      <c r="C299" s="28"/>
      <c r="D299" s="20"/>
      <c r="E299" s="4"/>
      <c r="F299" s="37"/>
      <c r="G299" s="24"/>
      <c r="H299" s="51">
        <f>Assumptions!$D$15</f>
        <v>0.1</v>
      </c>
      <c r="I299" s="45">
        <f>IF(AR[[#This Row],[GST applies?]] = "Yes", (AR[[#This Row],[Invoice value inc. VAT]] / 1 + AR[[#This Row],[GST %]]) * AR[[#This Row],[GST %]], 0)</f>
        <v>0</v>
      </c>
      <c r="J299" s="31">
        <f>_xlfn.XLOOKUP(AR[[#This Row],[Customer name]], Customer_master[Customer name], Customer_master[EOM or Net], 0)</f>
        <v>0</v>
      </c>
      <c r="K299" s="31">
        <f>_xlfn.XLOOKUP(AR[[#This Row],[Customer name]], Customer_master[Customer name], Customer_master[Terms days], 0)</f>
        <v>0</v>
      </c>
      <c r="L2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9" s="4"/>
      <c r="N299" s="46">
        <f>IF(AR[[#This Row],[Collection date - override (dd/mm/yyyy)]] &lt;&gt; "", AR[[#This Row],[Collection date - override (dd/mm/yyyy)]], AR[[#This Row],[Due date (dd/mm/yyyy)]])</f>
        <v>0</v>
      </c>
      <c r="O299" s="46">
        <f t="shared" si="4"/>
        <v>52</v>
      </c>
    </row>
    <row r="300" spans="3:15" x14ac:dyDescent="0.25">
      <c r="C300" s="28"/>
      <c r="D300" s="20"/>
      <c r="E300" s="4"/>
      <c r="F300" s="37"/>
      <c r="G300" s="24"/>
      <c r="H300" s="51">
        <f>Assumptions!$D$15</f>
        <v>0.1</v>
      </c>
      <c r="I300" s="45">
        <f>IF(AR[[#This Row],[GST applies?]] = "Yes", (AR[[#This Row],[Invoice value inc. VAT]] / 1 + AR[[#This Row],[GST %]]) * AR[[#This Row],[GST %]], 0)</f>
        <v>0</v>
      </c>
      <c r="J300" s="31">
        <f>_xlfn.XLOOKUP(AR[[#This Row],[Customer name]], Customer_master[Customer name], Customer_master[EOM or Net], 0)</f>
        <v>0</v>
      </c>
      <c r="K300" s="31">
        <f>_xlfn.XLOOKUP(AR[[#This Row],[Customer name]], Customer_master[Customer name], Customer_master[Terms days], 0)</f>
        <v>0</v>
      </c>
      <c r="L3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0" s="4"/>
      <c r="N300" s="46">
        <f>IF(AR[[#This Row],[Collection date - override (dd/mm/yyyy)]] &lt;&gt; "", AR[[#This Row],[Collection date - override (dd/mm/yyyy)]], AR[[#This Row],[Due date (dd/mm/yyyy)]])</f>
        <v>0</v>
      </c>
      <c r="O300" s="46">
        <f t="shared" si="4"/>
        <v>52</v>
      </c>
    </row>
    <row r="301" spans="3:15" x14ac:dyDescent="0.25">
      <c r="C301" s="28"/>
      <c r="D301" s="20"/>
      <c r="E301" s="4"/>
      <c r="F301" s="37"/>
      <c r="G301" s="24"/>
      <c r="H301" s="51">
        <f>Assumptions!$D$15</f>
        <v>0.1</v>
      </c>
      <c r="I301" s="45">
        <f>IF(AR[[#This Row],[GST applies?]] = "Yes", (AR[[#This Row],[Invoice value inc. VAT]] / 1 + AR[[#This Row],[GST %]]) * AR[[#This Row],[GST %]], 0)</f>
        <v>0</v>
      </c>
      <c r="J301" s="31">
        <f>_xlfn.XLOOKUP(AR[[#This Row],[Customer name]], Customer_master[Customer name], Customer_master[EOM or Net], 0)</f>
        <v>0</v>
      </c>
      <c r="K301" s="31">
        <f>_xlfn.XLOOKUP(AR[[#This Row],[Customer name]], Customer_master[Customer name], Customer_master[Terms days], 0)</f>
        <v>0</v>
      </c>
      <c r="L3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1" s="4"/>
      <c r="N301" s="46">
        <f>IF(AR[[#This Row],[Collection date - override (dd/mm/yyyy)]] &lt;&gt; "", AR[[#This Row],[Collection date - override (dd/mm/yyyy)]], AR[[#This Row],[Due date (dd/mm/yyyy)]])</f>
        <v>0</v>
      </c>
      <c r="O301" s="46">
        <f t="shared" si="4"/>
        <v>52</v>
      </c>
    </row>
    <row r="302" spans="3:15" x14ac:dyDescent="0.25">
      <c r="C302" s="28"/>
      <c r="D302" s="20"/>
      <c r="E302" s="4"/>
      <c r="F302" s="37"/>
      <c r="G302" s="24"/>
      <c r="H302" s="51">
        <f>Assumptions!$D$15</f>
        <v>0.1</v>
      </c>
      <c r="I302" s="45">
        <f>IF(AR[[#This Row],[GST applies?]] = "Yes", (AR[[#This Row],[Invoice value inc. VAT]] / 1 + AR[[#This Row],[GST %]]) * AR[[#This Row],[GST %]], 0)</f>
        <v>0</v>
      </c>
      <c r="J302" s="31">
        <f>_xlfn.XLOOKUP(AR[[#This Row],[Customer name]], Customer_master[Customer name], Customer_master[EOM or Net], 0)</f>
        <v>0</v>
      </c>
      <c r="K302" s="31">
        <f>_xlfn.XLOOKUP(AR[[#This Row],[Customer name]], Customer_master[Customer name], Customer_master[Terms days], 0)</f>
        <v>0</v>
      </c>
      <c r="L3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2" s="4"/>
      <c r="N302" s="46">
        <f>IF(AR[[#This Row],[Collection date - override (dd/mm/yyyy)]] &lt;&gt; "", AR[[#This Row],[Collection date - override (dd/mm/yyyy)]], AR[[#This Row],[Due date (dd/mm/yyyy)]])</f>
        <v>0</v>
      </c>
      <c r="O302" s="46">
        <f t="shared" si="4"/>
        <v>52</v>
      </c>
    </row>
    <row r="303" spans="3:15" x14ac:dyDescent="0.25">
      <c r="C303" s="28"/>
      <c r="D303" s="20"/>
      <c r="E303" s="4"/>
      <c r="F303" s="37"/>
      <c r="G303" s="24"/>
      <c r="H303" s="51">
        <f>Assumptions!$D$15</f>
        <v>0.1</v>
      </c>
      <c r="I303" s="45">
        <f>IF(AR[[#This Row],[GST applies?]] = "Yes", (AR[[#This Row],[Invoice value inc. VAT]] / 1 + AR[[#This Row],[GST %]]) * AR[[#This Row],[GST %]], 0)</f>
        <v>0</v>
      </c>
      <c r="J303" s="31">
        <f>_xlfn.XLOOKUP(AR[[#This Row],[Customer name]], Customer_master[Customer name], Customer_master[EOM or Net], 0)</f>
        <v>0</v>
      </c>
      <c r="K303" s="31">
        <f>_xlfn.XLOOKUP(AR[[#This Row],[Customer name]], Customer_master[Customer name], Customer_master[Terms days], 0)</f>
        <v>0</v>
      </c>
      <c r="L3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3" s="4"/>
      <c r="N303" s="46">
        <f>IF(AR[[#This Row],[Collection date - override (dd/mm/yyyy)]] &lt;&gt; "", AR[[#This Row],[Collection date - override (dd/mm/yyyy)]], AR[[#This Row],[Due date (dd/mm/yyyy)]])</f>
        <v>0</v>
      </c>
      <c r="O303" s="46">
        <f t="shared" si="4"/>
        <v>52</v>
      </c>
    </row>
    <row r="304" spans="3:15" x14ac:dyDescent="0.25">
      <c r="C304" s="28"/>
      <c r="D304" s="20"/>
      <c r="E304" s="4"/>
      <c r="F304" s="37"/>
      <c r="G304" s="24"/>
      <c r="H304" s="51">
        <f>Assumptions!$D$15</f>
        <v>0.1</v>
      </c>
      <c r="I304" s="45">
        <f>IF(AR[[#This Row],[GST applies?]] = "Yes", (AR[[#This Row],[Invoice value inc. VAT]] / 1 + AR[[#This Row],[GST %]]) * AR[[#This Row],[GST %]], 0)</f>
        <v>0</v>
      </c>
      <c r="J304" s="31">
        <f>_xlfn.XLOOKUP(AR[[#This Row],[Customer name]], Customer_master[Customer name], Customer_master[EOM or Net], 0)</f>
        <v>0</v>
      </c>
      <c r="K304" s="31">
        <f>_xlfn.XLOOKUP(AR[[#This Row],[Customer name]], Customer_master[Customer name], Customer_master[Terms days], 0)</f>
        <v>0</v>
      </c>
      <c r="L3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4" s="4"/>
      <c r="N304" s="46">
        <f>IF(AR[[#This Row],[Collection date - override (dd/mm/yyyy)]] &lt;&gt; "", AR[[#This Row],[Collection date - override (dd/mm/yyyy)]], AR[[#This Row],[Due date (dd/mm/yyyy)]])</f>
        <v>0</v>
      </c>
      <c r="O304" s="46">
        <f t="shared" si="4"/>
        <v>52</v>
      </c>
    </row>
    <row r="305" spans="3:15" x14ac:dyDescent="0.25">
      <c r="C305" s="28"/>
      <c r="D305" s="20"/>
      <c r="E305" s="4"/>
      <c r="F305" s="37"/>
      <c r="G305" s="24"/>
      <c r="H305" s="51">
        <f>Assumptions!$D$15</f>
        <v>0.1</v>
      </c>
      <c r="I305" s="45">
        <f>IF(AR[[#This Row],[GST applies?]] = "Yes", (AR[[#This Row],[Invoice value inc. VAT]] / 1 + AR[[#This Row],[GST %]]) * AR[[#This Row],[GST %]], 0)</f>
        <v>0</v>
      </c>
      <c r="J305" s="31">
        <f>_xlfn.XLOOKUP(AR[[#This Row],[Customer name]], Customer_master[Customer name], Customer_master[EOM or Net], 0)</f>
        <v>0</v>
      </c>
      <c r="K305" s="31">
        <f>_xlfn.XLOOKUP(AR[[#This Row],[Customer name]], Customer_master[Customer name], Customer_master[Terms days], 0)</f>
        <v>0</v>
      </c>
      <c r="L3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5" s="4"/>
      <c r="N305" s="46">
        <f>IF(AR[[#This Row],[Collection date - override (dd/mm/yyyy)]] &lt;&gt; "", AR[[#This Row],[Collection date - override (dd/mm/yyyy)]], AR[[#This Row],[Due date (dd/mm/yyyy)]])</f>
        <v>0</v>
      </c>
      <c r="O305" s="46">
        <f t="shared" si="4"/>
        <v>52</v>
      </c>
    </row>
    <row r="306" spans="3:15" x14ac:dyDescent="0.25">
      <c r="C306" s="28"/>
      <c r="D306" s="20"/>
      <c r="E306" s="4"/>
      <c r="F306" s="37"/>
      <c r="G306" s="24"/>
      <c r="H306" s="51">
        <f>Assumptions!$D$15</f>
        <v>0.1</v>
      </c>
      <c r="I306" s="45">
        <f>IF(AR[[#This Row],[GST applies?]] = "Yes", (AR[[#This Row],[Invoice value inc. VAT]] / 1 + AR[[#This Row],[GST %]]) * AR[[#This Row],[GST %]], 0)</f>
        <v>0</v>
      </c>
      <c r="J306" s="31">
        <f>_xlfn.XLOOKUP(AR[[#This Row],[Customer name]], Customer_master[Customer name], Customer_master[EOM or Net], 0)</f>
        <v>0</v>
      </c>
      <c r="K306" s="31">
        <f>_xlfn.XLOOKUP(AR[[#This Row],[Customer name]], Customer_master[Customer name], Customer_master[Terms days], 0)</f>
        <v>0</v>
      </c>
      <c r="L3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6" s="4"/>
      <c r="N306" s="46">
        <f>IF(AR[[#This Row],[Collection date - override (dd/mm/yyyy)]] &lt;&gt; "", AR[[#This Row],[Collection date - override (dd/mm/yyyy)]], AR[[#This Row],[Due date (dd/mm/yyyy)]])</f>
        <v>0</v>
      </c>
      <c r="O306" s="46">
        <f t="shared" si="4"/>
        <v>52</v>
      </c>
    </row>
    <row r="307" spans="3:15" x14ac:dyDescent="0.25">
      <c r="C307" s="28"/>
      <c r="D307" s="20"/>
      <c r="E307" s="4"/>
      <c r="F307" s="37"/>
      <c r="G307" s="24"/>
      <c r="H307" s="51">
        <f>Assumptions!$D$15</f>
        <v>0.1</v>
      </c>
      <c r="I307" s="45">
        <f>IF(AR[[#This Row],[GST applies?]] = "Yes", (AR[[#This Row],[Invoice value inc. VAT]] / 1 + AR[[#This Row],[GST %]]) * AR[[#This Row],[GST %]], 0)</f>
        <v>0</v>
      </c>
      <c r="J307" s="31">
        <f>_xlfn.XLOOKUP(AR[[#This Row],[Customer name]], Customer_master[Customer name], Customer_master[EOM or Net], 0)</f>
        <v>0</v>
      </c>
      <c r="K307" s="31">
        <f>_xlfn.XLOOKUP(AR[[#This Row],[Customer name]], Customer_master[Customer name], Customer_master[Terms days], 0)</f>
        <v>0</v>
      </c>
      <c r="L3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7" s="4"/>
      <c r="N307" s="46">
        <f>IF(AR[[#This Row],[Collection date - override (dd/mm/yyyy)]] &lt;&gt; "", AR[[#This Row],[Collection date - override (dd/mm/yyyy)]], AR[[#This Row],[Due date (dd/mm/yyyy)]])</f>
        <v>0</v>
      </c>
      <c r="O307" s="46">
        <f t="shared" si="4"/>
        <v>52</v>
      </c>
    </row>
    <row r="308" spans="3:15" x14ac:dyDescent="0.25">
      <c r="C308" s="28"/>
      <c r="D308" s="20"/>
      <c r="E308" s="4"/>
      <c r="F308" s="37"/>
      <c r="G308" s="24"/>
      <c r="H308" s="51">
        <f>Assumptions!$D$15</f>
        <v>0.1</v>
      </c>
      <c r="I308" s="45">
        <f>IF(AR[[#This Row],[GST applies?]] = "Yes", (AR[[#This Row],[Invoice value inc. VAT]] / 1 + AR[[#This Row],[GST %]]) * AR[[#This Row],[GST %]], 0)</f>
        <v>0</v>
      </c>
      <c r="J308" s="31">
        <f>_xlfn.XLOOKUP(AR[[#This Row],[Customer name]], Customer_master[Customer name], Customer_master[EOM or Net], 0)</f>
        <v>0</v>
      </c>
      <c r="K308" s="31">
        <f>_xlfn.XLOOKUP(AR[[#This Row],[Customer name]], Customer_master[Customer name], Customer_master[Terms days], 0)</f>
        <v>0</v>
      </c>
      <c r="L3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8" s="4"/>
      <c r="N308" s="46">
        <f>IF(AR[[#This Row],[Collection date - override (dd/mm/yyyy)]] &lt;&gt; "", AR[[#This Row],[Collection date - override (dd/mm/yyyy)]], AR[[#This Row],[Due date (dd/mm/yyyy)]])</f>
        <v>0</v>
      </c>
      <c r="O308" s="46">
        <f t="shared" si="4"/>
        <v>52</v>
      </c>
    </row>
    <row r="309" spans="3:15" x14ac:dyDescent="0.25">
      <c r="C309" s="28"/>
      <c r="D309" s="20"/>
      <c r="E309" s="4"/>
      <c r="F309" s="37"/>
      <c r="G309" s="24"/>
      <c r="H309" s="51">
        <f>Assumptions!$D$15</f>
        <v>0.1</v>
      </c>
      <c r="I309" s="45">
        <f>IF(AR[[#This Row],[GST applies?]] = "Yes", (AR[[#This Row],[Invoice value inc. VAT]] / 1 + AR[[#This Row],[GST %]]) * AR[[#This Row],[GST %]], 0)</f>
        <v>0</v>
      </c>
      <c r="J309" s="31">
        <f>_xlfn.XLOOKUP(AR[[#This Row],[Customer name]], Customer_master[Customer name], Customer_master[EOM or Net], 0)</f>
        <v>0</v>
      </c>
      <c r="K309" s="31">
        <f>_xlfn.XLOOKUP(AR[[#This Row],[Customer name]], Customer_master[Customer name], Customer_master[Terms days], 0)</f>
        <v>0</v>
      </c>
      <c r="L3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9" s="4"/>
      <c r="N309" s="46">
        <f>IF(AR[[#This Row],[Collection date - override (dd/mm/yyyy)]] &lt;&gt; "", AR[[#This Row],[Collection date - override (dd/mm/yyyy)]], AR[[#This Row],[Due date (dd/mm/yyyy)]])</f>
        <v>0</v>
      </c>
      <c r="O309" s="46">
        <f t="shared" si="4"/>
        <v>52</v>
      </c>
    </row>
    <row r="310" spans="3:15" x14ac:dyDescent="0.25">
      <c r="C310" s="28"/>
      <c r="D310" s="20"/>
      <c r="E310" s="4"/>
      <c r="F310" s="37"/>
      <c r="G310" s="24"/>
      <c r="H310" s="51">
        <f>Assumptions!$D$15</f>
        <v>0.1</v>
      </c>
      <c r="I310" s="45">
        <f>IF(AR[[#This Row],[GST applies?]] = "Yes", (AR[[#This Row],[Invoice value inc. VAT]] / 1 + AR[[#This Row],[GST %]]) * AR[[#This Row],[GST %]], 0)</f>
        <v>0</v>
      </c>
      <c r="J310" s="31">
        <f>_xlfn.XLOOKUP(AR[[#This Row],[Customer name]], Customer_master[Customer name], Customer_master[EOM or Net], 0)</f>
        <v>0</v>
      </c>
      <c r="K310" s="31">
        <f>_xlfn.XLOOKUP(AR[[#This Row],[Customer name]], Customer_master[Customer name], Customer_master[Terms days], 0)</f>
        <v>0</v>
      </c>
      <c r="L3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0" s="4"/>
      <c r="N310" s="46">
        <f>IF(AR[[#This Row],[Collection date - override (dd/mm/yyyy)]] &lt;&gt; "", AR[[#This Row],[Collection date - override (dd/mm/yyyy)]], AR[[#This Row],[Due date (dd/mm/yyyy)]])</f>
        <v>0</v>
      </c>
      <c r="O310" s="46">
        <f t="shared" si="4"/>
        <v>52</v>
      </c>
    </row>
    <row r="311" spans="3:15" x14ac:dyDescent="0.25">
      <c r="C311" s="28"/>
      <c r="D311" s="20"/>
      <c r="E311" s="4"/>
      <c r="F311" s="37"/>
      <c r="G311" s="24"/>
      <c r="H311" s="51">
        <f>Assumptions!$D$15</f>
        <v>0.1</v>
      </c>
      <c r="I311" s="45">
        <f>IF(AR[[#This Row],[GST applies?]] = "Yes", (AR[[#This Row],[Invoice value inc. VAT]] / 1 + AR[[#This Row],[GST %]]) * AR[[#This Row],[GST %]], 0)</f>
        <v>0</v>
      </c>
      <c r="J311" s="31">
        <f>_xlfn.XLOOKUP(AR[[#This Row],[Customer name]], Customer_master[Customer name], Customer_master[EOM or Net], 0)</f>
        <v>0</v>
      </c>
      <c r="K311" s="31">
        <f>_xlfn.XLOOKUP(AR[[#This Row],[Customer name]], Customer_master[Customer name], Customer_master[Terms days], 0)</f>
        <v>0</v>
      </c>
      <c r="L3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1" s="4"/>
      <c r="N311" s="46">
        <f>IF(AR[[#This Row],[Collection date - override (dd/mm/yyyy)]] &lt;&gt; "", AR[[#This Row],[Collection date - override (dd/mm/yyyy)]], AR[[#This Row],[Due date (dd/mm/yyyy)]])</f>
        <v>0</v>
      </c>
      <c r="O311" s="46">
        <f t="shared" si="4"/>
        <v>52</v>
      </c>
    </row>
    <row r="312" spans="3:15" x14ac:dyDescent="0.25">
      <c r="C312" s="28"/>
      <c r="D312" s="20"/>
      <c r="E312" s="4"/>
      <c r="F312" s="37"/>
      <c r="G312" s="24"/>
      <c r="H312" s="51">
        <f>Assumptions!$D$15</f>
        <v>0.1</v>
      </c>
      <c r="I312" s="45">
        <f>IF(AR[[#This Row],[GST applies?]] = "Yes", (AR[[#This Row],[Invoice value inc. VAT]] / 1 + AR[[#This Row],[GST %]]) * AR[[#This Row],[GST %]], 0)</f>
        <v>0</v>
      </c>
      <c r="J312" s="31">
        <f>_xlfn.XLOOKUP(AR[[#This Row],[Customer name]], Customer_master[Customer name], Customer_master[EOM or Net], 0)</f>
        <v>0</v>
      </c>
      <c r="K312" s="31">
        <f>_xlfn.XLOOKUP(AR[[#This Row],[Customer name]], Customer_master[Customer name], Customer_master[Terms days], 0)</f>
        <v>0</v>
      </c>
      <c r="L3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2" s="4"/>
      <c r="N312" s="46">
        <f>IF(AR[[#This Row],[Collection date - override (dd/mm/yyyy)]] &lt;&gt; "", AR[[#This Row],[Collection date - override (dd/mm/yyyy)]], AR[[#This Row],[Due date (dd/mm/yyyy)]])</f>
        <v>0</v>
      </c>
      <c r="O312" s="46">
        <f t="shared" si="4"/>
        <v>52</v>
      </c>
    </row>
    <row r="313" spans="3:15" x14ac:dyDescent="0.25">
      <c r="C313" s="28"/>
      <c r="D313" s="20"/>
      <c r="E313" s="4"/>
      <c r="F313" s="37"/>
      <c r="G313" s="24"/>
      <c r="H313" s="51">
        <f>Assumptions!$D$15</f>
        <v>0.1</v>
      </c>
      <c r="I313" s="45">
        <f>IF(AR[[#This Row],[GST applies?]] = "Yes", (AR[[#This Row],[Invoice value inc. VAT]] / 1 + AR[[#This Row],[GST %]]) * AR[[#This Row],[GST %]], 0)</f>
        <v>0</v>
      </c>
      <c r="J313" s="31">
        <f>_xlfn.XLOOKUP(AR[[#This Row],[Customer name]], Customer_master[Customer name], Customer_master[EOM or Net], 0)</f>
        <v>0</v>
      </c>
      <c r="K313" s="31">
        <f>_xlfn.XLOOKUP(AR[[#This Row],[Customer name]], Customer_master[Customer name], Customer_master[Terms days], 0)</f>
        <v>0</v>
      </c>
      <c r="L3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3" s="4"/>
      <c r="N313" s="46">
        <f>IF(AR[[#This Row],[Collection date - override (dd/mm/yyyy)]] &lt;&gt; "", AR[[#This Row],[Collection date - override (dd/mm/yyyy)]], AR[[#This Row],[Due date (dd/mm/yyyy)]])</f>
        <v>0</v>
      </c>
      <c r="O313" s="46">
        <f t="shared" si="4"/>
        <v>52</v>
      </c>
    </row>
    <row r="314" spans="3:15" x14ac:dyDescent="0.25">
      <c r="C314" s="28"/>
      <c r="D314" s="20"/>
      <c r="E314" s="4"/>
      <c r="F314" s="37"/>
      <c r="G314" s="24"/>
      <c r="H314" s="51">
        <f>Assumptions!$D$15</f>
        <v>0.1</v>
      </c>
      <c r="I314" s="45">
        <f>IF(AR[[#This Row],[GST applies?]] = "Yes", (AR[[#This Row],[Invoice value inc. VAT]] / 1 + AR[[#This Row],[GST %]]) * AR[[#This Row],[GST %]], 0)</f>
        <v>0</v>
      </c>
      <c r="J314" s="31">
        <f>_xlfn.XLOOKUP(AR[[#This Row],[Customer name]], Customer_master[Customer name], Customer_master[EOM or Net], 0)</f>
        <v>0</v>
      </c>
      <c r="K314" s="31">
        <f>_xlfn.XLOOKUP(AR[[#This Row],[Customer name]], Customer_master[Customer name], Customer_master[Terms days], 0)</f>
        <v>0</v>
      </c>
      <c r="L3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4" s="4"/>
      <c r="N314" s="46">
        <f>IF(AR[[#This Row],[Collection date - override (dd/mm/yyyy)]] &lt;&gt; "", AR[[#This Row],[Collection date - override (dd/mm/yyyy)]], AR[[#This Row],[Due date (dd/mm/yyyy)]])</f>
        <v>0</v>
      </c>
      <c r="O314" s="46">
        <f t="shared" si="4"/>
        <v>52</v>
      </c>
    </row>
    <row r="315" spans="3:15" x14ac:dyDescent="0.25">
      <c r="C315" s="28"/>
      <c r="D315" s="20"/>
      <c r="E315" s="4"/>
      <c r="F315" s="37"/>
      <c r="G315" s="24"/>
      <c r="H315" s="51">
        <f>Assumptions!$D$15</f>
        <v>0.1</v>
      </c>
      <c r="I315" s="45">
        <f>IF(AR[[#This Row],[GST applies?]] = "Yes", (AR[[#This Row],[Invoice value inc. VAT]] / 1 + AR[[#This Row],[GST %]]) * AR[[#This Row],[GST %]], 0)</f>
        <v>0</v>
      </c>
      <c r="J315" s="31">
        <f>_xlfn.XLOOKUP(AR[[#This Row],[Customer name]], Customer_master[Customer name], Customer_master[EOM or Net], 0)</f>
        <v>0</v>
      </c>
      <c r="K315" s="31">
        <f>_xlfn.XLOOKUP(AR[[#This Row],[Customer name]], Customer_master[Customer name], Customer_master[Terms days], 0)</f>
        <v>0</v>
      </c>
      <c r="L3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5" s="4"/>
      <c r="N315" s="46">
        <f>IF(AR[[#This Row],[Collection date - override (dd/mm/yyyy)]] &lt;&gt; "", AR[[#This Row],[Collection date - override (dd/mm/yyyy)]], AR[[#This Row],[Due date (dd/mm/yyyy)]])</f>
        <v>0</v>
      </c>
      <c r="O315" s="46">
        <f t="shared" si="4"/>
        <v>52</v>
      </c>
    </row>
    <row r="316" spans="3:15" x14ac:dyDescent="0.25">
      <c r="C316" s="28"/>
      <c r="D316" s="20"/>
      <c r="E316" s="4"/>
      <c r="F316" s="37"/>
      <c r="G316" s="24"/>
      <c r="H316" s="51">
        <f>Assumptions!$D$15</f>
        <v>0.1</v>
      </c>
      <c r="I316" s="45">
        <f>IF(AR[[#This Row],[GST applies?]] = "Yes", (AR[[#This Row],[Invoice value inc. VAT]] / 1 + AR[[#This Row],[GST %]]) * AR[[#This Row],[GST %]], 0)</f>
        <v>0</v>
      </c>
      <c r="J316" s="31">
        <f>_xlfn.XLOOKUP(AR[[#This Row],[Customer name]], Customer_master[Customer name], Customer_master[EOM or Net], 0)</f>
        <v>0</v>
      </c>
      <c r="K316" s="31">
        <f>_xlfn.XLOOKUP(AR[[#This Row],[Customer name]], Customer_master[Customer name], Customer_master[Terms days], 0)</f>
        <v>0</v>
      </c>
      <c r="L3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6" s="4"/>
      <c r="N316" s="46">
        <f>IF(AR[[#This Row],[Collection date - override (dd/mm/yyyy)]] &lt;&gt; "", AR[[#This Row],[Collection date - override (dd/mm/yyyy)]], AR[[#This Row],[Due date (dd/mm/yyyy)]])</f>
        <v>0</v>
      </c>
      <c r="O316" s="46">
        <f t="shared" si="4"/>
        <v>52</v>
      </c>
    </row>
    <row r="317" spans="3:15" x14ac:dyDescent="0.25">
      <c r="C317" s="28"/>
      <c r="D317" s="20"/>
      <c r="E317" s="4"/>
      <c r="F317" s="37"/>
      <c r="G317" s="24"/>
      <c r="H317" s="51">
        <f>Assumptions!$D$15</f>
        <v>0.1</v>
      </c>
      <c r="I317" s="45">
        <f>IF(AR[[#This Row],[GST applies?]] = "Yes", (AR[[#This Row],[Invoice value inc. VAT]] / 1 + AR[[#This Row],[GST %]]) * AR[[#This Row],[GST %]], 0)</f>
        <v>0</v>
      </c>
      <c r="J317" s="31">
        <f>_xlfn.XLOOKUP(AR[[#This Row],[Customer name]], Customer_master[Customer name], Customer_master[EOM or Net], 0)</f>
        <v>0</v>
      </c>
      <c r="K317" s="31">
        <f>_xlfn.XLOOKUP(AR[[#This Row],[Customer name]], Customer_master[Customer name], Customer_master[Terms days], 0)</f>
        <v>0</v>
      </c>
      <c r="L3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7" s="4"/>
      <c r="N317" s="46">
        <f>IF(AR[[#This Row],[Collection date - override (dd/mm/yyyy)]] &lt;&gt; "", AR[[#This Row],[Collection date - override (dd/mm/yyyy)]], AR[[#This Row],[Due date (dd/mm/yyyy)]])</f>
        <v>0</v>
      </c>
      <c r="O317" s="46">
        <f t="shared" si="4"/>
        <v>52</v>
      </c>
    </row>
    <row r="318" spans="3:15" x14ac:dyDescent="0.25">
      <c r="C318" s="28"/>
      <c r="D318" s="20"/>
      <c r="E318" s="4"/>
      <c r="F318" s="37"/>
      <c r="G318" s="24"/>
      <c r="H318" s="51">
        <f>Assumptions!$D$15</f>
        <v>0.1</v>
      </c>
      <c r="I318" s="45">
        <f>IF(AR[[#This Row],[GST applies?]] = "Yes", (AR[[#This Row],[Invoice value inc. VAT]] / 1 + AR[[#This Row],[GST %]]) * AR[[#This Row],[GST %]], 0)</f>
        <v>0</v>
      </c>
      <c r="J318" s="31">
        <f>_xlfn.XLOOKUP(AR[[#This Row],[Customer name]], Customer_master[Customer name], Customer_master[EOM or Net], 0)</f>
        <v>0</v>
      </c>
      <c r="K318" s="31">
        <f>_xlfn.XLOOKUP(AR[[#This Row],[Customer name]], Customer_master[Customer name], Customer_master[Terms days], 0)</f>
        <v>0</v>
      </c>
      <c r="L3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8" s="4"/>
      <c r="N318" s="46">
        <f>IF(AR[[#This Row],[Collection date - override (dd/mm/yyyy)]] &lt;&gt; "", AR[[#This Row],[Collection date - override (dd/mm/yyyy)]], AR[[#This Row],[Due date (dd/mm/yyyy)]])</f>
        <v>0</v>
      </c>
      <c r="O318" s="46">
        <f t="shared" si="4"/>
        <v>52</v>
      </c>
    </row>
    <row r="319" spans="3:15" x14ac:dyDescent="0.25">
      <c r="C319" s="28"/>
      <c r="D319" s="20"/>
      <c r="E319" s="4"/>
      <c r="F319" s="37"/>
      <c r="G319" s="24"/>
      <c r="H319" s="51">
        <f>Assumptions!$D$15</f>
        <v>0.1</v>
      </c>
      <c r="I319" s="45">
        <f>IF(AR[[#This Row],[GST applies?]] = "Yes", (AR[[#This Row],[Invoice value inc. VAT]] / 1 + AR[[#This Row],[GST %]]) * AR[[#This Row],[GST %]], 0)</f>
        <v>0</v>
      </c>
      <c r="J319" s="31">
        <f>_xlfn.XLOOKUP(AR[[#This Row],[Customer name]], Customer_master[Customer name], Customer_master[EOM or Net], 0)</f>
        <v>0</v>
      </c>
      <c r="K319" s="31">
        <f>_xlfn.XLOOKUP(AR[[#This Row],[Customer name]], Customer_master[Customer name], Customer_master[Terms days], 0)</f>
        <v>0</v>
      </c>
      <c r="L3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9" s="4"/>
      <c r="N319" s="46">
        <f>IF(AR[[#This Row],[Collection date - override (dd/mm/yyyy)]] &lt;&gt; "", AR[[#This Row],[Collection date - override (dd/mm/yyyy)]], AR[[#This Row],[Due date (dd/mm/yyyy)]])</f>
        <v>0</v>
      </c>
      <c r="O319" s="46">
        <f t="shared" si="4"/>
        <v>52</v>
      </c>
    </row>
    <row r="320" spans="3:15" x14ac:dyDescent="0.25">
      <c r="C320" s="28"/>
      <c r="D320" s="20"/>
      <c r="E320" s="4"/>
      <c r="F320" s="37"/>
      <c r="G320" s="24"/>
      <c r="H320" s="51">
        <f>Assumptions!$D$15</f>
        <v>0.1</v>
      </c>
      <c r="I320" s="45">
        <f>IF(AR[[#This Row],[GST applies?]] = "Yes", (AR[[#This Row],[Invoice value inc. VAT]] / 1 + AR[[#This Row],[GST %]]) * AR[[#This Row],[GST %]], 0)</f>
        <v>0</v>
      </c>
      <c r="J320" s="31">
        <f>_xlfn.XLOOKUP(AR[[#This Row],[Customer name]], Customer_master[Customer name], Customer_master[EOM or Net], 0)</f>
        <v>0</v>
      </c>
      <c r="K320" s="31">
        <f>_xlfn.XLOOKUP(AR[[#This Row],[Customer name]], Customer_master[Customer name], Customer_master[Terms days], 0)</f>
        <v>0</v>
      </c>
      <c r="L3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0" s="4"/>
      <c r="N320" s="46">
        <f>IF(AR[[#This Row],[Collection date - override (dd/mm/yyyy)]] &lt;&gt; "", AR[[#This Row],[Collection date - override (dd/mm/yyyy)]], AR[[#This Row],[Due date (dd/mm/yyyy)]])</f>
        <v>0</v>
      </c>
      <c r="O320" s="46">
        <f t="shared" si="4"/>
        <v>52</v>
      </c>
    </row>
    <row r="321" spans="3:15" x14ac:dyDescent="0.25">
      <c r="C321" s="28"/>
      <c r="D321" s="20"/>
      <c r="E321" s="4"/>
      <c r="F321" s="37"/>
      <c r="G321" s="24"/>
      <c r="H321" s="51">
        <f>Assumptions!$D$15</f>
        <v>0.1</v>
      </c>
      <c r="I321" s="45">
        <f>IF(AR[[#This Row],[GST applies?]] = "Yes", (AR[[#This Row],[Invoice value inc. VAT]] / 1 + AR[[#This Row],[GST %]]) * AR[[#This Row],[GST %]], 0)</f>
        <v>0</v>
      </c>
      <c r="J321" s="31">
        <f>_xlfn.XLOOKUP(AR[[#This Row],[Customer name]], Customer_master[Customer name], Customer_master[EOM or Net], 0)</f>
        <v>0</v>
      </c>
      <c r="K321" s="31">
        <f>_xlfn.XLOOKUP(AR[[#This Row],[Customer name]], Customer_master[Customer name], Customer_master[Terms days], 0)</f>
        <v>0</v>
      </c>
      <c r="L3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1" s="4"/>
      <c r="N321" s="46">
        <f>IF(AR[[#This Row],[Collection date - override (dd/mm/yyyy)]] &lt;&gt; "", AR[[#This Row],[Collection date - override (dd/mm/yyyy)]], AR[[#This Row],[Due date (dd/mm/yyyy)]])</f>
        <v>0</v>
      </c>
      <c r="O321" s="46">
        <f t="shared" si="4"/>
        <v>52</v>
      </c>
    </row>
    <row r="322" spans="3:15" x14ac:dyDescent="0.25">
      <c r="C322" s="28"/>
      <c r="D322" s="20"/>
      <c r="E322" s="4"/>
      <c r="F322" s="37"/>
      <c r="G322" s="24"/>
      <c r="H322" s="51">
        <f>Assumptions!$D$15</f>
        <v>0.1</v>
      </c>
      <c r="I322" s="45">
        <f>IF(AR[[#This Row],[GST applies?]] = "Yes", (AR[[#This Row],[Invoice value inc. VAT]] / 1 + AR[[#This Row],[GST %]]) * AR[[#This Row],[GST %]], 0)</f>
        <v>0</v>
      </c>
      <c r="J322" s="31">
        <f>_xlfn.XLOOKUP(AR[[#This Row],[Customer name]], Customer_master[Customer name], Customer_master[EOM or Net], 0)</f>
        <v>0</v>
      </c>
      <c r="K322" s="31">
        <f>_xlfn.XLOOKUP(AR[[#This Row],[Customer name]], Customer_master[Customer name], Customer_master[Terms days], 0)</f>
        <v>0</v>
      </c>
      <c r="L3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2" s="4"/>
      <c r="N322" s="46">
        <f>IF(AR[[#This Row],[Collection date - override (dd/mm/yyyy)]] &lt;&gt; "", AR[[#This Row],[Collection date - override (dd/mm/yyyy)]], AR[[#This Row],[Due date (dd/mm/yyyy)]])</f>
        <v>0</v>
      </c>
      <c r="O322" s="46">
        <f t="shared" si="4"/>
        <v>52</v>
      </c>
    </row>
    <row r="323" spans="3:15" x14ac:dyDescent="0.25">
      <c r="C323" s="28"/>
      <c r="D323" s="20"/>
      <c r="E323" s="4"/>
      <c r="F323" s="37"/>
      <c r="G323" s="24"/>
      <c r="H323" s="51">
        <f>Assumptions!$D$15</f>
        <v>0.1</v>
      </c>
      <c r="I323" s="45">
        <f>IF(AR[[#This Row],[GST applies?]] = "Yes", (AR[[#This Row],[Invoice value inc. VAT]] / 1 + AR[[#This Row],[GST %]]) * AR[[#This Row],[GST %]], 0)</f>
        <v>0</v>
      </c>
      <c r="J323" s="31">
        <f>_xlfn.XLOOKUP(AR[[#This Row],[Customer name]], Customer_master[Customer name], Customer_master[EOM or Net], 0)</f>
        <v>0</v>
      </c>
      <c r="K323" s="31">
        <f>_xlfn.XLOOKUP(AR[[#This Row],[Customer name]], Customer_master[Customer name], Customer_master[Terms days], 0)</f>
        <v>0</v>
      </c>
      <c r="L3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3" s="4"/>
      <c r="N323" s="46">
        <f>IF(AR[[#This Row],[Collection date - override (dd/mm/yyyy)]] &lt;&gt; "", AR[[#This Row],[Collection date - override (dd/mm/yyyy)]], AR[[#This Row],[Due date (dd/mm/yyyy)]])</f>
        <v>0</v>
      </c>
      <c r="O323" s="46">
        <f t="shared" si="4"/>
        <v>52</v>
      </c>
    </row>
    <row r="324" spans="3:15" x14ac:dyDescent="0.25">
      <c r="C324" s="28"/>
      <c r="D324" s="20"/>
      <c r="E324" s="4"/>
      <c r="F324" s="37"/>
      <c r="G324" s="24"/>
      <c r="H324" s="51">
        <f>Assumptions!$D$15</f>
        <v>0.1</v>
      </c>
      <c r="I324" s="45">
        <f>IF(AR[[#This Row],[GST applies?]] = "Yes", (AR[[#This Row],[Invoice value inc. VAT]] / 1 + AR[[#This Row],[GST %]]) * AR[[#This Row],[GST %]], 0)</f>
        <v>0</v>
      </c>
      <c r="J324" s="31">
        <f>_xlfn.XLOOKUP(AR[[#This Row],[Customer name]], Customer_master[Customer name], Customer_master[EOM or Net], 0)</f>
        <v>0</v>
      </c>
      <c r="K324" s="31">
        <f>_xlfn.XLOOKUP(AR[[#This Row],[Customer name]], Customer_master[Customer name], Customer_master[Terms days], 0)</f>
        <v>0</v>
      </c>
      <c r="L3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4" s="4"/>
      <c r="N324" s="46">
        <f>IF(AR[[#This Row],[Collection date - override (dd/mm/yyyy)]] &lt;&gt; "", AR[[#This Row],[Collection date - override (dd/mm/yyyy)]], AR[[#This Row],[Due date (dd/mm/yyyy)]])</f>
        <v>0</v>
      </c>
      <c r="O324" s="46">
        <f t="shared" si="4"/>
        <v>52</v>
      </c>
    </row>
    <row r="325" spans="3:15" x14ac:dyDescent="0.25">
      <c r="C325" s="28"/>
      <c r="D325" s="20"/>
      <c r="E325" s="4"/>
      <c r="F325" s="37"/>
      <c r="G325" s="24"/>
      <c r="H325" s="51">
        <f>Assumptions!$D$15</f>
        <v>0.1</v>
      </c>
      <c r="I325" s="45">
        <f>IF(AR[[#This Row],[GST applies?]] = "Yes", (AR[[#This Row],[Invoice value inc. VAT]] / 1 + AR[[#This Row],[GST %]]) * AR[[#This Row],[GST %]], 0)</f>
        <v>0</v>
      </c>
      <c r="J325" s="31">
        <f>_xlfn.XLOOKUP(AR[[#This Row],[Customer name]], Customer_master[Customer name], Customer_master[EOM or Net], 0)</f>
        <v>0</v>
      </c>
      <c r="K325" s="31">
        <f>_xlfn.XLOOKUP(AR[[#This Row],[Customer name]], Customer_master[Customer name], Customer_master[Terms days], 0)</f>
        <v>0</v>
      </c>
      <c r="L3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5" s="4"/>
      <c r="N325" s="46">
        <f>IF(AR[[#This Row],[Collection date - override (dd/mm/yyyy)]] &lt;&gt; "", AR[[#This Row],[Collection date - override (dd/mm/yyyy)]], AR[[#This Row],[Due date (dd/mm/yyyy)]])</f>
        <v>0</v>
      </c>
      <c r="O325" s="46">
        <f t="shared" si="4"/>
        <v>52</v>
      </c>
    </row>
    <row r="326" spans="3:15" x14ac:dyDescent="0.25">
      <c r="C326" s="28"/>
      <c r="D326" s="20"/>
      <c r="E326" s="4"/>
      <c r="F326" s="37"/>
      <c r="G326" s="24"/>
      <c r="H326" s="51">
        <f>Assumptions!$D$15</f>
        <v>0.1</v>
      </c>
      <c r="I326" s="45">
        <f>IF(AR[[#This Row],[GST applies?]] = "Yes", (AR[[#This Row],[Invoice value inc. VAT]] / 1 + AR[[#This Row],[GST %]]) * AR[[#This Row],[GST %]], 0)</f>
        <v>0</v>
      </c>
      <c r="J326" s="31">
        <f>_xlfn.XLOOKUP(AR[[#This Row],[Customer name]], Customer_master[Customer name], Customer_master[EOM or Net], 0)</f>
        <v>0</v>
      </c>
      <c r="K326" s="31">
        <f>_xlfn.XLOOKUP(AR[[#This Row],[Customer name]], Customer_master[Customer name], Customer_master[Terms days], 0)</f>
        <v>0</v>
      </c>
      <c r="L3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6" s="4"/>
      <c r="N326" s="46">
        <f>IF(AR[[#This Row],[Collection date - override (dd/mm/yyyy)]] &lt;&gt; "", AR[[#This Row],[Collection date - override (dd/mm/yyyy)]], AR[[#This Row],[Due date (dd/mm/yyyy)]])</f>
        <v>0</v>
      </c>
      <c r="O326" s="46">
        <f t="shared" si="4"/>
        <v>52</v>
      </c>
    </row>
    <row r="327" spans="3:15" x14ac:dyDescent="0.25">
      <c r="C327" s="28"/>
      <c r="D327" s="20"/>
      <c r="E327" s="4"/>
      <c r="F327" s="37"/>
      <c r="G327" s="24"/>
      <c r="H327" s="51">
        <f>Assumptions!$D$15</f>
        <v>0.1</v>
      </c>
      <c r="I327" s="45">
        <f>IF(AR[[#This Row],[GST applies?]] = "Yes", (AR[[#This Row],[Invoice value inc. VAT]] / 1 + AR[[#This Row],[GST %]]) * AR[[#This Row],[GST %]], 0)</f>
        <v>0</v>
      </c>
      <c r="J327" s="31">
        <f>_xlfn.XLOOKUP(AR[[#This Row],[Customer name]], Customer_master[Customer name], Customer_master[EOM or Net], 0)</f>
        <v>0</v>
      </c>
      <c r="K327" s="31">
        <f>_xlfn.XLOOKUP(AR[[#This Row],[Customer name]], Customer_master[Customer name], Customer_master[Terms days], 0)</f>
        <v>0</v>
      </c>
      <c r="L3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7" s="4"/>
      <c r="N327" s="46">
        <f>IF(AR[[#This Row],[Collection date - override (dd/mm/yyyy)]] &lt;&gt; "", AR[[#This Row],[Collection date - override (dd/mm/yyyy)]], AR[[#This Row],[Due date (dd/mm/yyyy)]])</f>
        <v>0</v>
      </c>
      <c r="O327" s="46">
        <f t="shared" si="4"/>
        <v>52</v>
      </c>
    </row>
    <row r="328" spans="3:15" x14ac:dyDescent="0.25">
      <c r="C328" s="28"/>
      <c r="D328" s="20"/>
      <c r="E328" s="4"/>
      <c r="F328" s="37"/>
      <c r="G328" s="24"/>
      <c r="H328" s="51">
        <f>Assumptions!$D$15</f>
        <v>0.1</v>
      </c>
      <c r="I328" s="45">
        <f>IF(AR[[#This Row],[GST applies?]] = "Yes", (AR[[#This Row],[Invoice value inc. VAT]] / 1 + AR[[#This Row],[GST %]]) * AR[[#This Row],[GST %]], 0)</f>
        <v>0</v>
      </c>
      <c r="J328" s="31">
        <f>_xlfn.XLOOKUP(AR[[#This Row],[Customer name]], Customer_master[Customer name], Customer_master[EOM or Net], 0)</f>
        <v>0</v>
      </c>
      <c r="K328" s="31">
        <f>_xlfn.XLOOKUP(AR[[#This Row],[Customer name]], Customer_master[Customer name], Customer_master[Terms days], 0)</f>
        <v>0</v>
      </c>
      <c r="L3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8" s="4"/>
      <c r="N328" s="46">
        <f>IF(AR[[#This Row],[Collection date - override (dd/mm/yyyy)]] &lt;&gt; "", AR[[#This Row],[Collection date - override (dd/mm/yyyy)]], AR[[#This Row],[Due date (dd/mm/yyyy)]])</f>
        <v>0</v>
      </c>
      <c r="O328" s="46">
        <f t="shared" si="4"/>
        <v>52</v>
      </c>
    </row>
    <row r="329" spans="3:15" x14ac:dyDescent="0.25">
      <c r="C329" s="28"/>
      <c r="D329" s="20"/>
      <c r="E329" s="4"/>
      <c r="F329" s="37"/>
      <c r="G329" s="24"/>
      <c r="H329" s="51">
        <f>Assumptions!$D$15</f>
        <v>0.1</v>
      </c>
      <c r="I329" s="45">
        <f>IF(AR[[#This Row],[GST applies?]] = "Yes", (AR[[#This Row],[Invoice value inc. VAT]] / 1 + AR[[#This Row],[GST %]]) * AR[[#This Row],[GST %]], 0)</f>
        <v>0</v>
      </c>
      <c r="J329" s="31">
        <f>_xlfn.XLOOKUP(AR[[#This Row],[Customer name]], Customer_master[Customer name], Customer_master[EOM or Net], 0)</f>
        <v>0</v>
      </c>
      <c r="K329" s="31">
        <f>_xlfn.XLOOKUP(AR[[#This Row],[Customer name]], Customer_master[Customer name], Customer_master[Terms days], 0)</f>
        <v>0</v>
      </c>
      <c r="L3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9" s="4"/>
      <c r="N329" s="46">
        <f>IF(AR[[#This Row],[Collection date - override (dd/mm/yyyy)]] &lt;&gt; "", AR[[#This Row],[Collection date - override (dd/mm/yyyy)]], AR[[#This Row],[Due date (dd/mm/yyyy)]])</f>
        <v>0</v>
      </c>
      <c r="O329" s="46">
        <f t="shared" ref="O329:O392" si="5">IF(GST_Freq="Monthly",
    DATE(YEAR(E329), MONTH(E329) + 1, 21),
    IF(GST_Freq="Quarterly",
        IF(MOD(MONTH(E329) + 2 - MOD(MOD(MONTH(E329) - GST_First_Month, 12), 3), 12) = 0,
            DATE(YEAR(E329), MONTH(E329) + 4 - MOD(MOD(MONTH(E329) - GST_First_Month, 12), 3), 28),
            DATE(YEAR(E329), MONTH(E329) + 3 - MOD(MOD(MONTH(E329) - GST_First_Month, 12), 3), 28)
        ),
        "Invalid frequency"
    )
)</f>
        <v>52</v>
      </c>
    </row>
    <row r="330" spans="3:15" x14ac:dyDescent="0.25">
      <c r="C330" s="28"/>
      <c r="D330" s="20"/>
      <c r="E330" s="4"/>
      <c r="F330" s="37"/>
      <c r="G330" s="24"/>
      <c r="H330" s="51">
        <f>Assumptions!$D$15</f>
        <v>0.1</v>
      </c>
      <c r="I330" s="45">
        <f>IF(AR[[#This Row],[GST applies?]] = "Yes", (AR[[#This Row],[Invoice value inc. VAT]] / 1 + AR[[#This Row],[GST %]]) * AR[[#This Row],[GST %]], 0)</f>
        <v>0</v>
      </c>
      <c r="J330" s="31">
        <f>_xlfn.XLOOKUP(AR[[#This Row],[Customer name]], Customer_master[Customer name], Customer_master[EOM or Net], 0)</f>
        <v>0</v>
      </c>
      <c r="K330" s="31">
        <f>_xlfn.XLOOKUP(AR[[#This Row],[Customer name]], Customer_master[Customer name], Customer_master[Terms days], 0)</f>
        <v>0</v>
      </c>
      <c r="L3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0" s="4"/>
      <c r="N330" s="46">
        <f>IF(AR[[#This Row],[Collection date - override (dd/mm/yyyy)]] &lt;&gt; "", AR[[#This Row],[Collection date - override (dd/mm/yyyy)]], AR[[#This Row],[Due date (dd/mm/yyyy)]])</f>
        <v>0</v>
      </c>
      <c r="O330" s="46">
        <f t="shared" si="5"/>
        <v>52</v>
      </c>
    </row>
    <row r="331" spans="3:15" x14ac:dyDescent="0.25">
      <c r="C331" s="28"/>
      <c r="D331" s="20"/>
      <c r="E331" s="4"/>
      <c r="F331" s="37"/>
      <c r="G331" s="24"/>
      <c r="H331" s="51">
        <f>Assumptions!$D$15</f>
        <v>0.1</v>
      </c>
      <c r="I331" s="45">
        <f>IF(AR[[#This Row],[GST applies?]] = "Yes", (AR[[#This Row],[Invoice value inc. VAT]] / 1 + AR[[#This Row],[GST %]]) * AR[[#This Row],[GST %]], 0)</f>
        <v>0</v>
      </c>
      <c r="J331" s="31">
        <f>_xlfn.XLOOKUP(AR[[#This Row],[Customer name]], Customer_master[Customer name], Customer_master[EOM or Net], 0)</f>
        <v>0</v>
      </c>
      <c r="K331" s="31">
        <f>_xlfn.XLOOKUP(AR[[#This Row],[Customer name]], Customer_master[Customer name], Customer_master[Terms days], 0)</f>
        <v>0</v>
      </c>
      <c r="L3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1" s="4"/>
      <c r="N331" s="46">
        <f>IF(AR[[#This Row],[Collection date - override (dd/mm/yyyy)]] &lt;&gt; "", AR[[#This Row],[Collection date - override (dd/mm/yyyy)]], AR[[#This Row],[Due date (dd/mm/yyyy)]])</f>
        <v>0</v>
      </c>
      <c r="O331" s="46">
        <f t="shared" si="5"/>
        <v>52</v>
      </c>
    </row>
    <row r="332" spans="3:15" x14ac:dyDescent="0.25">
      <c r="C332" s="28"/>
      <c r="D332" s="20"/>
      <c r="E332" s="4"/>
      <c r="F332" s="37"/>
      <c r="G332" s="24"/>
      <c r="H332" s="51">
        <f>Assumptions!$D$15</f>
        <v>0.1</v>
      </c>
      <c r="I332" s="45">
        <f>IF(AR[[#This Row],[GST applies?]] = "Yes", (AR[[#This Row],[Invoice value inc. VAT]] / 1 + AR[[#This Row],[GST %]]) * AR[[#This Row],[GST %]], 0)</f>
        <v>0</v>
      </c>
      <c r="J332" s="31">
        <f>_xlfn.XLOOKUP(AR[[#This Row],[Customer name]], Customer_master[Customer name], Customer_master[EOM or Net], 0)</f>
        <v>0</v>
      </c>
      <c r="K332" s="31">
        <f>_xlfn.XLOOKUP(AR[[#This Row],[Customer name]], Customer_master[Customer name], Customer_master[Terms days], 0)</f>
        <v>0</v>
      </c>
      <c r="L3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2" s="4"/>
      <c r="N332" s="46">
        <f>IF(AR[[#This Row],[Collection date - override (dd/mm/yyyy)]] &lt;&gt; "", AR[[#This Row],[Collection date - override (dd/mm/yyyy)]], AR[[#This Row],[Due date (dd/mm/yyyy)]])</f>
        <v>0</v>
      </c>
      <c r="O332" s="46">
        <f t="shared" si="5"/>
        <v>52</v>
      </c>
    </row>
    <row r="333" spans="3:15" x14ac:dyDescent="0.25">
      <c r="C333" s="28"/>
      <c r="D333" s="20"/>
      <c r="E333" s="4"/>
      <c r="F333" s="37"/>
      <c r="G333" s="24"/>
      <c r="H333" s="51">
        <f>Assumptions!$D$15</f>
        <v>0.1</v>
      </c>
      <c r="I333" s="45">
        <f>IF(AR[[#This Row],[GST applies?]] = "Yes", (AR[[#This Row],[Invoice value inc. VAT]] / 1 + AR[[#This Row],[GST %]]) * AR[[#This Row],[GST %]], 0)</f>
        <v>0</v>
      </c>
      <c r="J333" s="31">
        <f>_xlfn.XLOOKUP(AR[[#This Row],[Customer name]], Customer_master[Customer name], Customer_master[EOM or Net], 0)</f>
        <v>0</v>
      </c>
      <c r="K333" s="31">
        <f>_xlfn.XLOOKUP(AR[[#This Row],[Customer name]], Customer_master[Customer name], Customer_master[Terms days], 0)</f>
        <v>0</v>
      </c>
      <c r="L3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3" s="4"/>
      <c r="N333" s="46">
        <f>IF(AR[[#This Row],[Collection date - override (dd/mm/yyyy)]] &lt;&gt; "", AR[[#This Row],[Collection date - override (dd/mm/yyyy)]], AR[[#This Row],[Due date (dd/mm/yyyy)]])</f>
        <v>0</v>
      </c>
      <c r="O333" s="46">
        <f t="shared" si="5"/>
        <v>52</v>
      </c>
    </row>
    <row r="334" spans="3:15" x14ac:dyDescent="0.25">
      <c r="C334" s="28"/>
      <c r="D334" s="20"/>
      <c r="E334" s="4"/>
      <c r="F334" s="37"/>
      <c r="G334" s="24"/>
      <c r="H334" s="51">
        <f>Assumptions!$D$15</f>
        <v>0.1</v>
      </c>
      <c r="I334" s="45">
        <f>IF(AR[[#This Row],[GST applies?]] = "Yes", (AR[[#This Row],[Invoice value inc. VAT]] / 1 + AR[[#This Row],[GST %]]) * AR[[#This Row],[GST %]], 0)</f>
        <v>0</v>
      </c>
      <c r="J334" s="31">
        <f>_xlfn.XLOOKUP(AR[[#This Row],[Customer name]], Customer_master[Customer name], Customer_master[EOM or Net], 0)</f>
        <v>0</v>
      </c>
      <c r="K334" s="31">
        <f>_xlfn.XLOOKUP(AR[[#This Row],[Customer name]], Customer_master[Customer name], Customer_master[Terms days], 0)</f>
        <v>0</v>
      </c>
      <c r="L3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4" s="4"/>
      <c r="N334" s="46">
        <f>IF(AR[[#This Row],[Collection date - override (dd/mm/yyyy)]] &lt;&gt; "", AR[[#This Row],[Collection date - override (dd/mm/yyyy)]], AR[[#This Row],[Due date (dd/mm/yyyy)]])</f>
        <v>0</v>
      </c>
      <c r="O334" s="46">
        <f t="shared" si="5"/>
        <v>52</v>
      </c>
    </row>
    <row r="335" spans="3:15" x14ac:dyDescent="0.25">
      <c r="C335" s="28"/>
      <c r="D335" s="20"/>
      <c r="E335" s="4"/>
      <c r="F335" s="37"/>
      <c r="G335" s="24"/>
      <c r="H335" s="51">
        <f>Assumptions!$D$15</f>
        <v>0.1</v>
      </c>
      <c r="I335" s="45">
        <f>IF(AR[[#This Row],[GST applies?]] = "Yes", (AR[[#This Row],[Invoice value inc. VAT]] / 1 + AR[[#This Row],[GST %]]) * AR[[#This Row],[GST %]], 0)</f>
        <v>0</v>
      </c>
      <c r="J335" s="31">
        <f>_xlfn.XLOOKUP(AR[[#This Row],[Customer name]], Customer_master[Customer name], Customer_master[EOM or Net], 0)</f>
        <v>0</v>
      </c>
      <c r="K335" s="31">
        <f>_xlfn.XLOOKUP(AR[[#This Row],[Customer name]], Customer_master[Customer name], Customer_master[Terms days], 0)</f>
        <v>0</v>
      </c>
      <c r="L3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5" s="4"/>
      <c r="N335" s="46">
        <f>IF(AR[[#This Row],[Collection date - override (dd/mm/yyyy)]] &lt;&gt; "", AR[[#This Row],[Collection date - override (dd/mm/yyyy)]], AR[[#This Row],[Due date (dd/mm/yyyy)]])</f>
        <v>0</v>
      </c>
      <c r="O335" s="46">
        <f t="shared" si="5"/>
        <v>52</v>
      </c>
    </row>
    <row r="336" spans="3:15" x14ac:dyDescent="0.25">
      <c r="C336" s="28"/>
      <c r="D336" s="20"/>
      <c r="E336" s="4"/>
      <c r="F336" s="37"/>
      <c r="G336" s="24"/>
      <c r="H336" s="51">
        <f>Assumptions!$D$15</f>
        <v>0.1</v>
      </c>
      <c r="I336" s="45">
        <f>IF(AR[[#This Row],[GST applies?]] = "Yes", (AR[[#This Row],[Invoice value inc. VAT]] / 1 + AR[[#This Row],[GST %]]) * AR[[#This Row],[GST %]], 0)</f>
        <v>0</v>
      </c>
      <c r="J336" s="31">
        <f>_xlfn.XLOOKUP(AR[[#This Row],[Customer name]], Customer_master[Customer name], Customer_master[EOM or Net], 0)</f>
        <v>0</v>
      </c>
      <c r="K336" s="31">
        <f>_xlfn.XLOOKUP(AR[[#This Row],[Customer name]], Customer_master[Customer name], Customer_master[Terms days], 0)</f>
        <v>0</v>
      </c>
      <c r="L3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6" s="4"/>
      <c r="N336" s="46">
        <f>IF(AR[[#This Row],[Collection date - override (dd/mm/yyyy)]] &lt;&gt; "", AR[[#This Row],[Collection date - override (dd/mm/yyyy)]], AR[[#This Row],[Due date (dd/mm/yyyy)]])</f>
        <v>0</v>
      </c>
      <c r="O336" s="46">
        <f t="shared" si="5"/>
        <v>52</v>
      </c>
    </row>
    <row r="337" spans="3:15" x14ac:dyDescent="0.25">
      <c r="C337" s="28"/>
      <c r="D337" s="20"/>
      <c r="E337" s="4"/>
      <c r="F337" s="37"/>
      <c r="G337" s="24"/>
      <c r="H337" s="51">
        <f>Assumptions!$D$15</f>
        <v>0.1</v>
      </c>
      <c r="I337" s="45">
        <f>IF(AR[[#This Row],[GST applies?]] = "Yes", (AR[[#This Row],[Invoice value inc. VAT]] / 1 + AR[[#This Row],[GST %]]) * AR[[#This Row],[GST %]], 0)</f>
        <v>0</v>
      </c>
      <c r="J337" s="31">
        <f>_xlfn.XLOOKUP(AR[[#This Row],[Customer name]], Customer_master[Customer name], Customer_master[EOM or Net], 0)</f>
        <v>0</v>
      </c>
      <c r="K337" s="31">
        <f>_xlfn.XLOOKUP(AR[[#This Row],[Customer name]], Customer_master[Customer name], Customer_master[Terms days], 0)</f>
        <v>0</v>
      </c>
      <c r="L3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7" s="4"/>
      <c r="N337" s="46">
        <f>IF(AR[[#This Row],[Collection date - override (dd/mm/yyyy)]] &lt;&gt; "", AR[[#This Row],[Collection date - override (dd/mm/yyyy)]], AR[[#This Row],[Due date (dd/mm/yyyy)]])</f>
        <v>0</v>
      </c>
      <c r="O337" s="46">
        <f t="shared" si="5"/>
        <v>52</v>
      </c>
    </row>
    <row r="338" spans="3:15" x14ac:dyDescent="0.25">
      <c r="C338" s="28"/>
      <c r="D338" s="20"/>
      <c r="E338" s="4"/>
      <c r="F338" s="37"/>
      <c r="G338" s="24"/>
      <c r="H338" s="51">
        <f>Assumptions!$D$15</f>
        <v>0.1</v>
      </c>
      <c r="I338" s="45">
        <f>IF(AR[[#This Row],[GST applies?]] = "Yes", (AR[[#This Row],[Invoice value inc. VAT]] / 1 + AR[[#This Row],[GST %]]) * AR[[#This Row],[GST %]], 0)</f>
        <v>0</v>
      </c>
      <c r="J338" s="31">
        <f>_xlfn.XLOOKUP(AR[[#This Row],[Customer name]], Customer_master[Customer name], Customer_master[EOM or Net], 0)</f>
        <v>0</v>
      </c>
      <c r="K338" s="31">
        <f>_xlfn.XLOOKUP(AR[[#This Row],[Customer name]], Customer_master[Customer name], Customer_master[Terms days], 0)</f>
        <v>0</v>
      </c>
      <c r="L3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8" s="4"/>
      <c r="N338" s="46">
        <f>IF(AR[[#This Row],[Collection date - override (dd/mm/yyyy)]] &lt;&gt; "", AR[[#This Row],[Collection date - override (dd/mm/yyyy)]], AR[[#This Row],[Due date (dd/mm/yyyy)]])</f>
        <v>0</v>
      </c>
      <c r="O338" s="46">
        <f t="shared" si="5"/>
        <v>52</v>
      </c>
    </row>
    <row r="339" spans="3:15" x14ac:dyDescent="0.25">
      <c r="C339" s="28"/>
      <c r="D339" s="20"/>
      <c r="E339" s="4"/>
      <c r="F339" s="37"/>
      <c r="G339" s="24"/>
      <c r="H339" s="51">
        <f>Assumptions!$D$15</f>
        <v>0.1</v>
      </c>
      <c r="I339" s="45">
        <f>IF(AR[[#This Row],[GST applies?]] = "Yes", (AR[[#This Row],[Invoice value inc. VAT]] / 1 + AR[[#This Row],[GST %]]) * AR[[#This Row],[GST %]], 0)</f>
        <v>0</v>
      </c>
      <c r="J339" s="31">
        <f>_xlfn.XLOOKUP(AR[[#This Row],[Customer name]], Customer_master[Customer name], Customer_master[EOM or Net], 0)</f>
        <v>0</v>
      </c>
      <c r="K339" s="31">
        <f>_xlfn.XLOOKUP(AR[[#This Row],[Customer name]], Customer_master[Customer name], Customer_master[Terms days], 0)</f>
        <v>0</v>
      </c>
      <c r="L3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9" s="4"/>
      <c r="N339" s="46">
        <f>IF(AR[[#This Row],[Collection date - override (dd/mm/yyyy)]] &lt;&gt; "", AR[[#This Row],[Collection date - override (dd/mm/yyyy)]], AR[[#This Row],[Due date (dd/mm/yyyy)]])</f>
        <v>0</v>
      </c>
      <c r="O339" s="46">
        <f t="shared" si="5"/>
        <v>52</v>
      </c>
    </row>
    <row r="340" spans="3:15" x14ac:dyDescent="0.25">
      <c r="C340" s="28"/>
      <c r="D340" s="20"/>
      <c r="E340" s="4"/>
      <c r="F340" s="37"/>
      <c r="G340" s="24"/>
      <c r="H340" s="51">
        <f>Assumptions!$D$15</f>
        <v>0.1</v>
      </c>
      <c r="I340" s="45">
        <f>IF(AR[[#This Row],[GST applies?]] = "Yes", (AR[[#This Row],[Invoice value inc. VAT]] / 1 + AR[[#This Row],[GST %]]) * AR[[#This Row],[GST %]], 0)</f>
        <v>0</v>
      </c>
      <c r="J340" s="31">
        <f>_xlfn.XLOOKUP(AR[[#This Row],[Customer name]], Customer_master[Customer name], Customer_master[EOM or Net], 0)</f>
        <v>0</v>
      </c>
      <c r="K340" s="31">
        <f>_xlfn.XLOOKUP(AR[[#This Row],[Customer name]], Customer_master[Customer name], Customer_master[Terms days], 0)</f>
        <v>0</v>
      </c>
      <c r="L3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0" s="4"/>
      <c r="N340" s="46">
        <f>IF(AR[[#This Row],[Collection date - override (dd/mm/yyyy)]] &lt;&gt; "", AR[[#This Row],[Collection date - override (dd/mm/yyyy)]], AR[[#This Row],[Due date (dd/mm/yyyy)]])</f>
        <v>0</v>
      </c>
      <c r="O340" s="46">
        <f t="shared" si="5"/>
        <v>52</v>
      </c>
    </row>
    <row r="341" spans="3:15" x14ac:dyDescent="0.25">
      <c r="C341" s="28"/>
      <c r="D341" s="20"/>
      <c r="E341" s="4"/>
      <c r="F341" s="37"/>
      <c r="G341" s="24"/>
      <c r="H341" s="51">
        <f>Assumptions!$D$15</f>
        <v>0.1</v>
      </c>
      <c r="I341" s="45">
        <f>IF(AR[[#This Row],[GST applies?]] = "Yes", (AR[[#This Row],[Invoice value inc. VAT]] / 1 + AR[[#This Row],[GST %]]) * AR[[#This Row],[GST %]], 0)</f>
        <v>0</v>
      </c>
      <c r="J341" s="31">
        <f>_xlfn.XLOOKUP(AR[[#This Row],[Customer name]], Customer_master[Customer name], Customer_master[EOM or Net], 0)</f>
        <v>0</v>
      </c>
      <c r="K341" s="31">
        <f>_xlfn.XLOOKUP(AR[[#This Row],[Customer name]], Customer_master[Customer name], Customer_master[Terms days], 0)</f>
        <v>0</v>
      </c>
      <c r="L3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1" s="4"/>
      <c r="N341" s="46">
        <f>IF(AR[[#This Row],[Collection date - override (dd/mm/yyyy)]] &lt;&gt; "", AR[[#This Row],[Collection date - override (dd/mm/yyyy)]], AR[[#This Row],[Due date (dd/mm/yyyy)]])</f>
        <v>0</v>
      </c>
      <c r="O341" s="46">
        <f t="shared" si="5"/>
        <v>52</v>
      </c>
    </row>
    <row r="342" spans="3:15" x14ac:dyDescent="0.25">
      <c r="C342" s="28"/>
      <c r="D342" s="20"/>
      <c r="E342" s="4"/>
      <c r="F342" s="37"/>
      <c r="G342" s="24"/>
      <c r="H342" s="51">
        <f>Assumptions!$D$15</f>
        <v>0.1</v>
      </c>
      <c r="I342" s="45">
        <f>IF(AR[[#This Row],[GST applies?]] = "Yes", (AR[[#This Row],[Invoice value inc. VAT]] / 1 + AR[[#This Row],[GST %]]) * AR[[#This Row],[GST %]], 0)</f>
        <v>0</v>
      </c>
      <c r="J342" s="31">
        <f>_xlfn.XLOOKUP(AR[[#This Row],[Customer name]], Customer_master[Customer name], Customer_master[EOM or Net], 0)</f>
        <v>0</v>
      </c>
      <c r="K342" s="31">
        <f>_xlfn.XLOOKUP(AR[[#This Row],[Customer name]], Customer_master[Customer name], Customer_master[Terms days], 0)</f>
        <v>0</v>
      </c>
      <c r="L3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2" s="4"/>
      <c r="N342" s="46">
        <f>IF(AR[[#This Row],[Collection date - override (dd/mm/yyyy)]] &lt;&gt; "", AR[[#This Row],[Collection date - override (dd/mm/yyyy)]], AR[[#This Row],[Due date (dd/mm/yyyy)]])</f>
        <v>0</v>
      </c>
      <c r="O342" s="46">
        <f t="shared" si="5"/>
        <v>52</v>
      </c>
    </row>
    <row r="343" spans="3:15" x14ac:dyDescent="0.25">
      <c r="C343" s="28"/>
      <c r="D343" s="20"/>
      <c r="E343" s="4"/>
      <c r="F343" s="37"/>
      <c r="G343" s="24"/>
      <c r="H343" s="51">
        <f>Assumptions!$D$15</f>
        <v>0.1</v>
      </c>
      <c r="I343" s="45">
        <f>IF(AR[[#This Row],[GST applies?]] = "Yes", (AR[[#This Row],[Invoice value inc. VAT]] / 1 + AR[[#This Row],[GST %]]) * AR[[#This Row],[GST %]], 0)</f>
        <v>0</v>
      </c>
      <c r="J343" s="31">
        <f>_xlfn.XLOOKUP(AR[[#This Row],[Customer name]], Customer_master[Customer name], Customer_master[EOM or Net], 0)</f>
        <v>0</v>
      </c>
      <c r="K343" s="31">
        <f>_xlfn.XLOOKUP(AR[[#This Row],[Customer name]], Customer_master[Customer name], Customer_master[Terms days], 0)</f>
        <v>0</v>
      </c>
      <c r="L3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3" s="4"/>
      <c r="N343" s="46">
        <f>IF(AR[[#This Row],[Collection date - override (dd/mm/yyyy)]] &lt;&gt; "", AR[[#This Row],[Collection date - override (dd/mm/yyyy)]], AR[[#This Row],[Due date (dd/mm/yyyy)]])</f>
        <v>0</v>
      </c>
      <c r="O343" s="46">
        <f t="shared" si="5"/>
        <v>52</v>
      </c>
    </row>
    <row r="344" spans="3:15" x14ac:dyDescent="0.25">
      <c r="C344" s="28"/>
      <c r="D344" s="20"/>
      <c r="E344" s="4"/>
      <c r="F344" s="37"/>
      <c r="G344" s="24"/>
      <c r="H344" s="51">
        <f>Assumptions!$D$15</f>
        <v>0.1</v>
      </c>
      <c r="I344" s="45">
        <f>IF(AR[[#This Row],[GST applies?]] = "Yes", (AR[[#This Row],[Invoice value inc. VAT]] / 1 + AR[[#This Row],[GST %]]) * AR[[#This Row],[GST %]], 0)</f>
        <v>0</v>
      </c>
      <c r="J344" s="31">
        <f>_xlfn.XLOOKUP(AR[[#This Row],[Customer name]], Customer_master[Customer name], Customer_master[EOM or Net], 0)</f>
        <v>0</v>
      </c>
      <c r="K344" s="31">
        <f>_xlfn.XLOOKUP(AR[[#This Row],[Customer name]], Customer_master[Customer name], Customer_master[Terms days], 0)</f>
        <v>0</v>
      </c>
      <c r="L3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4" s="4"/>
      <c r="N344" s="46">
        <f>IF(AR[[#This Row],[Collection date - override (dd/mm/yyyy)]] &lt;&gt; "", AR[[#This Row],[Collection date - override (dd/mm/yyyy)]], AR[[#This Row],[Due date (dd/mm/yyyy)]])</f>
        <v>0</v>
      </c>
      <c r="O344" s="46">
        <f t="shared" si="5"/>
        <v>52</v>
      </c>
    </row>
    <row r="345" spans="3:15" x14ac:dyDescent="0.25">
      <c r="C345" s="28"/>
      <c r="D345" s="20"/>
      <c r="E345" s="4"/>
      <c r="F345" s="37"/>
      <c r="G345" s="24"/>
      <c r="H345" s="51">
        <f>Assumptions!$D$15</f>
        <v>0.1</v>
      </c>
      <c r="I345" s="45">
        <f>IF(AR[[#This Row],[GST applies?]] = "Yes", (AR[[#This Row],[Invoice value inc. VAT]] / 1 + AR[[#This Row],[GST %]]) * AR[[#This Row],[GST %]], 0)</f>
        <v>0</v>
      </c>
      <c r="J345" s="31">
        <f>_xlfn.XLOOKUP(AR[[#This Row],[Customer name]], Customer_master[Customer name], Customer_master[EOM or Net], 0)</f>
        <v>0</v>
      </c>
      <c r="K345" s="31">
        <f>_xlfn.XLOOKUP(AR[[#This Row],[Customer name]], Customer_master[Customer name], Customer_master[Terms days], 0)</f>
        <v>0</v>
      </c>
      <c r="L3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5" s="4"/>
      <c r="N345" s="46">
        <f>IF(AR[[#This Row],[Collection date - override (dd/mm/yyyy)]] &lt;&gt; "", AR[[#This Row],[Collection date - override (dd/mm/yyyy)]], AR[[#This Row],[Due date (dd/mm/yyyy)]])</f>
        <v>0</v>
      </c>
      <c r="O345" s="46">
        <f t="shared" si="5"/>
        <v>52</v>
      </c>
    </row>
    <row r="346" spans="3:15" x14ac:dyDescent="0.25">
      <c r="C346" s="28"/>
      <c r="D346" s="20"/>
      <c r="E346" s="4"/>
      <c r="F346" s="37"/>
      <c r="G346" s="24"/>
      <c r="H346" s="51">
        <f>Assumptions!$D$15</f>
        <v>0.1</v>
      </c>
      <c r="I346" s="45">
        <f>IF(AR[[#This Row],[GST applies?]] = "Yes", (AR[[#This Row],[Invoice value inc. VAT]] / 1 + AR[[#This Row],[GST %]]) * AR[[#This Row],[GST %]], 0)</f>
        <v>0</v>
      </c>
      <c r="J346" s="31">
        <f>_xlfn.XLOOKUP(AR[[#This Row],[Customer name]], Customer_master[Customer name], Customer_master[EOM or Net], 0)</f>
        <v>0</v>
      </c>
      <c r="K346" s="31">
        <f>_xlfn.XLOOKUP(AR[[#This Row],[Customer name]], Customer_master[Customer name], Customer_master[Terms days], 0)</f>
        <v>0</v>
      </c>
      <c r="L3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6" s="4"/>
      <c r="N346" s="46">
        <f>IF(AR[[#This Row],[Collection date - override (dd/mm/yyyy)]] &lt;&gt; "", AR[[#This Row],[Collection date - override (dd/mm/yyyy)]], AR[[#This Row],[Due date (dd/mm/yyyy)]])</f>
        <v>0</v>
      </c>
      <c r="O346" s="46">
        <f t="shared" si="5"/>
        <v>52</v>
      </c>
    </row>
    <row r="347" spans="3:15" x14ac:dyDescent="0.25">
      <c r="C347" s="28"/>
      <c r="D347" s="20"/>
      <c r="E347" s="4"/>
      <c r="F347" s="37"/>
      <c r="G347" s="24"/>
      <c r="H347" s="51">
        <f>Assumptions!$D$15</f>
        <v>0.1</v>
      </c>
      <c r="I347" s="45">
        <f>IF(AR[[#This Row],[GST applies?]] = "Yes", (AR[[#This Row],[Invoice value inc. VAT]] / 1 + AR[[#This Row],[GST %]]) * AR[[#This Row],[GST %]], 0)</f>
        <v>0</v>
      </c>
      <c r="J347" s="31">
        <f>_xlfn.XLOOKUP(AR[[#This Row],[Customer name]], Customer_master[Customer name], Customer_master[EOM or Net], 0)</f>
        <v>0</v>
      </c>
      <c r="K347" s="31">
        <f>_xlfn.XLOOKUP(AR[[#This Row],[Customer name]], Customer_master[Customer name], Customer_master[Terms days], 0)</f>
        <v>0</v>
      </c>
      <c r="L3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7" s="4"/>
      <c r="N347" s="46">
        <f>IF(AR[[#This Row],[Collection date - override (dd/mm/yyyy)]] &lt;&gt; "", AR[[#This Row],[Collection date - override (dd/mm/yyyy)]], AR[[#This Row],[Due date (dd/mm/yyyy)]])</f>
        <v>0</v>
      </c>
      <c r="O347" s="46">
        <f t="shared" si="5"/>
        <v>52</v>
      </c>
    </row>
    <row r="348" spans="3:15" x14ac:dyDescent="0.25">
      <c r="C348" s="28"/>
      <c r="D348" s="20"/>
      <c r="E348" s="4"/>
      <c r="F348" s="37"/>
      <c r="G348" s="24"/>
      <c r="H348" s="51">
        <f>Assumptions!$D$15</f>
        <v>0.1</v>
      </c>
      <c r="I348" s="45">
        <f>IF(AR[[#This Row],[GST applies?]] = "Yes", (AR[[#This Row],[Invoice value inc. VAT]] / 1 + AR[[#This Row],[GST %]]) * AR[[#This Row],[GST %]], 0)</f>
        <v>0</v>
      </c>
      <c r="J348" s="31">
        <f>_xlfn.XLOOKUP(AR[[#This Row],[Customer name]], Customer_master[Customer name], Customer_master[EOM or Net], 0)</f>
        <v>0</v>
      </c>
      <c r="K348" s="31">
        <f>_xlfn.XLOOKUP(AR[[#This Row],[Customer name]], Customer_master[Customer name], Customer_master[Terms days], 0)</f>
        <v>0</v>
      </c>
      <c r="L3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8" s="4"/>
      <c r="N348" s="46">
        <f>IF(AR[[#This Row],[Collection date - override (dd/mm/yyyy)]] &lt;&gt; "", AR[[#This Row],[Collection date - override (dd/mm/yyyy)]], AR[[#This Row],[Due date (dd/mm/yyyy)]])</f>
        <v>0</v>
      </c>
      <c r="O348" s="46">
        <f t="shared" si="5"/>
        <v>52</v>
      </c>
    </row>
    <row r="349" spans="3:15" x14ac:dyDescent="0.25">
      <c r="C349" s="28"/>
      <c r="D349" s="20"/>
      <c r="E349" s="4"/>
      <c r="F349" s="37"/>
      <c r="G349" s="24"/>
      <c r="H349" s="51">
        <f>Assumptions!$D$15</f>
        <v>0.1</v>
      </c>
      <c r="I349" s="45">
        <f>IF(AR[[#This Row],[GST applies?]] = "Yes", (AR[[#This Row],[Invoice value inc. VAT]] / 1 + AR[[#This Row],[GST %]]) * AR[[#This Row],[GST %]], 0)</f>
        <v>0</v>
      </c>
      <c r="J349" s="31">
        <f>_xlfn.XLOOKUP(AR[[#This Row],[Customer name]], Customer_master[Customer name], Customer_master[EOM or Net], 0)</f>
        <v>0</v>
      </c>
      <c r="K349" s="31">
        <f>_xlfn.XLOOKUP(AR[[#This Row],[Customer name]], Customer_master[Customer name], Customer_master[Terms days], 0)</f>
        <v>0</v>
      </c>
      <c r="L3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9" s="4"/>
      <c r="N349" s="46">
        <f>IF(AR[[#This Row],[Collection date - override (dd/mm/yyyy)]] &lt;&gt; "", AR[[#This Row],[Collection date - override (dd/mm/yyyy)]], AR[[#This Row],[Due date (dd/mm/yyyy)]])</f>
        <v>0</v>
      </c>
      <c r="O349" s="46">
        <f t="shared" si="5"/>
        <v>52</v>
      </c>
    </row>
    <row r="350" spans="3:15" x14ac:dyDescent="0.25">
      <c r="C350" s="28"/>
      <c r="D350" s="20"/>
      <c r="E350" s="4"/>
      <c r="F350" s="37"/>
      <c r="G350" s="24"/>
      <c r="H350" s="51">
        <f>Assumptions!$D$15</f>
        <v>0.1</v>
      </c>
      <c r="I350" s="45">
        <f>IF(AR[[#This Row],[GST applies?]] = "Yes", (AR[[#This Row],[Invoice value inc. VAT]] / 1 + AR[[#This Row],[GST %]]) * AR[[#This Row],[GST %]], 0)</f>
        <v>0</v>
      </c>
      <c r="J350" s="31">
        <f>_xlfn.XLOOKUP(AR[[#This Row],[Customer name]], Customer_master[Customer name], Customer_master[EOM or Net], 0)</f>
        <v>0</v>
      </c>
      <c r="K350" s="31">
        <f>_xlfn.XLOOKUP(AR[[#This Row],[Customer name]], Customer_master[Customer name], Customer_master[Terms days], 0)</f>
        <v>0</v>
      </c>
      <c r="L3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0" s="4"/>
      <c r="N350" s="46">
        <f>IF(AR[[#This Row],[Collection date - override (dd/mm/yyyy)]] &lt;&gt; "", AR[[#This Row],[Collection date - override (dd/mm/yyyy)]], AR[[#This Row],[Due date (dd/mm/yyyy)]])</f>
        <v>0</v>
      </c>
      <c r="O350" s="46">
        <f t="shared" si="5"/>
        <v>52</v>
      </c>
    </row>
    <row r="351" spans="3:15" x14ac:dyDescent="0.25">
      <c r="C351" s="28"/>
      <c r="D351" s="20"/>
      <c r="E351" s="4"/>
      <c r="F351" s="37"/>
      <c r="G351" s="24"/>
      <c r="H351" s="51">
        <f>Assumptions!$D$15</f>
        <v>0.1</v>
      </c>
      <c r="I351" s="45">
        <f>IF(AR[[#This Row],[GST applies?]] = "Yes", (AR[[#This Row],[Invoice value inc. VAT]] / 1 + AR[[#This Row],[GST %]]) * AR[[#This Row],[GST %]], 0)</f>
        <v>0</v>
      </c>
      <c r="J351" s="31">
        <f>_xlfn.XLOOKUP(AR[[#This Row],[Customer name]], Customer_master[Customer name], Customer_master[EOM or Net], 0)</f>
        <v>0</v>
      </c>
      <c r="K351" s="31">
        <f>_xlfn.XLOOKUP(AR[[#This Row],[Customer name]], Customer_master[Customer name], Customer_master[Terms days], 0)</f>
        <v>0</v>
      </c>
      <c r="L3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1" s="4"/>
      <c r="N351" s="46">
        <f>IF(AR[[#This Row],[Collection date - override (dd/mm/yyyy)]] &lt;&gt; "", AR[[#This Row],[Collection date - override (dd/mm/yyyy)]], AR[[#This Row],[Due date (dd/mm/yyyy)]])</f>
        <v>0</v>
      </c>
      <c r="O351" s="46">
        <f t="shared" si="5"/>
        <v>52</v>
      </c>
    </row>
    <row r="352" spans="3:15" x14ac:dyDescent="0.25">
      <c r="C352" s="28"/>
      <c r="D352" s="20"/>
      <c r="E352" s="4"/>
      <c r="F352" s="37"/>
      <c r="G352" s="24"/>
      <c r="H352" s="51">
        <f>Assumptions!$D$15</f>
        <v>0.1</v>
      </c>
      <c r="I352" s="45">
        <f>IF(AR[[#This Row],[GST applies?]] = "Yes", (AR[[#This Row],[Invoice value inc. VAT]] / 1 + AR[[#This Row],[GST %]]) * AR[[#This Row],[GST %]], 0)</f>
        <v>0</v>
      </c>
      <c r="J352" s="31">
        <f>_xlfn.XLOOKUP(AR[[#This Row],[Customer name]], Customer_master[Customer name], Customer_master[EOM or Net], 0)</f>
        <v>0</v>
      </c>
      <c r="K352" s="31">
        <f>_xlfn.XLOOKUP(AR[[#This Row],[Customer name]], Customer_master[Customer name], Customer_master[Terms days], 0)</f>
        <v>0</v>
      </c>
      <c r="L3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2" s="4"/>
      <c r="N352" s="46">
        <f>IF(AR[[#This Row],[Collection date - override (dd/mm/yyyy)]] &lt;&gt; "", AR[[#This Row],[Collection date - override (dd/mm/yyyy)]], AR[[#This Row],[Due date (dd/mm/yyyy)]])</f>
        <v>0</v>
      </c>
      <c r="O352" s="46">
        <f t="shared" si="5"/>
        <v>52</v>
      </c>
    </row>
    <row r="353" spans="3:15" x14ac:dyDescent="0.25">
      <c r="C353" s="28"/>
      <c r="D353" s="20"/>
      <c r="E353" s="4"/>
      <c r="F353" s="37"/>
      <c r="G353" s="24"/>
      <c r="H353" s="51">
        <f>Assumptions!$D$15</f>
        <v>0.1</v>
      </c>
      <c r="I353" s="45">
        <f>IF(AR[[#This Row],[GST applies?]] = "Yes", (AR[[#This Row],[Invoice value inc. VAT]] / 1 + AR[[#This Row],[GST %]]) * AR[[#This Row],[GST %]], 0)</f>
        <v>0</v>
      </c>
      <c r="J353" s="31">
        <f>_xlfn.XLOOKUP(AR[[#This Row],[Customer name]], Customer_master[Customer name], Customer_master[EOM or Net], 0)</f>
        <v>0</v>
      </c>
      <c r="K353" s="31">
        <f>_xlfn.XLOOKUP(AR[[#This Row],[Customer name]], Customer_master[Customer name], Customer_master[Terms days], 0)</f>
        <v>0</v>
      </c>
      <c r="L3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3" s="4"/>
      <c r="N353" s="46">
        <f>IF(AR[[#This Row],[Collection date - override (dd/mm/yyyy)]] &lt;&gt; "", AR[[#This Row],[Collection date - override (dd/mm/yyyy)]], AR[[#This Row],[Due date (dd/mm/yyyy)]])</f>
        <v>0</v>
      </c>
      <c r="O353" s="46">
        <f t="shared" si="5"/>
        <v>52</v>
      </c>
    </row>
    <row r="354" spans="3:15" x14ac:dyDescent="0.25">
      <c r="C354" s="28"/>
      <c r="D354" s="20"/>
      <c r="E354" s="4"/>
      <c r="F354" s="37"/>
      <c r="G354" s="24"/>
      <c r="H354" s="51">
        <f>Assumptions!$D$15</f>
        <v>0.1</v>
      </c>
      <c r="I354" s="45">
        <f>IF(AR[[#This Row],[GST applies?]] = "Yes", (AR[[#This Row],[Invoice value inc. VAT]] / 1 + AR[[#This Row],[GST %]]) * AR[[#This Row],[GST %]], 0)</f>
        <v>0</v>
      </c>
      <c r="J354" s="31">
        <f>_xlfn.XLOOKUP(AR[[#This Row],[Customer name]], Customer_master[Customer name], Customer_master[EOM or Net], 0)</f>
        <v>0</v>
      </c>
      <c r="K354" s="31">
        <f>_xlfn.XLOOKUP(AR[[#This Row],[Customer name]], Customer_master[Customer name], Customer_master[Terms days], 0)</f>
        <v>0</v>
      </c>
      <c r="L3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4" s="4"/>
      <c r="N354" s="46">
        <f>IF(AR[[#This Row],[Collection date - override (dd/mm/yyyy)]] &lt;&gt; "", AR[[#This Row],[Collection date - override (dd/mm/yyyy)]], AR[[#This Row],[Due date (dd/mm/yyyy)]])</f>
        <v>0</v>
      </c>
      <c r="O354" s="46">
        <f t="shared" si="5"/>
        <v>52</v>
      </c>
    </row>
    <row r="355" spans="3:15" x14ac:dyDescent="0.25">
      <c r="C355" s="28"/>
      <c r="D355" s="20"/>
      <c r="E355" s="4"/>
      <c r="F355" s="37"/>
      <c r="G355" s="24"/>
      <c r="H355" s="51">
        <f>Assumptions!$D$15</f>
        <v>0.1</v>
      </c>
      <c r="I355" s="45">
        <f>IF(AR[[#This Row],[GST applies?]] = "Yes", (AR[[#This Row],[Invoice value inc. VAT]] / 1 + AR[[#This Row],[GST %]]) * AR[[#This Row],[GST %]], 0)</f>
        <v>0</v>
      </c>
      <c r="J355" s="31">
        <f>_xlfn.XLOOKUP(AR[[#This Row],[Customer name]], Customer_master[Customer name], Customer_master[EOM or Net], 0)</f>
        <v>0</v>
      </c>
      <c r="K355" s="31">
        <f>_xlfn.XLOOKUP(AR[[#This Row],[Customer name]], Customer_master[Customer name], Customer_master[Terms days], 0)</f>
        <v>0</v>
      </c>
      <c r="L3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5" s="4"/>
      <c r="N355" s="46">
        <f>IF(AR[[#This Row],[Collection date - override (dd/mm/yyyy)]] &lt;&gt; "", AR[[#This Row],[Collection date - override (dd/mm/yyyy)]], AR[[#This Row],[Due date (dd/mm/yyyy)]])</f>
        <v>0</v>
      </c>
      <c r="O355" s="46">
        <f t="shared" si="5"/>
        <v>52</v>
      </c>
    </row>
    <row r="356" spans="3:15" x14ac:dyDescent="0.25">
      <c r="C356" s="28"/>
      <c r="D356" s="20"/>
      <c r="E356" s="4"/>
      <c r="F356" s="37"/>
      <c r="G356" s="24"/>
      <c r="H356" s="51">
        <f>Assumptions!$D$15</f>
        <v>0.1</v>
      </c>
      <c r="I356" s="45">
        <f>IF(AR[[#This Row],[GST applies?]] = "Yes", (AR[[#This Row],[Invoice value inc. VAT]] / 1 + AR[[#This Row],[GST %]]) * AR[[#This Row],[GST %]], 0)</f>
        <v>0</v>
      </c>
      <c r="J356" s="31">
        <f>_xlfn.XLOOKUP(AR[[#This Row],[Customer name]], Customer_master[Customer name], Customer_master[EOM or Net], 0)</f>
        <v>0</v>
      </c>
      <c r="K356" s="31">
        <f>_xlfn.XLOOKUP(AR[[#This Row],[Customer name]], Customer_master[Customer name], Customer_master[Terms days], 0)</f>
        <v>0</v>
      </c>
      <c r="L3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6" s="4"/>
      <c r="N356" s="46">
        <f>IF(AR[[#This Row],[Collection date - override (dd/mm/yyyy)]] &lt;&gt; "", AR[[#This Row],[Collection date - override (dd/mm/yyyy)]], AR[[#This Row],[Due date (dd/mm/yyyy)]])</f>
        <v>0</v>
      </c>
      <c r="O356" s="46">
        <f t="shared" si="5"/>
        <v>52</v>
      </c>
    </row>
    <row r="357" spans="3:15" x14ac:dyDescent="0.25">
      <c r="C357" s="28"/>
      <c r="D357" s="20"/>
      <c r="E357" s="4"/>
      <c r="F357" s="37"/>
      <c r="G357" s="24"/>
      <c r="H357" s="51">
        <f>Assumptions!$D$15</f>
        <v>0.1</v>
      </c>
      <c r="I357" s="45">
        <f>IF(AR[[#This Row],[GST applies?]] = "Yes", (AR[[#This Row],[Invoice value inc. VAT]] / 1 + AR[[#This Row],[GST %]]) * AR[[#This Row],[GST %]], 0)</f>
        <v>0</v>
      </c>
      <c r="J357" s="31">
        <f>_xlfn.XLOOKUP(AR[[#This Row],[Customer name]], Customer_master[Customer name], Customer_master[EOM or Net], 0)</f>
        <v>0</v>
      </c>
      <c r="K357" s="31">
        <f>_xlfn.XLOOKUP(AR[[#This Row],[Customer name]], Customer_master[Customer name], Customer_master[Terms days], 0)</f>
        <v>0</v>
      </c>
      <c r="L3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7" s="4"/>
      <c r="N357" s="46">
        <f>IF(AR[[#This Row],[Collection date - override (dd/mm/yyyy)]] &lt;&gt; "", AR[[#This Row],[Collection date - override (dd/mm/yyyy)]], AR[[#This Row],[Due date (dd/mm/yyyy)]])</f>
        <v>0</v>
      </c>
      <c r="O357" s="46">
        <f t="shared" si="5"/>
        <v>52</v>
      </c>
    </row>
    <row r="358" spans="3:15" x14ac:dyDescent="0.25">
      <c r="C358" s="28"/>
      <c r="D358" s="20"/>
      <c r="E358" s="4"/>
      <c r="F358" s="37"/>
      <c r="G358" s="24"/>
      <c r="H358" s="51">
        <f>Assumptions!$D$15</f>
        <v>0.1</v>
      </c>
      <c r="I358" s="45">
        <f>IF(AR[[#This Row],[GST applies?]] = "Yes", (AR[[#This Row],[Invoice value inc. VAT]] / 1 + AR[[#This Row],[GST %]]) * AR[[#This Row],[GST %]], 0)</f>
        <v>0</v>
      </c>
      <c r="J358" s="31">
        <f>_xlfn.XLOOKUP(AR[[#This Row],[Customer name]], Customer_master[Customer name], Customer_master[EOM or Net], 0)</f>
        <v>0</v>
      </c>
      <c r="K358" s="31">
        <f>_xlfn.XLOOKUP(AR[[#This Row],[Customer name]], Customer_master[Customer name], Customer_master[Terms days], 0)</f>
        <v>0</v>
      </c>
      <c r="L3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8" s="4"/>
      <c r="N358" s="46">
        <f>IF(AR[[#This Row],[Collection date - override (dd/mm/yyyy)]] &lt;&gt; "", AR[[#This Row],[Collection date - override (dd/mm/yyyy)]], AR[[#This Row],[Due date (dd/mm/yyyy)]])</f>
        <v>0</v>
      </c>
      <c r="O358" s="46">
        <f t="shared" si="5"/>
        <v>52</v>
      </c>
    </row>
    <row r="359" spans="3:15" x14ac:dyDescent="0.25">
      <c r="C359" s="28"/>
      <c r="D359" s="20"/>
      <c r="E359" s="4"/>
      <c r="F359" s="37"/>
      <c r="G359" s="24"/>
      <c r="H359" s="51">
        <f>Assumptions!$D$15</f>
        <v>0.1</v>
      </c>
      <c r="I359" s="45">
        <f>IF(AR[[#This Row],[GST applies?]] = "Yes", (AR[[#This Row],[Invoice value inc. VAT]] / 1 + AR[[#This Row],[GST %]]) * AR[[#This Row],[GST %]], 0)</f>
        <v>0</v>
      </c>
      <c r="J359" s="31">
        <f>_xlfn.XLOOKUP(AR[[#This Row],[Customer name]], Customer_master[Customer name], Customer_master[EOM or Net], 0)</f>
        <v>0</v>
      </c>
      <c r="K359" s="31">
        <f>_xlfn.XLOOKUP(AR[[#This Row],[Customer name]], Customer_master[Customer name], Customer_master[Terms days], 0)</f>
        <v>0</v>
      </c>
      <c r="L3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9" s="4"/>
      <c r="N359" s="46">
        <f>IF(AR[[#This Row],[Collection date - override (dd/mm/yyyy)]] &lt;&gt; "", AR[[#This Row],[Collection date - override (dd/mm/yyyy)]], AR[[#This Row],[Due date (dd/mm/yyyy)]])</f>
        <v>0</v>
      </c>
      <c r="O359" s="46">
        <f t="shared" si="5"/>
        <v>52</v>
      </c>
    </row>
    <row r="360" spans="3:15" x14ac:dyDescent="0.25">
      <c r="C360" s="28"/>
      <c r="D360" s="20"/>
      <c r="E360" s="4"/>
      <c r="F360" s="37"/>
      <c r="G360" s="24"/>
      <c r="H360" s="51">
        <f>Assumptions!$D$15</f>
        <v>0.1</v>
      </c>
      <c r="I360" s="45">
        <f>IF(AR[[#This Row],[GST applies?]] = "Yes", (AR[[#This Row],[Invoice value inc. VAT]] / 1 + AR[[#This Row],[GST %]]) * AR[[#This Row],[GST %]], 0)</f>
        <v>0</v>
      </c>
      <c r="J360" s="31">
        <f>_xlfn.XLOOKUP(AR[[#This Row],[Customer name]], Customer_master[Customer name], Customer_master[EOM or Net], 0)</f>
        <v>0</v>
      </c>
      <c r="K360" s="31">
        <f>_xlfn.XLOOKUP(AR[[#This Row],[Customer name]], Customer_master[Customer name], Customer_master[Terms days], 0)</f>
        <v>0</v>
      </c>
      <c r="L3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0" s="4"/>
      <c r="N360" s="46">
        <f>IF(AR[[#This Row],[Collection date - override (dd/mm/yyyy)]] &lt;&gt; "", AR[[#This Row],[Collection date - override (dd/mm/yyyy)]], AR[[#This Row],[Due date (dd/mm/yyyy)]])</f>
        <v>0</v>
      </c>
      <c r="O360" s="46">
        <f t="shared" si="5"/>
        <v>52</v>
      </c>
    </row>
    <row r="361" spans="3:15" x14ac:dyDescent="0.25">
      <c r="C361" s="28"/>
      <c r="D361" s="20"/>
      <c r="E361" s="4"/>
      <c r="F361" s="37"/>
      <c r="G361" s="24"/>
      <c r="H361" s="51">
        <f>Assumptions!$D$15</f>
        <v>0.1</v>
      </c>
      <c r="I361" s="45">
        <f>IF(AR[[#This Row],[GST applies?]] = "Yes", (AR[[#This Row],[Invoice value inc. VAT]] / 1 + AR[[#This Row],[GST %]]) * AR[[#This Row],[GST %]], 0)</f>
        <v>0</v>
      </c>
      <c r="J361" s="31">
        <f>_xlfn.XLOOKUP(AR[[#This Row],[Customer name]], Customer_master[Customer name], Customer_master[EOM or Net], 0)</f>
        <v>0</v>
      </c>
      <c r="K361" s="31">
        <f>_xlfn.XLOOKUP(AR[[#This Row],[Customer name]], Customer_master[Customer name], Customer_master[Terms days], 0)</f>
        <v>0</v>
      </c>
      <c r="L3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1" s="4"/>
      <c r="N361" s="46">
        <f>IF(AR[[#This Row],[Collection date - override (dd/mm/yyyy)]] &lt;&gt; "", AR[[#This Row],[Collection date - override (dd/mm/yyyy)]], AR[[#This Row],[Due date (dd/mm/yyyy)]])</f>
        <v>0</v>
      </c>
      <c r="O361" s="46">
        <f t="shared" si="5"/>
        <v>52</v>
      </c>
    </row>
    <row r="362" spans="3:15" x14ac:dyDescent="0.25">
      <c r="C362" s="28"/>
      <c r="D362" s="20"/>
      <c r="E362" s="4"/>
      <c r="F362" s="37"/>
      <c r="G362" s="24"/>
      <c r="H362" s="51">
        <f>Assumptions!$D$15</f>
        <v>0.1</v>
      </c>
      <c r="I362" s="45">
        <f>IF(AR[[#This Row],[GST applies?]] = "Yes", (AR[[#This Row],[Invoice value inc. VAT]] / 1 + AR[[#This Row],[GST %]]) * AR[[#This Row],[GST %]], 0)</f>
        <v>0</v>
      </c>
      <c r="J362" s="31">
        <f>_xlfn.XLOOKUP(AR[[#This Row],[Customer name]], Customer_master[Customer name], Customer_master[EOM or Net], 0)</f>
        <v>0</v>
      </c>
      <c r="K362" s="31">
        <f>_xlfn.XLOOKUP(AR[[#This Row],[Customer name]], Customer_master[Customer name], Customer_master[Terms days], 0)</f>
        <v>0</v>
      </c>
      <c r="L3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2" s="4"/>
      <c r="N362" s="46">
        <f>IF(AR[[#This Row],[Collection date - override (dd/mm/yyyy)]] &lt;&gt; "", AR[[#This Row],[Collection date - override (dd/mm/yyyy)]], AR[[#This Row],[Due date (dd/mm/yyyy)]])</f>
        <v>0</v>
      </c>
      <c r="O362" s="46">
        <f t="shared" si="5"/>
        <v>52</v>
      </c>
    </row>
    <row r="363" spans="3:15" x14ac:dyDescent="0.25">
      <c r="C363" s="28"/>
      <c r="D363" s="20"/>
      <c r="E363" s="4"/>
      <c r="F363" s="37"/>
      <c r="G363" s="24"/>
      <c r="H363" s="51">
        <f>Assumptions!$D$15</f>
        <v>0.1</v>
      </c>
      <c r="I363" s="45">
        <f>IF(AR[[#This Row],[GST applies?]] = "Yes", (AR[[#This Row],[Invoice value inc. VAT]] / 1 + AR[[#This Row],[GST %]]) * AR[[#This Row],[GST %]], 0)</f>
        <v>0</v>
      </c>
      <c r="J363" s="31">
        <f>_xlfn.XLOOKUP(AR[[#This Row],[Customer name]], Customer_master[Customer name], Customer_master[EOM or Net], 0)</f>
        <v>0</v>
      </c>
      <c r="K363" s="31">
        <f>_xlfn.XLOOKUP(AR[[#This Row],[Customer name]], Customer_master[Customer name], Customer_master[Terms days], 0)</f>
        <v>0</v>
      </c>
      <c r="L3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3" s="4"/>
      <c r="N363" s="46">
        <f>IF(AR[[#This Row],[Collection date - override (dd/mm/yyyy)]] &lt;&gt; "", AR[[#This Row],[Collection date - override (dd/mm/yyyy)]], AR[[#This Row],[Due date (dd/mm/yyyy)]])</f>
        <v>0</v>
      </c>
      <c r="O363" s="46">
        <f t="shared" si="5"/>
        <v>52</v>
      </c>
    </row>
    <row r="364" spans="3:15" x14ac:dyDescent="0.25">
      <c r="C364" s="28"/>
      <c r="D364" s="20"/>
      <c r="E364" s="4"/>
      <c r="F364" s="37"/>
      <c r="G364" s="24"/>
      <c r="H364" s="51">
        <f>Assumptions!$D$15</f>
        <v>0.1</v>
      </c>
      <c r="I364" s="45">
        <f>IF(AR[[#This Row],[GST applies?]] = "Yes", (AR[[#This Row],[Invoice value inc. VAT]] / 1 + AR[[#This Row],[GST %]]) * AR[[#This Row],[GST %]], 0)</f>
        <v>0</v>
      </c>
      <c r="J364" s="31">
        <f>_xlfn.XLOOKUP(AR[[#This Row],[Customer name]], Customer_master[Customer name], Customer_master[EOM or Net], 0)</f>
        <v>0</v>
      </c>
      <c r="K364" s="31">
        <f>_xlfn.XLOOKUP(AR[[#This Row],[Customer name]], Customer_master[Customer name], Customer_master[Terms days], 0)</f>
        <v>0</v>
      </c>
      <c r="L3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4" s="4"/>
      <c r="N364" s="46">
        <f>IF(AR[[#This Row],[Collection date - override (dd/mm/yyyy)]] &lt;&gt; "", AR[[#This Row],[Collection date - override (dd/mm/yyyy)]], AR[[#This Row],[Due date (dd/mm/yyyy)]])</f>
        <v>0</v>
      </c>
      <c r="O364" s="46">
        <f t="shared" si="5"/>
        <v>52</v>
      </c>
    </row>
    <row r="365" spans="3:15" x14ac:dyDescent="0.25">
      <c r="C365" s="28"/>
      <c r="D365" s="20"/>
      <c r="E365" s="4"/>
      <c r="F365" s="37"/>
      <c r="G365" s="24"/>
      <c r="H365" s="51">
        <f>Assumptions!$D$15</f>
        <v>0.1</v>
      </c>
      <c r="I365" s="45">
        <f>IF(AR[[#This Row],[GST applies?]] = "Yes", (AR[[#This Row],[Invoice value inc. VAT]] / 1 + AR[[#This Row],[GST %]]) * AR[[#This Row],[GST %]], 0)</f>
        <v>0</v>
      </c>
      <c r="J365" s="31">
        <f>_xlfn.XLOOKUP(AR[[#This Row],[Customer name]], Customer_master[Customer name], Customer_master[EOM or Net], 0)</f>
        <v>0</v>
      </c>
      <c r="K365" s="31">
        <f>_xlfn.XLOOKUP(AR[[#This Row],[Customer name]], Customer_master[Customer name], Customer_master[Terms days], 0)</f>
        <v>0</v>
      </c>
      <c r="L3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5" s="4"/>
      <c r="N365" s="46">
        <f>IF(AR[[#This Row],[Collection date - override (dd/mm/yyyy)]] &lt;&gt; "", AR[[#This Row],[Collection date - override (dd/mm/yyyy)]], AR[[#This Row],[Due date (dd/mm/yyyy)]])</f>
        <v>0</v>
      </c>
      <c r="O365" s="46">
        <f t="shared" si="5"/>
        <v>52</v>
      </c>
    </row>
    <row r="366" spans="3:15" x14ac:dyDescent="0.25">
      <c r="C366" s="28"/>
      <c r="D366" s="20"/>
      <c r="E366" s="4"/>
      <c r="F366" s="37"/>
      <c r="G366" s="24"/>
      <c r="H366" s="51">
        <f>Assumptions!$D$15</f>
        <v>0.1</v>
      </c>
      <c r="I366" s="45">
        <f>IF(AR[[#This Row],[GST applies?]] = "Yes", (AR[[#This Row],[Invoice value inc. VAT]] / 1 + AR[[#This Row],[GST %]]) * AR[[#This Row],[GST %]], 0)</f>
        <v>0</v>
      </c>
      <c r="J366" s="31">
        <f>_xlfn.XLOOKUP(AR[[#This Row],[Customer name]], Customer_master[Customer name], Customer_master[EOM or Net], 0)</f>
        <v>0</v>
      </c>
      <c r="K366" s="31">
        <f>_xlfn.XLOOKUP(AR[[#This Row],[Customer name]], Customer_master[Customer name], Customer_master[Terms days], 0)</f>
        <v>0</v>
      </c>
      <c r="L3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6" s="4"/>
      <c r="N366" s="46">
        <f>IF(AR[[#This Row],[Collection date - override (dd/mm/yyyy)]] &lt;&gt; "", AR[[#This Row],[Collection date - override (dd/mm/yyyy)]], AR[[#This Row],[Due date (dd/mm/yyyy)]])</f>
        <v>0</v>
      </c>
      <c r="O366" s="46">
        <f t="shared" si="5"/>
        <v>52</v>
      </c>
    </row>
    <row r="367" spans="3:15" x14ac:dyDescent="0.25">
      <c r="C367" s="28"/>
      <c r="D367" s="20"/>
      <c r="E367" s="4"/>
      <c r="F367" s="37"/>
      <c r="G367" s="24"/>
      <c r="H367" s="51">
        <f>Assumptions!$D$15</f>
        <v>0.1</v>
      </c>
      <c r="I367" s="45">
        <f>IF(AR[[#This Row],[GST applies?]] = "Yes", (AR[[#This Row],[Invoice value inc. VAT]] / 1 + AR[[#This Row],[GST %]]) * AR[[#This Row],[GST %]], 0)</f>
        <v>0</v>
      </c>
      <c r="J367" s="31">
        <f>_xlfn.XLOOKUP(AR[[#This Row],[Customer name]], Customer_master[Customer name], Customer_master[EOM or Net], 0)</f>
        <v>0</v>
      </c>
      <c r="K367" s="31">
        <f>_xlfn.XLOOKUP(AR[[#This Row],[Customer name]], Customer_master[Customer name], Customer_master[Terms days], 0)</f>
        <v>0</v>
      </c>
      <c r="L3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7" s="4"/>
      <c r="N367" s="46">
        <f>IF(AR[[#This Row],[Collection date - override (dd/mm/yyyy)]] &lt;&gt; "", AR[[#This Row],[Collection date - override (dd/mm/yyyy)]], AR[[#This Row],[Due date (dd/mm/yyyy)]])</f>
        <v>0</v>
      </c>
      <c r="O367" s="46">
        <f t="shared" si="5"/>
        <v>52</v>
      </c>
    </row>
    <row r="368" spans="3:15" x14ac:dyDescent="0.25">
      <c r="C368" s="28"/>
      <c r="D368" s="20"/>
      <c r="E368" s="4"/>
      <c r="F368" s="37"/>
      <c r="G368" s="24"/>
      <c r="H368" s="51">
        <f>Assumptions!$D$15</f>
        <v>0.1</v>
      </c>
      <c r="I368" s="45">
        <f>IF(AR[[#This Row],[GST applies?]] = "Yes", (AR[[#This Row],[Invoice value inc. VAT]] / 1 + AR[[#This Row],[GST %]]) * AR[[#This Row],[GST %]], 0)</f>
        <v>0</v>
      </c>
      <c r="J368" s="31">
        <f>_xlfn.XLOOKUP(AR[[#This Row],[Customer name]], Customer_master[Customer name], Customer_master[EOM or Net], 0)</f>
        <v>0</v>
      </c>
      <c r="K368" s="31">
        <f>_xlfn.XLOOKUP(AR[[#This Row],[Customer name]], Customer_master[Customer name], Customer_master[Terms days], 0)</f>
        <v>0</v>
      </c>
      <c r="L3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8" s="4"/>
      <c r="N368" s="46">
        <f>IF(AR[[#This Row],[Collection date - override (dd/mm/yyyy)]] &lt;&gt; "", AR[[#This Row],[Collection date - override (dd/mm/yyyy)]], AR[[#This Row],[Due date (dd/mm/yyyy)]])</f>
        <v>0</v>
      </c>
      <c r="O368" s="46">
        <f t="shared" si="5"/>
        <v>52</v>
      </c>
    </row>
    <row r="369" spans="3:15" x14ac:dyDescent="0.25">
      <c r="C369" s="28"/>
      <c r="D369" s="20"/>
      <c r="E369" s="4"/>
      <c r="F369" s="37"/>
      <c r="G369" s="24"/>
      <c r="H369" s="51">
        <f>Assumptions!$D$15</f>
        <v>0.1</v>
      </c>
      <c r="I369" s="45">
        <f>IF(AR[[#This Row],[GST applies?]] = "Yes", (AR[[#This Row],[Invoice value inc. VAT]] / 1 + AR[[#This Row],[GST %]]) * AR[[#This Row],[GST %]], 0)</f>
        <v>0</v>
      </c>
      <c r="J369" s="31">
        <f>_xlfn.XLOOKUP(AR[[#This Row],[Customer name]], Customer_master[Customer name], Customer_master[EOM or Net], 0)</f>
        <v>0</v>
      </c>
      <c r="K369" s="31">
        <f>_xlfn.XLOOKUP(AR[[#This Row],[Customer name]], Customer_master[Customer name], Customer_master[Terms days], 0)</f>
        <v>0</v>
      </c>
      <c r="L3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9" s="4"/>
      <c r="N369" s="46">
        <f>IF(AR[[#This Row],[Collection date - override (dd/mm/yyyy)]] &lt;&gt; "", AR[[#This Row],[Collection date - override (dd/mm/yyyy)]], AR[[#This Row],[Due date (dd/mm/yyyy)]])</f>
        <v>0</v>
      </c>
      <c r="O369" s="46">
        <f t="shared" si="5"/>
        <v>52</v>
      </c>
    </row>
    <row r="370" spans="3:15" x14ac:dyDescent="0.25">
      <c r="C370" s="28"/>
      <c r="D370" s="20"/>
      <c r="E370" s="4"/>
      <c r="F370" s="37"/>
      <c r="G370" s="24"/>
      <c r="H370" s="51">
        <f>Assumptions!$D$15</f>
        <v>0.1</v>
      </c>
      <c r="I370" s="45">
        <f>IF(AR[[#This Row],[GST applies?]] = "Yes", (AR[[#This Row],[Invoice value inc. VAT]] / 1 + AR[[#This Row],[GST %]]) * AR[[#This Row],[GST %]], 0)</f>
        <v>0</v>
      </c>
      <c r="J370" s="31">
        <f>_xlfn.XLOOKUP(AR[[#This Row],[Customer name]], Customer_master[Customer name], Customer_master[EOM or Net], 0)</f>
        <v>0</v>
      </c>
      <c r="K370" s="31">
        <f>_xlfn.XLOOKUP(AR[[#This Row],[Customer name]], Customer_master[Customer name], Customer_master[Terms days], 0)</f>
        <v>0</v>
      </c>
      <c r="L3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0" s="4"/>
      <c r="N370" s="46">
        <f>IF(AR[[#This Row],[Collection date - override (dd/mm/yyyy)]] &lt;&gt; "", AR[[#This Row],[Collection date - override (dd/mm/yyyy)]], AR[[#This Row],[Due date (dd/mm/yyyy)]])</f>
        <v>0</v>
      </c>
      <c r="O370" s="46">
        <f t="shared" si="5"/>
        <v>52</v>
      </c>
    </row>
    <row r="371" spans="3:15" x14ac:dyDescent="0.25">
      <c r="C371" s="28"/>
      <c r="D371" s="20"/>
      <c r="E371" s="4"/>
      <c r="F371" s="37"/>
      <c r="G371" s="24"/>
      <c r="H371" s="51">
        <f>Assumptions!$D$15</f>
        <v>0.1</v>
      </c>
      <c r="I371" s="45">
        <f>IF(AR[[#This Row],[GST applies?]] = "Yes", (AR[[#This Row],[Invoice value inc. VAT]] / 1 + AR[[#This Row],[GST %]]) * AR[[#This Row],[GST %]], 0)</f>
        <v>0</v>
      </c>
      <c r="J371" s="31">
        <f>_xlfn.XLOOKUP(AR[[#This Row],[Customer name]], Customer_master[Customer name], Customer_master[EOM or Net], 0)</f>
        <v>0</v>
      </c>
      <c r="K371" s="31">
        <f>_xlfn.XLOOKUP(AR[[#This Row],[Customer name]], Customer_master[Customer name], Customer_master[Terms days], 0)</f>
        <v>0</v>
      </c>
      <c r="L3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1" s="4"/>
      <c r="N371" s="46">
        <f>IF(AR[[#This Row],[Collection date - override (dd/mm/yyyy)]] &lt;&gt; "", AR[[#This Row],[Collection date - override (dd/mm/yyyy)]], AR[[#This Row],[Due date (dd/mm/yyyy)]])</f>
        <v>0</v>
      </c>
      <c r="O371" s="46">
        <f t="shared" si="5"/>
        <v>52</v>
      </c>
    </row>
    <row r="372" spans="3:15" x14ac:dyDescent="0.25">
      <c r="C372" s="28"/>
      <c r="D372" s="20"/>
      <c r="E372" s="4"/>
      <c r="F372" s="37"/>
      <c r="G372" s="24"/>
      <c r="H372" s="51">
        <f>Assumptions!$D$15</f>
        <v>0.1</v>
      </c>
      <c r="I372" s="45">
        <f>IF(AR[[#This Row],[GST applies?]] = "Yes", (AR[[#This Row],[Invoice value inc. VAT]] / 1 + AR[[#This Row],[GST %]]) * AR[[#This Row],[GST %]], 0)</f>
        <v>0</v>
      </c>
      <c r="J372" s="31">
        <f>_xlfn.XLOOKUP(AR[[#This Row],[Customer name]], Customer_master[Customer name], Customer_master[EOM or Net], 0)</f>
        <v>0</v>
      </c>
      <c r="K372" s="31">
        <f>_xlfn.XLOOKUP(AR[[#This Row],[Customer name]], Customer_master[Customer name], Customer_master[Terms days], 0)</f>
        <v>0</v>
      </c>
      <c r="L3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2" s="4"/>
      <c r="N372" s="46">
        <f>IF(AR[[#This Row],[Collection date - override (dd/mm/yyyy)]] &lt;&gt; "", AR[[#This Row],[Collection date - override (dd/mm/yyyy)]], AR[[#This Row],[Due date (dd/mm/yyyy)]])</f>
        <v>0</v>
      </c>
      <c r="O372" s="46">
        <f t="shared" si="5"/>
        <v>52</v>
      </c>
    </row>
    <row r="373" spans="3:15" x14ac:dyDescent="0.25">
      <c r="C373" s="28"/>
      <c r="D373" s="20"/>
      <c r="E373" s="4"/>
      <c r="F373" s="37"/>
      <c r="G373" s="24"/>
      <c r="H373" s="51">
        <f>Assumptions!$D$15</f>
        <v>0.1</v>
      </c>
      <c r="I373" s="45">
        <f>IF(AR[[#This Row],[GST applies?]] = "Yes", (AR[[#This Row],[Invoice value inc. VAT]] / 1 + AR[[#This Row],[GST %]]) * AR[[#This Row],[GST %]], 0)</f>
        <v>0</v>
      </c>
      <c r="J373" s="31">
        <f>_xlfn.XLOOKUP(AR[[#This Row],[Customer name]], Customer_master[Customer name], Customer_master[EOM or Net], 0)</f>
        <v>0</v>
      </c>
      <c r="K373" s="31">
        <f>_xlfn.XLOOKUP(AR[[#This Row],[Customer name]], Customer_master[Customer name], Customer_master[Terms days], 0)</f>
        <v>0</v>
      </c>
      <c r="L3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3" s="4"/>
      <c r="N373" s="46">
        <f>IF(AR[[#This Row],[Collection date - override (dd/mm/yyyy)]] &lt;&gt; "", AR[[#This Row],[Collection date - override (dd/mm/yyyy)]], AR[[#This Row],[Due date (dd/mm/yyyy)]])</f>
        <v>0</v>
      </c>
      <c r="O373" s="46">
        <f t="shared" si="5"/>
        <v>52</v>
      </c>
    </row>
    <row r="374" spans="3:15" x14ac:dyDescent="0.25">
      <c r="C374" s="28"/>
      <c r="D374" s="20"/>
      <c r="E374" s="4"/>
      <c r="F374" s="37"/>
      <c r="G374" s="24"/>
      <c r="H374" s="51">
        <f>Assumptions!$D$15</f>
        <v>0.1</v>
      </c>
      <c r="I374" s="45">
        <f>IF(AR[[#This Row],[GST applies?]] = "Yes", (AR[[#This Row],[Invoice value inc. VAT]] / 1 + AR[[#This Row],[GST %]]) * AR[[#This Row],[GST %]], 0)</f>
        <v>0</v>
      </c>
      <c r="J374" s="31">
        <f>_xlfn.XLOOKUP(AR[[#This Row],[Customer name]], Customer_master[Customer name], Customer_master[EOM or Net], 0)</f>
        <v>0</v>
      </c>
      <c r="K374" s="31">
        <f>_xlfn.XLOOKUP(AR[[#This Row],[Customer name]], Customer_master[Customer name], Customer_master[Terms days], 0)</f>
        <v>0</v>
      </c>
      <c r="L3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4" s="4"/>
      <c r="N374" s="46">
        <f>IF(AR[[#This Row],[Collection date - override (dd/mm/yyyy)]] &lt;&gt; "", AR[[#This Row],[Collection date - override (dd/mm/yyyy)]], AR[[#This Row],[Due date (dd/mm/yyyy)]])</f>
        <v>0</v>
      </c>
      <c r="O374" s="46">
        <f t="shared" si="5"/>
        <v>52</v>
      </c>
    </row>
    <row r="375" spans="3:15" x14ac:dyDescent="0.25">
      <c r="C375" s="28"/>
      <c r="D375" s="20"/>
      <c r="E375" s="4"/>
      <c r="F375" s="37"/>
      <c r="G375" s="24"/>
      <c r="H375" s="51">
        <f>Assumptions!$D$15</f>
        <v>0.1</v>
      </c>
      <c r="I375" s="45">
        <f>IF(AR[[#This Row],[GST applies?]] = "Yes", (AR[[#This Row],[Invoice value inc. VAT]] / 1 + AR[[#This Row],[GST %]]) * AR[[#This Row],[GST %]], 0)</f>
        <v>0</v>
      </c>
      <c r="J375" s="31">
        <f>_xlfn.XLOOKUP(AR[[#This Row],[Customer name]], Customer_master[Customer name], Customer_master[EOM or Net], 0)</f>
        <v>0</v>
      </c>
      <c r="K375" s="31">
        <f>_xlfn.XLOOKUP(AR[[#This Row],[Customer name]], Customer_master[Customer name], Customer_master[Terms days], 0)</f>
        <v>0</v>
      </c>
      <c r="L3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5" s="4"/>
      <c r="N375" s="46">
        <f>IF(AR[[#This Row],[Collection date - override (dd/mm/yyyy)]] &lt;&gt; "", AR[[#This Row],[Collection date - override (dd/mm/yyyy)]], AR[[#This Row],[Due date (dd/mm/yyyy)]])</f>
        <v>0</v>
      </c>
      <c r="O375" s="46">
        <f t="shared" si="5"/>
        <v>52</v>
      </c>
    </row>
    <row r="376" spans="3:15" x14ac:dyDescent="0.25">
      <c r="C376" s="28"/>
      <c r="D376" s="20"/>
      <c r="E376" s="4"/>
      <c r="F376" s="37"/>
      <c r="G376" s="24"/>
      <c r="H376" s="51">
        <f>Assumptions!$D$15</f>
        <v>0.1</v>
      </c>
      <c r="I376" s="45">
        <f>IF(AR[[#This Row],[GST applies?]] = "Yes", (AR[[#This Row],[Invoice value inc. VAT]] / 1 + AR[[#This Row],[GST %]]) * AR[[#This Row],[GST %]], 0)</f>
        <v>0</v>
      </c>
      <c r="J376" s="31">
        <f>_xlfn.XLOOKUP(AR[[#This Row],[Customer name]], Customer_master[Customer name], Customer_master[EOM or Net], 0)</f>
        <v>0</v>
      </c>
      <c r="K376" s="31">
        <f>_xlfn.XLOOKUP(AR[[#This Row],[Customer name]], Customer_master[Customer name], Customer_master[Terms days], 0)</f>
        <v>0</v>
      </c>
      <c r="L3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6" s="4"/>
      <c r="N376" s="46">
        <f>IF(AR[[#This Row],[Collection date - override (dd/mm/yyyy)]] &lt;&gt; "", AR[[#This Row],[Collection date - override (dd/mm/yyyy)]], AR[[#This Row],[Due date (dd/mm/yyyy)]])</f>
        <v>0</v>
      </c>
      <c r="O376" s="46">
        <f t="shared" si="5"/>
        <v>52</v>
      </c>
    </row>
    <row r="377" spans="3:15" x14ac:dyDescent="0.25">
      <c r="C377" s="28"/>
      <c r="D377" s="20"/>
      <c r="E377" s="4"/>
      <c r="F377" s="37"/>
      <c r="G377" s="24"/>
      <c r="H377" s="51">
        <f>Assumptions!$D$15</f>
        <v>0.1</v>
      </c>
      <c r="I377" s="45">
        <f>IF(AR[[#This Row],[GST applies?]] = "Yes", (AR[[#This Row],[Invoice value inc. VAT]] / 1 + AR[[#This Row],[GST %]]) * AR[[#This Row],[GST %]], 0)</f>
        <v>0</v>
      </c>
      <c r="J377" s="31">
        <f>_xlfn.XLOOKUP(AR[[#This Row],[Customer name]], Customer_master[Customer name], Customer_master[EOM or Net], 0)</f>
        <v>0</v>
      </c>
      <c r="K377" s="31">
        <f>_xlfn.XLOOKUP(AR[[#This Row],[Customer name]], Customer_master[Customer name], Customer_master[Terms days], 0)</f>
        <v>0</v>
      </c>
      <c r="L3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7" s="4"/>
      <c r="N377" s="46">
        <f>IF(AR[[#This Row],[Collection date - override (dd/mm/yyyy)]] &lt;&gt; "", AR[[#This Row],[Collection date - override (dd/mm/yyyy)]], AR[[#This Row],[Due date (dd/mm/yyyy)]])</f>
        <v>0</v>
      </c>
      <c r="O377" s="46">
        <f t="shared" si="5"/>
        <v>52</v>
      </c>
    </row>
    <row r="378" spans="3:15" x14ac:dyDescent="0.25">
      <c r="C378" s="28"/>
      <c r="D378" s="20"/>
      <c r="E378" s="4"/>
      <c r="F378" s="37"/>
      <c r="G378" s="24"/>
      <c r="H378" s="51">
        <f>Assumptions!$D$15</f>
        <v>0.1</v>
      </c>
      <c r="I378" s="45">
        <f>IF(AR[[#This Row],[GST applies?]] = "Yes", (AR[[#This Row],[Invoice value inc. VAT]] / 1 + AR[[#This Row],[GST %]]) * AR[[#This Row],[GST %]], 0)</f>
        <v>0</v>
      </c>
      <c r="J378" s="31">
        <f>_xlfn.XLOOKUP(AR[[#This Row],[Customer name]], Customer_master[Customer name], Customer_master[EOM or Net], 0)</f>
        <v>0</v>
      </c>
      <c r="K378" s="31">
        <f>_xlfn.XLOOKUP(AR[[#This Row],[Customer name]], Customer_master[Customer name], Customer_master[Terms days], 0)</f>
        <v>0</v>
      </c>
      <c r="L3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8" s="4"/>
      <c r="N378" s="46">
        <f>IF(AR[[#This Row],[Collection date - override (dd/mm/yyyy)]] &lt;&gt; "", AR[[#This Row],[Collection date - override (dd/mm/yyyy)]], AR[[#This Row],[Due date (dd/mm/yyyy)]])</f>
        <v>0</v>
      </c>
      <c r="O378" s="46">
        <f t="shared" si="5"/>
        <v>52</v>
      </c>
    </row>
    <row r="379" spans="3:15" x14ac:dyDescent="0.25">
      <c r="C379" s="28"/>
      <c r="D379" s="20"/>
      <c r="E379" s="4"/>
      <c r="F379" s="37"/>
      <c r="G379" s="24"/>
      <c r="H379" s="51">
        <f>Assumptions!$D$15</f>
        <v>0.1</v>
      </c>
      <c r="I379" s="45">
        <f>IF(AR[[#This Row],[GST applies?]] = "Yes", (AR[[#This Row],[Invoice value inc. VAT]] / 1 + AR[[#This Row],[GST %]]) * AR[[#This Row],[GST %]], 0)</f>
        <v>0</v>
      </c>
      <c r="J379" s="31">
        <f>_xlfn.XLOOKUP(AR[[#This Row],[Customer name]], Customer_master[Customer name], Customer_master[EOM or Net], 0)</f>
        <v>0</v>
      </c>
      <c r="K379" s="31">
        <f>_xlfn.XLOOKUP(AR[[#This Row],[Customer name]], Customer_master[Customer name], Customer_master[Terms days], 0)</f>
        <v>0</v>
      </c>
      <c r="L3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9" s="4"/>
      <c r="N379" s="46">
        <f>IF(AR[[#This Row],[Collection date - override (dd/mm/yyyy)]] &lt;&gt; "", AR[[#This Row],[Collection date - override (dd/mm/yyyy)]], AR[[#This Row],[Due date (dd/mm/yyyy)]])</f>
        <v>0</v>
      </c>
      <c r="O379" s="46">
        <f t="shared" si="5"/>
        <v>52</v>
      </c>
    </row>
    <row r="380" spans="3:15" x14ac:dyDescent="0.25">
      <c r="C380" s="28"/>
      <c r="D380" s="20"/>
      <c r="E380" s="4"/>
      <c r="F380" s="37"/>
      <c r="G380" s="24"/>
      <c r="H380" s="51">
        <f>Assumptions!$D$15</f>
        <v>0.1</v>
      </c>
      <c r="I380" s="45">
        <f>IF(AR[[#This Row],[GST applies?]] = "Yes", (AR[[#This Row],[Invoice value inc. VAT]] / 1 + AR[[#This Row],[GST %]]) * AR[[#This Row],[GST %]], 0)</f>
        <v>0</v>
      </c>
      <c r="J380" s="31">
        <f>_xlfn.XLOOKUP(AR[[#This Row],[Customer name]], Customer_master[Customer name], Customer_master[EOM or Net], 0)</f>
        <v>0</v>
      </c>
      <c r="K380" s="31">
        <f>_xlfn.XLOOKUP(AR[[#This Row],[Customer name]], Customer_master[Customer name], Customer_master[Terms days], 0)</f>
        <v>0</v>
      </c>
      <c r="L3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0" s="4"/>
      <c r="N380" s="46">
        <f>IF(AR[[#This Row],[Collection date - override (dd/mm/yyyy)]] &lt;&gt; "", AR[[#This Row],[Collection date - override (dd/mm/yyyy)]], AR[[#This Row],[Due date (dd/mm/yyyy)]])</f>
        <v>0</v>
      </c>
      <c r="O380" s="46">
        <f t="shared" si="5"/>
        <v>52</v>
      </c>
    </row>
    <row r="381" spans="3:15" x14ac:dyDescent="0.25">
      <c r="C381" s="28"/>
      <c r="D381" s="20"/>
      <c r="E381" s="4"/>
      <c r="F381" s="37"/>
      <c r="G381" s="24"/>
      <c r="H381" s="51">
        <f>Assumptions!$D$15</f>
        <v>0.1</v>
      </c>
      <c r="I381" s="45">
        <f>IF(AR[[#This Row],[GST applies?]] = "Yes", (AR[[#This Row],[Invoice value inc. VAT]] / 1 + AR[[#This Row],[GST %]]) * AR[[#This Row],[GST %]], 0)</f>
        <v>0</v>
      </c>
      <c r="J381" s="31">
        <f>_xlfn.XLOOKUP(AR[[#This Row],[Customer name]], Customer_master[Customer name], Customer_master[EOM or Net], 0)</f>
        <v>0</v>
      </c>
      <c r="K381" s="31">
        <f>_xlfn.XLOOKUP(AR[[#This Row],[Customer name]], Customer_master[Customer name], Customer_master[Terms days], 0)</f>
        <v>0</v>
      </c>
      <c r="L3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1" s="4"/>
      <c r="N381" s="46">
        <f>IF(AR[[#This Row],[Collection date - override (dd/mm/yyyy)]] &lt;&gt; "", AR[[#This Row],[Collection date - override (dd/mm/yyyy)]], AR[[#This Row],[Due date (dd/mm/yyyy)]])</f>
        <v>0</v>
      </c>
      <c r="O381" s="46">
        <f t="shared" si="5"/>
        <v>52</v>
      </c>
    </row>
    <row r="382" spans="3:15" x14ac:dyDescent="0.25">
      <c r="C382" s="28"/>
      <c r="D382" s="20"/>
      <c r="E382" s="4"/>
      <c r="F382" s="37"/>
      <c r="G382" s="24"/>
      <c r="H382" s="51">
        <f>Assumptions!$D$15</f>
        <v>0.1</v>
      </c>
      <c r="I382" s="45">
        <f>IF(AR[[#This Row],[GST applies?]] = "Yes", (AR[[#This Row],[Invoice value inc. VAT]] / 1 + AR[[#This Row],[GST %]]) * AR[[#This Row],[GST %]], 0)</f>
        <v>0</v>
      </c>
      <c r="J382" s="31">
        <f>_xlfn.XLOOKUP(AR[[#This Row],[Customer name]], Customer_master[Customer name], Customer_master[EOM or Net], 0)</f>
        <v>0</v>
      </c>
      <c r="K382" s="31">
        <f>_xlfn.XLOOKUP(AR[[#This Row],[Customer name]], Customer_master[Customer name], Customer_master[Terms days], 0)</f>
        <v>0</v>
      </c>
      <c r="L3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2" s="4"/>
      <c r="N382" s="46">
        <f>IF(AR[[#This Row],[Collection date - override (dd/mm/yyyy)]] &lt;&gt; "", AR[[#This Row],[Collection date - override (dd/mm/yyyy)]], AR[[#This Row],[Due date (dd/mm/yyyy)]])</f>
        <v>0</v>
      </c>
      <c r="O382" s="46">
        <f t="shared" si="5"/>
        <v>52</v>
      </c>
    </row>
    <row r="383" spans="3:15" x14ac:dyDescent="0.25">
      <c r="C383" s="28"/>
      <c r="D383" s="20"/>
      <c r="E383" s="4"/>
      <c r="F383" s="37"/>
      <c r="G383" s="24"/>
      <c r="H383" s="51">
        <f>Assumptions!$D$15</f>
        <v>0.1</v>
      </c>
      <c r="I383" s="45">
        <f>IF(AR[[#This Row],[GST applies?]] = "Yes", (AR[[#This Row],[Invoice value inc. VAT]] / 1 + AR[[#This Row],[GST %]]) * AR[[#This Row],[GST %]], 0)</f>
        <v>0</v>
      </c>
      <c r="J383" s="31">
        <f>_xlfn.XLOOKUP(AR[[#This Row],[Customer name]], Customer_master[Customer name], Customer_master[EOM or Net], 0)</f>
        <v>0</v>
      </c>
      <c r="K383" s="31">
        <f>_xlfn.XLOOKUP(AR[[#This Row],[Customer name]], Customer_master[Customer name], Customer_master[Terms days], 0)</f>
        <v>0</v>
      </c>
      <c r="L3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3" s="4"/>
      <c r="N383" s="46">
        <f>IF(AR[[#This Row],[Collection date - override (dd/mm/yyyy)]] &lt;&gt; "", AR[[#This Row],[Collection date - override (dd/mm/yyyy)]], AR[[#This Row],[Due date (dd/mm/yyyy)]])</f>
        <v>0</v>
      </c>
      <c r="O383" s="46">
        <f t="shared" si="5"/>
        <v>52</v>
      </c>
    </row>
    <row r="384" spans="3:15" x14ac:dyDescent="0.25">
      <c r="C384" s="28"/>
      <c r="D384" s="20"/>
      <c r="E384" s="4"/>
      <c r="F384" s="37"/>
      <c r="G384" s="24"/>
      <c r="H384" s="51">
        <f>Assumptions!$D$15</f>
        <v>0.1</v>
      </c>
      <c r="I384" s="45">
        <f>IF(AR[[#This Row],[GST applies?]] = "Yes", (AR[[#This Row],[Invoice value inc. VAT]] / 1 + AR[[#This Row],[GST %]]) * AR[[#This Row],[GST %]], 0)</f>
        <v>0</v>
      </c>
      <c r="J384" s="31">
        <f>_xlfn.XLOOKUP(AR[[#This Row],[Customer name]], Customer_master[Customer name], Customer_master[EOM or Net], 0)</f>
        <v>0</v>
      </c>
      <c r="K384" s="31">
        <f>_xlfn.XLOOKUP(AR[[#This Row],[Customer name]], Customer_master[Customer name], Customer_master[Terms days], 0)</f>
        <v>0</v>
      </c>
      <c r="L3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4" s="4"/>
      <c r="N384" s="46">
        <f>IF(AR[[#This Row],[Collection date - override (dd/mm/yyyy)]] &lt;&gt; "", AR[[#This Row],[Collection date - override (dd/mm/yyyy)]], AR[[#This Row],[Due date (dd/mm/yyyy)]])</f>
        <v>0</v>
      </c>
      <c r="O384" s="46">
        <f t="shared" si="5"/>
        <v>52</v>
      </c>
    </row>
    <row r="385" spans="3:15" x14ac:dyDescent="0.25">
      <c r="C385" s="28"/>
      <c r="D385" s="20"/>
      <c r="E385" s="4"/>
      <c r="F385" s="37"/>
      <c r="G385" s="24"/>
      <c r="H385" s="51">
        <f>Assumptions!$D$15</f>
        <v>0.1</v>
      </c>
      <c r="I385" s="45">
        <f>IF(AR[[#This Row],[GST applies?]] = "Yes", (AR[[#This Row],[Invoice value inc. VAT]] / 1 + AR[[#This Row],[GST %]]) * AR[[#This Row],[GST %]], 0)</f>
        <v>0</v>
      </c>
      <c r="J385" s="31">
        <f>_xlfn.XLOOKUP(AR[[#This Row],[Customer name]], Customer_master[Customer name], Customer_master[EOM or Net], 0)</f>
        <v>0</v>
      </c>
      <c r="K385" s="31">
        <f>_xlfn.XLOOKUP(AR[[#This Row],[Customer name]], Customer_master[Customer name], Customer_master[Terms days], 0)</f>
        <v>0</v>
      </c>
      <c r="L3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5" s="4"/>
      <c r="N385" s="46">
        <f>IF(AR[[#This Row],[Collection date - override (dd/mm/yyyy)]] &lt;&gt; "", AR[[#This Row],[Collection date - override (dd/mm/yyyy)]], AR[[#This Row],[Due date (dd/mm/yyyy)]])</f>
        <v>0</v>
      </c>
      <c r="O385" s="46">
        <f t="shared" si="5"/>
        <v>52</v>
      </c>
    </row>
    <row r="386" spans="3:15" x14ac:dyDescent="0.25">
      <c r="C386" s="28"/>
      <c r="D386" s="20"/>
      <c r="E386" s="4"/>
      <c r="F386" s="37"/>
      <c r="G386" s="24"/>
      <c r="H386" s="51">
        <f>Assumptions!$D$15</f>
        <v>0.1</v>
      </c>
      <c r="I386" s="45">
        <f>IF(AR[[#This Row],[GST applies?]] = "Yes", (AR[[#This Row],[Invoice value inc. VAT]] / 1 + AR[[#This Row],[GST %]]) * AR[[#This Row],[GST %]], 0)</f>
        <v>0</v>
      </c>
      <c r="J386" s="31">
        <f>_xlfn.XLOOKUP(AR[[#This Row],[Customer name]], Customer_master[Customer name], Customer_master[EOM or Net], 0)</f>
        <v>0</v>
      </c>
      <c r="K386" s="31">
        <f>_xlfn.XLOOKUP(AR[[#This Row],[Customer name]], Customer_master[Customer name], Customer_master[Terms days], 0)</f>
        <v>0</v>
      </c>
      <c r="L3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6" s="4"/>
      <c r="N386" s="46">
        <f>IF(AR[[#This Row],[Collection date - override (dd/mm/yyyy)]] &lt;&gt; "", AR[[#This Row],[Collection date - override (dd/mm/yyyy)]], AR[[#This Row],[Due date (dd/mm/yyyy)]])</f>
        <v>0</v>
      </c>
      <c r="O386" s="46">
        <f t="shared" si="5"/>
        <v>52</v>
      </c>
    </row>
    <row r="387" spans="3:15" x14ac:dyDescent="0.25">
      <c r="C387" s="28"/>
      <c r="D387" s="20"/>
      <c r="E387" s="4"/>
      <c r="F387" s="37"/>
      <c r="G387" s="24"/>
      <c r="H387" s="51">
        <f>Assumptions!$D$15</f>
        <v>0.1</v>
      </c>
      <c r="I387" s="45">
        <f>IF(AR[[#This Row],[GST applies?]] = "Yes", (AR[[#This Row],[Invoice value inc. VAT]] / 1 + AR[[#This Row],[GST %]]) * AR[[#This Row],[GST %]], 0)</f>
        <v>0</v>
      </c>
      <c r="J387" s="31">
        <f>_xlfn.XLOOKUP(AR[[#This Row],[Customer name]], Customer_master[Customer name], Customer_master[EOM or Net], 0)</f>
        <v>0</v>
      </c>
      <c r="K387" s="31">
        <f>_xlfn.XLOOKUP(AR[[#This Row],[Customer name]], Customer_master[Customer name], Customer_master[Terms days], 0)</f>
        <v>0</v>
      </c>
      <c r="L3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7" s="4"/>
      <c r="N387" s="46">
        <f>IF(AR[[#This Row],[Collection date - override (dd/mm/yyyy)]] &lt;&gt; "", AR[[#This Row],[Collection date - override (dd/mm/yyyy)]], AR[[#This Row],[Due date (dd/mm/yyyy)]])</f>
        <v>0</v>
      </c>
      <c r="O387" s="46">
        <f t="shared" si="5"/>
        <v>52</v>
      </c>
    </row>
    <row r="388" spans="3:15" x14ac:dyDescent="0.25">
      <c r="C388" s="28"/>
      <c r="D388" s="20"/>
      <c r="E388" s="4"/>
      <c r="F388" s="37"/>
      <c r="G388" s="24"/>
      <c r="H388" s="51">
        <f>Assumptions!$D$15</f>
        <v>0.1</v>
      </c>
      <c r="I388" s="45">
        <f>IF(AR[[#This Row],[GST applies?]] = "Yes", (AR[[#This Row],[Invoice value inc. VAT]] / 1 + AR[[#This Row],[GST %]]) * AR[[#This Row],[GST %]], 0)</f>
        <v>0</v>
      </c>
      <c r="J388" s="31">
        <f>_xlfn.XLOOKUP(AR[[#This Row],[Customer name]], Customer_master[Customer name], Customer_master[EOM or Net], 0)</f>
        <v>0</v>
      </c>
      <c r="K388" s="31">
        <f>_xlfn.XLOOKUP(AR[[#This Row],[Customer name]], Customer_master[Customer name], Customer_master[Terms days], 0)</f>
        <v>0</v>
      </c>
      <c r="L3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8" s="4"/>
      <c r="N388" s="46">
        <f>IF(AR[[#This Row],[Collection date - override (dd/mm/yyyy)]] &lt;&gt; "", AR[[#This Row],[Collection date - override (dd/mm/yyyy)]], AR[[#This Row],[Due date (dd/mm/yyyy)]])</f>
        <v>0</v>
      </c>
      <c r="O388" s="46">
        <f t="shared" si="5"/>
        <v>52</v>
      </c>
    </row>
    <row r="389" spans="3:15" x14ac:dyDescent="0.25">
      <c r="C389" s="28"/>
      <c r="D389" s="20"/>
      <c r="E389" s="4"/>
      <c r="F389" s="37"/>
      <c r="G389" s="24"/>
      <c r="H389" s="51">
        <f>Assumptions!$D$15</f>
        <v>0.1</v>
      </c>
      <c r="I389" s="45">
        <f>IF(AR[[#This Row],[GST applies?]] = "Yes", (AR[[#This Row],[Invoice value inc. VAT]] / 1 + AR[[#This Row],[GST %]]) * AR[[#This Row],[GST %]], 0)</f>
        <v>0</v>
      </c>
      <c r="J389" s="31">
        <f>_xlfn.XLOOKUP(AR[[#This Row],[Customer name]], Customer_master[Customer name], Customer_master[EOM or Net], 0)</f>
        <v>0</v>
      </c>
      <c r="K389" s="31">
        <f>_xlfn.XLOOKUP(AR[[#This Row],[Customer name]], Customer_master[Customer name], Customer_master[Terms days], 0)</f>
        <v>0</v>
      </c>
      <c r="L3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9" s="4"/>
      <c r="N389" s="46">
        <f>IF(AR[[#This Row],[Collection date - override (dd/mm/yyyy)]] &lt;&gt; "", AR[[#This Row],[Collection date - override (dd/mm/yyyy)]], AR[[#This Row],[Due date (dd/mm/yyyy)]])</f>
        <v>0</v>
      </c>
      <c r="O389" s="46">
        <f t="shared" si="5"/>
        <v>52</v>
      </c>
    </row>
    <row r="390" spans="3:15" x14ac:dyDescent="0.25">
      <c r="C390" s="28"/>
      <c r="D390" s="20"/>
      <c r="E390" s="4"/>
      <c r="F390" s="37"/>
      <c r="G390" s="24"/>
      <c r="H390" s="51">
        <f>Assumptions!$D$15</f>
        <v>0.1</v>
      </c>
      <c r="I390" s="45">
        <f>IF(AR[[#This Row],[GST applies?]] = "Yes", (AR[[#This Row],[Invoice value inc. VAT]] / 1 + AR[[#This Row],[GST %]]) * AR[[#This Row],[GST %]], 0)</f>
        <v>0</v>
      </c>
      <c r="J390" s="31">
        <f>_xlfn.XLOOKUP(AR[[#This Row],[Customer name]], Customer_master[Customer name], Customer_master[EOM or Net], 0)</f>
        <v>0</v>
      </c>
      <c r="K390" s="31">
        <f>_xlfn.XLOOKUP(AR[[#This Row],[Customer name]], Customer_master[Customer name], Customer_master[Terms days], 0)</f>
        <v>0</v>
      </c>
      <c r="L3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0" s="4"/>
      <c r="N390" s="46">
        <f>IF(AR[[#This Row],[Collection date - override (dd/mm/yyyy)]] &lt;&gt; "", AR[[#This Row],[Collection date - override (dd/mm/yyyy)]], AR[[#This Row],[Due date (dd/mm/yyyy)]])</f>
        <v>0</v>
      </c>
      <c r="O390" s="46">
        <f t="shared" si="5"/>
        <v>52</v>
      </c>
    </row>
    <row r="391" spans="3:15" x14ac:dyDescent="0.25">
      <c r="C391" s="28"/>
      <c r="D391" s="20"/>
      <c r="E391" s="4"/>
      <c r="F391" s="37"/>
      <c r="G391" s="24"/>
      <c r="H391" s="51">
        <f>Assumptions!$D$15</f>
        <v>0.1</v>
      </c>
      <c r="I391" s="45">
        <f>IF(AR[[#This Row],[GST applies?]] = "Yes", (AR[[#This Row],[Invoice value inc. VAT]] / 1 + AR[[#This Row],[GST %]]) * AR[[#This Row],[GST %]], 0)</f>
        <v>0</v>
      </c>
      <c r="J391" s="31">
        <f>_xlfn.XLOOKUP(AR[[#This Row],[Customer name]], Customer_master[Customer name], Customer_master[EOM or Net], 0)</f>
        <v>0</v>
      </c>
      <c r="K391" s="31">
        <f>_xlfn.XLOOKUP(AR[[#This Row],[Customer name]], Customer_master[Customer name], Customer_master[Terms days], 0)</f>
        <v>0</v>
      </c>
      <c r="L3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1" s="4"/>
      <c r="N391" s="46">
        <f>IF(AR[[#This Row],[Collection date - override (dd/mm/yyyy)]] &lt;&gt; "", AR[[#This Row],[Collection date - override (dd/mm/yyyy)]], AR[[#This Row],[Due date (dd/mm/yyyy)]])</f>
        <v>0</v>
      </c>
      <c r="O391" s="46">
        <f t="shared" si="5"/>
        <v>52</v>
      </c>
    </row>
    <row r="392" spans="3:15" x14ac:dyDescent="0.25">
      <c r="C392" s="28"/>
      <c r="D392" s="20"/>
      <c r="E392" s="4"/>
      <c r="F392" s="37"/>
      <c r="G392" s="24"/>
      <c r="H392" s="51">
        <f>Assumptions!$D$15</f>
        <v>0.1</v>
      </c>
      <c r="I392" s="45">
        <f>IF(AR[[#This Row],[GST applies?]] = "Yes", (AR[[#This Row],[Invoice value inc. VAT]] / 1 + AR[[#This Row],[GST %]]) * AR[[#This Row],[GST %]], 0)</f>
        <v>0</v>
      </c>
      <c r="J392" s="31">
        <f>_xlfn.XLOOKUP(AR[[#This Row],[Customer name]], Customer_master[Customer name], Customer_master[EOM or Net], 0)</f>
        <v>0</v>
      </c>
      <c r="K392" s="31">
        <f>_xlfn.XLOOKUP(AR[[#This Row],[Customer name]], Customer_master[Customer name], Customer_master[Terms days], 0)</f>
        <v>0</v>
      </c>
      <c r="L3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2" s="4"/>
      <c r="N392" s="46">
        <f>IF(AR[[#This Row],[Collection date - override (dd/mm/yyyy)]] &lt;&gt; "", AR[[#This Row],[Collection date - override (dd/mm/yyyy)]], AR[[#This Row],[Due date (dd/mm/yyyy)]])</f>
        <v>0</v>
      </c>
      <c r="O392" s="46">
        <f t="shared" si="5"/>
        <v>52</v>
      </c>
    </row>
    <row r="393" spans="3:15" x14ac:dyDescent="0.25">
      <c r="C393" s="28"/>
      <c r="D393" s="20"/>
      <c r="E393" s="4"/>
      <c r="F393" s="37"/>
      <c r="G393" s="24"/>
      <c r="H393" s="51">
        <f>Assumptions!$D$15</f>
        <v>0.1</v>
      </c>
      <c r="I393" s="45">
        <f>IF(AR[[#This Row],[GST applies?]] = "Yes", (AR[[#This Row],[Invoice value inc. VAT]] / 1 + AR[[#This Row],[GST %]]) * AR[[#This Row],[GST %]], 0)</f>
        <v>0</v>
      </c>
      <c r="J393" s="31">
        <f>_xlfn.XLOOKUP(AR[[#This Row],[Customer name]], Customer_master[Customer name], Customer_master[EOM or Net], 0)</f>
        <v>0</v>
      </c>
      <c r="K393" s="31">
        <f>_xlfn.XLOOKUP(AR[[#This Row],[Customer name]], Customer_master[Customer name], Customer_master[Terms days], 0)</f>
        <v>0</v>
      </c>
      <c r="L3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3" s="4"/>
      <c r="N393" s="46">
        <f>IF(AR[[#This Row],[Collection date - override (dd/mm/yyyy)]] &lt;&gt; "", AR[[#This Row],[Collection date - override (dd/mm/yyyy)]], AR[[#This Row],[Due date (dd/mm/yyyy)]])</f>
        <v>0</v>
      </c>
      <c r="O393" s="46">
        <f t="shared" ref="O393:O456" si="6">IF(GST_Freq="Monthly",
    DATE(YEAR(E393), MONTH(E393) + 1, 21),
    IF(GST_Freq="Quarterly",
        IF(MOD(MONTH(E393) + 2 - MOD(MOD(MONTH(E393) - GST_First_Month, 12), 3), 12) = 0,
            DATE(YEAR(E393), MONTH(E393) + 4 - MOD(MOD(MONTH(E393) - GST_First_Month, 12), 3), 28),
            DATE(YEAR(E393), MONTH(E393) + 3 - MOD(MOD(MONTH(E393) - GST_First_Month, 12), 3), 28)
        ),
        "Invalid frequency"
    )
)</f>
        <v>52</v>
      </c>
    </row>
    <row r="394" spans="3:15" x14ac:dyDescent="0.25">
      <c r="C394" s="28"/>
      <c r="D394" s="20"/>
      <c r="E394" s="4"/>
      <c r="F394" s="37"/>
      <c r="G394" s="24"/>
      <c r="H394" s="51">
        <f>Assumptions!$D$15</f>
        <v>0.1</v>
      </c>
      <c r="I394" s="45">
        <f>IF(AR[[#This Row],[GST applies?]] = "Yes", (AR[[#This Row],[Invoice value inc. VAT]] / 1 + AR[[#This Row],[GST %]]) * AR[[#This Row],[GST %]], 0)</f>
        <v>0</v>
      </c>
      <c r="J394" s="31">
        <f>_xlfn.XLOOKUP(AR[[#This Row],[Customer name]], Customer_master[Customer name], Customer_master[EOM or Net], 0)</f>
        <v>0</v>
      </c>
      <c r="K394" s="31">
        <f>_xlfn.XLOOKUP(AR[[#This Row],[Customer name]], Customer_master[Customer name], Customer_master[Terms days], 0)</f>
        <v>0</v>
      </c>
      <c r="L3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4" s="4"/>
      <c r="N394" s="46">
        <f>IF(AR[[#This Row],[Collection date - override (dd/mm/yyyy)]] &lt;&gt; "", AR[[#This Row],[Collection date - override (dd/mm/yyyy)]], AR[[#This Row],[Due date (dd/mm/yyyy)]])</f>
        <v>0</v>
      </c>
      <c r="O394" s="46">
        <f t="shared" si="6"/>
        <v>52</v>
      </c>
    </row>
    <row r="395" spans="3:15" x14ac:dyDescent="0.25">
      <c r="C395" s="28"/>
      <c r="D395" s="20"/>
      <c r="E395" s="4"/>
      <c r="F395" s="37"/>
      <c r="G395" s="24"/>
      <c r="H395" s="51">
        <f>Assumptions!$D$15</f>
        <v>0.1</v>
      </c>
      <c r="I395" s="45">
        <f>IF(AR[[#This Row],[GST applies?]] = "Yes", (AR[[#This Row],[Invoice value inc. VAT]] / 1 + AR[[#This Row],[GST %]]) * AR[[#This Row],[GST %]], 0)</f>
        <v>0</v>
      </c>
      <c r="J395" s="31">
        <f>_xlfn.XLOOKUP(AR[[#This Row],[Customer name]], Customer_master[Customer name], Customer_master[EOM or Net], 0)</f>
        <v>0</v>
      </c>
      <c r="K395" s="31">
        <f>_xlfn.XLOOKUP(AR[[#This Row],[Customer name]], Customer_master[Customer name], Customer_master[Terms days], 0)</f>
        <v>0</v>
      </c>
      <c r="L3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5" s="4"/>
      <c r="N395" s="46">
        <f>IF(AR[[#This Row],[Collection date - override (dd/mm/yyyy)]] &lt;&gt; "", AR[[#This Row],[Collection date - override (dd/mm/yyyy)]], AR[[#This Row],[Due date (dd/mm/yyyy)]])</f>
        <v>0</v>
      </c>
      <c r="O395" s="46">
        <f t="shared" si="6"/>
        <v>52</v>
      </c>
    </row>
    <row r="396" spans="3:15" x14ac:dyDescent="0.25">
      <c r="C396" s="28"/>
      <c r="D396" s="20"/>
      <c r="E396" s="4"/>
      <c r="F396" s="37"/>
      <c r="G396" s="24"/>
      <c r="H396" s="51">
        <f>Assumptions!$D$15</f>
        <v>0.1</v>
      </c>
      <c r="I396" s="45">
        <f>IF(AR[[#This Row],[GST applies?]] = "Yes", (AR[[#This Row],[Invoice value inc. VAT]] / 1 + AR[[#This Row],[GST %]]) * AR[[#This Row],[GST %]], 0)</f>
        <v>0</v>
      </c>
      <c r="J396" s="31">
        <f>_xlfn.XLOOKUP(AR[[#This Row],[Customer name]], Customer_master[Customer name], Customer_master[EOM or Net], 0)</f>
        <v>0</v>
      </c>
      <c r="K396" s="31">
        <f>_xlfn.XLOOKUP(AR[[#This Row],[Customer name]], Customer_master[Customer name], Customer_master[Terms days], 0)</f>
        <v>0</v>
      </c>
      <c r="L3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6" s="4"/>
      <c r="N396" s="46">
        <f>IF(AR[[#This Row],[Collection date - override (dd/mm/yyyy)]] &lt;&gt; "", AR[[#This Row],[Collection date - override (dd/mm/yyyy)]], AR[[#This Row],[Due date (dd/mm/yyyy)]])</f>
        <v>0</v>
      </c>
      <c r="O396" s="46">
        <f t="shared" si="6"/>
        <v>52</v>
      </c>
    </row>
    <row r="397" spans="3:15" x14ac:dyDescent="0.25">
      <c r="C397" s="28"/>
      <c r="D397" s="20"/>
      <c r="E397" s="4"/>
      <c r="F397" s="37"/>
      <c r="G397" s="24"/>
      <c r="H397" s="51">
        <f>Assumptions!$D$15</f>
        <v>0.1</v>
      </c>
      <c r="I397" s="45">
        <f>IF(AR[[#This Row],[GST applies?]] = "Yes", (AR[[#This Row],[Invoice value inc. VAT]] / 1 + AR[[#This Row],[GST %]]) * AR[[#This Row],[GST %]], 0)</f>
        <v>0</v>
      </c>
      <c r="J397" s="31">
        <f>_xlfn.XLOOKUP(AR[[#This Row],[Customer name]], Customer_master[Customer name], Customer_master[EOM or Net], 0)</f>
        <v>0</v>
      </c>
      <c r="K397" s="31">
        <f>_xlfn.XLOOKUP(AR[[#This Row],[Customer name]], Customer_master[Customer name], Customer_master[Terms days], 0)</f>
        <v>0</v>
      </c>
      <c r="L3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7" s="4"/>
      <c r="N397" s="46">
        <f>IF(AR[[#This Row],[Collection date - override (dd/mm/yyyy)]] &lt;&gt; "", AR[[#This Row],[Collection date - override (dd/mm/yyyy)]], AR[[#This Row],[Due date (dd/mm/yyyy)]])</f>
        <v>0</v>
      </c>
      <c r="O397" s="46">
        <f t="shared" si="6"/>
        <v>52</v>
      </c>
    </row>
    <row r="398" spans="3:15" x14ac:dyDescent="0.25">
      <c r="C398" s="28"/>
      <c r="D398" s="20"/>
      <c r="E398" s="4"/>
      <c r="F398" s="37"/>
      <c r="G398" s="24"/>
      <c r="H398" s="51">
        <f>Assumptions!$D$15</f>
        <v>0.1</v>
      </c>
      <c r="I398" s="45">
        <f>IF(AR[[#This Row],[GST applies?]] = "Yes", (AR[[#This Row],[Invoice value inc. VAT]] / 1 + AR[[#This Row],[GST %]]) * AR[[#This Row],[GST %]], 0)</f>
        <v>0</v>
      </c>
      <c r="J398" s="31">
        <f>_xlfn.XLOOKUP(AR[[#This Row],[Customer name]], Customer_master[Customer name], Customer_master[EOM or Net], 0)</f>
        <v>0</v>
      </c>
      <c r="K398" s="31">
        <f>_xlfn.XLOOKUP(AR[[#This Row],[Customer name]], Customer_master[Customer name], Customer_master[Terms days], 0)</f>
        <v>0</v>
      </c>
      <c r="L3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8" s="4"/>
      <c r="N398" s="46">
        <f>IF(AR[[#This Row],[Collection date - override (dd/mm/yyyy)]] &lt;&gt; "", AR[[#This Row],[Collection date - override (dd/mm/yyyy)]], AR[[#This Row],[Due date (dd/mm/yyyy)]])</f>
        <v>0</v>
      </c>
      <c r="O398" s="46">
        <f t="shared" si="6"/>
        <v>52</v>
      </c>
    </row>
    <row r="399" spans="3:15" x14ac:dyDescent="0.25">
      <c r="C399" s="28"/>
      <c r="D399" s="20"/>
      <c r="E399" s="4"/>
      <c r="F399" s="37"/>
      <c r="G399" s="24"/>
      <c r="H399" s="51">
        <f>Assumptions!$D$15</f>
        <v>0.1</v>
      </c>
      <c r="I399" s="45">
        <f>IF(AR[[#This Row],[GST applies?]] = "Yes", (AR[[#This Row],[Invoice value inc. VAT]] / 1 + AR[[#This Row],[GST %]]) * AR[[#This Row],[GST %]], 0)</f>
        <v>0</v>
      </c>
      <c r="J399" s="31">
        <f>_xlfn.XLOOKUP(AR[[#This Row],[Customer name]], Customer_master[Customer name], Customer_master[EOM or Net], 0)</f>
        <v>0</v>
      </c>
      <c r="K399" s="31">
        <f>_xlfn.XLOOKUP(AR[[#This Row],[Customer name]], Customer_master[Customer name], Customer_master[Terms days], 0)</f>
        <v>0</v>
      </c>
      <c r="L3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9" s="4"/>
      <c r="N399" s="46">
        <f>IF(AR[[#This Row],[Collection date - override (dd/mm/yyyy)]] &lt;&gt; "", AR[[#This Row],[Collection date - override (dd/mm/yyyy)]], AR[[#This Row],[Due date (dd/mm/yyyy)]])</f>
        <v>0</v>
      </c>
      <c r="O399" s="46">
        <f t="shared" si="6"/>
        <v>52</v>
      </c>
    </row>
    <row r="400" spans="3:15" x14ac:dyDescent="0.25">
      <c r="C400" s="28"/>
      <c r="D400" s="20"/>
      <c r="E400" s="4"/>
      <c r="F400" s="37"/>
      <c r="G400" s="24"/>
      <c r="H400" s="51">
        <f>Assumptions!$D$15</f>
        <v>0.1</v>
      </c>
      <c r="I400" s="45">
        <f>IF(AR[[#This Row],[GST applies?]] = "Yes", (AR[[#This Row],[Invoice value inc. VAT]] / 1 + AR[[#This Row],[GST %]]) * AR[[#This Row],[GST %]], 0)</f>
        <v>0</v>
      </c>
      <c r="J400" s="31">
        <f>_xlfn.XLOOKUP(AR[[#This Row],[Customer name]], Customer_master[Customer name], Customer_master[EOM or Net], 0)</f>
        <v>0</v>
      </c>
      <c r="K400" s="31">
        <f>_xlfn.XLOOKUP(AR[[#This Row],[Customer name]], Customer_master[Customer name], Customer_master[Terms days], 0)</f>
        <v>0</v>
      </c>
      <c r="L4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0" s="4"/>
      <c r="N400" s="46">
        <f>IF(AR[[#This Row],[Collection date - override (dd/mm/yyyy)]] &lt;&gt; "", AR[[#This Row],[Collection date - override (dd/mm/yyyy)]], AR[[#This Row],[Due date (dd/mm/yyyy)]])</f>
        <v>0</v>
      </c>
      <c r="O400" s="46">
        <f t="shared" si="6"/>
        <v>52</v>
      </c>
    </row>
    <row r="401" spans="3:15" x14ac:dyDescent="0.25">
      <c r="C401" s="28"/>
      <c r="D401" s="20"/>
      <c r="E401" s="4"/>
      <c r="F401" s="37"/>
      <c r="G401" s="24"/>
      <c r="H401" s="51">
        <f>Assumptions!$D$15</f>
        <v>0.1</v>
      </c>
      <c r="I401" s="45">
        <f>IF(AR[[#This Row],[GST applies?]] = "Yes", (AR[[#This Row],[Invoice value inc. VAT]] / 1 + AR[[#This Row],[GST %]]) * AR[[#This Row],[GST %]], 0)</f>
        <v>0</v>
      </c>
      <c r="J401" s="31">
        <f>_xlfn.XLOOKUP(AR[[#This Row],[Customer name]], Customer_master[Customer name], Customer_master[EOM or Net], 0)</f>
        <v>0</v>
      </c>
      <c r="K401" s="31">
        <f>_xlfn.XLOOKUP(AR[[#This Row],[Customer name]], Customer_master[Customer name], Customer_master[Terms days], 0)</f>
        <v>0</v>
      </c>
      <c r="L4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1" s="4"/>
      <c r="N401" s="46">
        <f>IF(AR[[#This Row],[Collection date - override (dd/mm/yyyy)]] &lt;&gt; "", AR[[#This Row],[Collection date - override (dd/mm/yyyy)]], AR[[#This Row],[Due date (dd/mm/yyyy)]])</f>
        <v>0</v>
      </c>
      <c r="O401" s="46">
        <f t="shared" si="6"/>
        <v>52</v>
      </c>
    </row>
    <row r="402" spans="3:15" x14ac:dyDescent="0.25">
      <c r="C402" s="28"/>
      <c r="D402" s="20"/>
      <c r="E402" s="4"/>
      <c r="F402" s="37"/>
      <c r="G402" s="24"/>
      <c r="H402" s="51">
        <f>Assumptions!$D$15</f>
        <v>0.1</v>
      </c>
      <c r="I402" s="45">
        <f>IF(AR[[#This Row],[GST applies?]] = "Yes", (AR[[#This Row],[Invoice value inc. VAT]] / 1 + AR[[#This Row],[GST %]]) * AR[[#This Row],[GST %]], 0)</f>
        <v>0</v>
      </c>
      <c r="J402" s="31">
        <f>_xlfn.XLOOKUP(AR[[#This Row],[Customer name]], Customer_master[Customer name], Customer_master[EOM or Net], 0)</f>
        <v>0</v>
      </c>
      <c r="K402" s="31">
        <f>_xlfn.XLOOKUP(AR[[#This Row],[Customer name]], Customer_master[Customer name], Customer_master[Terms days], 0)</f>
        <v>0</v>
      </c>
      <c r="L4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2" s="4"/>
      <c r="N402" s="46">
        <f>IF(AR[[#This Row],[Collection date - override (dd/mm/yyyy)]] &lt;&gt; "", AR[[#This Row],[Collection date - override (dd/mm/yyyy)]], AR[[#This Row],[Due date (dd/mm/yyyy)]])</f>
        <v>0</v>
      </c>
      <c r="O402" s="46">
        <f t="shared" si="6"/>
        <v>52</v>
      </c>
    </row>
    <row r="403" spans="3:15" x14ac:dyDescent="0.25">
      <c r="C403" s="28"/>
      <c r="D403" s="20"/>
      <c r="E403" s="4"/>
      <c r="F403" s="37"/>
      <c r="G403" s="24"/>
      <c r="H403" s="51">
        <f>Assumptions!$D$15</f>
        <v>0.1</v>
      </c>
      <c r="I403" s="45">
        <f>IF(AR[[#This Row],[GST applies?]] = "Yes", (AR[[#This Row],[Invoice value inc. VAT]] / 1 + AR[[#This Row],[GST %]]) * AR[[#This Row],[GST %]], 0)</f>
        <v>0</v>
      </c>
      <c r="J403" s="31">
        <f>_xlfn.XLOOKUP(AR[[#This Row],[Customer name]], Customer_master[Customer name], Customer_master[EOM or Net], 0)</f>
        <v>0</v>
      </c>
      <c r="K403" s="31">
        <f>_xlfn.XLOOKUP(AR[[#This Row],[Customer name]], Customer_master[Customer name], Customer_master[Terms days], 0)</f>
        <v>0</v>
      </c>
      <c r="L4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3" s="4"/>
      <c r="N403" s="46">
        <f>IF(AR[[#This Row],[Collection date - override (dd/mm/yyyy)]] &lt;&gt; "", AR[[#This Row],[Collection date - override (dd/mm/yyyy)]], AR[[#This Row],[Due date (dd/mm/yyyy)]])</f>
        <v>0</v>
      </c>
      <c r="O403" s="46">
        <f t="shared" si="6"/>
        <v>52</v>
      </c>
    </row>
    <row r="404" spans="3:15" x14ac:dyDescent="0.25">
      <c r="C404" s="28"/>
      <c r="D404" s="20"/>
      <c r="E404" s="4"/>
      <c r="F404" s="37"/>
      <c r="G404" s="24"/>
      <c r="H404" s="51">
        <f>Assumptions!$D$15</f>
        <v>0.1</v>
      </c>
      <c r="I404" s="45">
        <f>IF(AR[[#This Row],[GST applies?]] = "Yes", (AR[[#This Row],[Invoice value inc. VAT]] / 1 + AR[[#This Row],[GST %]]) * AR[[#This Row],[GST %]], 0)</f>
        <v>0</v>
      </c>
      <c r="J404" s="31">
        <f>_xlfn.XLOOKUP(AR[[#This Row],[Customer name]], Customer_master[Customer name], Customer_master[EOM or Net], 0)</f>
        <v>0</v>
      </c>
      <c r="K404" s="31">
        <f>_xlfn.XLOOKUP(AR[[#This Row],[Customer name]], Customer_master[Customer name], Customer_master[Terms days], 0)</f>
        <v>0</v>
      </c>
      <c r="L4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4" s="4"/>
      <c r="N404" s="46">
        <f>IF(AR[[#This Row],[Collection date - override (dd/mm/yyyy)]] &lt;&gt; "", AR[[#This Row],[Collection date - override (dd/mm/yyyy)]], AR[[#This Row],[Due date (dd/mm/yyyy)]])</f>
        <v>0</v>
      </c>
      <c r="O404" s="46">
        <f t="shared" si="6"/>
        <v>52</v>
      </c>
    </row>
    <row r="405" spans="3:15" x14ac:dyDescent="0.25">
      <c r="C405" s="28"/>
      <c r="D405" s="20"/>
      <c r="E405" s="4"/>
      <c r="F405" s="37"/>
      <c r="G405" s="24"/>
      <c r="H405" s="51">
        <f>Assumptions!$D$15</f>
        <v>0.1</v>
      </c>
      <c r="I405" s="45">
        <f>IF(AR[[#This Row],[GST applies?]] = "Yes", (AR[[#This Row],[Invoice value inc. VAT]] / 1 + AR[[#This Row],[GST %]]) * AR[[#This Row],[GST %]], 0)</f>
        <v>0</v>
      </c>
      <c r="J405" s="31">
        <f>_xlfn.XLOOKUP(AR[[#This Row],[Customer name]], Customer_master[Customer name], Customer_master[EOM or Net], 0)</f>
        <v>0</v>
      </c>
      <c r="K405" s="31">
        <f>_xlfn.XLOOKUP(AR[[#This Row],[Customer name]], Customer_master[Customer name], Customer_master[Terms days], 0)</f>
        <v>0</v>
      </c>
      <c r="L4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5" s="4"/>
      <c r="N405" s="46">
        <f>IF(AR[[#This Row],[Collection date - override (dd/mm/yyyy)]] &lt;&gt; "", AR[[#This Row],[Collection date - override (dd/mm/yyyy)]], AR[[#This Row],[Due date (dd/mm/yyyy)]])</f>
        <v>0</v>
      </c>
      <c r="O405" s="46">
        <f t="shared" si="6"/>
        <v>52</v>
      </c>
    </row>
    <row r="406" spans="3:15" x14ac:dyDescent="0.25">
      <c r="C406" s="28"/>
      <c r="D406" s="20"/>
      <c r="E406" s="4"/>
      <c r="F406" s="37"/>
      <c r="G406" s="24"/>
      <c r="H406" s="51">
        <f>Assumptions!$D$15</f>
        <v>0.1</v>
      </c>
      <c r="I406" s="45">
        <f>IF(AR[[#This Row],[GST applies?]] = "Yes", (AR[[#This Row],[Invoice value inc. VAT]] / 1 + AR[[#This Row],[GST %]]) * AR[[#This Row],[GST %]], 0)</f>
        <v>0</v>
      </c>
      <c r="J406" s="31">
        <f>_xlfn.XLOOKUP(AR[[#This Row],[Customer name]], Customer_master[Customer name], Customer_master[EOM or Net], 0)</f>
        <v>0</v>
      </c>
      <c r="K406" s="31">
        <f>_xlfn.XLOOKUP(AR[[#This Row],[Customer name]], Customer_master[Customer name], Customer_master[Terms days], 0)</f>
        <v>0</v>
      </c>
      <c r="L4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6" s="4"/>
      <c r="N406" s="46">
        <f>IF(AR[[#This Row],[Collection date - override (dd/mm/yyyy)]] &lt;&gt; "", AR[[#This Row],[Collection date - override (dd/mm/yyyy)]], AR[[#This Row],[Due date (dd/mm/yyyy)]])</f>
        <v>0</v>
      </c>
      <c r="O406" s="46">
        <f t="shared" si="6"/>
        <v>52</v>
      </c>
    </row>
    <row r="407" spans="3:15" x14ac:dyDescent="0.25">
      <c r="C407" s="28"/>
      <c r="D407" s="20"/>
      <c r="E407" s="4"/>
      <c r="F407" s="37"/>
      <c r="G407" s="24"/>
      <c r="H407" s="51">
        <f>Assumptions!$D$15</f>
        <v>0.1</v>
      </c>
      <c r="I407" s="45">
        <f>IF(AR[[#This Row],[GST applies?]] = "Yes", (AR[[#This Row],[Invoice value inc. VAT]] / 1 + AR[[#This Row],[GST %]]) * AR[[#This Row],[GST %]], 0)</f>
        <v>0</v>
      </c>
      <c r="J407" s="31">
        <f>_xlfn.XLOOKUP(AR[[#This Row],[Customer name]], Customer_master[Customer name], Customer_master[EOM or Net], 0)</f>
        <v>0</v>
      </c>
      <c r="K407" s="31">
        <f>_xlfn.XLOOKUP(AR[[#This Row],[Customer name]], Customer_master[Customer name], Customer_master[Terms days], 0)</f>
        <v>0</v>
      </c>
      <c r="L4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7" s="4"/>
      <c r="N407" s="46">
        <f>IF(AR[[#This Row],[Collection date - override (dd/mm/yyyy)]] &lt;&gt; "", AR[[#This Row],[Collection date - override (dd/mm/yyyy)]], AR[[#This Row],[Due date (dd/mm/yyyy)]])</f>
        <v>0</v>
      </c>
      <c r="O407" s="46">
        <f t="shared" si="6"/>
        <v>52</v>
      </c>
    </row>
    <row r="408" spans="3:15" x14ac:dyDescent="0.25">
      <c r="C408" s="28"/>
      <c r="D408" s="20"/>
      <c r="E408" s="4"/>
      <c r="F408" s="37"/>
      <c r="G408" s="24"/>
      <c r="H408" s="51">
        <f>Assumptions!$D$15</f>
        <v>0.1</v>
      </c>
      <c r="I408" s="45">
        <f>IF(AR[[#This Row],[GST applies?]] = "Yes", (AR[[#This Row],[Invoice value inc. VAT]] / 1 + AR[[#This Row],[GST %]]) * AR[[#This Row],[GST %]], 0)</f>
        <v>0</v>
      </c>
      <c r="J408" s="31">
        <f>_xlfn.XLOOKUP(AR[[#This Row],[Customer name]], Customer_master[Customer name], Customer_master[EOM or Net], 0)</f>
        <v>0</v>
      </c>
      <c r="K408" s="31">
        <f>_xlfn.XLOOKUP(AR[[#This Row],[Customer name]], Customer_master[Customer name], Customer_master[Terms days], 0)</f>
        <v>0</v>
      </c>
      <c r="L4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8" s="4"/>
      <c r="N408" s="46">
        <f>IF(AR[[#This Row],[Collection date - override (dd/mm/yyyy)]] &lt;&gt; "", AR[[#This Row],[Collection date - override (dd/mm/yyyy)]], AR[[#This Row],[Due date (dd/mm/yyyy)]])</f>
        <v>0</v>
      </c>
      <c r="O408" s="46">
        <f t="shared" si="6"/>
        <v>52</v>
      </c>
    </row>
    <row r="409" spans="3:15" x14ac:dyDescent="0.25">
      <c r="C409" s="28"/>
      <c r="D409" s="20"/>
      <c r="E409" s="4"/>
      <c r="F409" s="37"/>
      <c r="G409" s="24"/>
      <c r="H409" s="51">
        <f>Assumptions!$D$15</f>
        <v>0.1</v>
      </c>
      <c r="I409" s="45">
        <f>IF(AR[[#This Row],[GST applies?]] = "Yes", (AR[[#This Row],[Invoice value inc. VAT]] / 1 + AR[[#This Row],[GST %]]) * AR[[#This Row],[GST %]], 0)</f>
        <v>0</v>
      </c>
      <c r="J409" s="31">
        <f>_xlfn.XLOOKUP(AR[[#This Row],[Customer name]], Customer_master[Customer name], Customer_master[EOM or Net], 0)</f>
        <v>0</v>
      </c>
      <c r="K409" s="31">
        <f>_xlfn.XLOOKUP(AR[[#This Row],[Customer name]], Customer_master[Customer name], Customer_master[Terms days], 0)</f>
        <v>0</v>
      </c>
      <c r="L4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9" s="4"/>
      <c r="N409" s="46">
        <f>IF(AR[[#This Row],[Collection date - override (dd/mm/yyyy)]] &lt;&gt; "", AR[[#This Row],[Collection date - override (dd/mm/yyyy)]], AR[[#This Row],[Due date (dd/mm/yyyy)]])</f>
        <v>0</v>
      </c>
      <c r="O409" s="46">
        <f t="shared" si="6"/>
        <v>52</v>
      </c>
    </row>
    <row r="410" spans="3:15" x14ac:dyDescent="0.25">
      <c r="C410" s="28"/>
      <c r="D410" s="20"/>
      <c r="E410" s="4"/>
      <c r="F410" s="37"/>
      <c r="G410" s="24"/>
      <c r="H410" s="51">
        <f>Assumptions!$D$15</f>
        <v>0.1</v>
      </c>
      <c r="I410" s="45">
        <f>IF(AR[[#This Row],[GST applies?]] = "Yes", (AR[[#This Row],[Invoice value inc. VAT]] / 1 + AR[[#This Row],[GST %]]) * AR[[#This Row],[GST %]], 0)</f>
        <v>0</v>
      </c>
      <c r="J410" s="31">
        <f>_xlfn.XLOOKUP(AR[[#This Row],[Customer name]], Customer_master[Customer name], Customer_master[EOM or Net], 0)</f>
        <v>0</v>
      </c>
      <c r="K410" s="31">
        <f>_xlfn.XLOOKUP(AR[[#This Row],[Customer name]], Customer_master[Customer name], Customer_master[Terms days], 0)</f>
        <v>0</v>
      </c>
      <c r="L4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0" s="4"/>
      <c r="N410" s="46">
        <f>IF(AR[[#This Row],[Collection date - override (dd/mm/yyyy)]] &lt;&gt; "", AR[[#This Row],[Collection date - override (dd/mm/yyyy)]], AR[[#This Row],[Due date (dd/mm/yyyy)]])</f>
        <v>0</v>
      </c>
      <c r="O410" s="46">
        <f t="shared" si="6"/>
        <v>52</v>
      </c>
    </row>
    <row r="411" spans="3:15" x14ac:dyDescent="0.25">
      <c r="C411" s="28"/>
      <c r="D411" s="20"/>
      <c r="E411" s="4"/>
      <c r="F411" s="37"/>
      <c r="G411" s="24"/>
      <c r="H411" s="51">
        <f>Assumptions!$D$15</f>
        <v>0.1</v>
      </c>
      <c r="I411" s="45">
        <f>IF(AR[[#This Row],[GST applies?]] = "Yes", (AR[[#This Row],[Invoice value inc. VAT]] / 1 + AR[[#This Row],[GST %]]) * AR[[#This Row],[GST %]], 0)</f>
        <v>0</v>
      </c>
      <c r="J411" s="31">
        <f>_xlfn.XLOOKUP(AR[[#This Row],[Customer name]], Customer_master[Customer name], Customer_master[EOM or Net], 0)</f>
        <v>0</v>
      </c>
      <c r="K411" s="31">
        <f>_xlfn.XLOOKUP(AR[[#This Row],[Customer name]], Customer_master[Customer name], Customer_master[Terms days], 0)</f>
        <v>0</v>
      </c>
      <c r="L4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1" s="4"/>
      <c r="N411" s="46">
        <f>IF(AR[[#This Row],[Collection date - override (dd/mm/yyyy)]] &lt;&gt; "", AR[[#This Row],[Collection date - override (dd/mm/yyyy)]], AR[[#This Row],[Due date (dd/mm/yyyy)]])</f>
        <v>0</v>
      </c>
      <c r="O411" s="46">
        <f t="shared" si="6"/>
        <v>52</v>
      </c>
    </row>
    <row r="412" spans="3:15" x14ac:dyDescent="0.25">
      <c r="C412" s="28"/>
      <c r="D412" s="20"/>
      <c r="E412" s="4"/>
      <c r="F412" s="37"/>
      <c r="G412" s="24"/>
      <c r="H412" s="51">
        <f>Assumptions!$D$15</f>
        <v>0.1</v>
      </c>
      <c r="I412" s="45">
        <f>IF(AR[[#This Row],[GST applies?]] = "Yes", (AR[[#This Row],[Invoice value inc. VAT]] / 1 + AR[[#This Row],[GST %]]) * AR[[#This Row],[GST %]], 0)</f>
        <v>0</v>
      </c>
      <c r="J412" s="31">
        <f>_xlfn.XLOOKUP(AR[[#This Row],[Customer name]], Customer_master[Customer name], Customer_master[EOM or Net], 0)</f>
        <v>0</v>
      </c>
      <c r="K412" s="31">
        <f>_xlfn.XLOOKUP(AR[[#This Row],[Customer name]], Customer_master[Customer name], Customer_master[Terms days], 0)</f>
        <v>0</v>
      </c>
      <c r="L4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2" s="4"/>
      <c r="N412" s="46">
        <f>IF(AR[[#This Row],[Collection date - override (dd/mm/yyyy)]] &lt;&gt; "", AR[[#This Row],[Collection date - override (dd/mm/yyyy)]], AR[[#This Row],[Due date (dd/mm/yyyy)]])</f>
        <v>0</v>
      </c>
      <c r="O412" s="46">
        <f t="shared" si="6"/>
        <v>52</v>
      </c>
    </row>
    <row r="413" spans="3:15" x14ac:dyDescent="0.25">
      <c r="C413" s="28"/>
      <c r="D413" s="20"/>
      <c r="E413" s="4"/>
      <c r="F413" s="37"/>
      <c r="G413" s="24"/>
      <c r="H413" s="51">
        <f>Assumptions!$D$15</f>
        <v>0.1</v>
      </c>
      <c r="I413" s="45">
        <f>IF(AR[[#This Row],[GST applies?]] = "Yes", (AR[[#This Row],[Invoice value inc. VAT]] / 1 + AR[[#This Row],[GST %]]) * AR[[#This Row],[GST %]], 0)</f>
        <v>0</v>
      </c>
      <c r="J413" s="31">
        <f>_xlfn.XLOOKUP(AR[[#This Row],[Customer name]], Customer_master[Customer name], Customer_master[EOM or Net], 0)</f>
        <v>0</v>
      </c>
      <c r="K413" s="31">
        <f>_xlfn.XLOOKUP(AR[[#This Row],[Customer name]], Customer_master[Customer name], Customer_master[Terms days], 0)</f>
        <v>0</v>
      </c>
      <c r="L4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3" s="4"/>
      <c r="N413" s="46">
        <f>IF(AR[[#This Row],[Collection date - override (dd/mm/yyyy)]] &lt;&gt; "", AR[[#This Row],[Collection date - override (dd/mm/yyyy)]], AR[[#This Row],[Due date (dd/mm/yyyy)]])</f>
        <v>0</v>
      </c>
      <c r="O413" s="46">
        <f t="shared" si="6"/>
        <v>52</v>
      </c>
    </row>
    <row r="414" spans="3:15" x14ac:dyDescent="0.25">
      <c r="C414" s="28"/>
      <c r="D414" s="20"/>
      <c r="E414" s="4"/>
      <c r="F414" s="37"/>
      <c r="G414" s="24"/>
      <c r="H414" s="51">
        <f>Assumptions!$D$15</f>
        <v>0.1</v>
      </c>
      <c r="I414" s="45">
        <f>IF(AR[[#This Row],[GST applies?]] = "Yes", (AR[[#This Row],[Invoice value inc. VAT]] / 1 + AR[[#This Row],[GST %]]) * AR[[#This Row],[GST %]], 0)</f>
        <v>0</v>
      </c>
      <c r="J414" s="31">
        <f>_xlfn.XLOOKUP(AR[[#This Row],[Customer name]], Customer_master[Customer name], Customer_master[EOM or Net], 0)</f>
        <v>0</v>
      </c>
      <c r="K414" s="31">
        <f>_xlfn.XLOOKUP(AR[[#This Row],[Customer name]], Customer_master[Customer name], Customer_master[Terms days], 0)</f>
        <v>0</v>
      </c>
      <c r="L4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4" s="4"/>
      <c r="N414" s="46">
        <f>IF(AR[[#This Row],[Collection date - override (dd/mm/yyyy)]] &lt;&gt; "", AR[[#This Row],[Collection date - override (dd/mm/yyyy)]], AR[[#This Row],[Due date (dd/mm/yyyy)]])</f>
        <v>0</v>
      </c>
      <c r="O414" s="46">
        <f t="shared" si="6"/>
        <v>52</v>
      </c>
    </row>
    <row r="415" spans="3:15" x14ac:dyDescent="0.25">
      <c r="C415" s="28"/>
      <c r="D415" s="20"/>
      <c r="E415" s="4"/>
      <c r="F415" s="37"/>
      <c r="G415" s="24"/>
      <c r="H415" s="51">
        <f>Assumptions!$D$15</f>
        <v>0.1</v>
      </c>
      <c r="I415" s="45">
        <f>IF(AR[[#This Row],[GST applies?]] = "Yes", (AR[[#This Row],[Invoice value inc. VAT]] / 1 + AR[[#This Row],[GST %]]) * AR[[#This Row],[GST %]], 0)</f>
        <v>0</v>
      </c>
      <c r="J415" s="31">
        <f>_xlfn.XLOOKUP(AR[[#This Row],[Customer name]], Customer_master[Customer name], Customer_master[EOM or Net], 0)</f>
        <v>0</v>
      </c>
      <c r="K415" s="31">
        <f>_xlfn.XLOOKUP(AR[[#This Row],[Customer name]], Customer_master[Customer name], Customer_master[Terms days], 0)</f>
        <v>0</v>
      </c>
      <c r="L4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5" s="4"/>
      <c r="N415" s="46">
        <f>IF(AR[[#This Row],[Collection date - override (dd/mm/yyyy)]] &lt;&gt; "", AR[[#This Row],[Collection date - override (dd/mm/yyyy)]], AR[[#This Row],[Due date (dd/mm/yyyy)]])</f>
        <v>0</v>
      </c>
      <c r="O415" s="46">
        <f t="shared" si="6"/>
        <v>52</v>
      </c>
    </row>
    <row r="416" spans="3:15" x14ac:dyDescent="0.25">
      <c r="C416" s="28"/>
      <c r="D416" s="20"/>
      <c r="E416" s="4"/>
      <c r="F416" s="37"/>
      <c r="G416" s="24"/>
      <c r="H416" s="51">
        <f>Assumptions!$D$15</f>
        <v>0.1</v>
      </c>
      <c r="I416" s="45">
        <f>IF(AR[[#This Row],[GST applies?]] = "Yes", (AR[[#This Row],[Invoice value inc. VAT]] / 1 + AR[[#This Row],[GST %]]) * AR[[#This Row],[GST %]], 0)</f>
        <v>0</v>
      </c>
      <c r="J416" s="31">
        <f>_xlfn.XLOOKUP(AR[[#This Row],[Customer name]], Customer_master[Customer name], Customer_master[EOM or Net], 0)</f>
        <v>0</v>
      </c>
      <c r="K416" s="31">
        <f>_xlfn.XLOOKUP(AR[[#This Row],[Customer name]], Customer_master[Customer name], Customer_master[Terms days], 0)</f>
        <v>0</v>
      </c>
      <c r="L4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6" s="4"/>
      <c r="N416" s="46">
        <f>IF(AR[[#This Row],[Collection date - override (dd/mm/yyyy)]] &lt;&gt; "", AR[[#This Row],[Collection date - override (dd/mm/yyyy)]], AR[[#This Row],[Due date (dd/mm/yyyy)]])</f>
        <v>0</v>
      </c>
      <c r="O416" s="46">
        <f t="shared" si="6"/>
        <v>52</v>
      </c>
    </row>
    <row r="417" spans="3:15" x14ac:dyDescent="0.25">
      <c r="C417" s="28"/>
      <c r="D417" s="20"/>
      <c r="E417" s="4"/>
      <c r="F417" s="37"/>
      <c r="G417" s="24"/>
      <c r="H417" s="51">
        <f>Assumptions!$D$15</f>
        <v>0.1</v>
      </c>
      <c r="I417" s="45">
        <f>IF(AR[[#This Row],[GST applies?]] = "Yes", (AR[[#This Row],[Invoice value inc. VAT]] / 1 + AR[[#This Row],[GST %]]) * AR[[#This Row],[GST %]], 0)</f>
        <v>0</v>
      </c>
      <c r="J417" s="31">
        <f>_xlfn.XLOOKUP(AR[[#This Row],[Customer name]], Customer_master[Customer name], Customer_master[EOM or Net], 0)</f>
        <v>0</v>
      </c>
      <c r="K417" s="31">
        <f>_xlfn.XLOOKUP(AR[[#This Row],[Customer name]], Customer_master[Customer name], Customer_master[Terms days], 0)</f>
        <v>0</v>
      </c>
      <c r="L4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7" s="4"/>
      <c r="N417" s="46">
        <f>IF(AR[[#This Row],[Collection date - override (dd/mm/yyyy)]] &lt;&gt; "", AR[[#This Row],[Collection date - override (dd/mm/yyyy)]], AR[[#This Row],[Due date (dd/mm/yyyy)]])</f>
        <v>0</v>
      </c>
      <c r="O417" s="46">
        <f t="shared" si="6"/>
        <v>52</v>
      </c>
    </row>
    <row r="418" spans="3:15" x14ac:dyDescent="0.25">
      <c r="C418" s="28"/>
      <c r="D418" s="20"/>
      <c r="E418" s="4"/>
      <c r="F418" s="37"/>
      <c r="G418" s="24"/>
      <c r="H418" s="51">
        <f>Assumptions!$D$15</f>
        <v>0.1</v>
      </c>
      <c r="I418" s="45">
        <f>IF(AR[[#This Row],[GST applies?]] = "Yes", (AR[[#This Row],[Invoice value inc. VAT]] / 1 + AR[[#This Row],[GST %]]) * AR[[#This Row],[GST %]], 0)</f>
        <v>0</v>
      </c>
      <c r="J418" s="31">
        <f>_xlfn.XLOOKUP(AR[[#This Row],[Customer name]], Customer_master[Customer name], Customer_master[EOM or Net], 0)</f>
        <v>0</v>
      </c>
      <c r="K418" s="31">
        <f>_xlfn.XLOOKUP(AR[[#This Row],[Customer name]], Customer_master[Customer name], Customer_master[Terms days], 0)</f>
        <v>0</v>
      </c>
      <c r="L4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8" s="4"/>
      <c r="N418" s="46">
        <f>IF(AR[[#This Row],[Collection date - override (dd/mm/yyyy)]] &lt;&gt; "", AR[[#This Row],[Collection date - override (dd/mm/yyyy)]], AR[[#This Row],[Due date (dd/mm/yyyy)]])</f>
        <v>0</v>
      </c>
      <c r="O418" s="46">
        <f t="shared" si="6"/>
        <v>52</v>
      </c>
    </row>
    <row r="419" spans="3:15" x14ac:dyDescent="0.25">
      <c r="C419" s="28"/>
      <c r="D419" s="20"/>
      <c r="E419" s="4"/>
      <c r="F419" s="37"/>
      <c r="G419" s="24"/>
      <c r="H419" s="51">
        <f>Assumptions!$D$15</f>
        <v>0.1</v>
      </c>
      <c r="I419" s="45">
        <f>IF(AR[[#This Row],[GST applies?]] = "Yes", (AR[[#This Row],[Invoice value inc. VAT]] / 1 + AR[[#This Row],[GST %]]) * AR[[#This Row],[GST %]], 0)</f>
        <v>0</v>
      </c>
      <c r="J419" s="31">
        <f>_xlfn.XLOOKUP(AR[[#This Row],[Customer name]], Customer_master[Customer name], Customer_master[EOM or Net], 0)</f>
        <v>0</v>
      </c>
      <c r="K419" s="31">
        <f>_xlfn.XLOOKUP(AR[[#This Row],[Customer name]], Customer_master[Customer name], Customer_master[Terms days], 0)</f>
        <v>0</v>
      </c>
      <c r="L4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9" s="4"/>
      <c r="N419" s="46">
        <f>IF(AR[[#This Row],[Collection date - override (dd/mm/yyyy)]] &lt;&gt; "", AR[[#This Row],[Collection date - override (dd/mm/yyyy)]], AR[[#This Row],[Due date (dd/mm/yyyy)]])</f>
        <v>0</v>
      </c>
      <c r="O419" s="46">
        <f t="shared" si="6"/>
        <v>52</v>
      </c>
    </row>
    <row r="420" spans="3:15" x14ac:dyDescent="0.25">
      <c r="C420" s="28"/>
      <c r="D420" s="20"/>
      <c r="E420" s="4"/>
      <c r="F420" s="37"/>
      <c r="G420" s="24"/>
      <c r="H420" s="51">
        <f>Assumptions!$D$15</f>
        <v>0.1</v>
      </c>
      <c r="I420" s="45">
        <f>IF(AR[[#This Row],[GST applies?]] = "Yes", (AR[[#This Row],[Invoice value inc. VAT]] / 1 + AR[[#This Row],[GST %]]) * AR[[#This Row],[GST %]], 0)</f>
        <v>0</v>
      </c>
      <c r="J420" s="31">
        <f>_xlfn.XLOOKUP(AR[[#This Row],[Customer name]], Customer_master[Customer name], Customer_master[EOM or Net], 0)</f>
        <v>0</v>
      </c>
      <c r="K420" s="31">
        <f>_xlfn.XLOOKUP(AR[[#This Row],[Customer name]], Customer_master[Customer name], Customer_master[Terms days], 0)</f>
        <v>0</v>
      </c>
      <c r="L4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0" s="4"/>
      <c r="N420" s="46">
        <f>IF(AR[[#This Row],[Collection date - override (dd/mm/yyyy)]] &lt;&gt; "", AR[[#This Row],[Collection date - override (dd/mm/yyyy)]], AR[[#This Row],[Due date (dd/mm/yyyy)]])</f>
        <v>0</v>
      </c>
      <c r="O420" s="46">
        <f t="shared" si="6"/>
        <v>52</v>
      </c>
    </row>
    <row r="421" spans="3:15" x14ac:dyDescent="0.25">
      <c r="C421" s="28"/>
      <c r="D421" s="20"/>
      <c r="E421" s="4"/>
      <c r="F421" s="37"/>
      <c r="G421" s="24"/>
      <c r="H421" s="51">
        <f>Assumptions!$D$15</f>
        <v>0.1</v>
      </c>
      <c r="I421" s="45">
        <f>IF(AR[[#This Row],[GST applies?]] = "Yes", (AR[[#This Row],[Invoice value inc. VAT]] / 1 + AR[[#This Row],[GST %]]) * AR[[#This Row],[GST %]], 0)</f>
        <v>0</v>
      </c>
      <c r="J421" s="31">
        <f>_xlfn.XLOOKUP(AR[[#This Row],[Customer name]], Customer_master[Customer name], Customer_master[EOM or Net], 0)</f>
        <v>0</v>
      </c>
      <c r="K421" s="31">
        <f>_xlfn.XLOOKUP(AR[[#This Row],[Customer name]], Customer_master[Customer name], Customer_master[Terms days], 0)</f>
        <v>0</v>
      </c>
      <c r="L4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1" s="4"/>
      <c r="N421" s="46">
        <f>IF(AR[[#This Row],[Collection date - override (dd/mm/yyyy)]] &lt;&gt; "", AR[[#This Row],[Collection date - override (dd/mm/yyyy)]], AR[[#This Row],[Due date (dd/mm/yyyy)]])</f>
        <v>0</v>
      </c>
      <c r="O421" s="46">
        <f t="shared" si="6"/>
        <v>52</v>
      </c>
    </row>
    <row r="422" spans="3:15" x14ac:dyDescent="0.25">
      <c r="C422" s="28"/>
      <c r="D422" s="20"/>
      <c r="E422" s="4"/>
      <c r="F422" s="37"/>
      <c r="G422" s="24"/>
      <c r="H422" s="51">
        <f>Assumptions!$D$15</f>
        <v>0.1</v>
      </c>
      <c r="I422" s="45">
        <f>IF(AR[[#This Row],[GST applies?]] = "Yes", (AR[[#This Row],[Invoice value inc. VAT]] / 1 + AR[[#This Row],[GST %]]) * AR[[#This Row],[GST %]], 0)</f>
        <v>0</v>
      </c>
      <c r="J422" s="31">
        <f>_xlfn.XLOOKUP(AR[[#This Row],[Customer name]], Customer_master[Customer name], Customer_master[EOM or Net], 0)</f>
        <v>0</v>
      </c>
      <c r="K422" s="31">
        <f>_xlfn.XLOOKUP(AR[[#This Row],[Customer name]], Customer_master[Customer name], Customer_master[Terms days], 0)</f>
        <v>0</v>
      </c>
      <c r="L4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2" s="4"/>
      <c r="N422" s="46">
        <f>IF(AR[[#This Row],[Collection date - override (dd/mm/yyyy)]] &lt;&gt; "", AR[[#This Row],[Collection date - override (dd/mm/yyyy)]], AR[[#This Row],[Due date (dd/mm/yyyy)]])</f>
        <v>0</v>
      </c>
      <c r="O422" s="46">
        <f t="shared" si="6"/>
        <v>52</v>
      </c>
    </row>
    <row r="423" spans="3:15" x14ac:dyDescent="0.25">
      <c r="C423" s="28"/>
      <c r="D423" s="20"/>
      <c r="E423" s="4"/>
      <c r="F423" s="37"/>
      <c r="G423" s="24"/>
      <c r="H423" s="51">
        <f>Assumptions!$D$15</f>
        <v>0.1</v>
      </c>
      <c r="I423" s="45">
        <f>IF(AR[[#This Row],[GST applies?]] = "Yes", (AR[[#This Row],[Invoice value inc. VAT]] / 1 + AR[[#This Row],[GST %]]) * AR[[#This Row],[GST %]], 0)</f>
        <v>0</v>
      </c>
      <c r="J423" s="31">
        <f>_xlfn.XLOOKUP(AR[[#This Row],[Customer name]], Customer_master[Customer name], Customer_master[EOM or Net], 0)</f>
        <v>0</v>
      </c>
      <c r="K423" s="31">
        <f>_xlfn.XLOOKUP(AR[[#This Row],[Customer name]], Customer_master[Customer name], Customer_master[Terms days], 0)</f>
        <v>0</v>
      </c>
      <c r="L4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3" s="4"/>
      <c r="N423" s="46">
        <f>IF(AR[[#This Row],[Collection date - override (dd/mm/yyyy)]] &lt;&gt; "", AR[[#This Row],[Collection date - override (dd/mm/yyyy)]], AR[[#This Row],[Due date (dd/mm/yyyy)]])</f>
        <v>0</v>
      </c>
      <c r="O423" s="46">
        <f t="shared" si="6"/>
        <v>52</v>
      </c>
    </row>
    <row r="424" spans="3:15" x14ac:dyDescent="0.25">
      <c r="C424" s="28"/>
      <c r="D424" s="20"/>
      <c r="E424" s="4"/>
      <c r="F424" s="37"/>
      <c r="G424" s="24"/>
      <c r="H424" s="51">
        <f>Assumptions!$D$15</f>
        <v>0.1</v>
      </c>
      <c r="I424" s="45">
        <f>IF(AR[[#This Row],[GST applies?]] = "Yes", (AR[[#This Row],[Invoice value inc. VAT]] / 1 + AR[[#This Row],[GST %]]) * AR[[#This Row],[GST %]], 0)</f>
        <v>0</v>
      </c>
      <c r="J424" s="31">
        <f>_xlfn.XLOOKUP(AR[[#This Row],[Customer name]], Customer_master[Customer name], Customer_master[EOM or Net], 0)</f>
        <v>0</v>
      </c>
      <c r="K424" s="31">
        <f>_xlfn.XLOOKUP(AR[[#This Row],[Customer name]], Customer_master[Customer name], Customer_master[Terms days], 0)</f>
        <v>0</v>
      </c>
      <c r="L4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4" s="4"/>
      <c r="N424" s="46">
        <f>IF(AR[[#This Row],[Collection date - override (dd/mm/yyyy)]] &lt;&gt; "", AR[[#This Row],[Collection date - override (dd/mm/yyyy)]], AR[[#This Row],[Due date (dd/mm/yyyy)]])</f>
        <v>0</v>
      </c>
      <c r="O424" s="46">
        <f t="shared" si="6"/>
        <v>52</v>
      </c>
    </row>
    <row r="425" spans="3:15" x14ac:dyDescent="0.25">
      <c r="C425" s="28"/>
      <c r="D425" s="20"/>
      <c r="E425" s="4"/>
      <c r="F425" s="37"/>
      <c r="G425" s="24"/>
      <c r="H425" s="51">
        <f>Assumptions!$D$15</f>
        <v>0.1</v>
      </c>
      <c r="I425" s="45">
        <f>IF(AR[[#This Row],[GST applies?]] = "Yes", (AR[[#This Row],[Invoice value inc. VAT]] / 1 + AR[[#This Row],[GST %]]) * AR[[#This Row],[GST %]], 0)</f>
        <v>0</v>
      </c>
      <c r="J425" s="31">
        <f>_xlfn.XLOOKUP(AR[[#This Row],[Customer name]], Customer_master[Customer name], Customer_master[EOM or Net], 0)</f>
        <v>0</v>
      </c>
      <c r="K425" s="31">
        <f>_xlfn.XLOOKUP(AR[[#This Row],[Customer name]], Customer_master[Customer name], Customer_master[Terms days], 0)</f>
        <v>0</v>
      </c>
      <c r="L4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5" s="4"/>
      <c r="N425" s="46">
        <f>IF(AR[[#This Row],[Collection date - override (dd/mm/yyyy)]] &lt;&gt; "", AR[[#This Row],[Collection date - override (dd/mm/yyyy)]], AR[[#This Row],[Due date (dd/mm/yyyy)]])</f>
        <v>0</v>
      </c>
      <c r="O425" s="46">
        <f t="shared" si="6"/>
        <v>52</v>
      </c>
    </row>
    <row r="426" spans="3:15" x14ac:dyDescent="0.25">
      <c r="C426" s="28"/>
      <c r="D426" s="20"/>
      <c r="E426" s="4"/>
      <c r="F426" s="37"/>
      <c r="G426" s="24"/>
      <c r="H426" s="51">
        <f>Assumptions!$D$15</f>
        <v>0.1</v>
      </c>
      <c r="I426" s="45">
        <f>IF(AR[[#This Row],[GST applies?]] = "Yes", (AR[[#This Row],[Invoice value inc. VAT]] / 1 + AR[[#This Row],[GST %]]) * AR[[#This Row],[GST %]], 0)</f>
        <v>0</v>
      </c>
      <c r="J426" s="31">
        <f>_xlfn.XLOOKUP(AR[[#This Row],[Customer name]], Customer_master[Customer name], Customer_master[EOM or Net], 0)</f>
        <v>0</v>
      </c>
      <c r="K426" s="31">
        <f>_xlfn.XLOOKUP(AR[[#This Row],[Customer name]], Customer_master[Customer name], Customer_master[Terms days], 0)</f>
        <v>0</v>
      </c>
      <c r="L4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6" s="4"/>
      <c r="N426" s="46">
        <f>IF(AR[[#This Row],[Collection date - override (dd/mm/yyyy)]] &lt;&gt; "", AR[[#This Row],[Collection date - override (dd/mm/yyyy)]], AR[[#This Row],[Due date (dd/mm/yyyy)]])</f>
        <v>0</v>
      </c>
      <c r="O426" s="46">
        <f t="shared" si="6"/>
        <v>52</v>
      </c>
    </row>
    <row r="427" spans="3:15" x14ac:dyDescent="0.25">
      <c r="C427" s="28"/>
      <c r="D427" s="20"/>
      <c r="E427" s="4"/>
      <c r="F427" s="37"/>
      <c r="G427" s="24"/>
      <c r="H427" s="51">
        <f>Assumptions!$D$15</f>
        <v>0.1</v>
      </c>
      <c r="I427" s="45">
        <f>IF(AR[[#This Row],[GST applies?]] = "Yes", (AR[[#This Row],[Invoice value inc. VAT]] / 1 + AR[[#This Row],[GST %]]) * AR[[#This Row],[GST %]], 0)</f>
        <v>0</v>
      </c>
      <c r="J427" s="31">
        <f>_xlfn.XLOOKUP(AR[[#This Row],[Customer name]], Customer_master[Customer name], Customer_master[EOM or Net], 0)</f>
        <v>0</v>
      </c>
      <c r="K427" s="31">
        <f>_xlfn.XLOOKUP(AR[[#This Row],[Customer name]], Customer_master[Customer name], Customer_master[Terms days], 0)</f>
        <v>0</v>
      </c>
      <c r="L4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7" s="4"/>
      <c r="N427" s="46">
        <f>IF(AR[[#This Row],[Collection date - override (dd/mm/yyyy)]] &lt;&gt; "", AR[[#This Row],[Collection date - override (dd/mm/yyyy)]], AR[[#This Row],[Due date (dd/mm/yyyy)]])</f>
        <v>0</v>
      </c>
      <c r="O427" s="46">
        <f t="shared" si="6"/>
        <v>52</v>
      </c>
    </row>
    <row r="428" spans="3:15" x14ac:dyDescent="0.25">
      <c r="C428" s="28"/>
      <c r="D428" s="20"/>
      <c r="E428" s="4"/>
      <c r="F428" s="37"/>
      <c r="G428" s="24"/>
      <c r="H428" s="51">
        <f>Assumptions!$D$15</f>
        <v>0.1</v>
      </c>
      <c r="I428" s="45">
        <f>IF(AR[[#This Row],[GST applies?]] = "Yes", (AR[[#This Row],[Invoice value inc. VAT]] / 1 + AR[[#This Row],[GST %]]) * AR[[#This Row],[GST %]], 0)</f>
        <v>0</v>
      </c>
      <c r="J428" s="31">
        <f>_xlfn.XLOOKUP(AR[[#This Row],[Customer name]], Customer_master[Customer name], Customer_master[EOM or Net], 0)</f>
        <v>0</v>
      </c>
      <c r="K428" s="31">
        <f>_xlfn.XLOOKUP(AR[[#This Row],[Customer name]], Customer_master[Customer name], Customer_master[Terms days], 0)</f>
        <v>0</v>
      </c>
      <c r="L4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8" s="4"/>
      <c r="N428" s="46">
        <f>IF(AR[[#This Row],[Collection date - override (dd/mm/yyyy)]] &lt;&gt; "", AR[[#This Row],[Collection date - override (dd/mm/yyyy)]], AR[[#This Row],[Due date (dd/mm/yyyy)]])</f>
        <v>0</v>
      </c>
      <c r="O428" s="46">
        <f t="shared" si="6"/>
        <v>52</v>
      </c>
    </row>
    <row r="429" spans="3:15" x14ac:dyDescent="0.25">
      <c r="C429" s="28"/>
      <c r="D429" s="20"/>
      <c r="E429" s="4"/>
      <c r="F429" s="37"/>
      <c r="G429" s="24"/>
      <c r="H429" s="51">
        <f>Assumptions!$D$15</f>
        <v>0.1</v>
      </c>
      <c r="I429" s="45">
        <f>IF(AR[[#This Row],[GST applies?]] = "Yes", (AR[[#This Row],[Invoice value inc. VAT]] / 1 + AR[[#This Row],[GST %]]) * AR[[#This Row],[GST %]], 0)</f>
        <v>0</v>
      </c>
      <c r="J429" s="31">
        <f>_xlfn.XLOOKUP(AR[[#This Row],[Customer name]], Customer_master[Customer name], Customer_master[EOM or Net], 0)</f>
        <v>0</v>
      </c>
      <c r="K429" s="31">
        <f>_xlfn.XLOOKUP(AR[[#This Row],[Customer name]], Customer_master[Customer name], Customer_master[Terms days], 0)</f>
        <v>0</v>
      </c>
      <c r="L4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9" s="4"/>
      <c r="N429" s="46">
        <f>IF(AR[[#This Row],[Collection date - override (dd/mm/yyyy)]] &lt;&gt; "", AR[[#This Row],[Collection date - override (dd/mm/yyyy)]], AR[[#This Row],[Due date (dd/mm/yyyy)]])</f>
        <v>0</v>
      </c>
      <c r="O429" s="46">
        <f t="shared" si="6"/>
        <v>52</v>
      </c>
    </row>
    <row r="430" spans="3:15" x14ac:dyDescent="0.25">
      <c r="C430" s="28"/>
      <c r="D430" s="20"/>
      <c r="E430" s="4"/>
      <c r="F430" s="37"/>
      <c r="G430" s="24"/>
      <c r="H430" s="51">
        <f>Assumptions!$D$15</f>
        <v>0.1</v>
      </c>
      <c r="I430" s="45">
        <f>IF(AR[[#This Row],[GST applies?]] = "Yes", (AR[[#This Row],[Invoice value inc. VAT]] / 1 + AR[[#This Row],[GST %]]) * AR[[#This Row],[GST %]], 0)</f>
        <v>0</v>
      </c>
      <c r="J430" s="31">
        <f>_xlfn.XLOOKUP(AR[[#This Row],[Customer name]], Customer_master[Customer name], Customer_master[EOM or Net], 0)</f>
        <v>0</v>
      </c>
      <c r="K430" s="31">
        <f>_xlfn.XLOOKUP(AR[[#This Row],[Customer name]], Customer_master[Customer name], Customer_master[Terms days], 0)</f>
        <v>0</v>
      </c>
      <c r="L4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0" s="4"/>
      <c r="N430" s="46">
        <f>IF(AR[[#This Row],[Collection date - override (dd/mm/yyyy)]] &lt;&gt; "", AR[[#This Row],[Collection date - override (dd/mm/yyyy)]], AR[[#This Row],[Due date (dd/mm/yyyy)]])</f>
        <v>0</v>
      </c>
      <c r="O430" s="46">
        <f t="shared" si="6"/>
        <v>52</v>
      </c>
    </row>
    <row r="431" spans="3:15" x14ac:dyDescent="0.25">
      <c r="C431" s="28"/>
      <c r="D431" s="20"/>
      <c r="E431" s="4"/>
      <c r="F431" s="37"/>
      <c r="G431" s="24"/>
      <c r="H431" s="51">
        <f>Assumptions!$D$15</f>
        <v>0.1</v>
      </c>
      <c r="I431" s="45">
        <f>IF(AR[[#This Row],[GST applies?]] = "Yes", (AR[[#This Row],[Invoice value inc. VAT]] / 1 + AR[[#This Row],[GST %]]) * AR[[#This Row],[GST %]], 0)</f>
        <v>0</v>
      </c>
      <c r="J431" s="31">
        <f>_xlfn.XLOOKUP(AR[[#This Row],[Customer name]], Customer_master[Customer name], Customer_master[EOM or Net], 0)</f>
        <v>0</v>
      </c>
      <c r="K431" s="31">
        <f>_xlfn.XLOOKUP(AR[[#This Row],[Customer name]], Customer_master[Customer name], Customer_master[Terms days], 0)</f>
        <v>0</v>
      </c>
      <c r="L4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1" s="4"/>
      <c r="N431" s="46">
        <f>IF(AR[[#This Row],[Collection date - override (dd/mm/yyyy)]] &lt;&gt; "", AR[[#This Row],[Collection date - override (dd/mm/yyyy)]], AR[[#This Row],[Due date (dd/mm/yyyy)]])</f>
        <v>0</v>
      </c>
      <c r="O431" s="46">
        <f t="shared" si="6"/>
        <v>52</v>
      </c>
    </row>
    <row r="432" spans="3:15" x14ac:dyDescent="0.25">
      <c r="C432" s="28"/>
      <c r="D432" s="20"/>
      <c r="E432" s="4"/>
      <c r="F432" s="37"/>
      <c r="G432" s="24"/>
      <c r="H432" s="51">
        <f>Assumptions!$D$15</f>
        <v>0.1</v>
      </c>
      <c r="I432" s="45">
        <f>IF(AR[[#This Row],[GST applies?]] = "Yes", (AR[[#This Row],[Invoice value inc. VAT]] / 1 + AR[[#This Row],[GST %]]) * AR[[#This Row],[GST %]], 0)</f>
        <v>0</v>
      </c>
      <c r="J432" s="31">
        <f>_xlfn.XLOOKUP(AR[[#This Row],[Customer name]], Customer_master[Customer name], Customer_master[EOM or Net], 0)</f>
        <v>0</v>
      </c>
      <c r="K432" s="31">
        <f>_xlfn.XLOOKUP(AR[[#This Row],[Customer name]], Customer_master[Customer name], Customer_master[Terms days], 0)</f>
        <v>0</v>
      </c>
      <c r="L4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2" s="4"/>
      <c r="N432" s="46">
        <f>IF(AR[[#This Row],[Collection date - override (dd/mm/yyyy)]] &lt;&gt; "", AR[[#This Row],[Collection date - override (dd/mm/yyyy)]], AR[[#This Row],[Due date (dd/mm/yyyy)]])</f>
        <v>0</v>
      </c>
      <c r="O432" s="46">
        <f t="shared" si="6"/>
        <v>52</v>
      </c>
    </row>
    <row r="433" spans="3:15" x14ac:dyDescent="0.25">
      <c r="C433" s="28"/>
      <c r="D433" s="20"/>
      <c r="E433" s="4"/>
      <c r="F433" s="37"/>
      <c r="G433" s="24"/>
      <c r="H433" s="51">
        <f>Assumptions!$D$15</f>
        <v>0.1</v>
      </c>
      <c r="I433" s="45">
        <f>IF(AR[[#This Row],[GST applies?]] = "Yes", (AR[[#This Row],[Invoice value inc. VAT]] / 1 + AR[[#This Row],[GST %]]) * AR[[#This Row],[GST %]], 0)</f>
        <v>0</v>
      </c>
      <c r="J433" s="31">
        <f>_xlfn.XLOOKUP(AR[[#This Row],[Customer name]], Customer_master[Customer name], Customer_master[EOM or Net], 0)</f>
        <v>0</v>
      </c>
      <c r="K433" s="31">
        <f>_xlfn.XLOOKUP(AR[[#This Row],[Customer name]], Customer_master[Customer name], Customer_master[Terms days], 0)</f>
        <v>0</v>
      </c>
      <c r="L4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3" s="4"/>
      <c r="N433" s="46">
        <f>IF(AR[[#This Row],[Collection date - override (dd/mm/yyyy)]] &lt;&gt; "", AR[[#This Row],[Collection date - override (dd/mm/yyyy)]], AR[[#This Row],[Due date (dd/mm/yyyy)]])</f>
        <v>0</v>
      </c>
      <c r="O433" s="46">
        <f t="shared" si="6"/>
        <v>52</v>
      </c>
    </row>
    <row r="434" spans="3:15" x14ac:dyDescent="0.25">
      <c r="C434" s="28"/>
      <c r="D434" s="20"/>
      <c r="E434" s="4"/>
      <c r="F434" s="37"/>
      <c r="G434" s="24"/>
      <c r="H434" s="51">
        <f>Assumptions!$D$15</f>
        <v>0.1</v>
      </c>
      <c r="I434" s="45">
        <f>IF(AR[[#This Row],[GST applies?]] = "Yes", (AR[[#This Row],[Invoice value inc. VAT]] / 1 + AR[[#This Row],[GST %]]) * AR[[#This Row],[GST %]], 0)</f>
        <v>0</v>
      </c>
      <c r="J434" s="31">
        <f>_xlfn.XLOOKUP(AR[[#This Row],[Customer name]], Customer_master[Customer name], Customer_master[EOM or Net], 0)</f>
        <v>0</v>
      </c>
      <c r="K434" s="31">
        <f>_xlfn.XLOOKUP(AR[[#This Row],[Customer name]], Customer_master[Customer name], Customer_master[Terms days], 0)</f>
        <v>0</v>
      </c>
      <c r="L4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4" s="4"/>
      <c r="N434" s="46">
        <f>IF(AR[[#This Row],[Collection date - override (dd/mm/yyyy)]] &lt;&gt; "", AR[[#This Row],[Collection date - override (dd/mm/yyyy)]], AR[[#This Row],[Due date (dd/mm/yyyy)]])</f>
        <v>0</v>
      </c>
      <c r="O434" s="46">
        <f t="shared" si="6"/>
        <v>52</v>
      </c>
    </row>
    <row r="435" spans="3:15" x14ac:dyDescent="0.25">
      <c r="C435" s="28"/>
      <c r="D435" s="20"/>
      <c r="E435" s="4"/>
      <c r="F435" s="37"/>
      <c r="G435" s="24"/>
      <c r="H435" s="51">
        <f>Assumptions!$D$15</f>
        <v>0.1</v>
      </c>
      <c r="I435" s="45">
        <f>IF(AR[[#This Row],[GST applies?]] = "Yes", (AR[[#This Row],[Invoice value inc. VAT]] / 1 + AR[[#This Row],[GST %]]) * AR[[#This Row],[GST %]], 0)</f>
        <v>0</v>
      </c>
      <c r="J435" s="31">
        <f>_xlfn.XLOOKUP(AR[[#This Row],[Customer name]], Customer_master[Customer name], Customer_master[EOM or Net], 0)</f>
        <v>0</v>
      </c>
      <c r="K435" s="31">
        <f>_xlfn.XLOOKUP(AR[[#This Row],[Customer name]], Customer_master[Customer name], Customer_master[Terms days], 0)</f>
        <v>0</v>
      </c>
      <c r="L4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5" s="4"/>
      <c r="N435" s="46">
        <f>IF(AR[[#This Row],[Collection date - override (dd/mm/yyyy)]] &lt;&gt; "", AR[[#This Row],[Collection date - override (dd/mm/yyyy)]], AR[[#This Row],[Due date (dd/mm/yyyy)]])</f>
        <v>0</v>
      </c>
      <c r="O435" s="46">
        <f t="shared" si="6"/>
        <v>52</v>
      </c>
    </row>
    <row r="436" spans="3:15" x14ac:dyDescent="0.25">
      <c r="C436" s="28"/>
      <c r="D436" s="20"/>
      <c r="E436" s="4"/>
      <c r="F436" s="37"/>
      <c r="G436" s="24"/>
      <c r="H436" s="51">
        <f>Assumptions!$D$15</f>
        <v>0.1</v>
      </c>
      <c r="I436" s="45">
        <f>IF(AR[[#This Row],[GST applies?]] = "Yes", (AR[[#This Row],[Invoice value inc. VAT]] / 1 + AR[[#This Row],[GST %]]) * AR[[#This Row],[GST %]], 0)</f>
        <v>0</v>
      </c>
      <c r="J436" s="31">
        <f>_xlfn.XLOOKUP(AR[[#This Row],[Customer name]], Customer_master[Customer name], Customer_master[EOM or Net], 0)</f>
        <v>0</v>
      </c>
      <c r="K436" s="31">
        <f>_xlfn.XLOOKUP(AR[[#This Row],[Customer name]], Customer_master[Customer name], Customer_master[Terms days], 0)</f>
        <v>0</v>
      </c>
      <c r="L4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6" s="4"/>
      <c r="N436" s="46">
        <f>IF(AR[[#This Row],[Collection date - override (dd/mm/yyyy)]] &lt;&gt; "", AR[[#This Row],[Collection date - override (dd/mm/yyyy)]], AR[[#This Row],[Due date (dd/mm/yyyy)]])</f>
        <v>0</v>
      </c>
      <c r="O436" s="46">
        <f t="shared" si="6"/>
        <v>52</v>
      </c>
    </row>
    <row r="437" spans="3:15" x14ac:dyDescent="0.25">
      <c r="C437" s="28"/>
      <c r="D437" s="20"/>
      <c r="E437" s="4"/>
      <c r="F437" s="37"/>
      <c r="G437" s="24"/>
      <c r="H437" s="51">
        <f>Assumptions!$D$15</f>
        <v>0.1</v>
      </c>
      <c r="I437" s="45">
        <f>IF(AR[[#This Row],[GST applies?]] = "Yes", (AR[[#This Row],[Invoice value inc. VAT]] / 1 + AR[[#This Row],[GST %]]) * AR[[#This Row],[GST %]], 0)</f>
        <v>0</v>
      </c>
      <c r="J437" s="31">
        <f>_xlfn.XLOOKUP(AR[[#This Row],[Customer name]], Customer_master[Customer name], Customer_master[EOM or Net], 0)</f>
        <v>0</v>
      </c>
      <c r="K437" s="31">
        <f>_xlfn.XLOOKUP(AR[[#This Row],[Customer name]], Customer_master[Customer name], Customer_master[Terms days], 0)</f>
        <v>0</v>
      </c>
      <c r="L4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7" s="4"/>
      <c r="N437" s="46">
        <f>IF(AR[[#This Row],[Collection date - override (dd/mm/yyyy)]] &lt;&gt; "", AR[[#This Row],[Collection date - override (dd/mm/yyyy)]], AR[[#This Row],[Due date (dd/mm/yyyy)]])</f>
        <v>0</v>
      </c>
      <c r="O437" s="46">
        <f t="shared" si="6"/>
        <v>52</v>
      </c>
    </row>
    <row r="438" spans="3:15" x14ac:dyDescent="0.25">
      <c r="C438" s="28"/>
      <c r="D438" s="20"/>
      <c r="E438" s="4"/>
      <c r="F438" s="37"/>
      <c r="G438" s="24"/>
      <c r="H438" s="51">
        <f>Assumptions!$D$15</f>
        <v>0.1</v>
      </c>
      <c r="I438" s="45">
        <f>IF(AR[[#This Row],[GST applies?]] = "Yes", (AR[[#This Row],[Invoice value inc. VAT]] / 1 + AR[[#This Row],[GST %]]) * AR[[#This Row],[GST %]], 0)</f>
        <v>0</v>
      </c>
      <c r="J438" s="31">
        <f>_xlfn.XLOOKUP(AR[[#This Row],[Customer name]], Customer_master[Customer name], Customer_master[EOM or Net], 0)</f>
        <v>0</v>
      </c>
      <c r="K438" s="31">
        <f>_xlfn.XLOOKUP(AR[[#This Row],[Customer name]], Customer_master[Customer name], Customer_master[Terms days], 0)</f>
        <v>0</v>
      </c>
      <c r="L4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8" s="4"/>
      <c r="N438" s="46">
        <f>IF(AR[[#This Row],[Collection date - override (dd/mm/yyyy)]] &lt;&gt; "", AR[[#This Row],[Collection date - override (dd/mm/yyyy)]], AR[[#This Row],[Due date (dd/mm/yyyy)]])</f>
        <v>0</v>
      </c>
      <c r="O438" s="46">
        <f t="shared" si="6"/>
        <v>52</v>
      </c>
    </row>
    <row r="439" spans="3:15" x14ac:dyDescent="0.25">
      <c r="C439" s="28"/>
      <c r="D439" s="20"/>
      <c r="E439" s="4"/>
      <c r="F439" s="37"/>
      <c r="G439" s="24"/>
      <c r="H439" s="51">
        <f>Assumptions!$D$15</f>
        <v>0.1</v>
      </c>
      <c r="I439" s="45">
        <f>IF(AR[[#This Row],[GST applies?]] = "Yes", (AR[[#This Row],[Invoice value inc. VAT]] / 1 + AR[[#This Row],[GST %]]) * AR[[#This Row],[GST %]], 0)</f>
        <v>0</v>
      </c>
      <c r="J439" s="31">
        <f>_xlfn.XLOOKUP(AR[[#This Row],[Customer name]], Customer_master[Customer name], Customer_master[EOM or Net], 0)</f>
        <v>0</v>
      </c>
      <c r="K439" s="31">
        <f>_xlfn.XLOOKUP(AR[[#This Row],[Customer name]], Customer_master[Customer name], Customer_master[Terms days], 0)</f>
        <v>0</v>
      </c>
      <c r="L4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9" s="4"/>
      <c r="N439" s="46">
        <f>IF(AR[[#This Row],[Collection date - override (dd/mm/yyyy)]] &lt;&gt; "", AR[[#This Row],[Collection date - override (dd/mm/yyyy)]], AR[[#This Row],[Due date (dd/mm/yyyy)]])</f>
        <v>0</v>
      </c>
      <c r="O439" s="46">
        <f t="shared" si="6"/>
        <v>52</v>
      </c>
    </row>
    <row r="440" spans="3:15" x14ac:dyDescent="0.25">
      <c r="C440" s="28"/>
      <c r="D440" s="20"/>
      <c r="E440" s="4"/>
      <c r="F440" s="37"/>
      <c r="G440" s="24"/>
      <c r="H440" s="51">
        <f>Assumptions!$D$15</f>
        <v>0.1</v>
      </c>
      <c r="I440" s="45">
        <f>IF(AR[[#This Row],[GST applies?]] = "Yes", (AR[[#This Row],[Invoice value inc. VAT]] / 1 + AR[[#This Row],[GST %]]) * AR[[#This Row],[GST %]], 0)</f>
        <v>0</v>
      </c>
      <c r="J440" s="31">
        <f>_xlfn.XLOOKUP(AR[[#This Row],[Customer name]], Customer_master[Customer name], Customer_master[EOM or Net], 0)</f>
        <v>0</v>
      </c>
      <c r="K440" s="31">
        <f>_xlfn.XLOOKUP(AR[[#This Row],[Customer name]], Customer_master[Customer name], Customer_master[Terms days], 0)</f>
        <v>0</v>
      </c>
      <c r="L4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0" s="4"/>
      <c r="N440" s="46">
        <f>IF(AR[[#This Row],[Collection date - override (dd/mm/yyyy)]] &lt;&gt; "", AR[[#This Row],[Collection date - override (dd/mm/yyyy)]], AR[[#This Row],[Due date (dd/mm/yyyy)]])</f>
        <v>0</v>
      </c>
      <c r="O440" s="46">
        <f t="shared" si="6"/>
        <v>52</v>
      </c>
    </row>
    <row r="441" spans="3:15" x14ac:dyDescent="0.25">
      <c r="C441" s="28"/>
      <c r="D441" s="20"/>
      <c r="E441" s="4"/>
      <c r="F441" s="37"/>
      <c r="G441" s="24"/>
      <c r="H441" s="51">
        <f>Assumptions!$D$15</f>
        <v>0.1</v>
      </c>
      <c r="I441" s="45">
        <f>IF(AR[[#This Row],[GST applies?]] = "Yes", (AR[[#This Row],[Invoice value inc. VAT]] / 1 + AR[[#This Row],[GST %]]) * AR[[#This Row],[GST %]], 0)</f>
        <v>0</v>
      </c>
      <c r="J441" s="31">
        <f>_xlfn.XLOOKUP(AR[[#This Row],[Customer name]], Customer_master[Customer name], Customer_master[EOM or Net], 0)</f>
        <v>0</v>
      </c>
      <c r="K441" s="31">
        <f>_xlfn.XLOOKUP(AR[[#This Row],[Customer name]], Customer_master[Customer name], Customer_master[Terms days], 0)</f>
        <v>0</v>
      </c>
      <c r="L4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1" s="4"/>
      <c r="N441" s="46">
        <f>IF(AR[[#This Row],[Collection date - override (dd/mm/yyyy)]] &lt;&gt; "", AR[[#This Row],[Collection date - override (dd/mm/yyyy)]], AR[[#This Row],[Due date (dd/mm/yyyy)]])</f>
        <v>0</v>
      </c>
      <c r="O441" s="46">
        <f t="shared" si="6"/>
        <v>52</v>
      </c>
    </row>
    <row r="442" spans="3:15" x14ac:dyDescent="0.25">
      <c r="C442" s="28"/>
      <c r="D442" s="20"/>
      <c r="E442" s="4"/>
      <c r="F442" s="37"/>
      <c r="G442" s="24"/>
      <c r="H442" s="51">
        <f>Assumptions!$D$15</f>
        <v>0.1</v>
      </c>
      <c r="I442" s="45">
        <f>IF(AR[[#This Row],[GST applies?]] = "Yes", (AR[[#This Row],[Invoice value inc. VAT]] / 1 + AR[[#This Row],[GST %]]) * AR[[#This Row],[GST %]], 0)</f>
        <v>0</v>
      </c>
      <c r="J442" s="31">
        <f>_xlfn.XLOOKUP(AR[[#This Row],[Customer name]], Customer_master[Customer name], Customer_master[EOM or Net], 0)</f>
        <v>0</v>
      </c>
      <c r="K442" s="31">
        <f>_xlfn.XLOOKUP(AR[[#This Row],[Customer name]], Customer_master[Customer name], Customer_master[Terms days], 0)</f>
        <v>0</v>
      </c>
      <c r="L4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2" s="4"/>
      <c r="N442" s="46">
        <f>IF(AR[[#This Row],[Collection date - override (dd/mm/yyyy)]] &lt;&gt; "", AR[[#This Row],[Collection date - override (dd/mm/yyyy)]], AR[[#This Row],[Due date (dd/mm/yyyy)]])</f>
        <v>0</v>
      </c>
      <c r="O442" s="46">
        <f t="shared" si="6"/>
        <v>52</v>
      </c>
    </row>
    <row r="443" spans="3:15" x14ac:dyDescent="0.25">
      <c r="C443" s="28"/>
      <c r="D443" s="20"/>
      <c r="E443" s="4"/>
      <c r="F443" s="37"/>
      <c r="G443" s="24"/>
      <c r="H443" s="51">
        <f>Assumptions!$D$15</f>
        <v>0.1</v>
      </c>
      <c r="I443" s="45">
        <f>IF(AR[[#This Row],[GST applies?]] = "Yes", (AR[[#This Row],[Invoice value inc. VAT]] / 1 + AR[[#This Row],[GST %]]) * AR[[#This Row],[GST %]], 0)</f>
        <v>0</v>
      </c>
      <c r="J443" s="31">
        <f>_xlfn.XLOOKUP(AR[[#This Row],[Customer name]], Customer_master[Customer name], Customer_master[EOM or Net], 0)</f>
        <v>0</v>
      </c>
      <c r="K443" s="31">
        <f>_xlfn.XLOOKUP(AR[[#This Row],[Customer name]], Customer_master[Customer name], Customer_master[Terms days], 0)</f>
        <v>0</v>
      </c>
      <c r="L4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3" s="4"/>
      <c r="N443" s="46">
        <f>IF(AR[[#This Row],[Collection date - override (dd/mm/yyyy)]] &lt;&gt; "", AR[[#This Row],[Collection date - override (dd/mm/yyyy)]], AR[[#This Row],[Due date (dd/mm/yyyy)]])</f>
        <v>0</v>
      </c>
      <c r="O443" s="46">
        <f t="shared" si="6"/>
        <v>52</v>
      </c>
    </row>
    <row r="444" spans="3:15" x14ac:dyDescent="0.25">
      <c r="C444" s="28"/>
      <c r="D444" s="20"/>
      <c r="E444" s="4"/>
      <c r="F444" s="37"/>
      <c r="G444" s="24"/>
      <c r="H444" s="51">
        <f>Assumptions!$D$15</f>
        <v>0.1</v>
      </c>
      <c r="I444" s="45">
        <f>IF(AR[[#This Row],[GST applies?]] = "Yes", (AR[[#This Row],[Invoice value inc. VAT]] / 1 + AR[[#This Row],[GST %]]) * AR[[#This Row],[GST %]], 0)</f>
        <v>0</v>
      </c>
      <c r="J444" s="31">
        <f>_xlfn.XLOOKUP(AR[[#This Row],[Customer name]], Customer_master[Customer name], Customer_master[EOM or Net], 0)</f>
        <v>0</v>
      </c>
      <c r="K444" s="31">
        <f>_xlfn.XLOOKUP(AR[[#This Row],[Customer name]], Customer_master[Customer name], Customer_master[Terms days], 0)</f>
        <v>0</v>
      </c>
      <c r="L4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4" s="4"/>
      <c r="N444" s="46">
        <f>IF(AR[[#This Row],[Collection date - override (dd/mm/yyyy)]] &lt;&gt; "", AR[[#This Row],[Collection date - override (dd/mm/yyyy)]], AR[[#This Row],[Due date (dd/mm/yyyy)]])</f>
        <v>0</v>
      </c>
      <c r="O444" s="46">
        <f t="shared" si="6"/>
        <v>52</v>
      </c>
    </row>
    <row r="445" spans="3:15" x14ac:dyDescent="0.25">
      <c r="C445" s="28"/>
      <c r="D445" s="20"/>
      <c r="E445" s="4"/>
      <c r="F445" s="37"/>
      <c r="G445" s="24"/>
      <c r="H445" s="51">
        <f>Assumptions!$D$15</f>
        <v>0.1</v>
      </c>
      <c r="I445" s="45">
        <f>IF(AR[[#This Row],[GST applies?]] = "Yes", (AR[[#This Row],[Invoice value inc. VAT]] / 1 + AR[[#This Row],[GST %]]) * AR[[#This Row],[GST %]], 0)</f>
        <v>0</v>
      </c>
      <c r="J445" s="31">
        <f>_xlfn.XLOOKUP(AR[[#This Row],[Customer name]], Customer_master[Customer name], Customer_master[EOM or Net], 0)</f>
        <v>0</v>
      </c>
      <c r="K445" s="31">
        <f>_xlfn.XLOOKUP(AR[[#This Row],[Customer name]], Customer_master[Customer name], Customer_master[Terms days], 0)</f>
        <v>0</v>
      </c>
      <c r="L4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5" s="4"/>
      <c r="N445" s="46">
        <f>IF(AR[[#This Row],[Collection date - override (dd/mm/yyyy)]] &lt;&gt; "", AR[[#This Row],[Collection date - override (dd/mm/yyyy)]], AR[[#This Row],[Due date (dd/mm/yyyy)]])</f>
        <v>0</v>
      </c>
      <c r="O445" s="46">
        <f t="shared" si="6"/>
        <v>52</v>
      </c>
    </row>
    <row r="446" spans="3:15" x14ac:dyDescent="0.25">
      <c r="C446" s="28"/>
      <c r="D446" s="20"/>
      <c r="E446" s="4"/>
      <c r="F446" s="37"/>
      <c r="G446" s="24"/>
      <c r="H446" s="51">
        <f>Assumptions!$D$15</f>
        <v>0.1</v>
      </c>
      <c r="I446" s="45">
        <f>IF(AR[[#This Row],[GST applies?]] = "Yes", (AR[[#This Row],[Invoice value inc. VAT]] / 1 + AR[[#This Row],[GST %]]) * AR[[#This Row],[GST %]], 0)</f>
        <v>0</v>
      </c>
      <c r="J446" s="31">
        <f>_xlfn.XLOOKUP(AR[[#This Row],[Customer name]], Customer_master[Customer name], Customer_master[EOM or Net], 0)</f>
        <v>0</v>
      </c>
      <c r="K446" s="31">
        <f>_xlfn.XLOOKUP(AR[[#This Row],[Customer name]], Customer_master[Customer name], Customer_master[Terms days], 0)</f>
        <v>0</v>
      </c>
      <c r="L4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6" s="4"/>
      <c r="N446" s="46">
        <f>IF(AR[[#This Row],[Collection date - override (dd/mm/yyyy)]] &lt;&gt; "", AR[[#This Row],[Collection date - override (dd/mm/yyyy)]], AR[[#This Row],[Due date (dd/mm/yyyy)]])</f>
        <v>0</v>
      </c>
      <c r="O446" s="46">
        <f t="shared" si="6"/>
        <v>52</v>
      </c>
    </row>
    <row r="447" spans="3:15" x14ac:dyDescent="0.25">
      <c r="C447" s="28"/>
      <c r="D447" s="20"/>
      <c r="E447" s="4"/>
      <c r="F447" s="37"/>
      <c r="G447" s="24"/>
      <c r="H447" s="51">
        <f>Assumptions!$D$15</f>
        <v>0.1</v>
      </c>
      <c r="I447" s="45">
        <f>IF(AR[[#This Row],[GST applies?]] = "Yes", (AR[[#This Row],[Invoice value inc. VAT]] / 1 + AR[[#This Row],[GST %]]) * AR[[#This Row],[GST %]], 0)</f>
        <v>0</v>
      </c>
      <c r="J447" s="31">
        <f>_xlfn.XLOOKUP(AR[[#This Row],[Customer name]], Customer_master[Customer name], Customer_master[EOM or Net], 0)</f>
        <v>0</v>
      </c>
      <c r="K447" s="31">
        <f>_xlfn.XLOOKUP(AR[[#This Row],[Customer name]], Customer_master[Customer name], Customer_master[Terms days], 0)</f>
        <v>0</v>
      </c>
      <c r="L4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7" s="4"/>
      <c r="N447" s="46">
        <f>IF(AR[[#This Row],[Collection date - override (dd/mm/yyyy)]] &lt;&gt; "", AR[[#This Row],[Collection date - override (dd/mm/yyyy)]], AR[[#This Row],[Due date (dd/mm/yyyy)]])</f>
        <v>0</v>
      </c>
      <c r="O447" s="46">
        <f t="shared" si="6"/>
        <v>52</v>
      </c>
    </row>
    <row r="448" spans="3:15" x14ac:dyDescent="0.25">
      <c r="C448" s="28"/>
      <c r="D448" s="20"/>
      <c r="E448" s="4"/>
      <c r="F448" s="37"/>
      <c r="G448" s="24"/>
      <c r="H448" s="51">
        <f>Assumptions!$D$15</f>
        <v>0.1</v>
      </c>
      <c r="I448" s="45">
        <f>IF(AR[[#This Row],[GST applies?]] = "Yes", (AR[[#This Row],[Invoice value inc. VAT]] / 1 + AR[[#This Row],[GST %]]) * AR[[#This Row],[GST %]], 0)</f>
        <v>0</v>
      </c>
      <c r="J448" s="31">
        <f>_xlfn.XLOOKUP(AR[[#This Row],[Customer name]], Customer_master[Customer name], Customer_master[EOM or Net], 0)</f>
        <v>0</v>
      </c>
      <c r="K448" s="31">
        <f>_xlfn.XLOOKUP(AR[[#This Row],[Customer name]], Customer_master[Customer name], Customer_master[Terms days], 0)</f>
        <v>0</v>
      </c>
      <c r="L4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8" s="4"/>
      <c r="N448" s="46">
        <f>IF(AR[[#This Row],[Collection date - override (dd/mm/yyyy)]] &lt;&gt; "", AR[[#This Row],[Collection date - override (dd/mm/yyyy)]], AR[[#This Row],[Due date (dd/mm/yyyy)]])</f>
        <v>0</v>
      </c>
      <c r="O448" s="46">
        <f t="shared" si="6"/>
        <v>52</v>
      </c>
    </row>
    <row r="449" spans="3:15" x14ac:dyDescent="0.25">
      <c r="C449" s="28"/>
      <c r="D449" s="20"/>
      <c r="E449" s="4"/>
      <c r="F449" s="37"/>
      <c r="G449" s="24"/>
      <c r="H449" s="51">
        <f>Assumptions!$D$15</f>
        <v>0.1</v>
      </c>
      <c r="I449" s="45">
        <f>IF(AR[[#This Row],[GST applies?]] = "Yes", (AR[[#This Row],[Invoice value inc. VAT]] / 1 + AR[[#This Row],[GST %]]) * AR[[#This Row],[GST %]], 0)</f>
        <v>0</v>
      </c>
      <c r="J449" s="31">
        <f>_xlfn.XLOOKUP(AR[[#This Row],[Customer name]], Customer_master[Customer name], Customer_master[EOM or Net], 0)</f>
        <v>0</v>
      </c>
      <c r="K449" s="31">
        <f>_xlfn.XLOOKUP(AR[[#This Row],[Customer name]], Customer_master[Customer name], Customer_master[Terms days], 0)</f>
        <v>0</v>
      </c>
      <c r="L4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9" s="4"/>
      <c r="N449" s="46">
        <f>IF(AR[[#This Row],[Collection date - override (dd/mm/yyyy)]] &lt;&gt; "", AR[[#This Row],[Collection date - override (dd/mm/yyyy)]], AR[[#This Row],[Due date (dd/mm/yyyy)]])</f>
        <v>0</v>
      </c>
      <c r="O449" s="46">
        <f t="shared" si="6"/>
        <v>52</v>
      </c>
    </row>
    <row r="450" spans="3:15" x14ac:dyDescent="0.25">
      <c r="C450" s="28"/>
      <c r="D450" s="20"/>
      <c r="E450" s="4"/>
      <c r="F450" s="37"/>
      <c r="G450" s="24"/>
      <c r="H450" s="51">
        <f>Assumptions!$D$15</f>
        <v>0.1</v>
      </c>
      <c r="I450" s="45">
        <f>IF(AR[[#This Row],[GST applies?]] = "Yes", (AR[[#This Row],[Invoice value inc. VAT]] / 1 + AR[[#This Row],[GST %]]) * AR[[#This Row],[GST %]], 0)</f>
        <v>0</v>
      </c>
      <c r="J450" s="31">
        <f>_xlfn.XLOOKUP(AR[[#This Row],[Customer name]], Customer_master[Customer name], Customer_master[EOM or Net], 0)</f>
        <v>0</v>
      </c>
      <c r="K450" s="31">
        <f>_xlfn.XLOOKUP(AR[[#This Row],[Customer name]], Customer_master[Customer name], Customer_master[Terms days], 0)</f>
        <v>0</v>
      </c>
      <c r="L4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0" s="4"/>
      <c r="N450" s="46">
        <f>IF(AR[[#This Row],[Collection date - override (dd/mm/yyyy)]] &lt;&gt; "", AR[[#This Row],[Collection date - override (dd/mm/yyyy)]], AR[[#This Row],[Due date (dd/mm/yyyy)]])</f>
        <v>0</v>
      </c>
      <c r="O450" s="46">
        <f t="shared" si="6"/>
        <v>52</v>
      </c>
    </row>
    <row r="451" spans="3:15" x14ac:dyDescent="0.25">
      <c r="C451" s="28"/>
      <c r="D451" s="20"/>
      <c r="E451" s="4"/>
      <c r="F451" s="37"/>
      <c r="G451" s="24"/>
      <c r="H451" s="51">
        <f>Assumptions!$D$15</f>
        <v>0.1</v>
      </c>
      <c r="I451" s="45">
        <f>IF(AR[[#This Row],[GST applies?]] = "Yes", (AR[[#This Row],[Invoice value inc. VAT]] / 1 + AR[[#This Row],[GST %]]) * AR[[#This Row],[GST %]], 0)</f>
        <v>0</v>
      </c>
      <c r="J451" s="31">
        <f>_xlfn.XLOOKUP(AR[[#This Row],[Customer name]], Customer_master[Customer name], Customer_master[EOM or Net], 0)</f>
        <v>0</v>
      </c>
      <c r="K451" s="31">
        <f>_xlfn.XLOOKUP(AR[[#This Row],[Customer name]], Customer_master[Customer name], Customer_master[Terms days], 0)</f>
        <v>0</v>
      </c>
      <c r="L4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1" s="4"/>
      <c r="N451" s="46">
        <f>IF(AR[[#This Row],[Collection date - override (dd/mm/yyyy)]] &lt;&gt; "", AR[[#This Row],[Collection date - override (dd/mm/yyyy)]], AR[[#This Row],[Due date (dd/mm/yyyy)]])</f>
        <v>0</v>
      </c>
      <c r="O451" s="46">
        <f t="shared" si="6"/>
        <v>52</v>
      </c>
    </row>
    <row r="452" spans="3:15" x14ac:dyDescent="0.25">
      <c r="C452" s="28"/>
      <c r="D452" s="20"/>
      <c r="E452" s="4"/>
      <c r="F452" s="37"/>
      <c r="G452" s="24"/>
      <c r="H452" s="51">
        <f>Assumptions!$D$15</f>
        <v>0.1</v>
      </c>
      <c r="I452" s="45">
        <f>IF(AR[[#This Row],[GST applies?]] = "Yes", (AR[[#This Row],[Invoice value inc. VAT]] / 1 + AR[[#This Row],[GST %]]) * AR[[#This Row],[GST %]], 0)</f>
        <v>0</v>
      </c>
      <c r="J452" s="31">
        <f>_xlfn.XLOOKUP(AR[[#This Row],[Customer name]], Customer_master[Customer name], Customer_master[EOM or Net], 0)</f>
        <v>0</v>
      </c>
      <c r="K452" s="31">
        <f>_xlfn.XLOOKUP(AR[[#This Row],[Customer name]], Customer_master[Customer name], Customer_master[Terms days], 0)</f>
        <v>0</v>
      </c>
      <c r="L4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2" s="4"/>
      <c r="N452" s="46">
        <f>IF(AR[[#This Row],[Collection date - override (dd/mm/yyyy)]] &lt;&gt; "", AR[[#This Row],[Collection date - override (dd/mm/yyyy)]], AR[[#This Row],[Due date (dd/mm/yyyy)]])</f>
        <v>0</v>
      </c>
      <c r="O452" s="46">
        <f t="shared" si="6"/>
        <v>52</v>
      </c>
    </row>
    <row r="453" spans="3:15" x14ac:dyDescent="0.25">
      <c r="C453" s="28"/>
      <c r="D453" s="20"/>
      <c r="E453" s="4"/>
      <c r="F453" s="37"/>
      <c r="G453" s="24"/>
      <c r="H453" s="51">
        <f>Assumptions!$D$15</f>
        <v>0.1</v>
      </c>
      <c r="I453" s="45">
        <f>IF(AR[[#This Row],[GST applies?]] = "Yes", (AR[[#This Row],[Invoice value inc. VAT]] / 1 + AR[[#This Row],[GST %]]) * AR[[#This Row],[GST %]], 0)</f>
        <v>0</v>
      </c>
      <c r="J453" s="31">
        <f>_xlfn.XLOOKUP(AR[[#This Row],[Customer name]], Customer_master[Customer name], Customer_master[EOM or Net], 0)</f>
        <v>0</v>
      </c>
      <c r="K453" s="31">
        <f>_xlfn.XLOOKUP(AR[[#This Row],[Customer name]], Customer_master[Customer name], Customer_master[Terms days], 0)</f>
        <v>0</v>
      </c>
      <c r="L4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3" s="4"/>
      <c r="N453" s="46">
        <f>IF(AR[[#This Row],[Collection date - override (dd/mm/yyyy)]] &lt;&gt; "", AR[[#This Row],[Collection date - override (dd/mm/yyyy)]], AR[[#This Row],[Due date (dd/mm/yyyy)]])</f>
        <v>0</v>
      </c>
      <c r="O453" s="46">
        <f t="shared" si="6"/>
        <v>52</v>
      </c>
    </row>
    <row r="454" spans="3:15" x14ac:dyDescent="0.25">
      <c r="C454" s="28"/>
      <c r="D454" s="20"/>
      <c r="E454" s="4"/>
      <c r="F454" s="37"/>
      <c r="G454" s="24"/>
      <c r="H454" s="51">
        <f>Assumptions!$D$15</f>
        <v>0.1</v>
      </c>
      <c r="I454" s="45">
        <f>IF(AR[[#This Row],[GST applies?]] = "Yes", (AR[[#This Row],[Invoice value inc. VAT]] / 1 + AR[[#This Row],[GST %]]) * AR[[#This Row],[GST %]], 0)</f>
        <v>0</v>
      </c>
      <c r="J454" s="31">
        <f>_xlfn.XLOOKUP(AR[[#This Row],[Customer name]], Customer_master[Customer name], Customer_master[EOM or Net], 0)</f>
        <v>0</v>
      </c>
      <c r="K454" s="31">
        <f>_xlfn.XLOOKUP(AR[[#This Row],[Customer name]], Customer_master[Customer name], Customer_master[Terms days], 0)</f>
        <v>0</v>
      </c>
      <c r="L4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4" s="4"/>
      <c r="N454" s="46">
        <f>IF(AR[[#This Row],[Collection date - override (dd/mm/yyyy)]] &lt;&gt; "", AR[[#This Row],[Collection date - override (dd/mm/yyyy)]], AR[[#This Row],[Due date (dd/mm/yyyy)]])</f>
        <v>0</v>
      </c>
      <c r="O454" s="46">
        <f t="shared" si="6"/>
        <v>52</v>
      </c>
    </row>
    <row r="455" spans="3:15" x14ac:dyDescent="0.25">
      <c r="C455" s="28"/>
      <c r="D455" s="20"/>
      <c r="E455" s="4"/>
      <c r="F455" s="37"/>
      <c r="G455" s="24"/>
      <c r="H455" s="51">
        <f>Assumptions!$D$15</f>
        <v>0.1</v>
      </c>
      <c r="I455" s="45">
        <f>IF(AR[[#This Row],[GST applies?]] = "Yes", (AR[[#This Row],[Invoice value inc. VAT]] / 1 + AR[[#This Row],[GST %]]) * AR[[#This Row],[GST %]], 0)</f>
        <v>0</v>
      </c>
      <c r="J455" s="31">
        <f>_xlfn.XLOOKUP(AR[[#This Row],[Customer name]], Customer_master[Customer name], Customer_master[EOM or Net], 0)</f>
        <v>0</v>
      </c>
      <c r="K455" s="31">
        <f>_xlfn.XLOOKUP(AR[[#This Row],[Customer name]], Customer_master[Customer name], Customer_master[Terms days], 0)</f>
        <v>0</v>
      </c>
      <c r="L4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5" s="4"/>
      <c r="N455" s="46">
        <f>IF(AR[[#This Row],[Collection date - override (dd/mm/yyyy)]] &lt;&gt; "", AR[[#This Row],[Collection date - override (dd/mm/yyyy)]], AR[[#This Row],[Due date (dd/mm/yyyy)]])</f>
        <v>0</v>
      </c>
      <c r="O455" s="46">
        <f t="shared" si="6"/>
        <v>52</v>
      </c>
    </row>
    <row r="456" spans="3:15" x14ac:dyDescent="0.25">
      <c r="C456" s="28"/>
      <c r="D456" s="20"/>
      <c r="E456" s="4"/>
      <c r="F456" s="37"/>
      <c r="G456" s="24"/>
      <c r="H456" s="51">
        <f>Assumptions!$D$15</f>
        <v>0.1</v>
      </c>
      <c r="I456" s="45">
        <f>IF(AR[[#This Row],[GST applies?]] = "Yes", (AR[[#This Row],[Invoice value inc. VAT]] / 1 + AR[[#This Row],[GST %]]) * AR[[#This Row],[GST %]], 0)</f>
        <v>0</v>
      </c>
      <c r="J456" s="31">
        <f>_xlfn.XLOOKUP(AR[[#This Row],[Customer name]], Customer_master[Customer name], Customer_master[EOM or Net], 0)</f>
        <v>0</v>
      </c>
      <c r="K456" s="31">
        <f>_xlfn.XLOOKUP(AR[[#This Row],[Customer name]], Customer_master[Customer name], Customer_master[Terms days], 0)</f>
        <v>0</v>
      </c>
      <c r="L4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6" s="4"/>
      <c r="N456" s="46">
        <f>IF(AR[[#This Row],[Collection date - override (dd/mm/yyyy)]] &lt;&gt; "", AR[[#This Row],[Collection date - override (dd/mm/yyyy)]], AR[[#This Row],[Due date (dd/mm/yyyy)]])</f>
        <v>0</v>
      </c>
      <c r="O456" s="46">
        <f t="shared" si="6"/>
        <v>52</v>
      </c>
    </row>
    <row r="457" spans="3:15" x14ac:dyDescent="0.25">
      <c r="C457" s="28"/>
      <c r="D457" s="20"/>
      <c r="E457" s="4"/>
      <c r="F457" s="37"/>
      <c r="G457" s="24"/>
      <c r="H457" s="51">
        <f>Assumptions!$D$15</f>
        <v>0.1</v>
      </c>
      <c r="I457" s="45">
        <f>IF(AR[[#This Row],[GST applies?]] = "Yes", (AR[[#This Row],[Invoice value inc. VAT]] / 1 + AR[[#This Row],[GST %]]) * AR[[#This Row],[GST %]], 0)</f>
        <v>0</v>
      </c>
      <c r="J457" s="31">
        <f>_xlfn.XLOOKUP(AR[[#This Row],[Customer name]], Customer_master[Customer name], Customer_master[EOM or Net], 0)</f>
        <v>0</v>
      </c>
      <c r="K457" s="31">
        <f>_xlfn.XLOOKUP(AR[[#This Row],[Customer name]], Customer_master[Customer name], Customer_master[Terms days], 0)</f>
        <v>0</v>
      </c>
      <c r="L4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7" s="4"/>
      <c r="N457" s="46">
        <f>IF(AR[[#This Row],[Collection date - override (dd/mm/yyyy)]] &lt;&gt; "", AR[[#This Row],[Collection date - override (dd/mm/yyyy)]], AR[[#This Row],[Due date (dd/mm/yyyy)]])</f>
        <v>0</v>
      </c>
      <c r="O457" s="46">
        <f t="shared" ref="O457:O520" si="7">IF(GST_Freq="Monthly",
    DATE(YEAR(E457), MONTH(E457) + 1, 21),
    IF(GST_Freq="Quarterly",
        IF(MOD(MONTH(E457) + 2 - MOD(MOD(MONTH(E457) - GST_First_Month, 12), 3), 12) = 0,
            DATE(YEAR(E457), MONTH(E457) + 4 - MOD(MOD(MONTH(E457) - GST_First_Month, 12), 3), 28),
            DATE(YEAR(E457), MONTH(E457) + 3 - MOD(MOD(MONTH(E457) - GST_First_Month, 12), 3), 28)
        ),
        "Invalid frequency"
    )
)</f>
        <v>52</v>
      </c>
    </row>
    <row r="458" spans="3:15" x14ac:dyDescent="0.25">
      <c r="C458" s="28"/>
      <c r="D458" s="20"/>
      <c r="E458" s="4"/>
      <c r="F458" s="37"/>
      <c r="G458" s="24"/>
      <c r="H458" s="51">
        <f>Assumptions!$D$15</f>
        <v>0.1</v>
      </c>
      <c r="I458" s="45">
        <f>IF(AR[[#This Row],[GST applies?]] = "Yes", (AR[[#This Row],[Invoice value inc. VAT]] / 1 + AR[[#This Row],[GST %]]) * AR[[#This Row],[GST %]], 0)</f>
        <v>0</v>
      </c>
      <c r="J458" s="31">
        <f>_xlfn.XLOOKUP(AR[[#This Row],[Customer name]], Customer_master[Customer name], Customer_master[EOM or Net], 0)</f>
        <v>0</v>
      </c>
      <c r="K458" s="31">
        <f>_xlfn.XLOOKUP(AR[[#This Row],[Customer name]], Customer_master[Customer name], Customer_master[Terms days], 0)</f>
        <v>0</v>
      </c>
      <c r="L4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8" s="4"/>
      <c r="N458" s="46">
        <f>IF(AR[[#This Row],[Collection date - override (dd/mm/yyyy)]] &lt;&gt; "", AR[[#This Row],[Collection date - override (dd/mm/yyyy)]], AR[[#This Row],[Due date (dd/mm/yyyy)]])</f>
        <v>0</v>
      </c>
      <c r="O458" s="46">
        <f t="shared" si="7"/>
        <v>52</v>
      </c>
    </row>
    <row r="459" spans="3:15" x14ac:dyDescent="0.25">
      <c r="C459" s="28"/>
      <c r="D459" s="20"/>
      <c r="E459" s="4"/>
      <c r="F459" s="37"/>
      <c r="G459" s="24"/>
      <c r="H459" s="51">
        <f>Assumptions!$D$15</f>
        <v>0.1</v>
      </c>
      <c r="I459" s="45">
        <f>IF(AR[[#This Row],[GST applies?]] = "Yes", (AR[[#This Row],[Invoice value inc. VAT]] / 1 + AR[[#This Row],[GST %]]) * AR[[#This Row],[GST %]], 0)</f>
        <v>0</v>
      </c>
      <c r="J459" s="31">
        <f>_xlfn.XLOOKUP(AR[[#This Row],[Customer name]], Customer_master[Customer name], Customer_master[EOM or Net], 0)</f>
        <v>0</v>
      </c>
      <c r="K459" s="31">
        <f>_xlfn.XLOOKUP(AR[[#This Row],[Customer name]], Customer_master[Customer name], Customer_master[Terms days], 0)</f>
        <v>0</v>
      </c>
      <c r="L4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9" s="4"/>
      <c r="N459" s="46">
        <f>IF(AR[[#This Row],[Collection date - override (dd/mm/yyyy)]] &lt;&gt; "", AR[[#This Row],[Collection date - override (dd/mm/yyyy)]], AR[[#This Row],[Due date (dd/mm/yyyy)]])</f>
        <v>0</v>
      </c>
      <c r="O459" s="46">
        <f t="shared" si="7"/>
        <v>52</v>
      </c>
    </row>
    <row r="460" spans="3:15" x14ac:dyDescent="0.25">
      <c r="C460" s="28"/>
      <c r="D460" s="20"/>
      <c r="E460" s="4"/>
      <c r="F460" s="37"/>
      <c r="G460" s="24"/>
      <c r="H460" s="51">
        <f>Assumptions!$D$15</f>
        <v>0.1</v>
      </c>
      <c r="I460" s="45">
        <f>IF(AR[[#This Row],[GST applies?]] = "Yes", (AR[[#This Row],[Invoice value inc. VAT]] / 1 + AR[[#This Row],[GST %]]) * AR[[#This Row],[GST %]], 0)</f>
        <v>0</v>
      </c>
      <c r="J460" s="31">
        <f>_xlfn.XLOOKUP(AR[[#This Row],[Customer name]], Customer_master[Customer name], Customer_master[EOM or Net], 0)</f>
        <v>0</v>
      </c>
      <c r="K460" s="31">
        <f>_xlfn.XLOOKUP(AR[[#This Row],[Customer name]], Customer_master[Customer name], Customer_master[Terms days], 0)</f>
        <v>0</v>
      </c>
      <c r="L4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0" s="4"/>
      <c r="N460" s="46">
        <f>IF(AR[[#This Row],[Collection date - override (dd/mm/yyyy)]] &lt;&gt; "", AR[[#This Row],[Collection date - override (dd/mm/yyyy)]], AR[[#This Row],[Due date (dd/mm/yyyy)]])</f>
        <v>0</v>
      </c>
      <c r="O460" s="46">
        <f t="shared" si="7"/>
        <v>52</v>
      </c>
    </row>
    <row r="461" spans="3:15" x14ac:dyDescent="0.25">
      <c r="C461" s="28"/>
      <c r="D461" s="20"/>
      <c r="E461" s="4"/>
      <c r="F461" s="37"/>
      <c r="G461" s="24"/>
      <c r="H461" s="51">
        <f>Assumptions!$D$15</f>
        <v>0.1</v>
      </c>
      <c r="I461" s="45">
        <f>IF(AR[[#This Row],[GST applies?]] = "Yes", (AR[[#This Row],[Invoice value inc. VAT]] / 1 + AR[[#This Row],[GST %]]) * AR[[#This Row],[GST %]], 0)</f>
        <v>0</v>
      </c>
      <c r="J461" s="31">
        <f>_xlfn.XLOOKUP(AR[[#This Row],[Customer name]], Customer_master[Customer name], Customer_master[EOM or Net], 0)</f>
        <v>0</v>
      </c>
      <c r="K461" s="31">
        <f>_xlfn.XLOOKUP(AR[[#This Row],[Customer name]], Customer_master[Customer name], Customer_master[Terms days], 0)</f>
        <v>0</v>
      </c>
      <c r="L4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1" s="4"/>
      <c r="N461" s="46">
        <f>IF(AR[[#This Row],[Collection date - override (dd/mm/yyyy)]] &lt;&gt; "", AR[[#This Row],[Collection date - override (dd/mm/yyyy)]], AR[[#This Row],[Due date (dd/mm/yyyy)]])</f>
        <v>0</v>
      </c>
      <c r="O461" s="46">
        <f t="shared" si="7"/>
        <v>52</v>
      </c>
    </row>
    <row r="462" spans="3:15" x14ac:dyDescent="0.25">
      <c r="C462" s="28"/>
      <c r="D462" s="20"/>
      <c r="E462" s="4"/>
      <c r="F462" s="37"/>
      <c r="G462" s="24"/>
      <c r="H462" s="51">
        <f>Assumptions!$D$15</f>
        <v>0.1</v>
      </c>
      <c r="I462" s="45">
        <f>IF(AR[[#This Row],[GST applies?]] = "Yes", (AR[[#This Row],[Invoice value inc. VAT]] / 1 + AR[[#This Row],[GST %]]) * AR[[#This Row],[GST %]], 0)</f>
        <v>0</v>
      </c>
      <c r="J462" s="31">
        <f>_xlfn.XLOOKUP(AR[[#This Row],[Customer name]], Customer_master[Customer name], Customer_master[EOM or Net], 0)</f>
        <v>0</v>
      </c>
      <c r="K462" s="31">
        <f>_xlfn.XLOOKUP(AR[[#This Row],[Customer name]], Customer_master[Customer name], Customer_master[Terms days], 0)</f>
        <v>0</v>
      </c>
      <c r="L4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2" s="4"/>
      <c r="N462" s="46">
        <f>IF(AR[[#This Row],[Collection date - override (dd/mm/yyyy)]] &lt;&gt; "", AR[[#This Row],[Collection date - override (dd/mm/yyyy)]], AR[[#This Row],[Due date (dd/mm/yyyy)]])</f>
        <v>0</v>
      </c>
      <c r="O462" s="46">
        <f t="shared" si="7"/>
        <v>52</v>
      </c>
    </row>
    <row r="463" spans="3:15" x14ac:dyDescent="0.25">
      <c r="C463" s="28"/>
      <c r="D463" s="20"/>
      <c r="E463" s="4"/>
      <c r="F463" s="37"/>
      <c r="G463" s="24"/>
      <c r="H463" s="51">
        <f>Assumptions!$D$15</f>
        <v>0.1</v>
      </c>
      <c r="I463" s="45">
        <f>IF(AR[[#This Row],[GST applies?]] = "Yes", (AR[[#This Row],[Invoice value inc. VAT]] / 1 + AR[[#This Row],[GST %]]) * AR[[#This Row],[GST %]], 0)</f>
        <v>0</v>
      </c>
      <c r="J463" s="31">
        <f>_xlfn.XLOOKUP(AR[[#This Row],[Customer name]], Customer_master[Customer name], Customer_master[EOM or Net], 0)</f>
        <v>0</v>
      </c>
      <c r="K463" s="31">
        <f>_xlfn.XLOOKUP(AR[[#This Row],[Customer name]], Customer_master[Customer name], Customer_master[Terms days], 0)</f>
        <v>0</v>
      </c>
      <c r="L4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3" s="4"/>
      <c r="N463" s="46">
        <f>IF(AR[[#This Row],[Collection date - override (dd/mm/yyyy)]] &lt;&gt; "", AR[[#This Row],[Collection date - override (dd/mm/yyyy)]], AR[[#This Row],[Due date (dd/mm/yyyy)]])</f>
        <v>0</v>
      </c>
      <c r="O463" s="46">
        <f t="shared" si="7"/>
        <v>52</v>
      </c>
    </row>
    <row r="464" spans="3:15" x14ac:dyDescent="0.25">
      <c r="C464" s="28"/>
      <c r="D464" s="20"/>
      <c r="E464" s="4"/>
      <c r="F464" s="37"/>
      <c r="G464" s="24"/>
      <c r="H464" s="51">
        <f>Assumptions!$D$15</f>
        <v>0.1</v>
      </c>
      <c r="I464" s="45">
        <f>IF(AR[[#This Row],[GST applies?]] = "Yes", (AR[[#This Row],[Invoice value inc. VAT]] / 1 + AR[[#This Row],[GST %]]) * AR[[#This Row],[GST %]], 0)</f>
        <v>0</v>
      </c>
      <c r="J464" s="31">
        <f>_xlfn.XLOOKUP(AR[[#This Row],[Customer name]], Customer_master[Customer name], Customer_master[EOM or Net], 0)</f>
        <v>0</v>
      </c>
      <c r="K464" s="31">
        <f>_xlfn.XLOOKUP(AR[[#This Row],[Customer name]], Customer_master[Customer name], Customer_master[Terms days], 0)</f>
        <v>0</v>
      </c>
      <c r="L4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4" s="4"/>
      <c r="N464" s="46">
        <f>IF(AR[[#This Row],[Collection date - override (dd/mm/yyyy)]] &lt;&gt; "", AR[[#This Row],[Collection date - override (dd/mm/yyyy)]], AR[[#This Row],[Due date (dd/mm/yyyy)]])</f>
        <v>0</v>
      </c>
      <c r="O464" s="46">
        <f t="shared" si="7"/>
        <v>52</v>
      </c>
    </row>
    <row r="465" spans="3:15" x14ac:dyDescent="0.25">
      <c r="C465" s="28"/>
      <c r="D465" s="20"/>
      <c r="E465" s="4"/>
      <c r="F465" s="37"/>
      <c r="G465" s="24"/>
      <c r="H465" s="51">
        <f>Assumptions!$D$15</f>
        <v>0.1</v>
      </c>
      <c r="I465" s="45">
        <f>IF(AR[[#This Row],[GST applies?]] = "Yes", (AR[[#This Row],[Invoice value inc. VAT]] / 1 + AR[[#This Row],[GST %]]) * AR[[#This Row],[GST %]], 0)</f>
        <v>0</v>
      </c>
      <c r="J465" s="31">
        <f>_xlfn.XLOOKUP(AR[[#This Row],[Customer name]], Customer_master[Customer name], Customer_master[EOM or Net], 0)</f>
        <v>0</v>
      </c>
      <c r="K465" s="31">
        <f>_xlfn.XLOOKUP(AR[[#This Row],[Customer name]], Customer_master[Customer name], Customer_master[Terms days], 0)</f>
        <v>0</v>
      </c>
      <c r="L4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5" s="4"/>
      <c r="N465" s="46">
        <f>IF(AR[[#This Row],[Collection date - override (dd/mm/yyyy)]] &lt;&gt; "", AR[[#This Row],[Collection date - override (dd/mm/yyyy)]], AR[[#This Row],[Due date (dd/mm/yyyy)]])</f>
        <v>0</v>
      </c>
      <c r="O465" s="46">
        <f t="shared" si="7"/>
        <v>52</v>
      </c>
    </row>
    <row r="466" spans="3:15" x14ac:dyDescent="0.25">
      <c r="C466" s="28"/>
      <c r="D466" s="20"/>
      <c r="E466" s="4"/>
      <c r="F466" s="37"/>
      <c r="G466" s="24"/>
      <c r="H466" s="51">
        <f>Assumptions!$D$15</f>
        <v>0.1</v>
      </c>
      <c r="I466" s="45">
        <f>IF(AR[[#This Row],[GST applies?]] = "Yes", (AR[[#This Row],[Invoice value inc. VAT]] / 1 + AR[[#This Row],[GST %]]) * AR[[#This Row],[GST %]], 0)</f>
        <v>0</v>
      </c>
      <c r="J466" s="31">
        <f>_xlfn.XLOOKUP(AR[[#This Row],[Customer name]], Customer_master[Customer name], Customer_master[EOM or Net], 0)</f>
        <v>0</v>
      </c>
      <c r="K466" s="31">
        <f>_xlfn.XLOOKUP(AR[[#This Row],[Customer name]], Customer_master[Customer name], Customer_master[Terms days], 0)</f>
        <v>0</v>
      </c>
      <c r="L4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6" s="4"/>
      <c r="N466" s="46">
        <f>IF(AR[[#This Row],[Collection date - override (dd/mm/yyyy)]] &lt;&gt; "", AR[[#This Row],[Collection date - override (dd/mm/yyyy)]], AR[[#This Row],[Due date (dd/mm/yyyy)]])</f>
        <v>0</v>
      </c>
      <c r="O466" s="46">
        <f t="shared" si="7"/>
        <v>52</v>
      </c>
    </row>
    <row r="467" spans="3:15" x14ac:dyDescent="0.25">
      <c r="C467" s="28"/>
      <c r="D467" s="20"/>
      <c r="E467" s="4"/>
      <c r="F467" s="37"/>
      <c r="G467" s="24"/>
      <c r="H467" s="51">
        <f>Assumptions!$D$15</f>
        <v>0.1</v>
      </c>
      <c r="I467" s="45">
        <f>IF(AR[[#This Row],[GST applies?]] = "Yes", (AR[[#This Row],[Invoice value inc. VAT]] / 1 + AR[[#This Row],[GST %]]) * AR[[#This Row],[GST %]], 0)</f>
        <v>0</v>
      </c>
      <c r="J467" s="31">
        <f>_xlfn.XLOOKUP(AR[[#This Row],[Customer name]], Customer_master[Customer name], Customer_master[EOM or Net], 0)</f>
        <v>0</v>
      </c>
      <c r="K467" s="31">
        <f>_xlfn.XLOOKUP(AR[[#This Row],[Customer name]], Customer_master[Customer name], Customer_master[Terms days], 0)</f>
        <v>0</v>
      </c>
      <c r="L4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7" s="4"/>
      <c r="N467" s="46">
        <f>IF(AR[[#This Row],[Collection date - override (dd/mm/yyyy)]] &lt;&gt; "", AR[[#This Row],[Collection date - override (dd/mm/yyyy)]], AR[[#This Row],[Due date (dd/mm/yyyy)]])</f>
        <v>0</v>
      </c>
      <c r="O467" s="46">
        <f t="shared" si="7"/>
        <v>52</v>
      </c>
    </row>
    <row r="468" spans="3:15" x14ac:dyDescent="0.25">
      <c r="C468" s="28"/>
      <c r="D468" s="20"/>
      <c r="E468" s="4"/>
      <c r="F468" s="37"/>
      <c r="G468" s="24"/>
      <c r="H468" s="51">
        <f>Assumptions!$D$15</f>
        <v>0.1</v>
      </c>
      <c r="I468" s="45">
        <f>IF(AR[[#This Row],[GST applies?]] = "Yes", (AR[[#This Row],[Invoice value inc. VAT]] / 1 + AR[[#This Row],[GST %]]) * AR[[#This Row],[GST %]], 0)</f>
        <v>0</v>
      </c>
      <c r="J468" s="31">
        <f>_xlfn.XLOOKUP(AR[[#This Row],[Customer name]], Customer_master[Customer name], Customer_master[EOM or Net], 0)</f>
        <v>0</v>
      </c>
      <c r="K468" s="31">
        <f>_xlfn.XLOOKUP(AR[[#This Row],[Customer name]], Customer_master[Customer name], Customer_master[Terms days], 0)</f>
        <v>0</v>
      </c>
      <c r="L4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8" s="4"/>
      <c r="N468" s="46">
        <f>IF(AR[[#This Row],[Collection date - override (dd/mm/yyyy)]] &lt;&gt; "", AR[[#This Row],[Collection date - override (dd/mm/yyyy)]], AR[[#This Row],[Due date (dd/mm/yyyy)]])</f>
        <v>0</v>
      </c>
      <c r="O468" s="46">
        <f t="shared" si="7"/>
        <v>52</v>
      </c>
    </row>
    <row r="469" spans="3:15" x14ac:dyDescent="0.25">
      <c r="C469" s="28"/>
      <c r="D469" s="20"/>
      <c r="E469" s="4"/>
      <c r="F469" s="37"/>
      <c r="G469" s="24"/>
      <c r="H469" s="51">
        <f>Assumptions!$D$15</f>
        <v>0.1</v>
      </c>
      <c r="I469" s="45">
        <f>IF(AR[[#This Row],[GST applies?]] = "Yes", (AR[[#This Row],[Invoice value inc. VAT]] / 1 + AR[[#This Row],[GST %]]) * AR[[#This Row],[GST %]], 0)</f>
        <v>0</v>
      </c>
      <c r="J469" s="31">
        <f>_xlfn.XLOOKUP(AR[[#This Row],[Customer name]], Customer_master[Customer name], Customer_master[EOM or Net], 0)</f>
        <v>0</v>
      </c>
      <c r="K469" s="31">
        <f>_xlfn.XLOOKUP(AR[[#This Row],[Customer name]], Customer_master[Customer name], Customer_master[Terms days], 0)</f>
        <v>0</v>
      </c>
      <c r="L4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9" s="4"/>
      <c r="N469" s="46">
        <f>IF(AR[[#This Row],[Collection date - override (dd/mm/yyyy)]] &lt;&gt; "", AR[[#This Row],[Collection date - override (dd/mm/yyyy)]], AR[[#This Row],[Due date (dd/mm/yyyy)]])</f>
        <v>0</v>
      </c>
      <c r="O469" s="46">
        <f t="shared" si="7"/>
        <v>52</v>
      </c>
    </row>
    <row r="470" spans="3:15" x14ac:dyDescent="0.25">
      <c r="C470" s="28"/>
      <c r="D470" s="20"/>
      <c r="E470" s="4"/>
      <c r="F470" s="37"/>
      <c r="G470" s="24"/>
      <c r="H470" s="51">
        <f>Assumptions!$D$15</f>
        <v>0.1</v>
      </c>
      <c r="I470" s="45">
        <f>IF(AR[[#This Row],[GST applies?]] = "Yes", (AR[[#This Row],[Invoice value inc. VAT]] / 1 + AR[[#This Row],[GST %]]) * AR[[#This Row],[GST %]], 0)</f>
        <v>0</v>
      </c>
      <c r="J470" s="31">
        <f>_xlfn.XLOOKUP(AR[[#This Row],[Customer name]], Customer_master[Customer name], Customer_master[EOM or Net], 0)</f>
        <v>0</v>
      </c>
      <c r="K470" s="31">
        <f>_xlfn.XLOOKUP(AR[[#This Row],[Customer name]], Customer_master[Customer name], Customer_master[Terms days], 0)</f>
        <v>0</v>
      </c>
      <c r="L4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0" s="4"/>
      <c r="N470" s="46">
        <f>IF(AR[[#This Row],[Collection date - override (dd/mm/yyyy)]] &lt;&gt; "", AR[[#This Row],[Collection date - override (dd/mm/yyyy)]], AR[[#This Row],[Due date (dd/mm/yyyy)]])</f>
        <v>0</v>
      </c>
      <c r="O470" s="46">
        <f t="shared" si="7"/>
        <v>52</v>
      </c>
    </row>
    <row r="471" spans="3:15" x14ac:dyDescent="0.25">
      <c r="C471" s="28"/>
      <c r="D471" s="20"/>
      <c r="E471" s="4"/>
      <c r="F471" s="37"/>
      <c r="G471" s="24"/>
      <c r="H471" s="51">
        <f>Assumptions!$D$15</f>
        <v>0.1</v>
      </c>
      <c r="I471" s="45">
        <f>IF(AR[[#This Row],[GST applies?]] = "Yes", (AR[[#This Row],[Invoice value inc. VAT]] / 1 + AR[[#This Row],[GST %]]) * AR[[#This Row],[GST %]], 0)</f>
        <v>0</v>
      </c>
      <c r="J471" s="31">
        <f>_xlfn.XLOOKUP(AR[[#This Row],[Customer name]], Customer_master[Customer name], Customer_master[EOM or Net], 0)</f>
        <v>0</v>
      </c>
      <c r="K471" s="31">
        <f>_xlfn.XLOOKUP(AR[[#This Row],[Customer name]], Customer_master[Customer name], Customer_master[Terms days], 0)</f>
        <v>0</v>
      </c>
      <c r="L4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1" s="4"/>
      <c r="N471" s="46">
        <f>IF(AR[[#This Row],[Collection date - override (dd/mm/yyyy)]] &lt;&gt; "", AR[[#This Row],[Collection date - override (dd/mm/yyyy)]], AR[[#This Row],[Due date (dd/mm/yyyy)]])</f>
        <v>0</v>
      </c>
      <c r="O471" s="46">
        <f t="shared" si="7"/>
        <v>52</v>
      </c>
    </row>
    <row r="472" spans="3:15" x14ac:dyDescent="0.25">
      <c r="C472" s="28"/>
      <c r="D472" s="20"/>
      <c r="E472" s="4"/>
      <c r="F472" s="37"/>
      <c r="G472" s="24"/>
      <c r="H472" s="51">
        <f>Assumptions!$D$15</f>
        <v>0.1</v>
      </c>
      <c r="I472" s="45">
        <f>IF(AR[[#This Row],[GST applies?]] = "Yes", (AR[[#This Row],[Invoice value inc. VAT]] / 1 + AR[[#This Row],[GST %]]) * AR[[#This Row],[GST %]], 0)</f>
        <v>0</v>
      </c>
      <c r="J472" s="31">
        <f>_xlfn.XLOOKUP(AR[[#This Row],[Customer name]], Customer_master[Customer name], Customer_master[EOM or Net], 0)</f>
        <v>0</v>
      </c>
      <c r="K472" s="31">
        <f>_xlfn.XLOOKUP(AR[[#This Row],[Customer name]], Customer_master[Customer name], Customer_master[Terms days], 0)</f>
        <v>0</v>
      </c>
      <c r="L4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2" s="4"/>
      <c r="N472" s="46">
        <f>IF(AR[[#This Row],[Collection date - override (dd/mm/yyyy)]] &lt;&gt; "", AR[[#This Row],[Collection date - override (dd/mm/yyyy)]], AR[[#This Row],[Due date (dd/mm/yyyy)]])</f>
        <v>0</v>
      </c>
      <c r="O472" s="46">
        <f t="shared" si="7"/>
        <v>52</v>
      </c>
    </row>
    <row r="473" spans="3:15" x14ac:dyDescent="0.25">
      <c r="C473" s="28"/>
      <c r="D473" s="20"/>
      <c r="E473" s="4"/>
      <c r="F473" s="37"/>
      <c r="G473" s="24"/>
      <c r="H473" s="51">
        <f>Assumptions!$D$15</f>
        <v>0.1</v>
      </c>
      <c r="I473" s="45">
        <f>IF(AR[[#This Row],[GST applies?]] = "Yes", (AR[[#This Row],[Invoice value inc. VAT]] / 1 + AR[[#This Row],[GST %]]) * AR[[#This Row],[GST %]], 0)</f>
        <v>0</v>
      </c>
      <c r="J473" s="31">
        <f>_xlfn.XLOOKUP(AR[[#This Row],[Customer name]], Customer_master[Customer name], Customer_master[EOM or Net], 0)</f>
        <v>0</v>
      </c>
      <c r="K473" s="31">
        <f>_xlfn.XLOOKUP(AR[[#This Row],[Customer name]], Customer_master[Customer name], Customer_master[Terms days], 0)</f>
        <v>0</v>
      </c>
      <c r="L4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3" s="4"/>
      <c r="N473" s="46">
        <f>IF(AR[[#This Row],[Collection date - override (dd/mm/yyyy)]] &lt;&gt; "", AR[[#This Row],[Collection date - override (dd/mm/yyyy)]], AR[[#This Row],[Due date (dd/mm/yyyy)]])</f>
        <v>0</v>
      </c>
      <c r="O473" s="46">
        <f t="shared" si="7"/>
        <v>52</v>
      </c>
    </row>
    <row r="474" spans="3:15" x14ac:dyDescent="0.25">
      <c r="C474" s="28"/>
      <c r="D474" s="20"/>
      <c r="E474" s="4"/>
      <c r="F474" s="37"/>
      <c r="G474" s="24"/>
      <c r="H474" s="51">
        <f>Assumptions!$D$15</f>
        <v>0.1</v>
      </c>
      <c r="I474" s="45">
        <f>IF(AR[[#This Row],[GST applies?]] = "Yes", (AR[[#This Row],[Invoice value inc. VAT]] / 1 + AR[[#This Row],[GST %]]) * AR[[#This Row],[GST %]], 0)</f>
        <v>0</v>
      </c>
      <c r="J474" s="31">
        <f>_xlfn.XLOOKUP(AR[[#This Row],[Customer name]], Customer_master[Customer name], Customer_master[EOM or Net], 0)</f>
        <v>0</v>
      </c>
      <c r="K474" s="31">
        <f>_xlfn.XLOOKUP(AR[[#This Row],[Customer name]], Customer_master[Customer name], Customer_master[Terms days], 0)</f>
        <v>0</v>
      </c>
      <c r="L4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4" s="4"/>
      <c r="N474" s="46">
        <f>IF(AR[[#This Row],[Collection date - override (dd/mm/yyyy)]] &lt;&gt; "", AR[[#This Row],[Collection date - override (dd/mm/yyyy)]], AR[[#This Row],[Due date (dd/mm/yyyy)]])</f>
        <v>0</v>
      </c>
      <c r="O474" s="46">
        <f t="shared" si="7"/>
        <v>52</v>
      </c>
    </row>
    <row r="475" spans="3:15" x14ac:dyDescent="0.25">
      <c r="C475" s="28"/>
      <c r="D475" s="20"/>
      <c r="E475" s="4"/>
      <c r="F475" s="37"/>
      <c r="G475" s="24"/>
      <c r="H475" s="51">
        <f>Assumptions!$D$15</f>
        <v>0.1</v>
      </c>
      <c r="I475" s="45">
        <f>IF(AR[[#This Row],[GST applies?]] = "Yes", (AR[[#This Row],[Invoice value inc. VAT]] / 1 + AR[[#This Row],[GST %]]) * AR[[#This Row],[GST %]], 0)</f>
        <v>0</v>
      </c>
      <c r="J475" s="31">
        <f>_xlfn.XLOOKUP(AR[[#This Row],[Customer name]], Customer_master[Customer name], Customer_master[EOM or Net], 0)</f>
        <v>0</v>
      </c>
      <c r="K475" s="31">
        <f>_xlfn.XLOOKUP(AR[[#This Row],[Customer name]], Customer_master[Customer name], Customer_master[Terms days], 0)</f>
        <v>0</v>
      </c>
      <c r="L4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5" s="4"/>
      <c r="N475" s="46">
        <f>IF(AR[[#This Row],[Collection date - override (dd/mm/yyyy)]] &lt;&gt; "", AR[[#This Row],[Collection date - override (dd/mm/yyyy)]], AR[[#This Row],[Due date (dd/mm/yyyy)]])</f>
        <v>0</v>
      </c>
      <c r="O475" s="46">
        <f t="shared" si="7"/>
        <v>52</v>
      </c>
    </row>
    <row r="476" spans="3:15" x14ac:dyDescent="0.25">
      <c r="C476" s="28"/>
      <c r="D476" s="20"/>
      <c r="E476" s="4"/>
      <c r="F476" s="37"/>
      <c r="G476" s="24"/>
      <c r="H476" s="51">
        <f>Assumptions!$D$15</f>
        <v>0.1</v>
      </c>
      <c r="I476" s="45">
        <f>IF(AR[[#This Row],[GST applies?]] = "Yes", (AR[[#This Row],[Invoice value inc. VAT]] / 1 + AR[[#This Row],[GST %]]) * AR[[#This Row],[GST %]], 0)</f>
        <v>0</v>
      </c>
      <c r="J476" s="31">
        <f>_xlfn.XLOOKUP(AR[[#This Row],[Customer name]], Customer_master[Customer name], Customer_master[EOM or Net], 0)</f>
        <v>0</v>
      </c>
      <c r="K476" s="31">
        <f>_xlfn.XLOOKUP(AR[[#This Row],[Customer name]], Customer_master[Customer name], Customer_master[Terms days], 0)</f>
        <v>0</v>
      </c>
      <c r="L4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6" s="4"/>
      <c r="N476" s="46">
        <f>IF(AR[[#This Row],[Collection date - override (dd/mm/yyyy)]] &lt;&gt; "", AR[[#This Row],[Collection date - override (dd/mm/yyyy)]], AR[[#This Row],[Due date (dd/mm/yyyy)]])</f>
        <v>0</v>
      </c>
      <c r="O476" s="46">
        <f t="shared" si="7"/>
        <v>52</v>
      </c>
    </row>
    <row r="477" spans="3:15" x14ac:dyDescent="0.25">
      <c r="C477" s="28"/>
      <c r="D477" s="20"/>
      <c r="E477" s="4"/>
      <c r="F477" s="37"/>
      <c r="G477" s="24"/>
      <c r="H477" s="51">
        <f>Assumptions!$D$15</f>
        <v>0.1</v>
      </c>
      <c r="I477" s="45">
        <f>IF(AR[[#This Row],[GST applies?]] = "Yes", (AR[[#This Row],[Invoice value inc. VAT]] / 1 + AR[[#This Row],[GST %]]) * AR[[#This Row],[GST %]], 0)</f>
        <v>0</v>
      </c>
      <c r="J477" s="31">
        <f>_xlfn.XLOOKUP(AR[[#This Row],[Customer name]], Customer_master[Customer name], Customer_master[EOM or Net], 0)</f>
        <v>0</v>
      </c>
      <c r="K477" s="31">
        <f>_xlfn.XLOOKUP(AR[[#This Row],[Customer name]], Customer_master[Customer name], Customer_master[Terms days], 0)</f>
        <v>0</v>
      </c>
      <c r="L4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7" s="4"/>
      <c r="N477" s="46">
        <f>IF(AR[[#This Row],[Collection date - override (dd/mm/yyyy)]] &lt;&gt; "", AR[[#This Row],[Collection date - override (dd/mm/yyyy)]], AR[[#This Row],[Due date (dd/mm/yyyy)]])</f>
        <v>0</v>
      </c>
      <c r="O477" s="46">
        <f t="shared" si="7"/>
        <v>52</v>
      </c>
    </row>
    <row r="478" spans="3:15" x14ac:dyDescent="0.25">
      <c r="C478" s="28"/>
      <c r="D478" s="20"/>
      <c r="E478" s="4"/>
      <c r="F478" s="37"/>
      <c r="G478" s="24"/>
      <c r="H478" s="51">
        <f>Assumptions!$D$15</f>
        <v>0.1</v>
      </c>
      <c r="I478" s="45">
        <f>IF(AR[[#This Row],[GST applies?]] = "Yes", (AR[[#This Row],[Invoice value inc. VAT]] / 1 + AR[[#This Row],[GST %]]) * AR[[#This Row],[GST %]], 0)</f>
        <v>0</v>
      </c>
      <c r="J478" s="31">
        <f>_xlfn.XLOOKUP(AR[[#This Row],[Customer name]], Customer_master[Customer name], Customer_master[EOM or Net], 0)</f>
        <v>0</v>
      </c>
      <c r="K478" s="31">
        <f>_xlfn.XLOOKUP(AR[[#This Row],[Customer name]], Customer_master[Customer name], Customer_master[Terms days], 0)</f>
        <v>0</v>
      </c>
      <c r="L4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8" s="4"/>
      <c r="N478" s="46">
        <f>IF(AR[[#This Row],[Collection date - override (dd/mm/yyyy)]] &lt;&gt; "", AR[[#This Row],[Collection date - override (dd/mm/yyyy)]], AR[[#This Row],[Due date (dd/mm/yyyy)]])</f>
        <v>0</v>
      </c>
      <c r="O478" s="46">
        <f t="shared" si="7"/>
        <v>52</v>
      </c>
    </row>
    <row r="479" spans="3:15" x14ac:dyDescent="0.25">
      <c r="C479" s="28"/>
      <c r="D479" s="20"/>
      <c r="E479" s="4"/>
      <c r="F479" s="37"/>
      <c r="G479" s="24"/>
      <c r="H479" s="51">
        <f>Assumptions!$D$15</f>
        <v>0.1</v>
      </c>
      <c r="I479" s="45">
        <f>IF(AR[[#This Row],[GST applies?]] = "Yes", (AR[[#This Row],[Invoice value inc. VAT]] / 1 + AR[[#This Row],[GST %]]) * AR[[#This Row],[GST %]], 0)</f>
        <v>0</v>
      </c>
      <c r="J479" s="31">
        <f>_xlfn.XLOOKUP(AR[[#This Row],[Customer name]], Customer_master[Customer name], Customer_master[EOM or Net], 0)</f>
        <v>0</v>
      </c>
      <c r="K479" s="31">
        <f>_xlfn.XLOOKUP(AR[[#This Row],[Customer name]], Customer_master[Customer name], Customer_master[Terms days], 0)</f>
        <v>0</v>
      </c>
      <c r="L4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9" s="4"/>
      <c r="N479" s="46">
        <f>IF(AR[[#This Row],[Collection date - override (dd/mm/yyyy)]] &lt;&gt; "", AR[[#This Row],[Collection date - override (dd/mm/yyyy)]], AR[[#This Row],[Due date (dd/mm/yyyy)]])</f>
        <v>0</v>
      </c>
      <c r="O479" s="46">
        <f t="shared" si="7"/>
        <v>52</v>
      </c>
    </row>
    <row r="480" spans="3:15" x14ac:dyDescent="0.25">
      <c r="C480" s="28"/>
      <c r="D480" s="20"/>
      <c r="E480" s="4"/>
      <c r="F480" s="37"/>
      <c r="G480" s="24"/>
      <c r="H480" s="51">
        <f>Assumptions!$D$15</f>
        <v>0.1</v>
      </c>
      <c r="I480" s="45">
        <f>IF(AR[[#This Row],[GST applies?]] = "Yes", (AR[[#This Row],[Invoice value inc. VAT]] / 1 + AR[[#This Row],[GST %]]) * AR[[#This Row],[GST %]], 0)</f>
        <v>0</v>
      </c>
      <c r="J480" s="31">
        <f>_xlfn.XLOOKUP(AR[[#This Row],[Customer name]], Customer_master[Customer name], Customer_master[EOM or Net], 0)</f>
        <v>0</v>
      </c>
      <c r="K480" s="31">
        <f>_xlfn.XLOOKUP(AR[[#This Row],[Customer name]], Customer_master[Customer name], Customer_master[Terms days], 0)</f>
        <v>0</v>
      </c>
      <c r="L4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0" s="4"/>
      <c r="N480" s="46">
        <f>IF(AR[[#This Row],[Collection date - override (dd/mm/yyyy)]] &lt;&gt; "", AR[[#This Row],[Collection date - override (dd/mm/yyyy)]], AR[[#This Row],[Due date (dd/mm/yyyy)]])</f>
        <v>0</v>
      </c>
      <c r="O480" s="46">
        <f t="shared" si="7"/>
        <v>52</v>
      </c>
    </row>
    <row r="481" spans="3:15" x14ac:dyDescent="0.25">
      <c r="C481" s="28"/>
      <c r="D481" s="20"/>
      <c r="E481" s="4"/>
      <c r="F481" s="37"/>
      <c r="G481" s="24"/>
      <c r="H481" s="51">
        <f>Assumptions!$D$15</f>
        <v>0.1</v>
      </c>
      <c r="I481" s="45">
        <f>IF(AR[[#This Row],[GST applies?]] = "Yes", (AR[[#This Row],[Invoice value inc. VAT]] / 1 + AR[[#This Row],[GST %]]) * AR[[#This Row],[GST %]], 0)</f>
        <v>0</v>
      </c>
      <c r="J481" s="31">
        <f>_xlfn.XLOOKUP(AR[[#This Row],[Customer name]], Customer_master[Customer name], Customer_master[EOM or Net], 0)</f>
        <v>0</v>
      </c>
      <c r="K481" s="31">
        <f>_xlfn.XLOOKUP(AR[[#This Row],[Customer name]], Customer_master[Customer name], Customer_master[Terms days], 0)</f>
        <v>0</v>
      </c>
      <c r="L4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1" s="4"/>
      <c r="N481" s="46">
        <f>IF(AR[[#This Row],[Collection date - override (dd/mm/yyyy)]] &lt;&gt; "", AR[[#This Row],[Collection date - override (dd/mm/yyyy)]], AR[[#This Row],[Due date (dd/mm/yyyy)]])</f>
        <v>0</v>
      </c>
      <c r="O481" s="46">
        <f t="shared" si="7"/>
        <v>52</v>
      </c>
    </row>
    <row r="482" spans="3:15" x14ac:dyDescent="0.25">
      <c r="C482" s="28"/>
      <c r="D482" s="20"/>
      <c r="E482" s="4"/>
      <c r="F482" s="37"/>
      <c r="G482" s="24"/>
      <c r="H482" s="51">
        <f>Assumptions!$D$15</f>
        <v>0.1</v>
      </c>
      <c r="I482" s="45">
        <f>IF(AR[[#This Row],[GST applies?]] = "Yes", (AR[[#This Row],[Invoice value inc. VAT]] / 1 + AR[[#This Row],[GST %]]) * AR[[#This Row],[GST %]], 0)</f>
        <v>0</v>
      </c>
      <c r="J482" s="31">
        <f>_xlfn.XLOOKUP(AR[[#This Row],[Customer name]], Customer_master[Customer name], Customer_master[EOM or Net], 0)</f>
        <v>0</v>
      </c>
      <c r="K482" s="31">
        <f>_xlfn.XLOOKUP(AR[[#This Row],[Customer name]], Customer_master[Customer name], Customer_master[Terms days], 0)</f>
        <v>0</v>
      </c>
      <c r="L4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2" s="4"/>
      <c r="N482" s="46">
        <f>IF(AR[[#This Row],[Collection date - override (dd/mm/yyyy)]] &lt;&gt; "", AR[[#This Row],[Collection date - override (dd/mm/yyyy)]], AR[[#This Row],[Due date (dd/mm/yyyy)]])</f>
        <v>0</v>
      </c>
      <c r="O482" s="46">
        <f t="shared" si="7"/>
        <v>52</v>
      </c>
    </row>
    <row r="483" spans="3:15" x14ac:dyDescent="0.25">
      <c r="C483" s="28"/>
      <c r="D483" s="20"/>
      <c r="E483" s="4"/>
      <c r="F483" s="37"/>
      <c r="G483" s="24"/>
      <c r="H483" s="51">
        <f>Assumptions!$D$15</f>
        <v>0.1</v>
      </c>
      <c r="I483" s="45">
        <f>IF(AR[[#This Row],[GST applies?]] = "Yes", (AR[[#This Row],[Invoice value inc. VAT]] / 1 + AR[[#This Row],[GST %]]) * AR[[#This Row],[GST %]], 0)</f>
        <v>0</v>
      </c>
      <c r="J483" s="31">
        <f>_xlfn.XLOOKUP(AR[[#This Row],[Customer name]], Customer_master[Customer name], Customer_master[EOM or Net], 0)</f>
        <v>0</v>
      </c>
      <c r="K483" s="31">
        <f>_xlfn.XLOOKUP(AR[[#This Row],[Customer name]], Customer_master[Customer name], Customer_master[Terms days], 0)</f>
        <v>0</v>
      </c>
      <c r="L4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3" s="4"/>
      <c r="N483" s="46">
        <f>IF(AR[[#This Row],[Collection date - override (dd/mm/yyyy)]] &lt;&gt; "", AR[[#This Row],[Collection date - override (dd/mm/yyyy)]], AR[[#This Row],[Due date (dd/mm/yyyy)]])</f>
        <v>0</v>
      </c>
      <c r="O483" s="46">
        <f t="shared" si="7"/>
        <v>52</v>
      </c>
    </row>
    <row r="484" spans="3:15" x14ac:dyDescent="0.25">
      <c r="C484" s="28"/>
      <c r="D484" s="20"/>
      <c r="E484" s="4"/>
      <c r="F484" s="37"/>
      <c r="G484" s="24"/>
      <c r="H484" s="51">
        <f>Assumptions!$D$15</f>
        <v>0.1</v>
      </c>
      <c r="I484" s="45">
        <f>IF(AR[[#This Row],[GST applies?]] = "Yes", (AR[[#This Row],[Invoice value inc. VAT]] / 1 + AR[[#This Row],[GST %]]) * AR[[#This Row],[GST %]], 0)</f>
        <v>0</v>
      </c>
      <c r="J484" s="31">
        <f>_xlfn.XLOOKUP(AR[[#This Row],[Customer name]], Customer_master[Customer name], Customer_master[EOM or Net], 0)</f>
        <v>0</v>
      </c>
      <c r="K484" s="31">
        <f>_xlfn.XLOOKUP(AR[[#This Row],[Customer name]], Customer_master[Customer name], Customer_master[Terms days], 0)</f>
        <v>0</v>
      </c>
      <c r="L4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4" s="4"/>
      <c r="N484" s="46">
        <f>IF(AR[[#This Row],[Collection date - override (dd/mm/yyyy)]] &lt;&gt; "", AR[[#This Row],[Collection date - override (dd/mm/yyyy)]], AR[[#This Row],[Due date (dd/mm/yyyy)]])</f>
        <v>0</v>
      </c>
      <c r="O484" s="46">
        <f t="shared" si="7"/>
        <v>52</v>
      </c>
    </row>
    <row r="485" spans="3:15" x14ac:dyDescent="0.25">
      <c r="C485" s="28"/>
      <c r="D485" s="20"/>
      <c r="E485" s="4"/>
      <c r="F485" s="37"/>
      <c r="G485" s="24"/>
      <c r="H485" s="51">
        <f>Assumptions!$D$15</f>
        <v>0.1</v>
      </c>
      <c r="I485" s="45">
        <f>IF(AR[[#This Row],[GST applies?]] = "Yes", (AR[[#This Row],[Invoice value inc. VAT]] / 1 + AR[[#This Row],[GST %]]) * AR[[#This Row],[GST %]], 0)</f>
        <v>0</v>
      </c>
      <c r="J485" s="31">
        <f>_xlfn.XLOOKUP(AR[[#This Row],[Customer name]], Customer_master[Customer name], Customer_master[EOM or Net], 0)</f>
        <v>0</v>
      </c>
      <c r="K485" s="31">
        <f>_xlfn.XLOOKUP(AR[[#This Row],[Customer name]], Customer_master[Customer name], Customer_master[Terms days], 0)</f>
        <v>0</v>
      </c>
      <c r="L4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5" s="4"/>
      <c r="N485" s="46">
        <f>IF(AR[[#This Row],[Collection date - override (dd/mm/yyyy)]] &lt;&gt; "", AR[[#This Row],[Collection date - override (dd/mm/yyyy)]], AR[[#This Row],[Due date (dd/mm/yyyy)]])</f>
        <v>0</v>
      </c>
      <c r="O485" s="46">
        <f t="shared" si="7"/>
        <v>52</v>
      </c>
    </row>
    <row r="486" spans="3:15" x14ac:dyDescent="0.25">
      <c r="C486" s="28"/>
      <c r="D486" s="20"/>
      <c r="E486" s="4"/>
      <c r="F486" s="37"/>
      <c r="G486" s="24"/>
      <c r="H486" s="51">
        <f>Assumptions!$D$15</f>
        <v>0.1</v>
      </c>
      <c r="I486" s="45">
        <f>IF(AR[[#This Row],[GST applies?]] = "Yes", (AR[[#This Row],[Invoice value inc. VAT]] / 1 + AR[[#This Row],[GST %]]) * AR[[#This Row],[GST %]], 0)</f>
        <v>0</v>
      </c>
      <c r="J486" s="31">
        <f>_xlfn.XLOOKUP(AR[[#This Row],[Customer name]], Customer_master[Customer name], Customer_master[EOM or Net], 0)</f>
        <v>0</v>
      </c>
      <c r="K486" s="31">
        <f>_xlfn.XLOOKUP(AR[[#This Row],[Customer name]], Customer_master[Customer name], Customer_master[Terms days], 0)</f>
        <v>0</v>
      </c>
      <c r="L4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6" s="4"/>
      <c r="N486" s="46">
        <f>IF(AR[[#This Row],[Collection date - override (dd/mm/yyyy)]] &lt;&gt; "", AR[[#This Row],[Collection date - override (dd/mm/yyyy)]], AR[[#This Row],[Due date (dd/mm/yyyy)]])</f>
        <v>0</v>
      </c>
      <c r="O486" s="46">
        <f t="shared" si="7"/>
        <v>52</v>
      </c>
    </row>
    <row r="487" spans="3:15" x14ac:dyDescent="0.25">
      <c r="C487" s="28"/>
      <c r="D487" s="20"/>
      <c r="E487" s="4"/>
      <c r="F487" s="37"/>
      <c r="G487" s="24"/>
      <c r="H487" s="51">
        <f>Assumptions!$D$15</f>
        <v>0.1</v>
      </c>
      <c r="I487" s="45">
        <f>IF(AR[[#This Row],[GST applies?]] = "Yes", (AR[[#This Row],[Invoice value inc. VAT]] / 1 + AR[[#This Row],[GST %]]) * AR[[#This Row],[GST %]], 0)</f>
        <v>0</v>
      </c>
      <c r="J487" s="31">
        <f>_xlfn.XLOOKUP(AR[[#This Row],[Customer name]], Customer_master[Customer name], Customer_master[EOM or Net], 0)</f>
        <v>0</v>
      </c>
      <c r="K487" s="31">
        <f>_xlfn.XLOOKUP(AR[[#This Row],[Customer name]], Customer_master[Customer name], Customer_master[Terms days], 0)</f>
        <v>0</v>
      </c>
      <c r="L4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7" s="4"/>
      <c r="N487" s="46">
        <f>IF(AR[[#This Row],[Collection date - override (dd/mm/yyyy)]] &lt;&gt; "", AR[[#This Row],[Collection date - override (dd/mm/yyyy)]], AR[[#This Row],[Due date (dd/mm/yyyy)]])</f>
        <v>0</v>
      </c>
      <c r="O487" s="46">
        <f t="shared" si="7"/>
        <v>52</v>
      </c>
    </row>
    <row r="488" spans="3:15" x14ac:dyDescent="0.25">
      <c r="C488" s="28"/>
      <c r="D488" s="20"/>
      <c r="E488" s="4"/>
      <c r="F488" s="37"/>
      <c r="G488" s="24"/>
      <c r="H488" s="51">
        <f>Assumptions!$D$15</f>
        <v>0.1</v>
      </c>
      <c r="I488" s="45">
        <f>IF(AR[[#This Row],[GST applies?]] = "Yes", (AR[[#This Row],[Invoice value inc. VAT]] / 1 + AR[[#This Row],[GST %]]) * AR[[#This Row],[GST %]], 0)</f>
        <v>0</v>
      </c>
      <c r="J488" s="31">
        <f>_xlfn.XLOOKUP(AR[[#This Row],[Customer name]], Customer_master[Customer name], Customer_master[EOM or Net], 0)</f>
        <v>0</v>
      </c>
      <c r="K488" s="31">
        <f>_xlfn.XLOOKUP(AR[[#This Row],[Customer name]], Customer_master[Customer name], Customer_master[Terms days], 0)</f>
        <v>0</v>
      </c>
      <c r="L4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8" s="4"/>
      <c r="N488" s="46">
        <f>IF(AR[[#This Row],[Collection date - override (dd/mm/yyyy)]] &lt;&gt; "", AR[[#This Row],[Collection date - override (dd/mm/yyyy)]], AR[[#This Row],[Due date (dd/mm/yyyy)]])</f>
        <v>0</v>
      </c>
      <c r="O488" s="46">
        <f t="shared" si="7"/>
        <v>52</v>
      </c>
    </row>
    <row r="489" spans="3:15" x14ac:dyDescent="0.25">
      <c r="C489" s="28"/>
      <c r="D489" s="20"/>
      <c r="E489" s="4"/>
      <c r="F489" s="37"/>
      <c r="G489" s="24"/>
      <c r="H489" s="51">
        <f>Assumptions!$D$15</f>
        <v>0.1</v>
      </c>
      <c r="I489" s="45">
        <f>IF(AR[[#This Row],[GST applies?]] = "Yes", (AR[[#This Row],[Invoice value inc. VAT]] / 1 + AR[[#This Row],[GST %]]) * AR[[#This Row],[GST %]], 0)</f>
        <v>0</v>
      </c>
      <c r="J489" s="31">
        <f>_xlfn.XLOOKUP(AR[[#This Row],[Customer name]], Customer_master[Customer name], Customer_master[EOM or Net], 0)</f>
        <v>0</v>
      </c>
      <c r="K489" s="31">
        <f>_xlfn.XLOOKUP(AR[[#This Row],[Customer name]], Customer_master[Customer name], Customer_master[Terms days], 0)</f>
        <v>0</v>
      </c>
      <c r="L4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9" s="4"/>
      <c r="N489" s="46">
        <f>IF(AR[[#This Row],[Collection date - override (dd/mm/yyyy)]] &lt;&gt; "", AR[[#This Row],[Collection date - override (dd/mm/yyyy)]], AR[[#This Row],[Due date (dd/mm/yyyy)]])</f>
        <v>0</v>
      </c>
      <c r="O489" s="46">
        <f t="shared" si="7"/>
        <v>52</v>
      </c>
    </row>
    <row r="490" spans="3:15" x14ac:dyDescent="0.25">
      <c r="C490" s="28"/>
      <c r="D490" s="20"/>
      <c r="E490" s="4"/>
      <c r="F490" s="37"/>
      <c r="G490" s="24"/>
      <c r="H490" s="51">
        <f>Assumptions!$D$15</f>
        <v>0.1</v>
      </c>
      <c r="I490" s="45">
        <f>IF(AR[[#This Row],[GST applies?]] = "Yes", (AR[[#This Row],[Invoice value inc. VAT]] / 1 + AR[[#This Row],[GST %]]) * AR[[#This Row],[GST %]], 0)</f>
        <v>0</v>
      </c>
      <c r="J490" s="31">
        <f>_xlfn.XLOOKUP(AR[[#This Row],[Customer name]], Customer_master[Customer name], Customer_master[EOM or Net], 0)</f>
        <v>0</v>
      </c>
      <c r="K490" s="31">
        <f>_xlfn.XLOOKUP(AR[[#This Row],[Customer name]], Customer_master[Customer name], Customer_master[Terms days], 0)</f>
        <v>0</v>
      </c>
      <c r="L4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0" s="4"/>
      <c r="N490" s="46">
        <f>IF(AR[[#This Row],[Collection date - override (dd/mm/yyyy)]] &lt;&gt; "", AR[[#This Row],[Collection date - override (dd/mm/yyyy)]], AR[[#This Row],[Due date (dd/mm/yyyy)]])</f>
        <v>0</v>
      </c>
      <c r="O490" s="46">
        <f t="shared" si="7"/>
        <v>52</v>
      </c>
    </row>
    <row r="491" spans="3:15" x14ac:dyDescent="0.25">
      <c r="C491" s="28"/>
      <c r="D491" s="20"/>
      <c r="E491" s="4"/>
      <c r="F491" s="37"/>
      <c r="G491" s="24"/>
      <c r="H491" s="51">
        <f>Assumptions!$D$15</f>
        <v>0.1</v>
      </c>
      <c r="I491" s="45">
        <f>IF(AR[[#This Row],[GST applies?]] = "Yes", (AR[[#This Row],[Invoice value inc. VAT]] / 1 + AR[[#This Row],[GST %]]) * AR[[#This Row],[GST %]], 0)</f>
        <v>0</v>
      </c>
      <c r="J491" s="31">
        <f>_xlfn.XLOOKUP(AR[[#This Row],[Customer name]], Customer_master[Customer name], Customer_master[EOM or Net], 0)</f>
        <v>0</v>
      </c>
      <c r="K491" s="31">
        <f>_xlfn.XLOOKUP(AR[[#This Row],[Customer name]], Customer_master[Customer name], Customer_master[Terms days], 0)</f>
        <v>0</v>
      </c>
      <c r="L4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1" s="4"/>
      <c r="N491" s="46">
        <f>IF(AR[[#This Row],[Collection date - override (dd/mm/yyyy)]] &lt;&gt; "", AR[[#This Row],[Collection date - override (dd/mm/yyyy)]], AR[[#This Row],[Due date (dd/mm/yyyy)]])</f>
        <v>0</v>
      </c>
      <c r="O491" s="46">
        <f t="shared" si="7"/>
        <v>52</v>
      </c>
    </row>
    <row r="492" spans="3:15" x14ac:dyDescent="0.25">
      <c r="C492" s="28"/>
      <c r="D492" s="20"/>
      <c r="E492" s="4"/>
      <c r="F492" s="37"/>
      <c r="G492" s="24"/>
      <c r="H492" s="51">
        <f>Assumptions!$D$15</f>
        <v>0.1</v>
      </c>
      <c r="I492" s="45">
        <f>IF(AR[[#This Row],[GST applies?]] = "Yes", (AR[[#This Row],[Invoice value inc. VAT]] / 1 + AR[[#This Row],[GST %]]) * AR[[#This Row],[GST %]], 0)</f>
        <v>0</v>
      </c>
      <c r="J492" s="31">
        <f>_xlfn.XLOOKUP(AR[[#This Row],[Customer name]], Customer_master[Customer name], Customer_master[EOM or Net], 0)</f>
        <v>0</v>
      </c>
      <c r="K492" s="31">
        <f>_xlfn.XLOOKUP(AR[[#This Row],[Customer name]], Customer_master[Customer name], Customer_master[Terms days], 0)</f>
        <v>0</v>
      </c>
      <c r="L4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2" s="4"/>
      <c r="N492" s="46">
        <f>IF(AR[[#This Row],[Collection date - override (dd/mm/yyyy)]] &lt;&gt; "", AR[[#This Row],[Collection date - override (dd/mm/yyyy)]], AR[[#This Row],[Due date (dd/mm/yyyy)]])</f>
        <v>0</v>
      </c>
      <c r="O492" s="46">
        <f t="shared" si="7"/>
        <v>52</v>
      </c>
    </row>
    <row r="493" spans="3:15" x14ac:dyDescent="0.25">
      <c r="C493" s="28"/>
      <c r="D493" s="20"/>
      <c r="E493" s="4"/>
      <c r="F493" s="37"/>
      <c r="G493" s="24"/>
      <c r="H493" s="51">
        <f>Assumptions!$D$15</f>
        <v>0.1</v>
      </c>
      <c r="I493" s="45">
        <f>IF(AR[[#This Row],[GST applies?]] = "Yes", (AR[[#This Row],[Invoice value inc. VAT]] / 1 + AR[[#This Row],[GST %]]) * AR[[#This Row],[GST %]], 0)</f>
        <v>0</v>
      </c>
      <c r="J493" s="31">
        <f>_xlfn.XLOOKUP(AR[[#This Row],[Customer name]], Customer_master[Customer name], Customer_master[EOM or Net], 0)</f>
        <v>0</v>
      </c>
      <c r="K493" s="31">
        <f>_xlfn.XLOOKUP(AR[[#This Row],[Customer name]], Customer_master[Customer name], Customer_master[Terms days], 0)</f>
        <v>0</v>
      </c>
      <c r="L4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3" s="4"/>
      <c r="N493" s="46">
        <f>IF(AR[[#This Row],[Collection date - override (dd/mm/yyyy)]] &lt;&gt; "", AR[[#This Row],[Collection date - override (dd/mm/yyyy)]], AR[[#This Row],[Due date (dd/mm/yyyy)]])</f>
        <v>0</v>
      </c>
      <c r="O493" s="46">
        <f t="shared" si="7"/>
        <v>52</v>
      </c>
    </row>
    <row r="494" spans="3:15" x14ac:dyDescent="0.25">
      <c r="C494" s="28"/>
      <c r="D494" s="20"/>
      <c r="E494" s="4"/>
      <c r="F494" s="37"/>
      <c r="G494" s="24"/>
      <c r="H494" s="51">
        <f>Assumptions!$D$15</f>
        <v>0.1</v>
      </c>
      <c r="I494" s="45">
        <f>IF(AR[[#This Row],[GST applies?]] = "Yes", (AR[[#This Row],[Invoice value inc. VAT]] / 1 + AR[[#This Row],[GST %]]) * AR[[#This Row],[GST %]], 0)</f>
        <v>0</v>
      </c>
      <c r="J494" s="31">
        <f>_xlfn.XLOOKUP(AR[[#This Row],[Customer name]], Customer_master[Customer name], Customer_master[EOM or Net], 0)</f>
        <v>0</v>
      </c>
      <c r="K494" s="31">
        <f>_xlfn.XLOOKUP(AR[[#This Row],[Customer name]], Customer_master[Customer name], Customer_master[Terms days], 0)</f>
        <v>0</v>
      </c>
      <c r="L4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4" s="4"/>
      <c r="N494" s="46">
        <f>IF(AR[[#This Row],[Collection date - override (dd/mm/yyyy)]] &lt;&gt; "", AR[[#This Row],[Collection date - override (dd/mm/yyyy)]], AR[[#This Row],[Due date (dd/mm/yyyy)]])</f>
        <v>0</v>
      </c>
      <c r="O494" s="46">
        <f t="shared" si="7"/>
        <v>52</v>
      </c>
    </row>
    <row r="495" spans="3:15" x14ac:dyDescent="0.25">
      <c r="C495" s="28"/>
      <c r="D495" s="20"/>
      <c r="E495" s="4"/>
      <c r="F495" s="37"/>
      <c r="G495" s="24"/>
      <c r="H495" s="51">
        <f>Assumptions!$D$15</f>
        <v>0.1</v>
      </c>
      <c r="I495" s="45">
        <f>IF(AR[[#This Row],[GST applies?]] = "Yes", (AR[[#This Row],[Invoice value inc. VAT]] / 1 + AR[[#This Row],[GST %]]) * AR[[#This Row],[GST %]], 0)</f>
        <v>0</v>
      </c>
      <c r="J495" s="31">
        <f>_xlfn.XLOOKUP(AR[[#This Row],[Customer name]], Customer_master[Customer name], Customer_master[EOM or Net], 0)</f>
        <v>0</v>
      </c>
      <c r="K495" s="31">
        <f>_xlfn.XLOOKUP(AR[[#This Row],[Customer name]], Customer_master[Customer name], Customer_master[Terms days], 0)</f>
        <v>0</v>
      </c>
      <c r="L4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5" s="4"/>
      <c r="N495" s="46">
        <f>IF(AR[[#This Row],[Collection date - override (dd/mm/yyyy)]] &lt;&gt; "", AR[[#This Row],[Collection date - override (dd/mm/yyyy)]], AR[[#This Row],[Due date (dd/mm/yyyy)]])</f>
        <v>0</v>
      </c>
      <c r="O495" s="46">
        <f t="shared" si="7"/>
        <v>52</v>
      </c>
    </row>
    <row r="496" spans="3:15" x14ac:dyDescent="0.25">
      <c r="C496" s="28"/>
      <c r="D496" s="20"/>
      <c r="E496" s="4"/>
      <c r="F496" s="37"/>
      <c r="G496" s="24"/>
      <c r="H496" s="51">
        <f>Assumptions!$D$15</f>
        <v>0.1</v>
      </c>
      <c r="I496" s="45">
        <f>IF(AR[[#This Row],[GST applies?]] = "Yes", (AR[[#This Row],[Invoice value inc. VAT]] / 1 + AR[[#This Row],[GST %]]) * AR[[#This Row],[GST %]], 0)</f>
        <v>0</v>
      </c>
      <c r="J496" s="31">
        <f>_xlfn.XLOOKUP(AR[[#This Row],[Customer name]], Customer_master[Customer name], Customer_master[EOM or Net], 0)</f>
        <v>0</v>
      </c>
      <c r="K496" s="31">
        <f>_xlfn.XLOOKUP(AR[[#This Row],[Customer name]], Customer_master[Customer name], Customer_master[Terms days], 0)</f>
        <v>0</v>
      </c>
      <c r="L4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6" s="4"/>
      <c r="N496" s="46">
        <f>IF(AR[[#This Row],[Collection date - override (dd/mm/yyyy)]] &lt;&gt; "", AR[[#This Row],[Collection date - override (dd/mm/yyyy)]], AR[[#This Row],[Due date (dd/mm/yyyy)]])</f>
        <v>0</v>
      </c>
      <c r="O496" s="46">
        <f t="shared" si="7"/>
        <v>52</v>
      </c>
    </row>
    <row r="497" spans="3:15" x14ac:dyDescent="0.25">
      <c r="C497" s="28"/>
      <c r="D497" s="20"/>
      <c r="E497" s="4"/>
      <c r="F497" s="37"/>
      <c r="G497" s="24"/>
      <c r="H497" s="51">
        <f>Assumptions!$D$15</f>
        <v>0.1</v>
      </c>
      <c r="I497" s="45">
        <f>IF(AR[[#This Row],[GST applies?]] = "Yes", (AR[[#This Row],[Invoice value inc. VAT]] / 1 + AR[[#This Row],[GST %]]) * AR[[#This Row],[GST %]], 0)</f>
        <v>0</v>
      </c>
      <c r="J497" s="31">
        <f>_xlfn.XLOOKUP(AR[[#This Row],[Customer name]], Customer_master[Customer name], Customer_master[EOM or Net], 0)</f>
        <v>0</v>
      </c>
      <c r="K497" s="31">
        <f>_xlfn.XLOOKUP(AR[[#This Row],[Customer name]], Customer_master[Customer name], Customer_master[Terms days], 0)</f>
        <v>0</v>
      </c>
      <c r="L4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7" s="4"/>
      <c r="N497" s="46">
        <f>IF(AR[[#This Row],[Collection date - override (dd/mm/yyyy)]] &lt;&gt; "", AR[[#This Row],[Collection date - override (dd/mm/yyyy)]], AR[[#This Row],[Due date (dd/mm/yyyy)]])</f>
        <v>0</v>
      </c>
      <c r="O497" s="46">
        <f t="shared" si="7"/>
        <v>52</v>
      </c>
    </row>
    <row r="498" spans="3:15" x14ac:dyDescent="0.25">
      <c r="C498" s="28"/>
      <c r="D498" s="20"/>
      <c r="E498" s="4"/>
      <c r="F498" s="37"/>
      <c r="G498" s="24"/>
      <c r="H498" s="51">
        <f>Assumptions!$D$15</f>
        <v>0.1</v>
      </c>
      <c r="I498" s="45">
        <f>IF(AR[[#This Row],[GST applies?]] = "Yes", (AR[[#This Row],[Invoice value inc. VAT]] / 1 + AR[[#This Row],[GST %]]) * AR[[#This Row],[GST %]], 0)</f>
        <v>0</v>
      </c>
      <c r="J498" s="31">
        <f>_xlfn.XLOOKUP(AR[[#This Row],[Customer name]], Customer_master[Customer name], Customer_master[EOM or Net], 0)</f>
        <v>0</v>
      </c>
      <c r="K498" s="31">
        <f>_xlfn.XLOOKUP(AR[[#This Row],[Customer name]], Customer_master[Customer name], Customer_master[Terms days], 0)</f>
        <v>0</v>
      </c>
      <c r="L4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8" s="4"/>
      <c r="N498" s="46">
        <f>IF(AR[[#This Row],[Collection date - override (dd/mm/yyyy)]] &lt;&gt; "", AR[[#This Row],[Collection date - override (dd/mm/yyyy)]], AR[[#This Row],[Due date (dd/mm/yyyy)]])</f>
        <v>0</v>
      </c>
      <c r="O498" s="46">
        <f t="shared" si="7"/>
        <v>52</v>
      </c>
    </row>
    <row r="499" spans="3:15" x14ac:dyDescent="0.25">
      <c r="C499" s="28"/>
      <c r="D499" s="20"/>
      <c r="E499" s="4"/>
      <c r="F499" s="37"/>
      <c r="G499" s="24"/>
      <c r="H499" s="51">
        <f>Assumptions!$D$15</f>
        <v>0.1</v>
      </c>
      <c r="I499" s="45">
        <f>IF(AR[[#This Row],[GST applies?]] = "Yes", (AR[[#This Row],[Invoice value inc. VAT]] / 1 + AR[[#This Row],[GST %]]) * AR[[#This Row],[GST %]], 0)</f>
        <v>0</v>
      </c>
      <c r="J499" s="31">
        <f>_xlfn.XLOOKUP(AR[[#This Row],[Customer name]], Customer_master[Customer name], Customer_master[EOM or Net], 0)</f>
        <v>0</v>
      </c>
      <c r="K499" s="31">
        <f>_xlfn.XLOOKUP(AR[[#This Row],[Customer name]], Customer_master[Customer name], Customer_master[Terms days], 0)</f>
        <v>0</v>
      </c>
      <c r="L4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9" s="4"/>
      <c r="N499" s="46">
        <f>IF(AR[[#This Row],[Collection date - override (dd/mm/yyyy)]] &lt;&gt; "", AR[[#This Row],[Collection date - override (dd/mm/yyyy)]], AR[[#This Row],[Due date (dd/mm/yyyy)]])</f>
        <v>0</v>
      </c>
      <c r="O499" s="46">
        <f t="shared" si="7"/>
        <v>52</v>
      </c>
    </row>
    <row r="500" spans="3:15" x14ac:dyDescent="0.25">
      <c r="C500" s="28"/>
      <c r="D500" s="20"/>
      <c r="E500" s="4"/>
      <c r="F500" s="37"/>
      <c r="G500" s="24"/>
      <c r="H500" s="51">
        <f>Assumptions!$D$15</f>
        <v>0.1</v>
      </c>
      <c r="I500" s="45">
        <f>IF(AR[[#This Row],[GST applies?]] = "Yes", (AR[[#This Row],[Invoice value inc. VAT]] / 1 + AR[[#This Row],[GST %]]) * AR[[#This Row],[GST %]], 0)</f>
        <v>0</v>
      </c>
      <c r="J500" s="31">
        <f>_xlfn.XLOOKUP(AR[[#This Row],[Customer name]], Customer_master[Customer name], Customer_master[EOM or Net], 0)</f>
        <v>0</v>
      </c>
      <c r="K500" s="31">
        <f>_xlfn.XLOOKUP(AR[[#This Row],[Customer name]], Customer_master[Customer name], Customer_master[Terms days], 0)</f>
        <v>0</v>
      </c>
      <c r="L5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0" s="4"/>
      <c r="N500" s="46">
        <f>IF(AR[[#This Row],[Collection date - override (dd/mm/yyyy)]] &lt;&gt; "", AR[[#This Row],[Collection date - override (dd/mm/yyyy)]], AR[[#This Row],[Due date (dd/mm/yyyy)]])</f>
        <v>0</v>
      </c>
      <c r="O500" s="46">
        <f t="shared" si="7"/>
        <v>52</v>
      </c>
    </row>
    <row r="501" spans="3:15" x14ac:dyDescent="0.25">
      <c r="C501" s="28"/>
      <c r="D501" s="20"/>
      <c r="E501" s="4"/>
      <c r="F501" s="37"/>
      <c r="G501" s="24"/>
      <c r="H501" s="51">
        <f>Assumptions!$D$15</f>
        <v>0.1</v>
      </c>
      <c r="I501" s="45">
        <f>IF(AR[[#This Row],[GST applies?]] = "Yes", (AR[[#This Row],[Invoice value inc. VAT]] / 1 + AR[[#This Row],[GST %]]) * AR[[#This Row],[GST %]], 0)</f>
        <v>0</v>
      </c>
      <c r="J501" s="31">
        <f>_xlfn.XLOOKUP(AR[[#This Row],[Customer name]], Customer_master[Customer name], Customer_master[EOM or Net], 0)</f>
        <v>0</v>
      </c>
      <c r="K501" s="31">
        <f>_xlfn.XLOOKUP(AR[[#This Row],[Customer name]], Customer_master[Customer name], Customer_master[Terms days], 0)</f>
        <v>0</v>
      </c>
      <c r="L5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1" s="4"/>
      <c r="N501" s="46">
        <f>IF(AR[[#This Row],[Collection date - override (dd/mm/yyyy)]] &lt;&gt; "", AR[[#This Row],[Collection date - override (dd/mm/yyyy)]], AR[[#This Row],[Due date (dd/mm/yyyy)]])</f>
        <v>0</v>
      </c>
      <c r="O501" s="46">
        <f t="shared" si="7"/>
        <v>52</v>
      </c>
    </row>
    <row r="502" spans="3:15" x14ac:dyDescent="0.25">
      <c r="C502" s="28"/>
      <c r="D502" s="20"/>
      <c r="E502" s="4"/>
      <c r="F502" s="37"/>
      <c r="G502" s="24"/>
      <c r="H502" s="51">
        <f>Assumptions!$D$15</f>
        <v>0.1</v>
      </c>
      <c r="I502" s="45">
        <f>IF(AR[[#This Row],[GST applies?]] = "Yes", (AR[[#This Row],[Invoice value inc. VAT]] / 1 + AR[[#This Row],[GST %]]) * AR[[#This Row],[GST %]], 0)</f>
        <v>0</v>
      </c>
      <c r="J502" s="31">
        <f>_xlfn.XLOOKUP(AR[[#This Row],[Customer name]], Customer_master[Customer name], Customer_master[EOM or Net], 0)</f>
        <v>0</v>
      </c>
      <c r="K502" s="31">
        <f>_xlfn.XLOOKUP(AR[[#This Row],[Customer name]], Customer_master[Customer name], Customer_master[Terms days], 0)</f>
        <v>0</v>
      </c>
      <c r="L5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2" s="4"/>
      <c r="N502" s="46">
        <f>IF(AR[[#This Row],[Collection date - override (dd/mm/yyyy)]] &lt;&gt; "", AR[[#This Row],[Collection date - override (dd/mm/yyyy)]], AR[[#This Row],[Due date (dd/mm/yyyy)]])</f>
        <v>0</v>
      </c>
      <c r="O502" s="46">
        <f t="shared" si="7"/>
        <v>52</v>
      </c>
    </row>
    <row r="503" spans="3:15" x14ac:dyDescent="0.25">
      <c r="C503" s="28"/>
      <c r="D503" s="20"/>
      <c r="E503" s="4"/>
      <c r="F503" s="37"/>
      <c r="G503" s="24"/>
      <c r="H503" s="51">
        <f>Assumptions!$D$15</f>
        <v>0.1</v>
      </c>
      <c r="I503" s="45">
        <f>IF(AR[[#This Row],[GST applies?]] = "Yes", (AR[[#This Row],[Invoice value inc. VAT]] / 1 + AR[[#This Row],[GST %]]) * AR[[#This Row],[GST %]], 0)</f>
        <v>0</v>
      </c>
      <c r="J503" s="31">
        <f>_xlfn.XLOOKUP(AR[[#This Row],[Customer name]], Customer_master[Customer name], Customer_master[EOM or Net], 0)</f>
        <v>0</v>
      </c>
      <c r="K503" s="31">
        <f>_xlfn.XLOOKUP(AR[[#This Row],[Customer name]], Customer_master[Customer name], Customer_master[Terms days], 0)</f>
        <v>0</v>
      </c>
      <c r="L5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3" s="4"/>
      <c r="N503" s="46">
        <f>IF(AR[[#This Row],[Collection date - override (dd/mm/yyyy)]] &lt;&gt; "", AR[[#This Row],[Collection date - override (dd/mm/yyyy)]], AR[[#This Row],[Due date (dd/mm/yyyy)]])</f>
        <v>0</v>
      </c>
      <c r="O503" s="46">
        <f t="shared" si="7"/>
        <v>52</v>
      </c>
    </row>
    <row r="504" spans="3:15" x14ac:dyDescent="0.25">
      <c r="C504" s="28"/>
      <c r="D504" s="20"/>
      <c r="E504" s="4"/>
      <c r="F504" s="37"/>
      <c r="G504" s="24"/>
      <c r="H504" s="51">
        <f>Assumptions!$D$15</f>
        <v>0.1</v>
      </c>
      <c r="I504" s="45">
        <f>IF(AR[[#This Row],[GST applies?]] = "Yes", (AR[[#This Row],[Invoice value inc. VAT]] / 1 + AR[[#This Row],[GST %]]) * AR[[#This Row],[GST %]], 0)</f>
        <v>0</v>
      </c>
      <c r="J504" s="31">
        <f>_xlfn.XLOOKUP(AR[[#This Row],[Customer name]], Customer_master[Customer name], Customer_master[EOM or Net], 0)</f>
        <v>0</v>
      </c>
      <c r="K504" s="31">
        <f>_xlfn.XLOOKUP(AR[[#This Row],[Customer name]], Customer_master[Customer name], Customer_master[Terms days], 0)</f>
        <v>0</v>
      </c>
      <c r="L5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4" s="4"/>
      <c r="N504" s="46">
        <f>IF(AR[[#This Row],[Collection date - override (dd/mm/yyyy)]] &lt;&gt; "", AR[[#This Row],[Collection date - override (dd/mm/yyyy)]], AR[[#This Row],[Due date (dd/mm/yyyy)]])</f>
        <v>0</v>
      </c>
      <c r="O504" s="46">
        <f t="shared" si="7"/>
        <v>52</v>
      </c>
    </row>
    <row r="505" spans="3:15" x14ac:dyDescent="0.25">
      <c r="C505" s="28"/>
      <c r="D505" s="20"/>
      <c r="E505" s="4"/>
      <c r="F505" s="37"/>
      <c r="G505" s="24"/>
      <c r="H505" s="51">
        <f>Assumptions!$D$15</f>
        <v>0.1</v>
      </c>
      <c r="I505" s="45">
        <f>IF(AR[[#This Row],[GST applies?]] = "Yes", (AR[[#This Row],[Invoice value inc. VAT]] / 1 + AR[[#This Row],[GST %]]) * AR[[#This Row],[GST %]], 0)</f>
        <v>0</v>
      </c>
      <c r="J505" s="31">
        <f>_xlfn.XLOOKUP(AR[[#This Row],[Customer name]], Customer_master[Customer name], Customer_master[EOM or Net], 0)</f>
        <v>0</v>
      </c>
      <c r="K505" s="31">
        <f>_xlfn.XLOOKUP(AR[[#This Row],[Customer name]], Customer_master[Customer name], Customer_master[Terms days], 0)</f>
        <v>0</v>
      </c>
      <c r="L5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5" s="4"/>
      <c r="N505" s="46">
        <f>IF(AR[[#This Row],[Collection date - override (dd/mm/yyyy)]] &lt;&gt; "", AR[[#This Row],[Collection date - override (dd/mm/yyyy)]], AR[[#This Row],[Due date (dd/mm/yyyy)]])</f>
        <v>0</v>
      </c>
      <c r="O505" s="46">
        <f t="shared" si="7"/>
        <v>52</v>
      </c>
    </row>
    <row r="506" spans="3:15" x14ac:dyDescent="0.25">
      <c r="C506" s="28"/>
      <c r="D506" s="20"/>
      <c r="E506" s="4"/>
      <c r="F506" s="37"/>
      <c r="G506" s="24"/>
      <c r="H506" s="51">
        <f>Assumptions!$D$15</f>
        <v>0.1</v>
      </c>
      <c r="I506" s="45">
        <f>IF(AR[[#This Row],[GST applies?]] = "Yes", (AR[[#This Row],[Invoice value inc. VAT]] / 1 + AR[[#This Row],[GST %]]) * AR[[#This Row],[GST %]], 0)</f>
        <v>0</v>
      </c>
      <c r="J506" s="31">
        <f>_xlfn.XLOOKUP(AR[[#This Row],[Customer name]], Customer_master[Customer name], Customer_master[EOM or Net], 0)</f>
        <v>0</v>
      </c>
      <c r="K506" s="31">
        <f>_xlfn.XLOOKUP(AR[[#This Row],[Customer name]], Customer_master[Customer name], Customer_master[Terms days], 0)</f>
        <v>0</v>
      </c>
      <c r="L5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6" s="4"/>
      <c r="N506" s="46">
        <f>IF(AR[[#This Row],[Collection date - override (dd/mm/yyyy)]] &lt;&gt; "", AR[[#This Row],[Collection date - override (dd/mm/yyyy)]], AR[[#This Row],[Due date (dd/mm/yyyy)]])</f>
        <v>0</v>
      </c>
      <c r="O506" s="46">
        <f t="shared" si="7"/>
        <v>52</v>
      </c>
    </row>
    <row r="507" spans="3:15" x14ac:dyDescent="0.25">
      <c r="C507" s="28"/>
      <c r="D507" s="20"/>
      <c r="E507" s="4"/>
      <c r="F507" s="37"/>
      <c r="G507" s="24"/>
      <c r="H507" s="51">
        <f>Assumptions!$D$15</f>
        <v>0.1</v>
      </c>
      <c r="I507" s="45">
        <f>IF(AR[[#This Row],[GST applies?]] = "Yes", (AR[[#This Row],[Invoice value inc. VAT]] / 1 + AR[[#This Row],[GST %]]) * AR[[#This Row],[GST %]], 0)</f>
        <v>0</v>
      </c>
      <c r="J507" s="31">
        <f>_xlfn.XLOOKUP(AR[[#This Row],[Customer name]], Customer_master[Customer name], Customer_master[EOM or Net], 0)</f>
        <v>0</v>
      </c>
      <c r="K507" s="31">
        <f>_xlfn.XLOOKUP(AR[[#This Row],[Customer name]], Customer_master[Customer name], Customer_master[Terms days], 0)</f>
        <v>0</v>
      </c>
      <c r="L5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7" s="4"/>
      <c r="N507" s="46">
        <f>IF(AR[[#This Row],[Collection date - override (dd/mm/yyyy)]] &lt;&gt; "", AR[[#This Row],[Collection date - override (dd/mm/yyyy)]], AR[[#This Row],[Due date (dd/mm/yyyy)]])</f>
        <v>0</v>
      </c>
      <c r="O507" s="46">
        <f t="shared" si="7"/>
        <v>52</v>
      </c>
    </row>
    <row r="508" spans="3:15" x14ac:dyDescent="0.25">
      <c r="C508" s="28"/>
      <c r="D508" s="20"/>
      <c r="E508" s="4"/>
      <c r="F508" s="37"/>
      <c r="G508" s="24"/>
      <c r="H508" s="51">
        <f>Assumptions!$D$15</f>
        <v>0.1</v>
      </c>
      <c r="I508" s="45">
        <f>IF(AR[[#This Row],[GST applies?]] = "Yes", (AR[[#This Row],[Invoice value inc. VAT]] / 1 + AR[[#This Row],[GST %]]) * AR[[#This Row],[GST %]], 0)</f>
        <v>0</v>
      </c>
      <c r="J508" s="31">
        <f>_xlfn.XLOOKUP(AR[[#This Row],[Customer name]], Customer_master[Customer name], Customer_master[EOM or Net], 0)</f>
        <v>0</v>
      </c>
      <c r="K508" s="31">
        <f>_xlfn.XLOOKUP(AR[[#This Row],[Customer name]], Customer_master[Customer name], Customer_master[Terms days], 0)</f>
        <v>0</v>
      </c>
      <c r="L5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8" s="4"/>
      <c r="N508" s="46">
        <f>IF(AR[[#This Row],[Collection date - override (dd/mm/yyyy)]] &lt;&gt; "", AR[[#This Row],[Collection date - override (dd/mm/yyyy)]], AR[[#This Row],[Due date (dd/mm/yyyy)]])</f>
        <v>0</v>
      </c>
      <c r="O508" s="46">
        <f t="shared" si="7"/>
        <v>52</v>
      </c>
    </row>
    <row r="509" spans="3:15" x14ac:dyDescent="0.25">
      <c r="C509" s="28"/>
      <c r="D509" s="20"/>
      <c r="E509" s="4"/>
      <c r="F509" s="37"/>
      <c r="G509" s="24"/>
      <c r="H509" s="51">
        <f>Assumptions!$D$15</f>
        <v>0.1</v>
      </c>
      <c r="I509" s="45">
        <f>IF(AR[[#This Row],[GST applies?]] = "Yes", (AR[[#This Row],[Invoice value inc. VAT]] / 1 + AR[[#This Row],[GST %]]) * AR[[#This Row],[GST %]], 0)</f>
        <v>0</v>
      </c>
      <c r="J509" s="31">
        <f>_xlfn.XLOOKUP(AR[[#This Row],[Customer name]], Customer_master[Customer name], Customer_master[EOM or Net], 0)</f>
        <v>0</v>
      </c>
      <c r="K509" s="31">
        <f>_xlfn.XLOOKUP(AR[[#This Row],[Customer name]], Customer_master[Customer name], Customer_master[Terms days], 0)</f>
        <v>0</v>
      </c>
      <c r="L5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9" s="4"/>
      <c r="N509" s="46">
        <f>IF(AR[[#This Row],[Collection date - override (dd/mm/yyyy)]] &lt;&gt; "", AR[[#This Row],[Collection date - override (dd/mm/yyyy)]], AR[[#This Row],[Due date (dd/mm/yyyy)]])</f>
        <v>0</v>
      </c>
      <c r="O509" s="46">
        <f t="shared" si="7"/>
        <v>52</v>
      </c>
    </row>
    <row r="510" spans="3:15" x14ac:dyDescent="0.25">
      <c r="C510" s="28"/>
      <c r="D510" s="20"/>
      <c r="E510" s="4"/>
      <c r="F510" s="37"/>
      <c r="G510" s="24"/>
      <c r="H510" s="51">
        <f>Assumptions!$D$15</f>
        <v>0.1</v>
      </c>
      <c r="I510" s="45">
        <f>IF(AR[[#This Row],[GST applies?]] = "Yes", (AR[[#This Row],[Invoice value inc. VAT]] / 1 + AR[[#This Row],[GST %]]) * AR[[#This Row],[GST %]], 0)</f>
        <v>0</v>
      </c>
      <c r="J510" s="31">
        <f>_xlfn.XLOOKUP(AR[[#This Row],[Customer name]], Customer_master[Customer name], Customer_master[EOM or Net], 0)</f>
        <v>0</v>
      </c>
      <c r="K510" s="31">
        <f>_xlfn.XLOOKUP(AR[[#This Row],[Customer name]], Customer_master[Customer name], Customer_master[Terms days], 0)</f>
        <v>0</v>
      </c>
      <c r="L5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0" s="4"/>
      <c r="N510" s="46">
        <f>IF(AR[[#This Row],[Collection date - override (dd/mm/yyyy)]] &lt;&gt; "", AR[[#This Row],[Collection date - override (dd/mm/yyyy)]], AR[[#This Row],[Due date (dd/mm/yyyy)]])</f>
        <v>0</v>
      </c>
      <c r="O510" s="46">
        <f t="shared" si="7"/>
        <v>52</v>
      </c>
    </row>
    <row r="511" spans="3:15" x14ac:dyDescent="0.25">
      <c r="C511" s="28"/>
      <c r="D511" s="20"/>
      <c r="E511" s="4"/>
      <c r="F511" s="37"/>
      <c r="G511" s="24"/>
      <c r="H511" s="51">
        <f>Assumptions!$D$15</f>
        <v>0.1</v>
      </c>
      <c r="I511" s="45">
        <f>IF(AR[[#This Row],[GST applies?]] = "Yes", (AR[[#This Row],[Invoice value inc. VAT]] / 1 + AR[[#This Row],[GST %]]) * AR[[#This Row],[GST %]], 0)</f>
        <v>0</v>
      </c>
      <c r="J511" s="31">
        <f>_xlfn.XLOOKUP(AR[[#This Row],[Customer name]], Customer_master[Customer name], Customer_master[EOM or Net], 0)</f>
        <v>0</v>
      </c>
      <c r="K511" s="31">
        <f>_xlfn.XLOOKUP(AR[[#This Row],[Customer name]], Customer_master[Customer name], Customer_master[Terms days], 0)</f>
        <v>0</v>
      </c>
      <c r="L5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1" s="4"/>
      <c r="N511" s="46">
        <f>IF(AR[[#This Row],[Collection date - override (dd/mm/yyyy)]] &lt;&gt; "", AR[[#This Row],[Collection date - override (dd/mm/yyyy)]], AR[[#This Row],[Due date (dd/mm/yyyy)]])</f>
        <v>0</v>
      </c>
      <c r="O511" s="46">
        <f t="shared" si="7"/>
        <v>52</v>
      </c>
    </row>
    <row r="512" spans="3:15" x14ac:dyDescent="0.25">
      <c r="C512" s="28"/>
      <c r="D512" s="20"/>
      <c r="E512" s="4"/>
      <c r="F512" s="37"/>
      <c r="G512" s="24"/>
      <c r="H512" s="51">
        <f>Assumptions!$D$15</f>
        <v>0.1</v>
      </c>
      <c r="I512" s="45">
        <f>IF(AR[[#This Row],[GST applies?]] = "Yes", (AR[[#This Row],[Invoice value inc. VAT]] / 1 + AR[[#This Row],[GST %]]) * AR[[#This Row],[GST %]], 0)</f>
        <v>0</v>
      </c>
      <c r="J512" s="31">
        <f>_xlfn.XLOOKUP(AR[[#This Row],[Customer name]], Customer_master[Customer name], Customer_master[EOM or Net], 0)</f>
        <v>0</v>
      </c>
      <c r="K512" s="31">
        <f>_xlfn.XLOOKUP(AR[[#This Row],[Customer name]], Customer_master[Customer name], Customer_master[Terms days], 0)</f>
        <v>0</v>
      </c>
      <c r="L5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2" s="4"/>
      <c r="N512" s="46">
        <f>IF(AR[[#This Row],[Collection date - override (dd/mm/yyyy)]] &lt;&gt; "", AR[[#This Row],[Collection date - override (dd/mm/yyyy)]], AR[[#This Row],[Due date (dd/mm/yyyy)]])</f>
        <v>0</v>
      </c>
      <c r="O512" s="46">
        <f t="shared" si="7"/>
        <v>52</v>
      </c>
    </row>
    <row r="513" spans="3:15" x14ac:dyDescent="0.25">
      <c r="C513" s="28"/>
      <c r="D513" s="20"/>
      <c r="E513" s="4"/>
      <c r="F513" s="37"/>
      <c r="G513" s="24"/>
      <c r="H513" s="51">
        <f>Assumptions!$D$15</f>
        <v>0.1</v>
      </c>
      <c r="I513" s="45">
        <f>IF(AR[[#This Row],[GST applies?]] = "Yes", (AR[[#This Row],[Invoice value inc. VAT]] / 1 + AR[[#This Row],[GST %]]) * AR[[#This Row],[GST %]], 0)</f>
        <v>0</v>
      </c>
      <c r="J513" s="31">
        <f>_xlfn.XLOOKUP(AR[[#This Row],[Customer name]], Customer_master[Customer name], Customer_master[EOM or Net], 0)</f>
        <v>0</v>
      </c>
      <c r="K513" s="31">
        <f>_xlfn.XLOOKUP(AR[[#This Row],[Customer name]], Customer_master[Customer name], Customer_master[Terms days], 0)</f>
        <v>0</v>
      </c>
      <c r="L5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3" s="4"/>
      <c r="N513" s="46">
        <f>IF(AR[[#This Row],[Collection date - override (dd/mm/yyyy)]] &lt;&gt; "", AR[[#This Row],[Collection date - override (dd/mm/yyyy)]], AR[[#This Row],[Due date (dd/mm/yyyy)]])</f>
        <v>0</v>
      </c>
      <c r="O513" s="46">
        <f t="shared" si="7"/>
        <v>52</v>
      </c>
    </row>
    <row r="514" spans="3:15" x14ac:dyDescent="0.25">
      <c r="C514" s="28"/>
      <c r="D514" s="20"/>
      <c r="E514" s="4"/>
      <c r="F514" s="37"/>
      <c r="G514" s="24"/>
      <c r="H514" s="51">
        <f>Assumptions!$D$15</f>
        <v>0.1</v>
      </c>
      <c r="I514" s="45">
        <f>IF(AR[[#This Row],[GST applies?]] = "Yes", (AR[[#This Row],[Invoice value inc. VAT]] / 1 + AR[[#This Row],[GST %]]) * AR[[#This Row],[GST %]], 0)</f>
        <v>0</v>
      </c>
      <c r="J514" s="31">
        <f>_xlfn.XLOOKUP(AR[[#This Row],[Customer name]], Customer_master[Customer name], Customer_master[EOM or Net], 0)</f>
        <v>0</v>
      </c>
      <c r="K514" s="31">
        <f>_xlfn.XLOOKUP(AR[[#This Row],[Customer name]], Customer_master[Customer name], Customer_master[Terms days], 0)</f>
        <v>0</v>
      </c>
      <c r="L5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4" s="4"/>
      <c r="N514" s="46">
        <f>IF(AR[[#This Row],[Collection date - override (dd/mm/yyyy)]] &lt;&gt; "", AR[[#This Row],[Collection date - override (dd/mm/yyyy)]], AR[[#This Row],[Due date (dd/mm/yyyy)]])</f>
        <v>0</v>
      </c>
      <c r="O514" s="46">
        <f t="shared" si="7"/>
        <v>52</v>
      </c>
    </row>
    <row r="515" spans="3:15" x14ac:dyDescent="0.25">
      <c r="C515" s="28"/>
      <c r="D515" s="20"/>
      <c r="E515" s="4"/>
      <c r="F515" s="37"/>
      <c r="G515" s="24"/>
      <c r="H515" s="51">
        <f>Assumptions!$D$15</f>
        <v>0.1</v>
      </c>
      <c r="I515" s="45">
        <f>IF(AR[[#This Row],[GST applies?]] = "Yes", (AR[[#This Row],[Invoice value inc. VAT]] / 1 + AR[[#This Row],[GST %]]) * AR[[#This Row],[GST %]], 0)</f>
        <v>0</v>
      </c>
      <c r="J515" s="31">
        <f>_xlfn.XLOOKUP(AR[[#This Row],[Customer name]], Customer_master[Customer name], Customer_master[EOM or Net], 0)</f>
        <v>0</v>
      </c>
      <c r="K515" s="31">
        <f>_xlfn.XLOOKUP(AR[[#This Row],[Customer name]], Customer_master[Customer name], Customer_master[Terms days], 0)</f>
        <v>0</v>
      </c>
      <c r="L5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5" s="4"/>
      <c r="N515" s="46">
        <f>IF(AR[[#This Row],[Collection date - override (dd/mm/yyyy)]] &lt;&gt; "", AR[[#This Row],[Collection date - override (dd/mm/yyyy)]], AR[[#This Row],[Due date (dd/mm/yyyy)]])</f>
        <v>0</v>
      </c>
      <c r="O515" s="46">
        <f t="shared" si="7"/>
        <v>52</v>
      </c>
    </row>
    <row r="516" spans="3:15" x14ac:dyDescent="0.25">
      <c r="C516" s="28"/>
      <c r="D516" s="20"/>
      <c r="E516" s="4"/>
      <c r="F516" s="37"/>
      <c r="G516" s="24"/>
      <c r="H516" s="51">
        <f>Assumptions!$D$15</f>
        <v>0.1</v>
      </c>
      <c r="I516" s="45">
        <f>IF(AR[[#This Row],[GST applies?]] = "Yes", (AR[[#This Row],[Invoice value inc. VAT]] / 1 + AR[[#This Row],[GST %]]) * AR[[#This Row],[GST %]], 0)</f>
        <v>0</v>
      </c>
      <c r="J516" s="31">
        <f>_xlfn.XLOOKUP(AR[[#This Row],[Customer name]], Customer_master[Customer name], Customer_master[EOM or Net], 0)</f>
        <v>0</v>
      </c>
      <c r="K516" s="31">
        <f>_xlfn.XLOOKUP(AR[[#This Row],[Customer name]], Customer_master[Customer name], Customer_master[Terms days], 0)</f>
        <v>0</v>
      </c>
      <c r="L5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6" s="4"/>
      <c r="N516" s="46">
        <f>IF(AR[[#This Row],[Collection date - override (dd/mm/yyyy)]] &lt;&gt; "", AR[[#This Row],[Collection date - override (dd/mm/yyyy)]], AR[[#This Row],[Due date (dd/mm/yyyy)]])</f>
        <v>0</v>
      </c>
      <c r="O516" s="46">
        <f t="shared" si="7"/>
        <v>52</v>
      </c>
    </row>
    <row r="517" spans="3:15" x14ac:dyDescent="0.25">
      <c r="C517" s="28"/>
      <c r="D517" s="20"/>
      <c r="E517" s="4"/>
      <c r="F517" s="37"/>
      <c r="G517" s="24"/>
      <c r="H517" s="51">
        <f>Assumptions!$D$15</f>
        <v>0.1</v>
      </c>
      <c r="I517" s="45">
        <f>IF(AR[[#This Row],[GST applies?]] = "Yes", (AR[[#This Row],[Invoice value inc. VAT]] / 1 + AR[[#This Row],[GST %]]) * AR[[#This Row],[GST %]], 0)</f>
        <v>0</v>
      </c>
      <c r="J517" s="31">
        <f>_xlfn.XLOOKUP(AR[[#This Row],[Customer name]], Customer_master[Customer name], Customer_master[EOM or Net], 0)</f>
        <v>0</v>
      </c>
      <c r="K517" s="31">
        <f>_xlfn.XLOOKUP(AR[[#This Row],[Customer name]], Customer_master[Customer name], Customer_master[Terms days], 0)</f>
        <v>0</v>
      </c>
      <c r="L5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7" s="4"/>
      <c r="N517" s="46">
        <f>IF(AR[[#This Row],[Collection date - override (dd/mm/yyyy)]] &lt;&gt; "", AR[[#This Row],[Collection date - override (dd/mm/yyyy)]], AR[[#This Row],[Due date (dd/mm/yyyy)]])</f>
        <v>0</v>
      </c>
      <c r="O517" s="46">
        <f t="shared" si="7"/>
        <v>52</v>
      </c>
    </row>
    <row r="518" spans="3:15" x14ac:dyDescent="0.25">
      <c r="C518" s="28"/>
      <c r="D518" s="20"/>
      <c r="E518" s="4"/>
      <c r="F518" s="37"/>
      <c r="G518" s="24"/>
      <c r="H518" s="51">
        <f>Assumptions!$D$15</f>
        <v>0.1</v>
      </c>
      <c r="I518" s="45">
        <f>IF(AR[[#This Row],[GST applies?]] = "Yes", (AR[[#This Row],[Invoice value inc. VAT]] / 1 + AR[[#This Row],[GST %]]) * AR[[#This Row],[GST %]], 0)</f>
        <v>0</v>
      </c>
      <c r="J518" s="31">
        <f>_xlfn.XLOOKUP(AR[[#This Row],[Customer name]], Customer_master[Customer name], Customer_master[EOM or Net], 0)</f>
        <v>0</v>
      </c>
      <c r="K518" s="31">
        <f>_xlfn.XLOOKUP(AR[[#This Row],[Customer name]], Customer_master[Customer name], Customer_master[Terms days], 0)</f>
        <v>0</v>
      </c>
      <c r="L5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8" s="4"/>
      <c r="N518" s="46">
        <f>IF(AR[[#This Row],[Collection date - override (dd/mm/yyyy)]] &lt;&gt; "", AR[[#This Row],[Collection date - override (dd/mm/yyyy)]], AR[[#This Row],[Due date (dd/mm/yyyy)]])</f>
        <v>0</v>
      </c>
      <c r="O518" s="46">
        <f t="shared" si="7"/>
        <v>52</v>
      </c>
    </row>
    <row r="519" spans="3:15" x14ac:dyDescent="0.25">
      <c r="C519" s="28"/>
      <c r="D519" s="20"/>
      <c r="E519" s="4"/>
      <c r="F519" s="37"/>
      <c r="G519" s="24"/>
      <c r="H519" s="51">
        <f>Assumptions!$D$15</f>
        <v>0.1</v>
      </c>
      <c r="I519" s="45">
        <f>IF(AR[[#This Row],[GST applies?]] = "Yes", (AR[[#This Row],[Invoice value inc. VAT]] / 1 + AR[[#This Row],[GST %]]) * AR[[#This Row],[GST %]], 0)</f>
        <v>0</v>
      </c>
      <c r="J519" s="31">
        <f>_xlfn.XLOOKUP(AR[[#This Row],[Customer name]], Customer_master[Customer name], Customer_master[EOM or Net], 0)</f>
        <v>0</v>
      </c>
      <c r="K519" s="31">
        <f>_xlfn.XLOOKUP(AR[[#This Row],[Customer name]], Customer_master[Customer name], Customer_master[Terms days], 0)</f>
        <v>0</v>
      </c>
      <c r="L5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9" s="4"/>
      <c r="N519" s="46">
        <f>IF(AR[[#This Row],[Collection date - override (dd/mm/yyyy)]] &lt;&gt; "", AR[[#This Row],[Collection date - override (dd/mm/yyyy)]], AR[[#This Row],[Due date (dd/mm/yyyy)]])</f>
        <v>0</v>
      </c>
      <c r="O519" s="46">
        <f t="shared" si="7"/>
        <v>52</v>
      </c>
    </row>
    <row r="520" spans="3:15" x14ac:dyDescent="0.25">
      <c r="C520" s="28"/>
      <c r="D520" s="20"/>
      <c r="E520" s="4"/>
      <c r="F520" s="37"/>
      <c r="G520" s="24"/>
      <c r="H520" s="51">
        <f>Assumptions!$D$15</f>
        <v>0.1</v>
      </c>
      <c r="I520" s="45">
        <f>IF(AR[[#This Row],[GST applies?]] = "Yes", (AR[[#This Row],[Invoice value inc. VAT]] / 1 + AR[[#This Row],[GST %]]) * AR[[#This Row],[GST %]], 0)</f>
        <v>0</v>
      </c>
      <c r="J520" s="31">
        <f>_xlfn.XLOOKUP(AR[[#This Row],[Customer name]], Customer_master[Customer name], Customer_master[EOM or Net], 0)</f>
        <v>0</v>
      </c>
      <c r="K520" s="31">
        <f>_xlfn.XLOOKUP(AR[[#This Row],[Customer name]], Customer_master[Customer name], Customer_master[Terms days], 0)</f>
        <v>0</v>
      </c>
      <c r="L5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0" s="4"/>
      <c r="N520" s="46">
        <f>IF(AR[[#This Row],[Collection date - override (dd/mm/yyyy)]] &lt;&gt; "", AR[[#This Row],[Collection date - override (dd/mm/yyyy)]], AR[[#This Row],[Due date (dd/mm/yyyy)]])</f>
        <v>0</v>
      </c>
      <c r="O520" s="46">
        <f t="shared" si="7"/>
        <v>52</v>
      </c>
    </row>
    <row r="521" spans="3:15" x14ac:dyDescent="0.25">
      <c r="C521" s="28"/>
      <c r="D521" s="20"/>
      <c r="E521" s="4"/>
      <c r="F521" s="37"/>
      <c r="G521" s="24"/>
      <c r="H521" s="51">
        <f>Assumptions!$D$15</f>
        <v>0.1</v>
      </c>
      <c r="I521" s="45">
        <f>IF(AR[[#This Row],[GST applies?]] = "Yes", (AR[[#This Row],[Invoice value inc. VAT]] / 1 + AR[[#This Row],[GST %]]) * AR[[#This Row],[GST %]], 0)</f>
        <v>0</v>
      </c>
      <c r="J521" s="31">
        <f>_xlfn.XLOOKUP(AR[[#This Row],[Customer name]], Customer_master[Customer name], Customer_master[EOM or Net], 0)</f>
        <v>0</v>
      </c>
      <c r="K521" s="31">
        <f>_xlfn.XLOOKUP(AR[[#This Row],[Customer name]], Customer_master[Customer name], Customer_master[Terms days], 0)</f>
        <v>0</v>
      </c>
      <c r="L5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1" s="4"/>
      <c r="N521" s="46">
        <f>IF(AR[[#This Row],[Collection date - override (dd/mm/yyyy)]] &lt;&gt; "", AR[[#This Row],[Collection date - override (dd/mm/yyyy)]], AR[[#This Row],[Due date (dd/mm/yyyy)]])</f>
        <v>0</v>
      </c>
      <c r="O521" s="46">
        <f t="shared" ref="O521:O584" si="8">IF(GST_Freq="Monthly",
    DATE(YEAR(E521), MONTH(E521) + 1, 21),
    IF(GST_Freq="Quarterly",
        IF(MOD(MONTH(E521) + 2 - MOD(MOD(MONTH(E521) - GST_First_Month, 12), 3), 12) = 0,
            DATE(YEAR(E521), MONTH(E521) + 4 - MOD(MOD(MONTH(E521) - GST_First_Month, 12), 3), 28),
            DATE(YEAR(E521), MONTH(E521) + 3 - MOD(MOD(MONTH(E521) - GST_First_Month, 12), 3), 28)
        ),
        "Invalid frequency"
    )
)</f>
        <v>52</v>
      </c>
    </row>
    <row r="522" spans="3:15" x14ac:dyDescent="0.25">
      <c r="C522" s="28"/>
      <c r="D522" s="20"/>
      <c r="E522" s="4"/>
      <c r="F522" s="37"/>
      <c r="G522" s="24"/>
      <c r="H522" s="51">
        <f>Assumptions!$D$15</f>
        <v>0.1</v>
      </c>
      <c r="I522" s="45">
        <f>IF(AR[[#This Row],[GST applies?]] = "Yes", (AR[[#This Row],[Invoice value inc. VAT]] / 1 + AR[[#This Row],[GST %]]) * AR[[#This Row],[GST %]], 0)</f>
        <v>0</v>
      </c>
      <c r="J522" s="31">
        <f>_xlfn.XLOOKUP(AR[[#This Row],[Customer name]], Customer_master[Customer name], Customer_master[EOM or Net], 0)</f>
        <v>0</v>
      </c>
      <c r="K522" s="31">
        <f>_xlfn.XLOOKUP(AR[[#This Row],[Customer name]], Customer_master[Customer name], Customer_master[Terms days], 0)</f>
        <v>0</v>
      </c>
      <c r="L5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2" s="4"/>
      <c r="N522" s="46">
        <f>IF(AR[[#This Row],[Collection date - override (dd/mm/yyyy)]] &lt;&gt; "", AR[[#This Row],[Collection date - override (dd/mm/yyyy)]], AR[[#This Row],[Due date (dd/mm/yyyy)]])</f>
        <v>0</v>
      </c>
      <c r="O522" s="46">
        <f t="shared" si="8"/>
        <v>52</v>
      </c>
    </row>
    <row r="523" spans="3:15" x14ac:dyDescent="0.25">
      <c r="C523" s="28"/>
      <c r="D523" s="20"/>
      <c r="E523" s="4"/>
      <c r="F523" s="37"/>
      <c r="G523" s="24"/>
      <c r="H523" s="51">
        <f>Assumptions!$D$15</f>
        <v>0.1</v>
      </c>
      <c r="I523" s="45">
        <f>IF(AR[[#This Row],[GST applies?]] = "Yes", (AR[[#This Row],[Invoice value inc. VAT]] / 1 + AR[[#This Row],[GST %]]) * AR[[#This Row],[GST %]], 0)</f>
        <v>0</v>
      </c>
      <c r="J523" s="31">
        <f>_xlfn.XLOOKUP(AR[[#This Row],[Customer name]], Customer_master[Customer name], Customer_master[EOM or Net], 0)</f>
        <v>0</v>
      </c>
      <c r="K523" s="31">
        <f>_xlfn.XLOOKUP(AR[[#This Row],[Customer name]], Customer_master[Customer name], Customer_master[Terms days], 0)</f>
        <v>0</v>
      </c>
      <c r="L5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3" s="4"/>
      <c r="N523" s="46">
        <f>IF(AR[[#This Row],[Collection date - override (dd/mm/yyyy)]] &lt;&gt; "", AR[[#This Row],[Collection date - override (dd/mm/yyyy)]], AR[[#This Row],[Due date (dd/mm/yyyy)]])</f>
        <v>0</v>
      </c>
      <c r="O523" s="46">
        <f t="shared" si="8"/>
        <v>52</v>
      </c>
    </row>
    <row r="524" spans="3:15" x14ac:dyDescent="0.25">
      <c r="C524" s="28"/>
      <c r="D524" s="20"/>
      <c r="E524" s="4"/>
      <c r="F524" s="37"/>
      <c r="G524" s="24"/>
      <c r="H524" s="51">
        <f>Assumptions!$D$15</f>
        <v>0.1</v>
      </c>
      <c r="I524" s="45">
        <f>IF(AR[[#This Row],[GST applies?]] = "Yes", (AR[[#This Row],[Invoice value inc. VAT]] / 1 + AR[[#This Row],[GST %]]) * AR[[#This Row],[GST %]], 0)</f>
        <v>0</v>
      </c>
      <c r="J524" s="31">
        <f>_xlfn.XLOOKUP(AR[[#This Row],[Customer name]], Customer_master[Customer name], Customer_master[EOM or Net], 0)</f>
        <v>0</v>
      </c>
      <c r="K524" s="31">
        <f>_xlfn.XLOOKUP(AR[[#This Row],[Customer name]], Customer_master[Customer name], Customer_master[Terms days], 0)</f>
        <v>0</v>
      </c>
      <c r="L5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4" s="4"/>
      <c r="N524" s="46">
        <f>IF(AR[[#This Row],[Collection date - override (dd/mm/yyyy)]] &lt;&gt; "", AR[[#This Row],[Collection date - override (dd/mm/yyyy)]], AR[[#This Row],[Due date (dd/mm/yyyy)]])</f>
        <v>0</v>
      </c>
      <c r="O524" s="46">
        <f t="shared" si="8"/>
        <v>52</v>
      </c>
    </row>
    <row r="525" spans="3:15" x14ac:dyDescent="0.25">
      <c r="C525" s="28"/>
      <c r="D525" s="20"/>
      <c r="E525" s="4"/>
      <c r="F525" s="37"/>
      <c r="G525" s="24"/>
      <c r="H525" s="51">
        <f>Assumptions!$D$15</f>
        <v>0.1</v>
      </c>
      <c r="I525" s="45">
        <f>IF(AR[[#This Row],[GST applies?]] = "Yes", (AR[[#This Row],[Invoice value inc. VAT]] / 1 + AR[[#This Row],[GST %]]) * AR[[#This Row],[GST %]], 0)</f>
        <v>0</v>
      </c>
      <c r="J525" s="31">
        <f>_xlfn.XLOOKUP(AR[[#This Row],[Customer name]], Customer_master[Customer name], Customer_master[EOM or Net], 0)</f>
        <v>0</v>
      </c>
      <c r="K525" s="31">
        <f>_xlfn.XLOOKUP(AR[[#This Row],[Customer name]], Customer_master[Customer name], Customer_master[Terms days], 0)</f>
        <v>0</v>
      </c>
      <c r="L5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5" s="4"/>
      <c r="N525" s="46">
        <f>IF(AR[[#This Row],[Collection date - override (dd/mm/yyyy)]] &lt;&gt; "", AR[[#This Row],[Collection date - override (dd/mm/yyyy)]], AR[[#This Row],[Due date (dd/mm/yyyy)]])</f>
        <v>0</v>
      </c>
      <c r="O525" s="46">
        <f t="shared" si="8"/>
        <v>52</v>
      </c>
    </row>
    <row r="526" spans="3:15" x14ac:dyDescent="0.25">
      <c r="C526" s="28"/>
      <c r="D526" s="20"/>
      <c r="E526" s="4"/>
      <c r="F526" s="37"/>
      <c r="G526" s="24"/>
      <c r="H526" s="51">
        <f>Assumptions!$D$15</f>
        <v>0.1</v>
      </c>
      <c r="I526" s="45">
        <f>IF(AR[[#This Row],[GST applies?]] = "Yes", (AR[[#This Row],[Invoice value inc. VAT]] / 1 + AR[[#This Row],[GST %]]) * AR[[#This Row],[GST %]], 0)</f>
        <v>0</v>
      </c>
      <c r="J526" s="31">
        <f>_xlfn.XLOOKUP(AR[[#This Row],[Customer name]], Customer_master[Customer name], Customer_master[EOM or Net], 0)</f>
        <v>0</v>
      </c>
      <c r="K526" s="31">
        <f>_xlfn.XLOOKUP(AR[[#This Row],[Customer name]], Customer_master[Customer name], Customer_master[Terms days], 0)</f>
        <v>0</v>
      </c>
      <c r="L5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6" s="4"/>
      <c r="N526" s="46">
        <f>IF(AR[[#This Row],[Collection date - override (dd/mm/yyyy)]] &lt;&gt; "", AR[[#This Row],[Collection date - override (dd/mm/yyyy)]], AR[[#This Row],[Due date (dd/mm/yyyy)]])</f>
        <v>0</v>
      </c>
      <c r="O526" s="46">
        <f t="shared" si="8"/>
        <v>52</v>
      </c>
    </row>
    <row r="527" spans="3:15" x14ac:dyDescent="0.25">
      <c r="C527" s="28"/>
      <c r="D527" s="20"/>
      <c r="E527" s="4"/>
      <c r="F527" s="37"/>
      <c r="G527" s="24"/>
      <c r="H527" s="51">
        <f>Assumptions!$D$15</f>
        <v>0.1</v>
      </c>
      <c r="I527" s="45">
        <f>IF(AR[[#This Row],[GST applies?]] = "Yes", (AR[[#This Row],[Invoice value inc. VAT]] / 1 + AR[[#This Row],[GST %]]) * AR[[#This Row],[GST %]], 0)</f>
        <v>0</v>
      </c>
      <c r="J527" s="31">
        <f>_xlfn.XLOOKUP(AR[[#This Row],[Customer name]], Customer_master[Customer name], Customer_master[EOM or Net], 0)</f>
        <v>0</v>
      </c>
      <c r="K527" s="31">
        <f>_xlfn.XLOOKUP(AR[[#This Row],[Customer name]], Customer_master[Customer name], Customer_master[Terms days], 0)</f>
        <v>0</v>
      </c>
      <c r="L5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7" s="4"/>
      <c r="N527" s="46">
        <f>IF(AR[[#This Row],[Collection date - override (dd/mm/yyyy)]] &lt;&gt; "", AR[[#This Row],[Collection date - override (dd/mm/yyyy)]], AR[[#This Row],[Due date (dd/mm/yyyy)]])</f>
        <v>0</v>
      </c>
      <c r="O527" s="46">
        <f t="shared" si="8"/>
        <v>52</v>
      </c>
    </row>
    <row r="528" spans="3:15" x14ac:dyDescent="0.25">
      <c r="C528" s="28"/>
      <c r="D528" s="20"/>
      <c r="E528" s="4"/>
      <c r="F528" s="37"/>
      <c r="G528" s="24"/>
      <c r="H528" s="51">
        <f>Assumptions!$D$15</f>
        <v>0.1</v>
      </c>
      <c r="I528" s="45">
        <f>IF(AR[[#This Row],[GST applies?]] = "Yes", (AR[[#This Row],[Invoice value inc. VAT]] / 1 + AR[[#This Row],[GST %]]) * AR[[#This Row],[GST %]], 0)</f>
        <v>0</v>
      </c>
      <c r="J528" s="31">
        <f>_xlfn.XLOOKUP(AR[[#This Row],[Customer name]], Customer_master[Customer name], Customer_master[EOM or Net], 0)</f>
        <v>0</v>
      </c>
      <c r="K528" s="31">
        <f>_xlfn.XLOOKUP(AR[[#This Row],[Customer name]], Customer_master[Customer name], Customer_master[Terms days], 0)</f>
        <v>0</v>
      </c>
      <c r="L5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8" s="4"/>
      <c r="N528" s="46">
        <f>IF(AR[[#This Row],[Collection date - override (dd/mm/yyyy)]] &lt;&gt; "", AR[[#This Row],[Collection date - override (dd/mm/yyyy)]], AR[[#This Row],[Due date (dd/mm/yyyy)]])</f>
        <v>0</v>
      </c>
      <c r="O528" s="46">
        <f t="shared" si="8"/>
        <v>52</v>
      </c>
    </row>
    <row r="529" spans="3:15" x14ac:dyDescent="0.25">
      <c r="C529" s="28"/>
      <c r="D529" s="20"/>
      <c r="E529" s="4"/>
      <c r="F529" s="37"/>
      <c r="G529" s="24"/>
      <c r="H529" s="51">
        <f>Assumptions!$D$15</f>
        <v>0.1</v>
      </c>
      <c r="I529" s="45">
        <f>IF(AR[[#This Row],[GST applies?]] = "Yes", (AR[[#This Row],[Invoice value inc. VAT]] / 1 + AR[[#This Row],[GST %]]) * AR[[#This Row],[GST %]], 0)</f>
        <v>0</v>
      </c>
      <c r="J529" s="31">
        <f>_xlfn.XLOOKUP(AR[[#This Row],[Customer name]], Customer_master[Customer name], Customer_master[EOM or Net], 0)</f>
        <v>0</v>
      </c>
      <c r="K529" s="31">
        <f>_xlfn.XLOOKUP(AR[[#This Row],[Customer name]], Customer_master[Customer name], Customer_master[Terms days], 0)</f>
        <v>0</v>
      </c>
      <c r="L5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9" s="4"/>
      <c r="N529" s="46">
        <f>IF(AR[[#This Row],[Collection date - override (dd/mm/yyyy)]] &lt;&gt; "", AR[[#This Row],[Collection date - override (dd/mm/yyyy)]], AR[[#This Row],[Due date (dd/mm/yyyy)]])</f>
        <v>0</v>
      </c>
      <c r="O529" s="46">
        <f t="shared" si="8"/>
        <v>52</v>
      </c>
    </row>
    <row r="530" spans="3:15" x14ac:dyDescent="0.25">
      <c r="C530" s="28"/>
      <c r="D530" s="20"/>
      <c r="E530" s="4"/>
      <c r="F530" s="37"/>
      <c r="G530" s="24"/>
      <c r="H530" s="51">
        <f>Assumptions!$D$15</f>
        <v>0.1</v>
      </c>
      <c r="I530" s="45">
        <f>IF(AR[[#This Row],[GST applies?]] = "Yes", (AR[[#This Row],[Invoice value inc. VAT]] / 1 + AR[[#This Row],[GST %]]) * AR[[#This Row],[GST %]], 0)</f>
        <v>0</v>
      </c>
      <c r="J530" s="31">
        <f>_xlfn.XLOOKUP(AR[[#This Row],[Customer name]], Customer_master[Customer name], Customer_master[EOM or Net], 0)</f>
        <v>0</v>
      </c>
      <c r="K530" s="31">
        <f>_xlfn.XLOOKUP(AR[[#This Row],[Customer name]], Customer_master[Customer name], Customer_master[Terms days], 0)</f>
        <v>0</v>
      </c>
      <c r="L5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0" s="4"/>
      <c r="N530" s="46">
        <f>IF(AR[[#This Row],[Collection date - override (dd/mm/yyyy)]] &lt;&gt; "", AR[[#This Row],[Collection date - override (dd/mm/yyyy)]], AR[[#This Row],[Due date (dd/mm/yyyy)]])</f>
        <v>0</v>
      </c>
      <c r="O530" s="46">
        <f t="shared" si="8"/>
        <v>52</v>
      </c>
    </row>
    <row r="531" spans="3:15" x14ac:dyDescent="0.25">
      <c r="C531" s="28"/>
      <c r="D531" s="20"/>
      <c r="E531" s="4"/>
      <c r="F531" s="37"/>
      <c r="G531" s="24"/>
      <c r="H531" s="51">
        <f>Assumptions!$D$15</f>
        <v>0.1</v>
      </c>
      <c r="I531" s="45">
        <f>IF(AR[[#This Row],[GST applies?]] = "Yes", (AR[[#This Row],[Invoice value inc. VAT]] / 1 + AR[[#This Row],[GST %]]) * AR[[#This Row],[GST %]], 0)</f>
        <v>0</v>
      </c>
      <c r="J531" s="31">
        <f>_xlfn.XLOOKUP(AR[[#This Row],[Customer name]], Customer_master[Customer name], Customer_master[EOM or Net], 0)</f>
        <v>0</v>
      </c>
      <c r="K531" s="31">
        <f>_xlfn.XLOOKUP(AR[[#This Row],[Customer name]], Customer_master[Customer name], Customer_master[Terms days], 0)</f>
        <v>0</v>
      </c>
      <c r="L5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1" s="4"/>
      <c r="N531" s="46">
        <f>IF(AR[[#This Row],[Collection date - override (dd/mm/yyyy)]] &lt;&gt; "", AR[[#This Row],[Collection date - override (dd/mm/yyyy)]], AR[[#This Row],[Due date (dd/mm/yyyy)]])</f>
        <v>0</v>
      </c>
      <c r="O531" s="46">
        <f t="shared" si="8"/>
        <v>52</v>
      </c>
    </row>
    <row r="532" spans="3:15" x14ac:dyDescent="0.25">
      <c r="C532" s="28"/>
      <c r="D532" s="20"/>
      <c r="E532" s="4"/>
      <c r="F532" s="37"/>
      <c r="G532" s="24"/>
      <c r="H532" s="51">
        <f>Assumptions!$D$15</f>
        <v>0.1</v>
      </c>
      <c r="I532" s="45">
        <f>IF(AR[[#This Row],[GST applies?]] = "Yes", (AR[[#This Row],[Invoice value inc. VAT]] / 1 + AR[[#This Row],[GST %]]) * AR[[#This Row],[GST %]], 0)</f>
        <v>0</v>
      </c>
      <c r="J532" s="31">
        <f>_xlfn.XLOOKUP(AR[[#This Row],[Customer name]], Customer_master[Customer name], Customer_master[EOM or Net], 0)</f>
        <v>0</v>
      </c>
      <c r="K532" s="31">
        <f>_xlfn.XLOOKUP(AR[[#This Row],[Customer name]], Customer_master[Customer name], Customer_master[Terms days], 0)</f>
        <v>0</v>
      </c>
      <c r="L5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2" s="4"/>
      <c r="N532" s="46">
        <f>IF(AR[[#This Row],[Collection date - override (dd/mm/yyyy)]] &lt;&gt; "", AR[[#This Row],[Collection date - override (dd/mm/yyyy)]], AR[[#This Row],[Due date (dd/mm/yyyy)]])</f>
        <v>0</v>
      </c>
      <c r="O532" s="46">
        <f t="shared" si="8"/>
        <v>52</v>
      </c>
    </row>
    <row r="533" spans="3:15" x14ac:dyDescent="0.25">
      <c r="C533" s="28"/>
      <c r="D533" s="20"/>
      <c r="E533" s="4"/>
      <c r="F533" s="37"/>
      <c r="G533" s="24"/>
      <c r="H533" s="51">
        <f>Assumptions!$D$15</f>
        <v>0.1</v>
      </c>
      <c r="I533" s="45">
        <f>IF(AR[[#This Row],[GST applies?]] = "Yes", (AR[[#This Row],[Invoice value inc. VAT]] / 1 + AR[[#This Row],[GST %]]) * AR[[#This Row],[GST %]], 0)</f>
        <v>0</v>
      </c>
      <c r="J533" s="31">
        <f>_xlfn.XLOOKUP(AR[[#This Row],[Customer name]], Customer_master[Customer name], Customer_master[EOM or Net], 0)</f>
        <v>0</v>
      </c>
      <c r="K533" s="31">
        <f>_xlfn.XLOOKUP(AR[[#This Row],[Customer name]], Customer_master[Customer name], Customer_master[Terms days], 0)</f>
        <v>0</v>
      </c>
      <c r="L5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3" s="4"/>
      <c r="N533" s="46">
        <f>IF(AR[[#This Row],[Collection date - override (dd/mm/yyyy)]] &lt;&gt; "", AR[[#This Row],[Collection date - override (dd/mm/yyyy)]], AR[[#This Row],[Due date (dd/mm/yyyy)]])</f>
        <v>0</v>
      </c>
      <c r="O533" s="46">
        <f t="shared" si="8"/>
        <v>52</v>
      </c>
    </row>
    <row r="534" spans="3:15" x14ac:dyDescent="0.25">
      <c r="C534" s="28"/>
      <c r="D534" s="20"/>
      <c r="E534" s="4"/>
      <c r="F534" s="37"/>
      <c r="G534" s="24"/>
      <c r="H534" s="51">
        <f>Assumptions!$D$15</f>
        <v>0.1</v>
      </c>
      <c r="I534" s="45">
        <f>IF(AR[[#This Row],[GST applies?]] = "Yes", (AR[[#This Row],[Invoice value inc. VAT]] / 1 + AR[[#This Row],[GST %]]) * AR[[#This Row],[GST %]], 0)</f>
        <v>0</v>
      </c>
      <c r="J534" s="31">
        <f>_xlfn.XLOOKUP(AR[[#This Row],[Customer name]], Customer_master[Customer name], Customer_master[EOM or Net], 0)</f>
        <v>0</v>
      </c>
      <c r="K534" s="31">
        <f>_xlfn.XLOOKUP(AR[[#This Row],[Customer name]], Customer_master[Customer name], Customer_master[Terms days], 0)</f>
        <v>0</v>
      </c>
      <c r="L5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4" s="4"/>
      <c r="N534" s="46">
        <f>IF(AR[[#This Row],[Collection date - override (dd/mm/yyyy)]] &lt;&gt; "", AR[[#This Row],[Collection date - override (dd/mm/yyyy)]], AR[[#This Row],[Due date (dd/mm/yyyy)]])</f>
        <v>0</v>
      </c>
      <c r="O534" s="46">
        <f t="shared" si="8"/>
        <v>52</v>
      </c>
    </row>
    <row r="535" spans="3:15" x14ac:dyDescent="0.25">
      <c r="C535" s="28"/>
      <c r="D535" s="20"/>
      <c r="E535" s="4"/>
      <c r="F535" s="37"/>
      <c r="G535" s="24"/>
      <c r="H535" s="51">
        <f>Assumptions!$D$15</f>
        <v>0.1</v>
      </c>
      <c r="I535" s="45">
        <f>IF(AR[[#This Row],[GST applies?]] = "Yes", (AR[[#This Row],[Invoice value inc. VAT]] / 1 + AR[[#This Row],[GST %]]) * AR[[#This Row],[GST %]], 0)</f>
        <v>0</v>
      </c>
      <c r="J535" s="31">
        <f>_xlfn.XLOOKUP(AR[[#This Row],[Customer name]], Customer_master[Customer name], Customer_master[EOM or Net], 0)</f>
        <v>0</v>
      </c>
      <c r="K535" s="31">
        <f>_xlfn.XLOOKUP(AR[[#This Row],[Customer name]], Customer_master[Customer name], Customer_master[Terms days], 0)</f>
        <v>0</v>
      </c>
      <c r="L5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5" s="4"/>
      <c r="N535" s="46">
        <f>IF(AR[[#This Row],[Collection date - override (dd/mm/yyyy)]] &lt;&gt; "", AR[[#This Row],[Collection date - override (dd/mm/yyyy)]], AR[[#This Row],[Due date (dd/mm/yyyy)]])</f>
        <v>0</v>
      </c>
      <c r="O535" s="46">
        <f t="shared" si="8"/>
        <v>52</v>
      </c>
    </row>
    <row r="536" spans="3:15" x14ac:dyDescent="0.25">
      <c r="C536" s="28"/>
      <c r="D536" s="20"/>
      <c r="E536" s="4"/>
      <c r="F536" s="37"/>
      <c r="G536" s="24"/>
      <c r="H536" s="51">
        <f>Assumptions!$D$15</f>
        <v>0.1</v>
      </c>
      <c r="I536" s="45">
        <f>IF(AR[[#This Row],[GST applies?]] = "Yes", (AR[[#This Row],[Invoice value inc. VAT]] / 1 + AR[[#This Row],[GST %]]) * AR[[#This Row],[GST %]], 0)</f>
        <v>0</v>
      </c>
      <c r="J536" s="31">
        <f>_xlfn.XLOOKUP(AR[[#This Row],[Customer name]], Customer_master[Customer name], Customer_master[EOM or Net], 0)</f>
        <v>0</v>
      </c>
      <c r="K536" s="31">
        <f>_xlfn.XLOOKUP(AR[[#This Row],[Customer name]], Customer_master[Customer name], Customer_master[Terms days], 0)</f>
        <v>0</v>
      </c>
      <c r="L5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6" s="4"/>
      <c r="N536" s="46">
        <f>IF(AR[[#This Row],[Collection date - override (dd/mm/yyyy)]] &lt;&gt; "", AR[[#This Row],[Collection date - override (dd/mm/yyyy)]], AR[[#This Row],[Due date (dd/mm/yyyy)]])</f>
        <v>0</v>
      </c>
      <c r="O536" s="46">
        <f t="shared" si="8"/>
        <v>52</v>
      </c>
    </row>
    <row r="537" spans="3:15" x14ac:dyDescent="0.25">
      <c r="C537" s="28"/>
      <c r="D537" s="20"/>
      <c r="E537" s="4"/>
      <c r="F537" s="37"/>
      <c r="G537" s="24"/>
      <c r="H537" s="51">
        <f>Assumptions!$D$15</f>
        <v>0.1</v>
      </c>
      <c r="I537" s="45">
        <f>IF(AR[[#This Row],[GST applies?]] = "Yes", (AR[[#This Row],[Invoice value inc. VAT]] / 1 + AR[[#This Row],[GST %]]) * AR[[#This Row],[GST %]], 0)</f>
        <v>0</v>
      </c>
      <c r="J537" s="31">
        <f>_xlfn.XLOOKUP(AR[[#This Row],[Customer name]], Customer_master[Customer name], Customer_master[EOM or Net], 0)</f>
        <v>0</v>
      </c>
      <c r="K537" s="31">
        <f>_xlfn.XLOOKUP(AR[[#This Row],[Customer name]], Customer_master[Customer name], Customer_master[Terms days], 0)</f>
        <v>0</v>
      </c>
      <c r="L5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7" s="4"/>
      <c r="N537" s="46">
        <f>IF(AR[[#This Row],[Collection date - override (dd/mm/yyyy)]] &lt;&gt; "", AR[[#This Row],[Collection date - override (dd/mm/yyyy)]], AR[[#This Row],[Due date (dd/mm/yyyy)]])</f>
        <v>0</v>
      </c>
      <c r="O537" s="46">
        <f t="shared" si="8"/>
        <v>52</v>
      </c>
    </row>
    <row r="538" spans="3:15" x14ac:dyDescent="0.25">
      <c r="C538" s="28"/>
      <c r="D538" s="20"/>
      <c r="E538" s="4"/>
      <c r="F538" s="37"/>
      <c r="G538" s="24"/>
      <c r="H538" s="51">
        <f>Assumptions!$D$15</f>
        <v>0.1</v>
      </c>
      <c r="I538" s="45">
        <f>IF(AR[[#This Row],[GST applies?]] = "Yes", (AR[[#This Row],[Invoice value inc. VAT]] / 1 + AR[[#This Row],[GST %]]) * AR[[#This Row],[GST %]], 0)</f>
        <v>0</v>
      </c>
      <c r="J538" s="31">
        <f>_xlfn.XLOOKUP(AR[[#This Row],[Customer name]], Customer_master[Customer name], Customer_master[EOM or Net], 0)</f>
        <v>0</v>
      </c>
      <c r="K538" s="31">
        <f>_xlfn.XLOOKUP(AR[[#This Row],[Customer name]], Customer_master[Customer name], Customer_master[Terms days], 0)</f>
        <v>0</v>
      </c>
      <c r="L5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8" s="4"/>
      <c r="N538" s="46">
        <f>IF(AR[[#This Row],[Collection date - override (dd/mm/yyyy)]] &lt;&gt; "", AR[[#This Row],[Collection date - override (dd/mm/yyyy)]], AR[[#This Row],[Due date (dd/mm/yyyy)]])</f>
        <v>0</v>
      </c>
      <c r="O538" s="46">
        <f t="shared" si="8"/>
        <v>52</v>
      </c>
    </row>
    <row r="539" spans="3:15" x14ac:dyDescent="0.25">
      <c r="C539" s="28"/>
      <c r="D539" s="20"/>
      <c r="E539" s="4"/>
      <c r="F539" s="37"/>
      <c r="G539" s="24"/>
      <c r="H539" s="51">
        <f>Assumptions!$D$15</f>
        <v>0.1</v>
      </c>
      <c r="I539" s="45">
        <f>IF(AR[[#This Row],[GST applies?]] = "Yes", (AR[[#This Row],[Invoice value inc. VAT]] / 1 + AR[[#This Row],[GST %]]) * AR[[#This Row],[GST %]], 0)</f>
        <v>0</v>
      </c>
      <c r="J539" s="31">
        <f>_xlfn.XLOOKUP(AR[[#This Row],[Customer name]], Customer_master[Customer name], Customer_master[EOM or Net], 0)</f>
        <v>0</v>
      </c>
      <c r="K539" s="31">
        <f>_xlfn.XLOOKUP(AR[[#This Row],[Customer name]], Customer_master[Customer name], Customer_master[Terms days], 0)</f>
        <v>0</v>
      </c>
      <c r="L5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9" s="4"/>
      <c r="N539" s="46">
        <f>IF(AR[[#This Row],[Collection date - override (dd/mm/yyyy)]] &lt;&gt; "", AR[[#This Row],[Collection date - override (dd/mm/yyyy)]], AR[[#This Row],[Due date (dd/mm/yyyy)]])</f>
        <v>0</v>
      </c>
      <c r="O539" s="46">
        <f t="shared" si="8"/>
        <v>52</v>
      </c>
    </row>
    <row r="540" spans="3:15" x14ac:dyDescent="0.25">
      <c r="C540" s="28"/>
      <c r="D540" s="20"/>
      <c r="E540" s="4"/>
      <c r="F540" s="37"/>
      <c r="G540" s="24"/>
      <c r="H540" s="51">
        <f>Assumptions!$D$15</f>
        <v>0.1</v>
      </c>
      <c r="I540" s="45">
        <f>IF(AR[[#This Row],[GST applies?]] = "Yes", (AR[[#This Row],[Invoice value inc. VAT]] / 1 + AR[[#This Row],[GST %]]) * AR[[#This Row],[GST %]], 0)</f>
        <v>0</v>
      </c>
      <c r="J540" s="31">
        <f>_xlfn.XLOOKUP(AR[[#This Row],[Customer name]], Customer_master[Customer name], Customer_master[EOM or Net], 0)</f>
        <v>0</v>
      </c>
      <c r="K540" s="31">
        <f>_xlfn.XLOOKUP(AR[[#This Row],[Customer name]], Customer_master[Customer name], Customer_master[Terms days], 0)</f>
        <v>0</v>
      </c>
      <c r="L5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0" s="4"/>
      <c r="N540" s="46">
        <f>IF(AR[[#This Row],[Collection date - override (dd/mm/yyyy)]] &lt;&gt; "", AR[[#This Row],[Collection date - override (dd/mm/yyyy)]], AR[[#This Row],[Due date (dd/mm/yyyy)]])</f>
        <v>0</v>
      </c>
      <c r="O540" s="46">
        <f t="shared" si="8"/>
        <v>52</v>
      </c>
    </row>
    <row r="541" spans="3:15" x14ac:dyDescent="0.25">
      <c r="C541" s="28"/>
      <c r="D541" s="20"/>
      <c r="E541" s="4"/>
      <c r="F541" s="37"/>
      <c r="G541" s="24"/>
      <c r="H541" s="51">
        <f>Assumptions!$D$15</f>
        <v>0.1</v>
      </c>
      <c r="I541" s="45">
        <f>IF(AR[[#This Row],[GST applies?]] = "Yes", (AR[[#This Row],[Invoice value inc. VAT]] / 1 + AR[[#This Row],[GST %]]) * AR[[#This Row],[GST %]], 0)</f>
        <v>0</v>
      </c>
      <c r="J541" s="31">
        <f>_xlfn.XLOOKUP(AR[[#This Row],[Customer name]], Customer_master[Customer name], Customer_master[EOM or Net], 0)</f>
        <v>0</v>
      </c>
      <c r="K541" s="31">
        <f>_xlfn.XLOOKUP(AR[[#This Row],[Customer name]], Customer_master[Customer name], Customer_master[Terms days], 0)</f>
        <v>0</v>
      </c>
      <c r="L5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1" s="4"/>
      <c r="N541" s="46">
        <f>IF(AR[[#This Row],[Collection date - override (dd/mm/yyyy)]] &lt;&gt; "", AR[[#This Row],[Collection date - override (dd/mm/yyyy)]], AR[[#This Row],[Due date (dd/mm/yyyy)]])</f>
        <v>0</v>
      </c>
      <c r="O541" s="46">
        <f t="shared" si="8"/>
        <v>52</v>
      </c>
    </row>
    <row r="542" spans="3:15" x14ac:dyDescent="0.25">
      <c r="C542" s="28"/>
      <c r="D542" s="20"/>
      <c r="E542" s="4"/>
      <c r="F542" s="37"/>
      <c r="G542" s="24"/>
      <c r="H542" s="51">
        <f>Assumptions!$D$15</f>
        <v>0.1</v>
      </c>
      <c r="I542" s="45">
        <f>IF(AR[[#This Row],[GST applies?]] = "Yes", (AR[[#This Row],[Invoice value inc. VAT]] / 1 + AR[[#This Row],[GST %]]) * AR[[#This Row],[GST %]], 0)</f>
        <v>0</v>
      </c>
      <c r="J542" s="31">
        <f>_xlfn.XLOOKUP(AR[[#This Row],[Customer name]], Customer_master[Customer name], Customer_master[EOM or Net], 0)</f>
        <v>0</v>
      </c>
      <c r="K542" s="31">
        <f>_xlfn.XLOOKUP(AR[[#This Row],[Customer name]], Customer_master[Customer name], Customer_master[Terms days], 0)</f>
        <v>0</v>
      </c>
      <c r="L5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2" s="4"/>
      <c r="N542" s="46">
        <f>IF(AR[[#This Row],[Collection date - override (dd/mm/yyyy)]] &lt;&gt; "", AR[[#This Row],[Collection date - override (dd/mm/yyyy)]], AR[[#This Row],[Due date (dd/mm/yyyy)]])</f>
        <v>0</v>
      </c>
      <c r="O542" s="46">
        <f t="shared" si="8"/>
        <v>52</v>
      </c>
    </row>
    <row r="543" spans="3:15" x14ac:dyDescent="0.25">
      <c r="C543" s="28"/>
      <c r="D543" s="20"/>
      <c r="E543" s="4"/>
      <c r="F543" s="37"/>
      <c r="G543" s="24"/>
      <c r="H543" s="51">
        <f>Assumptions!$D$15</f>
        <v>0.1</v>
      </c>
      <c r="I543" s="45">
        <f>IF(AR[[#This Row],[GST applies?]] = "Yes", (AR[[#This Row],[Invoice value inc. VAT]] / 1 + AR[[#This Row],[GST %]]) * AR[[#This Row],[GST %]], 0)</f>
        <v>0</v>
      </c>
      <c r="J543" s="31">
        <f>_xlfn.XLOOKUP(AR[[#This Row],[Customer name]], Customer_master[Customer name], Customer_master[EOM or Net], 0)</f>
        <v>0</v>
      </c>
      <c r="K543" s="31">
        <f>_xlfn.XLOOKUP(AR[[#This Row],[Customer name]], Customer_master[Customer name], Customer_master[Terms days], 0)</f>
        <v>0</v>
      </c>
      <c r="L5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3" s="4"/>
      <c r="N543" s="46">
        <f>IF(AR[[#This Row],[Collection date - override (dd/mm/yyyy)]] &lt;&gt; "", AR[[#This Row],[Collection date - override (dd/mm/yyyy)]], AR[[#This Row],[Due date (dd/mm/yyyy)]])</f>
        <v>0</v>
      </c>
      <c r="O543" s="46">
        <f t="shared" si="8"/>
        <v>52</v>
      </c>
    </row>
    <row r="544" spans="3:15" x14ac:dyDescent="0.25">
      <c r="C544" s="28"/>
      <c r="D544" s="20"/>
      <c r="E544" s="4"/>
      <c r="F544" s="37"/>
      <c r="G544" s="24"/>
      <c r="H544" s="51">
        <f>Assumptions!$D$15</f>
        <v>0.1</v>
      </c>
      <c r="I544" s="45">
        <f>IF(AR[[#This Row],[GST applies?]] = "Yes", (AR[[#This Row],[Invoice value inc. VAT]] / 1 + AR[[#This Row],[GST %]]) * AR[[#This Row],[GST %]], 0)</f>
        <v>0</v>
      </c>
      <c r="J544" s="31">
        <f>_xlfn.XLOOKUP(AR[[#This Row],[Customer name]], Customer_master[Customer name], Customer_master[EOM or Net], 0)</f>
        <v>0</v>
      </c>
      <c r="K544" s="31">
        <f>_xlfn.XLOOKUP(AR[[#This Row],[Customer name]], Customer_master[Customer name], Customer_master[Terms days], 0)</f>
        <v>0</v>
      </c>
      <c r="L5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4" s="4"/>
      <c r="N544" s="46">
        <f>IF(AR[[#This Row],[Collection date - override (dd/mm/yyyy)]] &lt;&gt; "", AR[[#This Row],[Collection date - override (dd/mm/yyyy)]], AR[[#This Row],[Due date (dd/mm/yyyy)]])</f>
        <v>0</v>
      </c>
      <c r="O544" s="46">
        <f t="shared" si="8"/>
        <v>52</v>
      </c>
    </row>
    <row r="545" spans="3:15" x14ac:dyDescent="0.25">
      <c r="C545" s="28"/>
      <c r="D545" s="20"/>
      <c r="E545" s="4"/>
      <c r="F545" s="37"/>
      <c r="G545" s="24"/>
      <c r="H545" s="51">
        <f>Assumptions!$D$15</f>
        <v>0.1</v>
      </c>
      <c r="I545" s="45">
        <f>IF(AR[[#This Row],[GST applies?]] = "Yes", (AR[[#This Row],[Invoice value inc. VAT]] / 1 + AR[[#This Row],[GST %]]) * AR[[#This Row],[GST %]], 0)</f>
        <v>0</v>
      </c>
      <c r="J545" s="31">
        <f>_xlfn.XLOOKUP(AR[[#This Row],[Customer name]], Customer_master[Customer name], Customer_master[EOM or Net], 0)</f>
        <v>0</v>
      </c>
      <c r="K545" s="31">
        <f>_xlfn.XLOOKUP(AR[[#This Row],[Customer name]], Customer_master[Customer name], Customer_master[Terms days], 0)</f>
        <v>0</v>
      </c>
      <c r="L5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5" s="4"/>
      <c r="N545" s="46">
        <f>IF(AR[[#This Row],[Collection date - override (dd/mm/yyyy)]] &lt;&gt; "", AR[[#This Row],[Collection date - override (dd/mm/yyyy)]], AR[[#This Row],[Due date (dd/mm/yyyy)]])</f>
        <v>0</v>
      </c>
      <c r="O545" s="46">
        <f t="shared" si="8"/>
        <v>52</v>
      </c>
    </row>
    <row r="546" spans="3:15" x14ac:dyDescent="0.25">
      <c r="C546" s="28"/>
      <c r="D546" s="20"/>
      <c r="E546" s="4"/>
      <c r="F546" s="37"/>
      <c r="G546" s="24"/>
      <c r="H546" s="51">
        <f>Assumptions!$D$15</f>
        <v>0.1</v>
      </c>
      <c r="I546" s="45">
        <f>IF(AR[[#This Row],[GST applies?]] = "Yes", (AR[[#This Row],[Invoice value inc. VAT]] / 1 + AR[[#This Row],[GST %]]) * AR[[#This Row],[GST %]], 0)</f>
        <v>0</v>
      </c>
      <c r="J546" s="31">
        <f>_xlfn.XLOOKUP(AR[[#This Row],[Customer name]], Customer_master[Customer name], Customer_master[EOM or Net], 0)</f>
        <v>0</v>
      </c>
      <c r="K546" s="31">
        <f>_xlfn.XLOOKUP(AR[[#This Row],[Customer name]], Customer_master[Customer name], Customer_master[Terms days], 0)</f>
        <v>0</v>
      </c>
      <c r="L5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6" s="4"/>
      <c r="N546" s="46">
        <f>IF(AR[[#This Row],[Collection date - override (dd/mm/yyyy)]] &lt;&gt; "", AR[[#This Row],[Collection date - override (dd/mm/yyyy)]], AR[[#This Row],[Due date (dd/mm/yyyy)]])</f>
        <v>0</v>
      </c>
      <c r="O546" s="46">
        <f t="shared" si="8"/>
        <v>52</v>
      </c>
    </row>
    <row r="547" spans="3:15" x14ac:dyDescent="0.25">
      <c r="C547" s="28"/>
      <c r="D547" s="20"/>
      <c r="E547" s="4"/>
      <c r="F547" s="37"/>
      <c r="G547" s="24"/>
      <c r="H547" s="51">
        <f>Assumptions!$D$15</f>
        <v>0.1</v>
      </c>
      <c r="I547" s="45">
        <f>IF(AR[[#This Row],[GST applies?]] = "Yes", (AR[[#This Row],[Invoice value inc. VAT]] / 1 + AR[[#This Row],[GST %]]) * AR[[#This Row],[GST %]], 0)</f>
        <v>0</v>
      </c>
      <c r="J547" s="31">
        <f>_xlfn.XLOOKUP(AR[[#This Row],[Customer name]], Customer_master[Customer name], Customer_master[EOM or Net], 0)</f>
        <v>0</v>
      </c>
      <c r="K547" s="31">
        <f>_xlfn.XLOOKUP(AR[[#This Row],[Customer name]], Customer_master[Customer name], Customer_master[Terms days], 0)</f>
        <v>0</v>
      </c>
      <c r="L5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7" s="4"/>
      <c r="N547" s="46">
        <f>IF(AR[[#This Row],[Collection date - override (dd/mm/yyyy)]] &lt;&gt; "", AR[[#This Row],[Collection date - override (dd/mm/yyyy)]], AR[[#This Row],[Due date (dd/mm/yyyy)]])</f>
        <v>0</v>
      </c>
      <c r="O547" s="46">
        <f t="shared" si="8"/>
        <v>52</v>
      </c>
    </row>
    <row r="548" spans="3:15" x14ac:dyDescent="0.25">
      <c r="C548" s="28"/>
      <c r="D548" s="20"/>
      <c r="E548" s="4"/>
      <c r="F548" s="37"/>
      <c r="G548" s="24"/>
      <c r="H548" s="51">
        <f>Assumptions!$D$15</f>
        <v>0.1</v>
      </c>
      <c r="I548" s="45">
        <f>IF(AR[[#This Row],[GST applies?]] = "Yes", (AR[[#This Row],[Invoice value inc. VAT]] / 1 + AR[[#This Row],[GST %]]) * AR[[#This Row],[GST %]], 0)</f>
        <v>0</v>
      </c>
      <c r="J548" s="31">
        <f>_xlfn.XLOOKUP(AR[[#This Row],[Customer name]], Customer_master[Customer name], Customer_master[EOM or Net], 0)</f>
        <v>0</v>
      </c>
      <c r="K548" s="31">
        <f>_xlfn.XLOOKUP(AR[[#This Row],[Customer name]], Customer_master[Customer name], Customer_master[Terms days], 0)</f>
        <v>0</v>
      </c>
      <c r="L5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8" s="4"/>
      <c r="N548" s="46">
        <f>IF(AR[[#This Row],[Collection date - override (dd/mm/yyyy)]] &lt;&gt; "", AR[[#This Row],[Collection date - override (dd/mm/yyyy)]], AR[[#This Row],[Due date (dd/mm/yyyy)]])</f>
        <v>0</v>
      </c>
      <c r="O548" s="46">
        <f t="shared" si="8"/>
        <v>52</v>
      </c>
    </row>
    <row r="549" spans="3:15" x14ac:dyDescent="0.25">
      <c r="C549" s="28"/>
      <c r="D549" s="20"/>
      <c r="E549" s="4"/>
      <c r="F549" s="37"/>
      <c r="G549" s="24"/>
      <c r="H549" s="51">
        <f>Assumptions!$D$15</f>
        <v>0.1</v>
      </c>
      <c r="I549" s="45">
        <f>IF(AR[[#This Row],[GST applies?]] = "Yes", (AR[[#This Row],[Invoice value inc. VAT]] / 1 + AR[[#This Row],[GST %]]) * AR[[#This Row],[GST %]], 0)</f>
        <v>0</v>
      </c>
      <c r="J549" s="31">
        <f>_xlfn.XLOOKUP(AR[[#This Row],[Customer name]], Customer_master[Customer name], Customer_master[EOM or Net], 0)</f>
        <v>0</v>
      </c>
      <c r="K549" s="31">
        <f>_xlfn.XLOOKUP(AR[[#This Row],[Customer name]], Customer_master[Customer name], Customer_master[Terms days], 0)</f>
        <v>0</v>
      </c>
      <c r="L5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9" s="4"/>
      <c r="N549" s="46">
        <f>IF(AR[[#This Row],[Collection date - override (dd/mm/yyyy)]] &lt;&gt; "", AR[[#This Row],[Collection date - override (dd/mm/yyyy)]], AR[[#This Row],[Due date (dd/mm/yyyy)]])</f>
        <v>0</v>
      </c>
      <c r="O549" s="46">
        <f t="shared" si="8"/>
        <v>52</v>
      </c>
    </row>
    <row r="550" spans="3:15" x14ac:dyDescent="0.25">
      <c r="C550" s="28"/>
      <c r="D550" s="20"/>
      <c r="E550" s="4"/>
      <c r="F550" s="37"/>
      <c r="G550" s="24"/>
      <c r="H550" s="51">
        <f>Assumptions!$D$15</f>
        <v>0.1</v>
      </c>
      <c r="I550" s="45">
        <f>IF(AR[[#This Row],[GST applies?]] = "Yes", (AR[[#This Row],[Invoice value inc. VAT]] / 1 + AR[[#This Row],[GST %]]) * AR[[#This Row],[GST %]], 0)</f>
        <v>0</v>
      </c>
      <c r="J550" s="31">
        <f>_xlfn.XLOOKUP(AR[[#This Row],[Customer name]], Customer_master[Customer name], Customer_master[EOM or Net], 0)</f>
        <v>0</v>
      </c>
      <c r="K550" s="31">
        <f>_xlfn.XLOOKUP(AR[[#This Row],[Customer name]], Customer_master[Customer name], Customer_master[Terms days], 0)</f>
        <v>0</v>
      </c>
      <c r="L5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0" s="4"/>
      <c r="N550" s="46">
        <f>IF(AR[[#This Row],[Collection date - override (dd/mm/yyyy)]] &lt;&gt; "", AR[[#This Row],[Collection date - override (dd/mm/yyyy)]], AR[[#This Row],[Due date (dd/mm/yyyy)]])</f>
        <v>0</v>
      </c>
      <c r="O550" s="46">
        <f t="shared" si="8"/>
        <v>52</v>
      </c>
    </row>
    <row r="551" spans="3:15" x14ac:dyDescent="0.25">
      <c r="C551" s="28"/>
      <c r="D551" s="20"/>
      <c r="E551" s="4"/>
      <c r="F551" s="37"/>
      <c r="G551" s="24"/>
      <c r="H551" s="51">
        <f>Assumptions!$D$15</f>
        <v>0.1</v>
      </c>
      <c r="I551" s="45">
        <f>IF(AR[[#This Row],[GST applies?]] = "Yes", (AR[[#This Row],[Invoice value inc. VAT]] / 1 + AR[[#This Row],[GST %]]) * AR[[#This Row],[GST %]], 0)</f>
        <v>0</v>
      </c>
      <c r="J551" s="31">
        <f>_xlfn.XLOOKUP(AR[[#This Row],[Customer name]], Customer_master[Customer name], Customer_master[EOM or Net], 0)</f>
        <v>0</v>
      </c>
      <c r="K551" s="31">
        <f>_xlfn.XLOOKUP(AR[[#This Row],[Customer name]], Customer_master[Customer name], Customer_master[Terms days], 0)</f>
        <v>0</v>
      </c>
      <c r="L5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1" s="4"/>
      <c r="N551" s="46">
        <f>IF(AR[[#This Row],[Collection date - override (dd/mm/yyyy)]] &lt;&gt; "", AR[[#This Row],[Collection date - override (dd/mm/yyyy)]], AR[[#This Row],[Due date (dd/mm/yyyy)]])</f>
        <v>0</v>
      </c>
      <c r="O551" s="46">
        <f t="shared" si="8"/>
        <v>52</v>
      </c>
    </row>
    <row r="552" spans="3:15" x14ac:dyDescent="0.25">
      <c r="C552" s="28"/>
      <c r="D552" s="20"/>
      <c r="E552" s="4"/>
      <c r="F552" s="37"/>
      <c r="G552" s="24"/>
      <c r="H552" s="51">
        <f>Assumptions!$D$15</f>
        <v>0.1</v>
      </c>
      <c r="I552" s="45">
        <f>IF(AR[[#This Row],[GST applies?]] = "Yes", (AR[[#This Row],[Invoice value inc. VAT]] / 1 + AR[[#This Row],[GST %]]) * AR[[#This Row],[GST %]], 0)</f>
        <v>0</v>
      </c>
      <c r="J552" s="31">
        <f>_xlfn.XLOOKUP(AR[[#This Row],[Customer name]], Customer_master[Customer name], Customer_master[EOM or Net], 0)</f>
        <v>0</v>
      </c>
      <c r="K552" s="31">
        <f>_xlfn.XLOOKUP(AR[[#This Row],[Customer name]], Customer_master[Customer name], Customer_master[Terms days], 0)</f>
        <v>0</v>
      </c>
      <c r="L5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2" s="4"/>
      <c r="N552" s="46">
        <f>IF(AR[[#This Row],[Collection date - override (dd/mm/yyyy)]] &lt;&gt; "", AR[[#This Row],[Collection date - override (dd/mm/yyyy)]], AR[[#This Row],[Due date (dd/mm/yyyy)]])</f>
        <v>0</v>
      </c>
      <c r="O552" s="46">
        <f t="shared" si="8"/>
        <v>52</v>
      </c>
    </row>
    <row r="553" spans="3:15" x14ac:dyDescent="0.25">
      <c r="C553" s="28"/>
      <c r="D553" s="20"/>
      <c r="E553" s="4"/>
      <c r="F553" s="37"/>
      <c r="G553" s="24"/>
      <c r="H553" s="51">
        <f>Assumptions!$D$15</f>
        <v>0.1</v>
      </c>
      <c r="I553" s="45">
        <f>IF(AR[[#This Row],[GST applies?]] = "Yes", (AR[[#This Row],[Invoice value inc. VAT]] / 1 + AR[[#This Row],[GST %]]) * AR[[#This Row],[GST %]], 0)</f>
        <v>0</v>
      </c>
      <c r="J553" s="31">
        <f>_xlfn.XLOOKUP(AR[[#This Row],[Customer name]], Customer_master[Customer name], Customer_master[EOM or Net], 0)</f>
        <v>0</v>
      </c>
      <c r="K553" s="31">
        <f>_xlfn.XLOOKUP(AR[[#This Row],[Customer name]], Customer_master[Customer name], Customer_master[Terms days], 0)</f>
        <v>0</v>
      </c>
      <c r="L5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3" s="4"/>
      <c r="N553" s="46">
        <f>IF(AR[[#This Row],[Collection date - override (dd/mm/yyyy)]] &lt;&gt; "", AR[[#This Row],[Collection date - override (dd/mm/yyyy)]], AR[[#This Row],[Due date (dd/mm/yyyy)]])</f>
        <v>0</v>
      </c>
      <c r="O553" s="46">
        <f t="shared" si="8"/>
        <v>52</v>
      </c>
    </row>
    <row r="554" spans="3:15" x14ac:dyDescent="0.25">
      <c r="C554" s="28"/>
      <c r="D554" s="20"/>
      <c r="E554" s="4"/>
      <c r="F554" s="37"/>
      <c r="G554" s="24"/>
      <c r="H554" s="51">
        <f>Assumptions!$D$15</f>
        <v>0.1</v>
      </c>
      <c r="I554" s="45">
        <f>IF(AR[[#This Row],[GST applies?]] = "Yes", (AR[[#This Row],[Invoice value inc. VAT]] / 1 + AR[[#This Row],[GST %]]) * AR[[#This Row],[GST %]], 0)</f>
        <v>0</v>
      </c>
      <c r="J554" s="31">
        <f>_xlfn.XLOOKUP(AR[[#This Row],[Customer name]], Customer_master[Customer name], Customer_master[EOM or Net], 0)</f>
        <v>0</v>
      </c>
      <c r="K554" s="31">
        <f>_xlfn.XLOOKUP(AR[[#This Row],[Customer name]], Customer_master[Customer name], Customer_master[Terms days], 0)</f>
        <v>0</v>
      </c>
      <c r="L5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4" s="4"/>
      <c r="N554" s="46">
        <f>IF(AR[[#This Row],[Collection date - override (dd/mm/yyyy)]] &lt;&gt; "", AR[[#This Row],[Collection date - override (dd/mm/yyyy)]], AR[[#This Row],[Due date (dd/mm/yyyy)]])</f>
        <v>0</v>
      </c>
      <c r="O554" s="46">
        <f t="shared" si="8"/>
        <v>52</v>
      </c>
    </row>
    <row r="555" spans="3:15" x14ac:dyDescent="0.25">
      <c r="C555" s="28"/>
      <c r="D555" s="20"/>
      <c r="E555" s="4"/>
      <c r="F555" s="37"/>
      <c r="G555" s="24"/>
      <c r="H555" s="51">
        <f>Assumptions!$D$15</f>
        <v>0.1</v>
      </c>
      <c r="I555" s="45">
        <f>IF(AR[[#This Row],[GST applies?]] = "Yes", (AR[[#This Row],[Invoice value inc. VAT]] / 1 + AR[[#This Row],[GST %]]) * AR[[#This Row],[GST %]], 0)</f>
        <v>0</v>
      </c>
      <c r="J555" s="31">
        <f>_xlfn.XLOOKUP(AR[[#This Row],[Customer name]], Customer_master[Customer name], Customer_master[EOM or Net], 0)</f>
        <v>0</v>
      </c>
      <c r="K555" s="31">
        <f>_xlfn.XLOOKUP(AR[[#This Row],[Customer name]], Customer_master[Customer name], Customer_master[Terms days], 0)</f>
        <v>0</v>
      </c>
      <c r="L5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5" s="4"/>
      <c r="N555" s="46">
        <f>IF(AR[[#This Row],[Collection date - override (dd/mm/yyyy)]] &lt;&gt; "", AR[[#This Row],[Collection date - override (dd/mm/yyyy)]], AR[[#This Row],[Due date (dd/mm/yyyy)]])</f>
        <v>0</v>
      </c>
      <c r="O555" s="46">
        <f t="shared" si="8"/>
        <v>52</v>
      </c>
    </row>
    <row r="556" spans="3:15" x14ac:dyDescent="0.25">
      <c r="C556" s="28"/>
      <c r="D556" s="20"/>
      <c r="E556" s="4"/>
      <c r="F556" s="37"/>
      <c r="G556" s="24"/>
      <c r="H556" s="51">
        <f>Assumptions!$D$15</f>
        <v>0.1</v>
      </c>
      <c r="I556" s="45">
        <f>IF(AR[[#This Row],[GST applies?]] = "Yes", (AR[[#This Row],[Invoice value inc. VAT]] / 1 + AR[[#This Row],[GST %]]) * AR[[#This Row],[GST %]], 0)</f>
        <v>0</v>
      </c>
      <c r="J556" s="31">
        <f>_xlfn.XLOOKUP(AR[[#This Row],[Customer name]], Customer_master[Customer name], Customer_master[EOM or Net], 0)</f>
        <v>0</v>
      </c>
      <c r="K556" s="31">
        <f>_xlfn.XLOOKUP(AR[[#This Row],[Customer name]], Customer_master[Customer name], Customer_master[Terms days], 0)</f>
        <v>0</v>
      </c>
      <c r="L5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6" s="4"/>
      <c r="N556" s="46">
        <f>IF(AR[[#This Row],[Collection date - override (dd/mm/yyyy)]] &lt;&gt; "", AR[[#This Row],[Collection date - override (dd/mm/yyyy)]], AR[[#This Row],[Due date (dd/mm/yyyy)]])</f>
        <v>0</v>
      </c>
      <c r="O556" s="46">
        <f t="shared" si="8"/>
        <v>52</v>
      </c>
    </row>
    <row r="557" spans="3:15" x14ac:dyDescent="0.25">
      <c r="C557" s="28"/>
      <c r="D557" s="20"/>
      <c r="E557" s="4"/>
      <c r="F557" s="37"/>
      <c r="G557" s="24"/>
      <c r="H557" s="51">
        <f>Assumptions!$D$15</f>
        <v>0.1</v>
      </c>
      <c r="I557" s="45">
        <f>IF(AR[[#This Row],[GST applies?]] = "Yes", (AR[[#This Row],[Invoice value inc. VAT]] / 1 + AR[[#This Row],[GST %]]) * AR[[#This Row],[GST %]], 0)</f>
        <v>0</v>
      </c>
      <c r="J557" s="31">
        <f>_xlfn.XLOOKUP(AR[[#This Row],[Customer name]], Customer_master[Customer name], Customer_master[EOM or Net], 0)</f>
        <v>0</v>
      </c>
      <c r="K557" s="31">
        <f>_xlfn.XLOOKUP(AR[[#This Row],[Customer name]], Customer_master[Customer name], Customer_master[Terms days], 0)</f>
        <v>0</v>
      </c>
      <c r="L5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7" s="4"/>
      <c r="N557" s="46">
        <f>IF(AR[[#This Row],[Collection date - override (dd/mm/yyyy)]] &lt;&gt; "", AR[[#This Row],[Collection date - override (dd/mm/yyyy)]], AR[[#This Row],[Due date (dd/mm/yyyy)]])</f>
        <v>0</v>
      </c>
      <c r="O557" s="46">
        <f t="shared" si="8"/>
        <v>52</v>
      </c>
    </row>
    <row r="558" spans="3:15" x14ac:dyDescent="0.25">
      <c r="C558" s="28"/>
      <c r="D558" s="20"/>
      <c r="E558" s="4"/>
      <c r="F558" s="37"/>
      <c r="G558" s="24"/>
      <c r="H558" s="51">
        <f>Assumptions!$D$15</f>
        <v>0.1</v>
      </c>
      <c r="I558" s="45">
        <f>IF(AR[[#This Row],[GST applies?]] = "Yes", (AR[[#This Row],[Invoice value inc. VAT]] / 1 + AR[[#This Row],[GST %]]) * AR[[#This Row],[GST %]], 0)</f>
        <v>0</v>
      </c>
      <c r="J558" s="31">
        <f>_xlfn.XLOOKUP(AR[[#This Row],[Customer name]], Customer_master[Customer name], Customer_master[EOM or Net], 0)</f>
        <v>0</v>
      </c>
      <c r="K558" s="31">
        <f>_xlfn.XLOOKUP(AR[[#This Row],[Customer name]], Customer_master[Customer name], Customer_master[Terms days], 0)</f>
        <v>0</v>
      </c>
      <c r="L5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8" s="4"/>
      <c r="N558" s="46">
        <f>IF(AR[[#This Row],[Collection date - override (dd/mm/yyyy)]] &lt;&gt; "", AR[[#This Row],[Collection date - override (dd/mm/yyyy)]], AR[[#This Row],[Due date (dd/mm/yyyy)]])</f>
        <v>0</v>
      </c>
      <c r="O558" s="46">
        <f t="shared" si="8"/>
        <v>52</v>
      </c>
    </row>
    <row r="559" spans="3:15" x14ac:dyDescent="0.25">
      <c r="C559" s="28"/>
      <c r="D559" s="20"/>
      <c r="E559" s="4"/>
      <c r="F559" s="37"/>
      <c r="G559" s="24"/>
      <c r="H559" s="51">
        <f>Assumptions!$D$15</f>
        <v>0.1</v>
      </c>
      <c r="I559" s="45">
        <f>IF(AR[[#This Row],[GST applies?]] = "Yes", (AR[[#This Row],[Invoice value inc. VAT]] / 1 + AR[[#This Row],[GST %]]) * AR[[#This Row],[GST %]], 0)</f>
        <v>0</v>
      </c>
      <c r="J559" s="31">
        <f>_xlfn.XLOOKUP(AR[[#This Row],[Customer name]], Customer_master[Customer name], Customer_master[EOM or Net], 0)</f>
        <v>0</v>
      </c>
      <c r="K559" s="31">
        <f>_xlfn.XLOOKUP(AR[[#This Row],[Customer name]], Customer_master[Customer name], Customer_master[Terms days], 0)</f>
        <v>0</v>
      </c>
      <c r="L5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9" s="4"/>
      <c r="N559" s="46">
        <f>IF(AR[[#This Row],[Collection date - override (dd/mm/yyyy)]] &lt;&gt; "", AR[[#This Row],[Collection date - override (dd/mm/yyyy)]], AR[[#This Row],[Due date (dd/mm/yyyy)]])</f>
        <v>0</v>
      </c>
      <c r="O559" s="46">
        <f t="shared" si="8"/>
        <v>52</v>
      </c>
    </row>
    <row r="560" spans="3:15" x14ac:dyDescent="0.25">
      <c r="C560" s="28"/>
      <c r="D560" s="20"/>
      <c r="E560" s="4"/>
      <c r="F560" s="37"/>
      <c r="G560" s="24"/>
      <c r="H560" s="51">
        <f>Assumptions!$D$15</f>
        <v>0.1</v>
      </c>
      <c r="I560" s="45">
        <f>IF(AR[[#This Row],[GST applies?]] = "Yes", (AR[[#This Row],[Invoice value inc. VAT]] / 1 + AR[[#This Row],[GST %]]) * AR[[#This Row],[GST %]], 0)</f>
        <v>0</v>
      </c>
      <c r="J560" s="31">
        <f>_xlfn.XLOOKUP(AR[[#This Row],[Customer name]], Customer_master[Customer name], Customer_master[EOM or Net], 0)</f>
        <v>0</v>
      </c>
      <c r="K560" s="31">
        <f>_xlfn.XLOOKUP(AR[[#This Row],[Customer name]], Customer_master[Customer name], Customer_master[Terms days], 0)</f>
        <v>0</v>
      </c>
      <c r="L5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0" s="4"/>
      <c r="N560" s="46">
        <f>IF(AR[[#This Row],[Collection date - override (dd/mm/yyyy)]] &lt;&gt; "", AR[[#This Row],[Collection date - override (dd/mm/yyyy)]], AR[[#This Row],[Due date (dd/mm/yyyy)]])</f>
        <v>0</v>
      </c>
      <c r="O560" s="46">
        <f t="shared" si="8"/>
        <v>52</v>
      </c>
    </row>
    <row r="561" spans="3:15" x14ac:dyDescent="0.25">
      <c r="C561" s="28"/>
      <c r="D561" s="20"/>
      <c r="E561" s="4"/>
      <c r="F561" s="37"/>
      <c r="G561" s="24"/>
      <c r="H561" s="51">
        <f>Assumptions!$D$15</f>
        <v>0.1</v>
      </c>
      <c r="I561" s="45">
        <f>IF(AR[[#This Row],[GST applies?]] = "Yes", (AR[[#This Row],[Invoice value inc. VAT]] / 1 + AR[[#This Row],[GST %]]) * AR[[#This Row],[GST %]], 0)</f>
        <v>0</v>
      </c>
      <c r="J561" s="31">
        <f>_xlfn.XLOOKUP(AR[[#This Row],[Customer name]], Customer_master[Customer name], Customer_master[EOM or Net], 0)</f>
        <v>0</v>
      </c>
      <c r="K561" s="31">
        <f>_xlfn.XLOOKUP(AR[[#This Row],[Customer name]], Customer_master[Customer name], Customer_master[Terms days], 0)</f>
        <v>0</v>
      </c>
      <c r="L5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1" s="4"/>
      <c r="N561" s="46">
        <f>IF(AR[[#This Row],[Collection date - override (dd/mm/yyyy)]] &lt;&gt; "", AR[[#This Row],[Collection date - override (dd/mm/yyyy)]], AR[[#This Row],[Due date (dd/mm/yyyy)]])</f>
        <v>0</v>
      </c>
      <c r="O561" s="46">
        <f t="shared" si="8"/>
        <v>52</v>
      </c>
    </row>
    <row r="562" spans="3:15" x14ac:dyDescent="0.25">
      <c r="C562" s="28"/>
      <c r="D562" s="20"/>
      <c r="E562" s="4"/>
      <c r="F562" s="37"/>
      <c r="G562" s="24"/>
      <c r="H562" s="51">
        <f>Assumptions!$D$15</f>
        <v>0.1</v>
      </c>
      <c r="I562" s="45">
        <f>IF(AR[[#This Row],[GST applies?]] = "Yes", (AR[[#This Row],[Invoice value inc. VAT]] / 1 + AR[[#This Row],[GST %]]) * AR[[#This Row],[GST %]], 0)</f>
        <v>0</v>
      </c>
      <c r="J562" s="31">
        <f>_xlfn.XLOOKUP(AR[[#This Row],[Customer name]], Customer_master[Customer name], Customer_master[EOM or Net], 0)</f>
        <v>0</v>
      </c>
      <c r="K562" s="31">
        <f>_xlfn.XLOOKUP(AR[[#This Row],[Customer name]], Customer_master[Customer name], Customer_master[Terms days], 0)</f>
        <v>0</v>
      </c>
      <c r="L5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2" s="4"/>
      <c r="N562" s="46">
        <f>IF(AR[[#This Row],[Collection date - override (dd/mm/yyyy)]] &lt;&gt; "", AR[[#This Row],[Collection date - override (dd/mm/yyyy)]], AR[[#This Row],[Due date (dd/mm/yyyy)]])</f>
        <v>0</v>
      </c>
      <c r="O562" s="46">
        <f t="shared" si="8"/>
        <v>52</v>
      </c>
    </row>
    <row r="563" spans="3:15" x14ac:dyDescent="0.25">
      <c r="C563" s="28"/>
      <c r="D563" s="20"/>
      <c r="E563" s="4"/>
      <c r="F563" s="37"/>
      <c r="G563" s="24"/>
      <c r="H563" s="51">
        <f>Assumptions!$D$15</f>
        <v>0.1</v>
      </c>
      <c r="I563" s="45">
        <f>IF(AR[[#This Row],[GST applies?]] = "Yes", (AR[[#This Row],[Invoice value inc. VAT]] / 1 + AR[[#This Row],[GST %]]) * AR[[#This Row],[GST %]], 0)</f>
        <v>0</v>
      </c>
      <c r="J563" s="31">
        <f>_xlfn.XLOOKUP(AR[[#This Row],[Customer name]], Customer_master[Customer name], Customer_master[EOM or Net], 0)</f>
        <v>0</v>
      </c>
      <c r="K563" s="31">
        <f>_xlfn.XLOOKUP(AR[[#This Row],[Customer name]], Customer_master[Customer name], Customer_master[Terms days], 0)</f>
        <v>0</v>
      </c>
      <c r="L5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3" s="4"/>
      <c r="N563" s="46">
        <f>IF(AR[[#This Row],[Collection date - override (dd/mm/yyyy)]] &lt;&gt; "", AR[[#This Row],[Collection date - override (dd/mm/yyyy)]], AR[[#This Row],[Due date (dd/mm/yyyy)]])</f>
        <v>0</v>
      </c>
      <c r="O563" s="46">
        <f t="shared" si="8"/>
        <v>52</v>
      </c>
    </row>
    <row r="564" spans="3:15" x14ac:dyDescent="0.25">
      <c r="C564" s="28"/>
      <c r="D564" s="20"/>
      <c r="E564" s="4"/>
      <c r="F564" s="37"/>
      <c r="G564" s="24"/>
      <c r="H564" s="51">
        <f>Assumptions!$D$15</f>
        <v>0.1</v>
      </c>
      <c r="I564" s="45">
        <f>IF(AR[[#This Row],[GST applies?]] = "Yes", (AR[[#This Row],[Invoice value inc. VAT]] / 1 + AR[[#This Row],[GST %]]) * AR[[#This Row],[GST %]], 0)</f>
        <v>0</v>
      </c>
      <c r="J564" s="31">
        <f>_xlfn.XLOOKUP(AR[[#This Row],[Customer name]], Customer_master[Customer name], Customer_master[EOM or Net], 0)</f>
        <v>0</v>
      </c>
      <c r="K564" s="31">
        <f>_xlfn.XLOOKUP(AR[[#This Row],[Customer name]], Customer_master[Customer name], Customer_master[Terms days], 0)</f>
        <v>0</v>
      </c>
      <c r="L5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4" s="4"/>
      <c r="N564" s="46">
        <f>IF(AR[[#This Row],[Collection date - override (dd/mm/yyyy)]] &lt;&gt; "", AR[[#This Row],[Collection date - override (dd/mm/yyyy)]], AR[[#This Row],[Due date (dd/mm/yyyy)]])</f>
        <v>0</v>
      </c>
      <c r="O564" s="46">
        <f t="shared" si="8"/>
        <v>52</v>
      </c>
    </row>
    <row r="565" spans="3:15" x14ac:dyDescent="0.25">
      <c r="C565" s="28"/>
      <c r="D565" s="20"/>
      <c r="E565" s="4"/>
      <c r="F565" s="37"/>
      <c r="G565" s="24"/>
      <c r="H565" s="51">
        <f>Assumptions!$D$15</f>
        <v>0.1</v>
      </c>
      <c r="I565" s="45">
        <f>IF(AR[[#This Row],[GST applies?]] = "Yes", (AR[[#This Row],[Invoice value inc. VAT]] / 1 + AR[[#This Row],[GST %]]) * AR[[#This Row],[GST %]], 0)</f>
        <v>0</v>
      </c>
      <c r="J565" s="31">
        <f>_xlfn.XLOOKUP(AR[[#This Row],[Customer name]], Customer_master[Customer name], Customer_master[EOM or Net], 0)</f>
        <v>0</v>
      </c>
      <c r="K565" s="31">
        <f>_xlfn.XLOOKUP(AR[[#This Row],[Customer name]], Customer_master[Customer name], Customer_master[Terms days], 0)</f>
        <v>0</v>
      </c>
      <c r="L5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5" s="4"/>
      <c r="N565" s="46">
        <f>IF(AR[[#This Row],[Collection date - override (dd/mm/yyyy)]] &lt;&gt; "", AR[[#This Row],[Collection date - override (dd/mm/yyyy)]], AR[[#This Row],[Due date (dd/mm/yyyy)]])</f>
        <v>0</v>
      </c>
      <c r="O565" s="46">
        <f t="shared" si="8"/>
        <v>52</v>
      </c>
    </row>
    <row r="566" spans="3:15" x14ac:dyDescent="0.25">
      <c r="C566" s="28"/>
      <c r="D566" s="20"/>
      <c r="E566" s="4"/>
      <c r="F566" s="37"/>
      <c r="G566" s="24"/>
      <c r="H566" s="51">
        <f>Assumptions!$D$15</f>
        <v>0.1</v>
      </c>
      <c r="I566" s="45">
        <f>IF(AR[[#This Row],[GST applies?]] = "Yes", (AR[[#This Row],[Invoice value inc. VAT]] / 1 + AR[[#This Row],[GST %]]) * AR[[#This Row],[GST %]], 0)</f>
        <v>0</v>
      </c>
      <c r="J566" s="31">
        <f>_xlfn.XLOOKUP(AR[[#This Row],[Customer name]], Customer_master[Customer name], Customer_master[EOM or Net], 0)</f>
        <v>0</v>
      </c>
      <c r="K566" s="31">
        <f>_xlfn.XLOOKUP(AR[[#This Row],[Customer name]], Customer_master[Customer name], Customer_master[Terms days], 0)</f>
        <v>0</v>
      </c>
      <c r="L5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6" s="4"/>
      <c r="N566" s="46">
        <f>IF(AR[[#This Row],[Collection date - override (dd/mm/yyyy)]] &lt;&gt; "", AR[[#This Row],[Collection date - override (dd/mm/yyyy)]], AR[[#This Row],[Due date (dd/mm/yyyy)]])</f>
        <v>0</v>
      </c>
      <c r="O566" s="46">
        <f t="shared" si="8"/>
        <v>52</v>
      </c>
    </row>
    <row r="567" spans="3:15" x14ac:dyDescent="0.25">
      <c r="C567" s="28"/>
      <c r="D567" s="20"/>
      <c r="E567" s="4"/>
      <c r="F567" s="37"/>
      <c r="G567" s="24"/>
      <c r="H567" s="51">
        <f>Assumptions!$D$15</f>
        <v>0.1</v>
      </c>
      <c r="I567" s="45">
        <f>IF(AR[[#This Row],[GST applies?]] = "Yes", (AR[[#This Row],[Invoice value inc. VAT]] / 1 + AR[[#This Row],[GST %]]) * AR[[#This Row],[GST %]], 0)</f>
        <v>0</v>
      </c>
      <c r="J567" s="31">
        <f>_xlfn.XLOOKUP(AR[[#This Row],[Customer name]], Customer_master[Customer name], Customer_master[EOM or Net], 0)</f>
        <v>0</v>
      </c>
      <c r="K567" s="31">
        <f>_xlfn.XLOOKUP(AR[[#This Row],[Customer name]], Customer_master[Customer name], Customer_master[Terms days], 0)</f>
        <v>0</v>
      </c>
      <c r="L5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7" s="4"/>
      <c r="N567" s="46">
        <f>IF(AR[[#This Row],[Collection date - override (dd/mm/yyyy)]] &lt;&gt; "", AR[[#This Row],[Collection date - override (dd/mm/yyyy)]], AR[[#This Row],[Due date (dd/mm/yyyy)]])</f>
        <v>0</v>
      </c>
      <c r="O567" s="46">
        <f t="shared" si="8"/>
        <v>52</v>
      </c>
    </row>
    <row r="568" spans="3:15" x14ac:dyDescent="0.25">
      <c r="C568" s="28"/>
      <c r="D568" s="20"/>
      <c r="E568" s="4"/>
      <c r="F568" s="37"/>
      <c r="G568" s="24"/>
      <c r="H568" s="51">
        <f>Assumptions!$D$15</f>
        <v>0.1</v>
      </c>
      <c r="I568" s="45">
        <f>IF(AR[[#This Row],[GST applies?]] = "Yes", (AR[[#This Row],[Invoice value inc. VAT]] / 1 + AR[[#This Row],[GST %]]) * AR[[#This Row],[GST %]], 0)</f>
        <v>0</v>
      </c>
      <c r="J568" s="31">
        <f>_xlfn.XLOOKUP(AR[[#This Row],[Customer name]], Customer_master[Customer name], Customer_master[EOM or Net], 0)</f>
        <v>0</v>
      </c>
      <c r="K568" s="31">
        <f>_xlfn.XLOOKUP(AR[[#This Row],[Customer name]], Customer_master[Customer name], Customer_master[Terms days], 0)</f>
        <v>0</v>
      </c>
      <c r="L5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8" s="4"/>
      <c r="N568" s="46">
        <f>IF(AR[[#This Row],[Collection date - override (dd/mm/yyyy)]] &lt;&gt; "", AR[[#This Row],[Collection date - override (dd/mm/yyyy)]], AR[[#This Row],[Due date (dd/mm/yyyy)]])</f>
        <v>0</v>
      </c>
      <c r="O568" s="46">
        <f t="shared" si="8"/>
        <v>52</v>
      </c>
    </row>
    <row r="569" spans="3:15" x14ac:dyDescent="0.25">
      <c r="C569" s="28"/>
      <c r="D569" s="20"/>
      <c r="E569" s="4"/>
      <c r="F569" s="37"/>
      <c r="G569" s="24"/>
      <c r="H569" s="51">
        <f>Assumptions!$D$15</f>
        <v>0.1</v>
      </c>
      <c r="I569" s="45">
        <f>IF(AR[[#This Row],[GST applies?]] = "Yes", (AR[[#This Row],[Invoice value inc. VAT]] / 1 + AR[[#This Row],[GST %]]) * AR[[#This Row],[GST %]], 0)</f>
        <v>0</v>
      </c>
      <c r="J569" s="31">
        <f>_xlfn.XLOOKUP(AR[[#This Row],[Customer name]], Customer_master[Customer name], Customer_master[EOM or Net], 0)</f>
        <v>0</v>
      </c>
      <c r="K569" s="31">
        <f>_xlfn.XLOOKUP(AR[[#This Row],[Customer name]], Customer_master[Customer name], Customer_master[Terms days], 0)</f>
        <v>0</v>
      </c>
      <c r="L5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9" s="4"/>
      <c r="N569" s="46">
        <f>IF(AR[[#This Row],[Collection date - override (dd/mm/yyyy)]] &lt;&gt; "", AR[[#This Row],[Collection date - override (dd/mm/yyyy)]], AR[[#This Row],[Due date (dd/mm/yyyy)]])</f>
        <v>0</v>
      </c>
      <c r="O569" s="46">
        <f t="shared" si="8"/>
        <v>52</v>
      </c>
    </row>
    <row r="570" spans="3:15" x14ac:dyDescent="0.25">
      <c r="C570" s="28"/>
      <c r="D570" s="20"/>
      <c r="E570" s="4"/>
      <c r="F570" s="37"/>
      <c r="G570" s="24"/>
      <c r="H570" s="51">
        <f>Assumptions!$D$15</f>
        <v>0.1</v>
      </c>
      <c r="I570" s="45">
        <f>IF(AR[[#This Row],[GST applies?]] = "Yes", (AR[[#This Row],[Invoice value inc. VAT]] / 1 + AR[[#This Row],[GST %]]) * AR[[#This Row],[GST %]], 0)</f>
        <v>0</v>
      </c>
      <c r="J570" s="31">
        <f>_xlfn.XLOOKUP(AR[[#This Row],[Customer name]], Customer_master[Customer name], Customer_master[EOM or Net], 0)</f>
        <v>0</v>
      </c>
      <c r="K570" s="31">
        <f>_xlfn.XLOOKUP(AR[[#This Row],[Customer name]], Customer_master[Customer name], Customer_master[Terms days], 0)</f>
        <v>0</v>
      </c>
      <c r="L5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0" s="4"/>
      <c r="N570" s="46">
        <f>IF(AR[[#This Row],[Collection date - override (dd/mm/yyyy)]] &lt;&gt; "", AR[[#This Row],[Collection date - override (dd/mm/yyyy)]], AR[[#This Row],[Due date (dd/mm/yyyy)]])</f>
        <v>0</v>
      </c>
      <c r="O570" s="46">
        <f t="shared" si="8"/>
        <v>52</v>
      </c>
    </row>
    <row r="571" spans="3:15" x14ac:dyDescent="0.25">
      <c r="C571" s="28"/>
      <c r="D571" s="20"/>
      <c r="E571" s="4"/>
      <c r="F571" s="37"/>
      <c r="G571" s="24"/>
      <c r="H571" s="51">
        <f>Assumptions!$D$15</f>
        <v>0.1</v>
      </c>
      <c r="I571" s="45">
        <f>IF(AR[[#This Row],[GST applies?]] = "Yes", (AR[[#This Row],[Invoice value inc. VAT]] / 1 + AR[[#This Row],[GST %]]) * AR[[#This Row],[GST %]], 0)</f>
        <v>0</v>
      </c>
      <c r="J571" s="31">
        <f>_xlfn.XLOOKUP(AR[[#This Row],[Customer name]], Customer_master[Customer name], Customer_master[EOM or Net], 0)</f>
        <v>0</v>
      </c>
      <c r="K571" s="31">
        <f>_xlfn.XLOOKUP(AR[[#This Row],[Customer name]], Customer_master[Customer name], Customer_master[Terms days], 0)</f>
        <v>0</v>
      </c>
      <c r="L5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1" s="4"/>
      <c r="N571" s="46">
        <f>IF(AR[[#This Row],[Collection date - override (dd/mm/yyyy)]] &lt;&gt; "", AR[[#This Row],[Collection date - override (dd/mm/yyyy)]], AR[[#This Row],[Due date (dd/mm/yyyy)]])</f>
        <v>0</v>
      </c>
      <c r="O571" s="46">
        <f t="shared" si="8"/>
        <v>52</v>
      </c>
    </row>
    <row r="572" spans="3:15" x14ac:dyDescent="0.25">
      <c r="C572" s="28"/>
      <c r="D572" s="20"/>
      <c r="E572" s="4"/>
      <c r="F572" s="37"/>
      <c r="G572" s="24"/>
      <c r="H572" s="51">
        <f>Assumptions!$D$15</f>
        <v>0.1</v>
      </c>
      <c r="I572" s="45">
        <f>IF(AR[[#This Row],[GST applies?]] = "Yes", (AR[[#This Row],[Invoice value inc. VAT]] / 1 + AR[[#This Row],[GST %]]) * AR[[#This Row],[GST %]], 0)</f>
        <v>0</v>
      </c>
      <c r="J572" s="31">
        <f>_xlfn.XLOOKUP(AR[[#This Row],[Customer name]], Customer_master[Customer name], Customer_master[EOM or Net], 0)</f>
        <v>0</v>
      </c>
      <c r="K572" s="31">
        <f>_xlfn.XLOOKUP(AR[[#This Row],[Customer name]], Customer_master[Customer name], Customer_master[Terms days], 0)</f>
        <v>0</v>
      </c>
      <c r="L5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2" s="4"/>
      <c r="N572" s="46">
        <f>IF(AR[[#This Row],[Collection date - override (dd/mm/yyyy)]] &lt;&gt; "", AR[[#This Row],[Collection date - override (dd/mm/yyyy)]], AR[[#This Row],[Due date (dd/mm/yyyy)]])</f>
        <v>0</v>
      </c>
      <c r="O572" s="46">
        <f t="shared" si="8"/>
        <v>52</v>
      </c>
    </row>
    <row r="573" spans="3:15" x14ac:dyDescent="0.25">
      <c r="C573" s="28"/>
      <c r="D573" s="20"/>
      <c r="E573" s="4"/>
      <c r="F573" s="37"/>
      <c r="G573" s="24"/>
      <c r="H573" s="51">
        <f>Assumptions!$D$15</f>
        <v>0.1</v>
      </c>
      <c r="I573" s="45">
        <f>IF(AR[[#This Row],[GST applies?]] = "Yes", (AR[[#This Row],[Invoice value inc. VAT]] / 1 + AR[[#This Row],[GST %]]) * AR[[#This Row],[GST %]], 0)</f>
        <v>0</v>
      </c>
      <c r="J573" s="31">
        <f>_xlfn.XLOOKUP(AR[[#This Row],[Customer name]], Customer_master[Customer name], Customer_master[EOM or Net], 0)</f>
        <v>0</v>
      </c>
      <c r="K573" s="31">
        <f>_xlfn.XLOOKUP(AR[[#This Row],[Customer name]], Customer_master[Customer name], Customer_master[Terms days], 0)</f>
        <v>0</v>
      </c>
      <c r="L5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3" s="4"/>
      <c r="N573" s="46">
        <f>IF(AR[[#This Row],[Collection date - override (dd/mm/yyyy)]] &lt;&gt; "", AR[[#This Row],[Collection date - override (dd/mm/yyyy)]], AR[[#This Row],[Due date (dd/mm/yyyy)]])</f>
        <v>0</v>
      </c>
      <c r="O573" s="46">
        <f t="shared" si="8"/>
        <v>52</v>
      </c>
    </row>
    <row r="574" spans="3:15" x14ac:dyDescent="0.25">
      <c r="C574" s="28"/>
      <c r="D574" s="20"/>
      <c r="E574" s="4"/>
      <c r="F574" s="37"/>
      <c r="G574" s="24"/>
      <c r="H574" s="51">
        <f>Assumptions!$D$15</f>
        <v>0.1</v>
      </c>
      <c r="I574" s="45">
        <f>IF(AR[[#This Row],[GST applies?]] = "Yes", (AR[[#This Row],[Invoice value inc. VAT]] / 1 + AR[[#This Row],[GST %]]) * AR[[#This Row],[GST %]], 0)</f>
        <v>0</v>
      </c>
      <c r="J574" s="31">
        <f>_xlfn.XLOOKUP(AR[[#This Row],[Customer name]], Customer_master[Customer name], Customer_master[EOM or Net], 0)</f>
        <v>0</v>
      </c>
      <c r="K574" s="31">
        <f>_xlfn.XLOOKUP(AR[[#This Row],[Customer name]], Customer_master[Customer name], Customer_master[Terms days], 0)</f>
        <v>0</v>
      </c>
      <c r="L5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4" s="4"/>
      <c r="N574" s="46">
        <f>IF(AR[[#This Row],[Collection date - override (dd/mm/yyyy)]] &lt;&gt; "", AR[[#This Row],[Collection date - override (dd/mm/yyyy)]], AR[[#This Row],[Due date (dd/mm/yyyy)]])</f>
        <v>0</v>
      </c>
      <c r="O574" s="46">
        <f t="shared" si="8"/>
        <v>52</v>
      </c>
    </row>
    <row r="575" spans="3:15" x14ac:dyDescent="0.25">
      <c r="C575" s="28"/>
      <c r="D575" s="20"/>
      <c r="E575" s="4"/>
      <c r="F575" s="37"/>
      <c r="G575" s="24"/>
      <c r="H575" s="51">
        <f>Assumptions!$D$15</f>
        <v>0.1</v>
      </c>
      <c r="I575" s="45">
        <f>IF(AR[[#This Row],[GST applies?]] = "Yes", (AR[[#This Row],[Invoice value inc. VAT]] / 1 + AR[[#This Row],[GST %]]) * AR[[#This Row],[GST %]], 0)</f>
        <v>0</v>
      </c>
      <c r="J575" s="31">
        <f>_xlfn.XLOOKUP(AR[[#This Row],[Customer name]], Customer_master[Customer name], Customer_master[EOM or Net], 0)</f>
        <v>0</v>
      </c>
      <c r="K575" s="31">
        <f>_xlfn.XLOOKUP(AR[[#This Row],[Customer name]], Customer_master[Customer name], Customer_master[Terms days], 0)</f>
        <v>0</v>
      </c>
      <c r="L5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5" s="4"/>
      <c r="N575" s="46">
        <f>IF(AR[[#This Row],[Collection date - override (dd/mm/yyyy)]] &lt;&gt; "", AR[[#This Row],[Collection date - override (dd/mm/yyyy)]], AR[[#This Row],[Due date (dd/mm/yyyy)]])</f>
        <v>0</v>
      </c>
      <c r="O575" s="46">
        <f t="shared" si="8"/>
        <v>52</v>
      </c>
    </row>
    <row r="576" spans="3:15" x14ac:dyDescent="0.25">
      <c r="C576" s="28"/>
      <c r="D576" s="20"/>
      <c r="E576" s="4"/>
      <c r="F576" s="37"/>
      <c r="G576" s="24"/>
      <c r="H576" s="51">
        <f>Assumptions!$D$15</f>
        <v>0.1</v>
      </c>
      <c r="I576" s="45">
        <f>IF(AR[[#This Row],[GST applies?]] = "Yes", (AR[[#This Row],[Invoice value inc. VAT]] / 1 + AR[[#This Row],[GST %]]) * AR[[#This Row],[GST %]], 0)</f>
        <v>0</v>
      </c>
      <c r="J576" s="31">
        <f>_xlfn.XLOOKUP(AR[[#This Row],[Customer name]], Customer_master[Customer name], Customer_master[EOM or Net], 0)</f>
        <v>0</v>
      </c>
      <c r="K576" s="31">
        <f>_xlfn.XLOOKUP(AR[[#This Row],[Customer name]], Customer_master[Customer name], Customer_master[Terms days], 0)</f>
        <v>0</v>
      </c>
      <c r="L5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6" s="4"/>
      <c r="N576" s="46">
        <f>IF(AR[[#This Row],[Collection date - override (dd/mm/yyyy)]] &lt;&gt; "", AR[[#This Row],[Collection date - override (dd/mm/yyyy)]], AR[[#This Row],[Due date (dd/mm/yyyy)]])</f>
        <v>0</v>
      </c>
      <c r="O576" s="46">
        <f t="shared" si="8"/>
        <v>52</v>
      </c>
    </row>
    <row r="577" spans="3:15" x14ac:dyDescent="0.25">
      <c r="C577" s="28"/>
      <c r="D577" s="20"/>
      <c r="E577" s="4"/>
      <c r="F577" s="37"/>
      <c r="G577" s="24"/>
      <c r="H577" s="51">
        <f>Assumptions!$D$15</f>
        <v>0.1</v>
      </c>
      <c r="I577" s="45">
        <f>IF(AR[[#This Row],[GST applies?]] = "Yes", (AR[[#This Row],[Invoice value inc. VAT]] / 1 + AR[[#This Row],[GST %]]) * AR[[#This Row],[GST %]], 0)</f>
        <v>0</v>
      </c>
      <c r="J577" s="31">
        <f>_xlfn.XLOOKUP(AR[[#This Row],[Customer name]], Customer_master[Customer name], Customer_master[EOM or Net], 0)</f>
        <v>0</v>
      </c>
      <c r="K577" s="31">
        <f>_xlfn.XLOOKUP(AR[[#This Row],[Customer name]], Customer_master[Customer name], Customer_master[Terms days], 0)</f>
        <v>0</v>
      </c>
      <c r="L5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7" s="4"/>
      <c r="N577" s="46">
        <f>IF(AR[[#This Row],[Collection date - override (dd/mm/yyyy)]] &lt;&gt; "", AR[[#This Row],[Collection date - override (dd/mm/yyyy)]], AR[[#This Row],[Due date (dd/mm/yyyy)]])</f>
        <v>0</v>
      </c>
      <c r="O577" s="46">
        <f t="shared" si="8"/>
        <v>52</v>
      </c>
    </row>
    <row r="578" spans="3:15" x14ac:dyDescent="0.25">
      <c r="C578" s="28"/>
      <c r="D578" s="20"/>
      <c r="E578" s="4"/>
      <c r="F578" s="37"/>
      <c r="G578" s="24"/>
      <c r="H578" s="51">
        <f>Assumptions!$D$15</f>
        <v>0.1</v>
      </c>
      <c r="I578" s="45">
        <f>IF(AR[[#This Row],[GST applies?]] = "Yes", (AR[[#This Row],[Invoice value inc. VAT]] / 1 + AR[[#This Row],[GST %]]) * AR[[#This Row],[GST %]], 0)</f>
        <v>0</v>
      </c>
      <c r="J578" s="31">
        <f>_xlfn.XLOOKUP(AR[[#This Row],[Customer name]], Customer_master[Customer name], Customer_master[EOM or Net], 0)</f>
        <v>0</v>
      </c>
      <c r="K578" s="31">
        <f>_xlfn.XLOOKUP(AR[[#This Row],[Customer name]], Customer_master[Customer name], Customer_master[Terms days], 0)</f>
        <v>0</v>
      </c>
      <c r="L5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8" s="4"/>
      <c r="N578" s="46">
        <f>IF(AR[[#This Row],[Collection date - override (dd/mm/yyyy)]] &lt;&gt; "", AR[[#This Row],[Collection date - override (dd/mm/yyyy)]], AR[[#This Row],[Due date (dd/mm/yyyy)]])</f>
        <v>0</v>
      </c>
      <c r="O578" s="46">
        <f t="shared" si="8"/>
        <v>52</v>
      </c>
    </row>
    <row r="579" spans="3:15" x14ac:dyDescent="0.25">
      <c r="C579" s="28"/>
      <c r="D579" s="20"/>
      <c r="E579" s="4"/>
      <c r="F579" s="37"/>
      <c r="G579" s="24"/>
      <c r="H579" s="51">
        <f>Assumptions!$D$15</f>
        <v>0.1</v>
      </c>
      <c r="I579" s="45">
        <f>IF(AR[[#This Row],[GST applies?]] = "Yes", (AR[[#This Row],[Invoice value inc. VAT]] / 1 + AR[[#This Row],[GST %]]) * AR[[#This Row],[GST %]], 0)</f>
        <v>0</v>
      </c>
      <c r="J579" s="31">
        <f>_xlfn.XLOOKUP(AR[[#This Row],[Customer name]], Customer_master[Customer name], Customer_master[EOM or Net], 0)</f>
        <v>0</v>
      </c>
      <c r="K579" s="31">
        <f>_xlfn.XLOOKUP(AR[[#This Row],[Customer name]], Customer_master[Customer name], Customer_master[Terms days], 0)</f>
        <v>0</v>
      </c>
      <c r="L5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9" s="4"/>
      <c r="N579" s="46">
        <f>IF(AR[[#This Row],[Collection date - override (dd/mm/yyyy)]] &lt;&gt; "", AR[[#This Row],[Collection date - override (dd/mm/yyyy)]], AR[[#This Row],[Due date (dd/mm/yyyy)]])</f>
        <v>0</v>
      </c>
      <c r="O579" s="46">
        <f t="shared" si="8"/>
        <v>52</v>
      </c>
    </row>
    <row r="580" spans="3:15" x14ac:dyDescent="0.25">
      <c r="C580" s="28"/>
      <c r="D580" s="20"/>
      <c r="E580" s="4"/>
      <c r="F580" s="37"/>
      <c r="G580" s="24"/>
      <c r="H580" s="51">
        <f>Assumptions!$D$15</f>
        <v>0.1</v>
      </c>
      <c r="I580" s="45">
        <f>IF(AR[[#This Row],[GST applies?]] = "Yes", (AR[[#This Row],[Invoice value inc. VAT]] / 1 + AR[[#This Row],[GST %]]) * AR[[#This Row],[GST %]], 0)</f>
        <v>0</v>
      </c>
      <c r="J580" s="31">
        <f>_xlfn.XLOOKUP(AR[[#This Row],[Customer name]], Customer_master[Customer name], Customer_master[EOM or Net], 0)</f>
        <v>0</v>
      </c>
      <c r="K580" s="31">
        <f>_xlfn.XLOOKUP(AR[[#This Row],[Customer name]], Customer_master[Customer name], Customer_master[Terms days], 0)</f>
        <v>0</v>
      </c>
      <c r="L5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0" s="4"/>
      <c r="N580" s="46">
        <f>IF(AR[[#This Row],[Collection date - override (dd/mm/yyyy)]] &lt;&gt; "", AR[[#This Row],[Collection date - override (dd/mm/yyyy)]], AR[[#This Row],[Due date (dd/mm/yyyy)]])</f>
        <v>0</v>
      </c>
      <c r="O580" s="46">
        <f t="shared" si="8"/>
        <v>52</v>
      </c>
    </row>
    <row r="581" spans="3:15" x14ac:dyDescent="0.25">
      <c r="C581" s="28"/>
      <c r="D581" s="20"/>
      <c r="E581" s="4"/>
      <c r="F581" s="37"/>
      <c r="G581" s="24"/>
      <c r="H581" s="51">
        <f>Assumptions!$D$15</f>
        <v>0.1</v>
      </c>
      <c r="I581" s="45">
        <f>IF(AR[[#This Row],[GST applies?]] = "Yes", (AR[[#This Row],[Invoice value inc. VAT]] / 1 + AR[[#This Row],[GST %]]) * AR[[#This Row],[GST %]], 0)</f>
        <v>0</v>
      </c>
      <c r="J581" s="31">
        <f>_xlfn.XLOOKUP(AR[[#This Row],[Customer name]], Customer_master[Customer name], Customer_master[EOM or Net], 0)</f>
        <v>0</v>
      </c>
      <c r="K581" s="31">
        <f>_xlfn.XLOOKUP(AR[[#This Row],[Customer name]], Customer_master[Customer name], Customer_master[Terms days], 0)</f>
        <v>0</v>
      </c>
      <c r="L5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1" s="4"/>
      <c r="N581" s="46">
        <f>IF(AR[[#This Row],[Collection date - override (dd/mm/yyyy)]] &lt;&gt; "", AR[[#This Row],[Collection date - override (dd/mm/yyyy)]], AR[[#This Row],[Due date (dd/mm/yyyy)]])</f>
        <v>0</v>
      </c>
      <c r="O581" s="46">
        <f t="shared" si="8"/>
        <v>52</v>
      </c>
    </row>
    <row r="582" spans="3:15" x14ac:dyDescent="0.25">
      <c r="C582" s="28"/>
      <c r="D582" s="20"/>
      <c r="E582" s="4"/>
      <c r="F582" s="37"/>
      <c r="G582" s="24"/>
      <c r="H582" s="51">
        <f>Assumptions!$D$15</f>
        <v>0.1</v>
      </c>
      <c r="I582" s="45">
        <f>IF(AR[[#This Row],[GST applies?]] = "Yes", (AR[[#This Row],[Invoice value inc. VAT]] / 1 + AR[[#This Row],[GST %]]) * AR[[#This Row],[GST %]], 0)</f>
        <v>0</v>
      </c>
      <c r="J582" s="31">
        <f>_xlfn.XLOOKUP(AR[[#This Row],[Customer name]], Customer_master[Customer name], Customer_master[EOM or Net], 0)</f>
        <v>0</v>
      </c>
      <c r="K582" s="31">
        <f>_xlfn.XLOOKUP(AR[[#This Row],[Customer name]], Customer_master[Customer name], Customer_master[Terms days], 0)</f>
        <v>0</v>
      </c>
      <c r="L5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2" s="4"/>
      <c r="N582" s="46">
        <f>IF(AR[[#This Row],[Collection date - override (dd/mm/yyyy)]] &lt;&gt; "", AR[[#This Row],[Collection date - override (dd/mm/yyyy)]], AR[[#This Row],[Due date (dd/mm/yyyy)]])</f>
        <v>0</v>
      </c>
      <c r="O582" s="46">
        <f t="shared" si="8"/>
        <v>52</v>
      </c>
    </row>
    <row r="583" spans="3:15" x14ac:dyDescent="0.25">
      <c r="C583" s="28"/>
      <c r="D583" s="20"/>
      <c r="E583" s="4"/>
      <c r="F583" s="37"/>
      <c r="G583" s="24"/>
      <c r="H583" s="51">
        <f>Assumptions!$D$15</f>
        <v>0.1</v>
      </c>
      <c r="I583" s="45">
        <f>IF(AR[[#This Row],[GST applies?]] = "Yes", (AR[[#This Row],[Invoice value inc. VAT]] / 1 + AR[[#This Row],[GST %]]) * AR[[#This Row],[GST %]], 0)</f>
        <v>0</v>
      </c>
      <c r="J583" s="31">
        <f>_xlfn.XLOOKUP(AR[[#This Row],[Customer name]], Customer_master[Customer name], Customer_master[EOM or Net], 0)</f>
        <v>0</v>
      </c>
      <c r="K583" s="31">
        <f>_xlfn.XLOOKUP(AR[[#This Row],[Customer name]], Customer_master[Customer name], Customer_master[Terms days], 0)</f>
        <v>0</v>
      </c>
      <c r="L5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3" s="4"/>
      <c r="N583" s="46">
        <f>IF(AR[[#This Row],[Collection date - override (dd/mm/yyyy)]] &lt;&gt; "", AR[[#This Row],[Collection date - override (dd/mm/yyyy)]], AR[[#This Row],[Due date (dd/mm/yyyy)]])</f>
        <v>0</v>
      </c>
      <c r="O583" s="46">
        <f t="shared" si="8"/>
        <v>52</v>
      </c>
    </row>
    <row r="584" spans="3:15" x14ac:dyDescent="0.25">
      <c r="C584" s="28"/>
      <c r="D584" s="20"/>
      <c r="E584" s="4"/>
      <c r="F584" s="37"/>
      <c r="G584" s="24"/>
      <c r="H584" s="51">
        <f>Assumptions!$D$15</f>
        <v>0.1</v>
      </c>
      <c r="I584" s="45">
        <f>IF(AR[[#This Row],[GST applies?]] = "Yes", (AR[[#This Row],[Invoice value inc. VAT]] / 1 + AR[[#This Row],[GST %]]) * AR[[#This Row],[GST %]], 0)</f>
        <v>0</v>
      </c>
      <c r="J584" s="31">
        <f>_xlfn.XLOOKUP(AR[[#This Row],[Customer name]], Customer_master[Customer name], Customer_master[EOM or Net], 0)</f>
        <v>0</v>
      </c>
      <c r="K584" s="31">
        <f>_xlfn.XLOOKUP(AR[[#This Row],[Customer name]], Customer_master[Customer name], Customer_master[Terms days], 0)</f>
        <v>0</v>
      </c>
      <c r="L5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4" s="4"/>
      <c r="N584" s="46">
        <f>IF(AR[[#This Row],[Collection date - override (dd/mm/yyyy)]] &lt;&gt; "", AR[[#This Row],[Collection date - override (dd/mm/yyyy)]], AR[[#This Row],[Due date (dd/mm/yyyy)]])</f>
        <v>0</v>
      </c>
      <c r="O584" s="46">
        <f t="shared" si="8"/>
        <v>52</v>
      </c>
    </row>
    <row r="585" spans="3:15" x14ac:dyDescent="0.25">
      <c r="C585" s="28"/>
      <c r="D585" s="20"/>
      <c r="E585" s="4"/>
      <c r="F585" s="37"/>
      <c r="G585" s="24"/>
      <c r="H585" s="51">
        <f>Assumptions!$D$15</f>
        <v>0.1</v>
      </c>
      <c r="I585" s="45">
        <f>IF(AR[[#This Row],[GST applies?]] = "Yes", (AR[[#This Row],[Invoice value inc. VAT]] / 1 + AR[[#This Row],[GST %]]) * AR[[#This Row],[GST %]], 0)</f>
        <v>0</v>
      </c>
      <c r="J585" s="31">
        <f>_xlfn.XLOOKUP(AR[[#This Row],[Customer name]], Customer_master[Customer name], Customer_master[EOM or Net], 0)</f>
        <v>0</v>
      </c>
      <c r="K585" s="31">
        <f>_xlfn.XLOOKUP(AR[[#This Row],[Customer name]], Customer_master[Customer name], Customer_master[Terms days], 0)</f>
        <v>0</v>
      </c>
      <c r="L5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5" s="4"/>
      <c r="N585" s="46">
        <f>IF(AR[[#This Row],[Collection date - override (dd/mm/yyyy)]] &lt;&gt; "", AR[[#This Row],[Collection date - override (dd/mm/yyyy)]], AR[[#This Row],[Due date (dd/mm/yyyy)]])</f>
        <v>0</v>
      </c>
      <c r="O585" s="46">
        <f t="shared" ref="O585:O648" si="9">IF(GST_Freq="Monthly",
    DATE(YEAR(E585), MONTH(E585) + 1, 21),
    IF(GST_Freq="Quarterly",
        IF(MOD(MONTH(E585) + 2 - MOD(MOD(MONTH(E585) - GST_First_Month, 12), 3), 12) = 0,
            DATE(YEAR(E585), MONTH(E585) + 4 - MOD(MOD(MONTH(E585) - GST_First_Month, 12), 3), 28),
            DATE(YEAR(E585), MONTH(E585) + 3 - MOD(MOD(MONTH(E585) - GST_First_Month, 12), 3), 28)
        ),
        "Invalid frequency"
    )
)</f>
        <v>52</v>
      </c>
    </row>
    <row r="586" spans="3:15" x14ac:dyDescent="0.25">
      <c r="C586" s="28"/>
      <c r="D586" s="20"/>
      <c r="E586" s="4"/>
      <c r="F586" s="37"/>
      <c r="G586" s="24"/>
      <c r="H586" s="51">
        <f>Assumptions!$D$15</f>
        <v>0.1</v>
      </c>
      <c r="I586" s="45">
        <f>IF(AR[[#This Row],[GST applies?]] = "Yes", (AR[[#This Row],[Invoice value inc. VAT]] / 1 + AR[[#This Row],[GST %]]) * AR[[#This Row],[GST %]], 0)</f>
        <v>0</v>
      </c>
      <c r="J586" s="31">
        <f>_xlfn.XLOOKUP(AR[[#This Row],[Customer name]], Customer_master[Customer name], Customer_master[EOM or Net], 0)</f>
        <v>0</v>
      </c>
      <c r="K586" s="31">
        <f>_xlfn.XLOOKUP(AR[[#This Row],[Customer name]], Customer_master[Customer name], Customer_master[Terms days], 0)</f>
        <v>0</v>
      </c>
      <c r="L5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6" s="4"/>
      <c r="N586" s="46">
        <f>IF(AR[[#This Row],[Collection date - override (dd/mm/yyyy)]] &lt;&gt; "", AR[[#This Row],[Collection date - override (dd/mm/yyyy)]], AR[[#This Row],[Due date (dd/mm/yyyy)]])</f>
        <v>0</v>
      </c>
      <c r="O586" s="46">
        <f t="shared" si="9"/>
        <v>52</v>
      </c>
    </row>
    <row r="587" spans="3:15" x14ac:dyDescent="0.25">
      <c r="C587" s="28"/>
      <c r="D587" s="20"/>
      <c r="E587" s="4"/>
      <c r="F587" s="37"/>
      <c r="G587" s="24"/>
      <c r="H587" s="51">
        <f>Assumptions!$D$15</f>
        <v>0.1</v>
      </c>
      <c r="I587" s="45">
        <f>IF(AR[[#This Row],[GST applies?]] = "Yes", (AR[[#This Row],[Invoice value inc. VAT]] / 1 + AR[[#This Row],[GST %]]) * AR[[#This Row],[GST %]], 0)</f>
        <v>0</v>
      </c>
      <c r="J587" s="31">
        <f>_xlfn.XLOOKUP(AR[[#This Row],[Customer name]], Customer_master[Customer name], Customer_master[EOM or Net], 0)</f>
        <v>0</v>
      </c>
      <c r="K587" s="31">
        <f>_xlfn.XLOOKUP(AR[[#This Row],[Customer name]], Customer_master[Customer name], Customer_master[Terms days], 0)</f>
        <v>0</v>
      </c>
      <c r="L5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7" s="4"/>
      <c r="N587" s="46">
        <f>IF(AR[[#This Row],[Collection date - override (dd/mm/yyyy)]] &lt;&gt; "", AR[[#This Row],[Collection date - override (dd/mm/yyyy)]], AR[[#This Row],[Due date (dd/mm/yyyy)]])</f>
        <v>0</v>
      </c>
      <c r="O587" s="46">
        <f t="shared" si="9"/>
        <v>52</v>
      </c>
    </row>
    <row r="588" spans="3:15" x14ac:dyDescent="0.25">
      <c r="C588" s="28"/>
      <c r="D588" s="20"/>
      <c r="E588" s="4"/>
      <c r="F588" s="37"/>
      <c r="G588" s="24"/>
      <c r="H588" s="51">
        <f>Assumptions!$D$15</f>
        <v>0.1</v>
      </c>
      <c r="I588" s="45">
        <f>IF(AR[[#This Row],[GST applies?]] = "Yes", (AR[[#This Row],[Invoice value inc. VAT]] / 1 + AR[[#This Row],[GST %]]) * AR[[#This Row],[GST %]], 0)</f>
        <v>0</v>
      </c>
      <c r="J588" s="31">
        <f>_xlfn.XLOOKUP(AR[[#This Row],[Customer name]], Customer_master[Customer name], Customer_master[EOM or Net], 0)</f>
        <v>0</v>
      </c>
      <c r="K588" s="31">
        <f>_xlfn.XLOOKUP(AR[[#This Row],[Customer name]], Customer_master[Customer name], Customer_master[Terms days], 0)</f>
        <v>0</v>
      </c>
      <c r="L5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8" s="4"/>
      <c r="N588" s="46">
        <f>IF(AR[[#This Row],[Collection date - override (dd/mm/yyyy)]] &lt;&gt; "", AR[[#This Row],[Collection date - override (dd/mm/yyyy)]], AR[[#This Row],[Due date (dd/mm/yyyy)]])</f>
        <v>0</v>
      </c>
      <c r="O588" s="46">
        <f t="shared" si="9"/>
        <v>52</v>
      </c>
    </row>
    <row r="589" spans="3:15" x14ac:dyDescent="0.25">
      <c r="C589" s="28"/>
      <c r="D589" s="20"/>
      <c r="E589" s="4"/>
      <c r="F589" s="37"/>
      <c r="G589" s="24"/>
      <c r="H589" s="51">
        <f>Assumptions!$D$15</f>
        <v>0.1</v>
      </c>
      <c r="I589" s="45">
        <f>IF(AR[[#This Row],[GST applies?]] = "Yes", (AR[[#This Row],[Invoice value inc. VAT]] / 1 + AR[[#This Row],[GST %]]) * AR[[#This Row],[GST %]], 0)</f>
        <v>0</v>
      </c>
      <c r="J589" s="31">
        <f>_xlfn.XLOOKUP(AR[[#This Row],[Customer name]], Customer_master[Customer name], Customer_master[EOM or Net], 0)</f>
        <v>0</v>
      </c>
      <c r="K589" s="31">
        <f>_xlfn.XLOOKUP(AR[[#This Row],[Customer name]], Customer_master[Customer name], Customer_master[Terms days], 0)</f>
        <v>0</v>
      </c>
      <c r="L5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9" s="4"/>
      <c r="N589" s="46">
        <f>IF(AR[[#This Row],[Collection date - override (dd/mm/yyyy)]] &lt;&gt; "", AR[[#This Row],[Collection date - override (dd/mm/yyyy)]], AR[[#This Row],[Due date (dd/mm/yyyy)]])</f>
        <v>0</v>
      </c>
      <c r="O589" s="46">
        <f t="shared" si="9"/>
        <v>52</v>
      </c>
    </row>
    <row r="590" spans="3:15" x14ac:dyDescent="0.25">
      <c r="C590" s="28"/>
      <c r="D590" s="20"/>
      <c r="E590" s="4"/>
      <c r="F590" s="37"/>
      <c r="G590" s="24"/>
      <c r="H590" s="51">
        <f>Assumptions!$D$15</f>
        <v>0.1</v>
      </c>
      <c r="I590" s="45">
        <f>IF(AR[[#This Row],[GST applies?]] = "Yes", (AR[[#This Row],[Invoice value inc. VAT]] / 1 + AR[[#This Row],[GST %]]) * AR[[#This Row],[GST %]], 0)</f>
        <v>0</v>
      </c>
      <c r="J590" s="31">
        <f>_xlfn.XLOOKUP(AR[[#This Row],[Customer name]], Customer_master[Customer name], Customer_master[EOM or Net], 0)</f>
        <v>0</v>
      </c>
      <c r="K590" s="31">
        <f>_xlfn.XLOOKUP(AR[[#This Row],[Customer name]], Customer_master[Customer name], Customer_master[Terms days], 0)</f>
        <v>0</v>
      </c>
      <c r="L5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0" s="4"/>
      <c r="N590" s="46">
        <f>IF(AR[[#This Row],[Collection date - override (dd/mm/yyyy)]] &lt;&gt; "", AR[[#This Row],[Collection date - override (dd/mm/yyyy)]], AR[[#This Row],[Due date (dd/mm/yyyy)]])</f>
        <v>0</v>
      </c>
      <c r="O590" s="46">
        <f t="shared" si="9"/>
        <v>52</v>
      </c>
    </row>
    <row r="591" spans="3:15" x14ac:dyDescent="0.25">
      <c r="C591" s="28"/>
      <c r="D591" s="20"/>
      <c r="E591" s="4"/>
      <c r="F591" s="37"/>
      <c r="G591" s="24"/>
      <c r="H591" s="51">
        <f>Assumptions!$D$15</f>
        <v>0.1</v>
      </c>
      <c r="I591" s="45">
        <f>IF(AR[[#This Row],[GST applies?]] = "Yes", (AR[[#This Row],[Invoice value inc. VAT]] / 1 + AR[[#This Row],[GST %]]) * AR[[#This Row],[GST %]], 0)</f>
        <v>0</v>
      </c>
      <c r="J591" s="31">
        <f>_xlfn.XLOOKUP(AR[[#This Row],[Customer name]], Customer_master[Customer name], Customer_master[EOM or Net], 0)</f>
        <v>0</v>
      </c>
      <c r="K591" s="31">
        <f>_xlfn.XLOOKUP(AR[[#This Row],[Customer name]], Customer_master[Customer name], Customer_master[Terms days], 0)</f>
        <v>0</v>
      </c>
      <c r="L5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1" s="4"/>
      <c r="N591" s="46">
        <f>IF(AR[[#This Row],[Collection date - override (dd/mm/yyyy)]] &lt;&gt; "", AR[[#This Row],[Collection date - override (dd/mm/yyyy)]], AR[[#This Row],[Due date (dd/mm/yyyy)]])</f>
        <v>0</v>
      </c>
      <c r="O591" s="46">
        <f t="shared" si="9"/>
        <v>52</v>
      </c>
    </row>
    <row r="592" spans="3:15" x14ac:dyDescent="0.25">
      <c r="C592" s="28"/>
      <c r="D592" s="20"/>
      <c r="E592" s="4"/>
      <c r="F592" s="37"/>
      <c r="G592" s="24"/>
      <c r="H592" s="51">
        <f>Assumptions!$D$15</f>
        <v>0.1</v>
      </c>
      <c r="I592" s="45">
        <f>IF(AR[[#This Row],[GST applies?]] = "Yes", (AR[[#This Row],[Invoice value inc. VAT]] / 1 + AR[[#This Row],[GST %]]) * AR[[#This Row],[GST %]], 0)</f>
        <v>0</v>
      </c>
      <c r="J592" s="31">
        <f>_xlfn.XLOOKUP(AR[[#This Row],[Customer name]], Customer_master[Customer name], Customer_master[EOM or Net], 0)</f>
        <v>0</v>
      </c>
      <c r="K592" s="31">
        <f>_xlfn.XLOOKUP(AR[[#This Row],[Customer name]], Customer_master[Customer name], Customer_master[Terms days], 0)</f>
        <v>0</v>
      </c>
      <c r="L5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2" s="4"/>
      <c r="N592" s="46">
        <f>IF(AR[[#This Row],[Collection date - override (dd/mm/yyyy)]] &lt;&gt; "", AR[[#This Row],[Collection date - override (dd/mm/yyyy)]], AR[[#This Row],[Due date (dd/mm/yyyy)]])</f>
        <v>0</v>
      </c>
      <c r="O592" s="46">
        <f t="shared" si="9"/>
        <v>52</v>
      </c>
    </row>
    <row r="593" spans="3:15" x14ac:dyDescent="0.25">
      <c r="C593" s="28"/>
      <c r="D593" s="20"/>
      <c r="E593" s="4"/>
      <c r="F593" s="37"/>
      <c r="G593" s="24"/>
      <c r="H593" s="51">
        <f>Assumptions!$D$15</f>
        <v>0.1</v>
      </c>
      <c r="I593" s="45">
        <f>IF(AR[[#This Row],[GST applies?]] = "Yes", (AR[[#This Row],[Invoice value inc. VAT]] / 1 + AR[[#This Row],[GST %]]) * AR[[#This Row],[GST %]], 0)</f>
        <v>0</v>
      </c>
      <c r="J593" s="31">
        <f>_xlfn.XLOOKUP(AR[[#This Row],[Customer name]], Customer_master[Customer name], Customer_master[EOM or Net], 0)</f>
        <v>0</v>
      </c>
      <c r="K593" s="31">
        <f>_xlfn.XLOOKUP(AR[[#This Row],[Customer name]], Customer_master[Customer name], Customer_master[Terms days], 0)</f>
        <v>0</v>
      </c>
      <c r="L5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3" s="4"/>
      <c r="N593" s="46">
        <f>IF(AR[[#This Row],[Collection date - override (dd/mm/yyyy)]] &lt;&gt; "", AR[[#This Row],[Collection date - override (dd/mm/yyyy)]], AR[[#This Row],[Due date (dd/mm/yyyy)]])</f>
        <v>0</v>
      </c>
      <c r="O593" s="46">
        <f t="shared" si="9"/>
        <v>52</v>
      </c>
    </row>
    <row r="594" spans="3:15" x14ac:dyDescent="0.25">
      <c r="C594" s="28"/>
      <c r="D594" s="20"/>
      <c r="E594" s="4"/>
      <c r="F594" s="37"/>
      <c r="G594" s="24"/>
      <c r="H594" s="51">
        <f>Assumptions!$D$15</f>
        <v>0.1</v>
      </c>
      <c r="I594" s="45">
        <f>IF(AR[[#This Row],[GST applies?]] = "Yes", (AR[[#This Row],[Invoice value inc. VAT]] / 1 + AR[[#This Row],[GST %]]) * AR[[#This Row],[GST %]], 0)</f>
        <v>0</v>
      </c>
      <c r="J594" s="31">
        <f>_xlfn.XLOOKUP(AR[[#This Row],[Customer name]], Customer_master[Customer name], Customer_master[EOM or Net], 0)</f>
        <v>0</v>
      </c>
      <c r="K594" s="31">
        <f>_xlfn.XLOOKUP(AR[[#This Row],[Customer name]], Customer_master[Customer name], Customer_master[Terms days], 0)</f>
        <v>0</v>
      </c>
      <c r="L5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4" s="4"/>
      <c r="N594" s="46">
        <f>IF(AR[[#This Row],[Collection date - override (dd/mm/yyyy)]] &lt;&gt; "", AR[[#This Row],[Collection date - override (dd/mm/yyyy)]], AR[[#This Row],[Due date (dd/mm/yyyy)]])</f>
        <v>0</v>
      </c>
      <c r="O594" s="46">
        <f t="shared" si="9"/>
        <v>52</v>
      </c>
    </row>
    <row r="595" spans="3:15" x14ac:dyDescent="0.25">
      <c r="C595" s="28"/>
      <c r="D595" s="20"/>
      <c r="E595" s="4"/>
      <c r="F595" s="37"/>
      <c r="G595" s="24"/>
      <c r="H595" s="51">
        <f>Assumptions!$D$15</f>
        <v>0.1</v>
      </c>
      <c r="I595" s="45">
        <f>IF(AR[[#This Row],[GST applies?]] = "Yes", (AR[[#This Row],[Invoice value inc. VAT]] / 1 + AR[[#This Row],[GST %]]) * AR[[#This Row],[GST %]], 0)</f>
        <v>0</v>
      </c>
      <c r="J595" s="31">
        <f>_xlfn.XLOOKUP(AR[[#This Row],[Customer name]], Customer_master[Customer name], Customer_master[EOM or Net], 0)</f>
        <v>0</v>
      </c>
      <c r="K595" s="31">
        <f>_xlfn.XLOOKUP(AR[[#This Row],[Customer name]], Customer_master[Customer name], Customer_master[Terms days], 0)</f>
        <v>0</v>
      </c>
      <c r="L5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5" s="4"/>
      <c r="N595" s="46">
        <f>IF(AR[[#This Row],[Collection date - override (dd/mm/yyyy)]] &lt;&gt; "", AR[[#This Row],[Collection date - override (dd/mm/yyyy)]], AR[[#This Row],[Due date (dd/mm/yyyy)]])</f>
        <v>0</v>
      </c>
      <c r="O595" s="46">
        <f t="shared" si="9"/>
        <v>52</v>
      </c>
    </row>
    <row r="596" spans="3:15" x14ac:dyDescent="0.25">
      <c r="C596" s="28"/>
      <c r="D596" s="20"/>
      <c r="E596" s="4"/>
      <c r="F596" s="37"/>
      <c r="G596" s="24"/>
      <c r="H596" s="51">
        <f>Assumptions!$D$15</f>
        <v>0.1</v>
      </c>
      <c r="I596" s="45">
        <f>IF(AR[[#This Row],[GST applies?]] = "Yes", (AR[[#This Row],[Invoice value inc. VAT]] / 1 + AR[[#This Row],[GST %]]) * AR[[#This Row],[GST %]], 0)</f>
        <v>0</v>
      </c>
      <c r="J596" s="31">
        <f>_xlfn.XLOOKUP(AR[[#This Row],[Customer name]], Customer_master[Customer name], Customer_master[EOM or Net], 0)</f>
        <v>0</v>
      </c>
      <c r="K596" s="31">
        <f>_xlfn.XLOOKUP(AR[[#This Row],[Customer name]], Customer_master[Customer name], Customer_master[Terms days], 0)</f>
        <v>0</v>
      </c>
      <c r="L5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6" s="4"/>
      <c r="N596" s="46">
        <f>IF(AR[[#This Row],[Collection date - override (dd/mm/yyyy)]] &lt;&gt; "", AR[[#This Row],[Collection date - override (dd/mm/yyyy)]], AR[[#This Row],[Due date (dd/mm/yyyy)]])</f>
        <v>0</v>
      </c>
      <c r="O596" s="46">
        <f t="shared" si="9"/>
        <v>52</v>
      </c>
    </row>
    <row r="597" spans="3:15" x14ac:dyDescent="0.25">
      <c r="C597" s="28"/>
      <c r="D597" s="20"/>
      <c r="E597" s="4"/>
      <c r="F597" s="37"/>
      <c r="G597" s="24"/>
      <c r="H597" s="51">
        <f>Assumptions!$D$15</f>
        <v>0.1</v>
      </c>
      <c r="I597" s="45">
        <f>IF(AR[[#This Row],[GST applies?]] = "Yes", (AR[[#This Row],[Invoice value inc. VAT]] / 1 + AR[[#This Row],[GST %]]) * AR[[#This Row],[GST %]], 0)</f>
        <v>0</v>
      </c>
      <c r="J597" s="31">
        <f>_xlfn.XLOOKUP(AR[[#This Row],[Customer name]], Customer_master[Customer name], Customer_master[EOM or Net], 0)</f>
        <v>0</v>
      </c>
      <c r="K597" s="31">
        <f>_xlfn.XLOOKUP(AR[[#This Row],[Customer name]], Customer_master[Customer name], Customer_master[Terms days], 0)</f>
        <v>0</v>
      </c>
      <c r="L5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7" s="4"/>
      <c r="N597" s="46">
        <f>IF(AR[[#This Row],[Collection date - override (dd/mm/yyyy)]] &lt;&gt; "", AR[[#This Row],[Collection date - override (dd/mm/yyyy)]], AR[[#This Row],[Due date (dd/mm/yyyy)]])</f>
        <v>0</v>
      </c>
      <c r="O597" s="46">
        <f t="shared" si="9"/>
        <v>52</v>
      </c>
    </row>
    <row r="598" spans="3:15" x14ac:dyDescent="0.25">
      <c r="C598" s="28"/>
      <c r="D598" s="20"/>
      <c r="E598" s="4"/>
      <c r="F598" s="37"/>
      <c r="G598" s="24"/>
      <c r="H598" s="51">
        <f>Assumptions!$D$15</f>
        <v>0.1</v>
      </c>
      <c r="I598" s="45">
        <f>IF(AR[[#This Row],[GST applies?]] = "Yes", (AR[[#This Row],[Invoice value inc. VAT]] / 1 + AR[[#This Row],[GST %]]) * AR[[#This Row],[GST %]], 0)</f>
        <v>0</v>
      </c>
      <c r="J598" s="31">
        <f>_xlfn.XLOOKUP(AR[[#This Row],[Customer name]], Customer_master[Customer name], Customer_master[EOM or Net], 0)</f>
        <v>0</v>
      </c>
      <c r="K598" s="31">
        <f>_xlfn.XLOOKUP(AR[[#This Row],[Customer name]], Customer_master[Customer name], Customer_master[Terms days], 0)</f>
        <v>0</v>
      </c>
      <c r="L5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8" s="4"/>
      <c r="N598" s="46">
        <f>IF(AR[[#This Row],[Collection date - override (dd/mm/yyyy)]] &lt;&gt; "", AR[[#This Row],[Collection date - override (dd/mm/yyyy)]], AR[[#This Row],[Due date (dd/mm/yyyy)]])</f>
        <v>0</v>
      </c>
      <c r="O598" s="46">
        <f t="shared" si="9"/>
        <v>52</v>
      </c>
    </row>
    <row r="599" spans="3:15" x14ac:dyDescent="0.25">
      <c r="C599" s="28"/>
      <c r="D599" s="20"/>
      <c r="E599" s="4"/>
      <c r="F599" s="37"/>
      <c r="G599" s="24"/>
      <c r="H599" s="51">
        <f>Assumptions!$D$15</f>
        <v>0.1</v>
      </c>
      <c r="I599" s="45">
        <f>IF(AR[[#This Row],[GST applies?]] = "Yes", (AR[[#This Row],[Invoice value inc. VAT]] / 1 + AR[[#This Row],[GST %]]) * AR[[#This Row],[GST %]], 0)</f>
        <v>0</v>
      </c>
      <c r="J599" s="31">
        <f>_xlfn.XLOOKUP(AR[[#This Row],[Customer name]], Customer_master[Customer name], Customer_master[EOM or Net], 0)</f>
        <v>0</v>
      </c>
      <c r="K599" s="31">
        <f>_xlfn.XLOOKUP(AR[[#This Row],[Customer name]], Customer_master[Customer name], Customer_master[Terms days], 0)</f>
        <v>0</v>
      </c>
      <c r="L5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9" s="4"/>
      <c r="N599" s="46">
        <f>IF(AR[[#This Row],[Collection date - override (dd/mm/yyyy)]] &lt;&gt; "", AR[[#This Row],[Collection date - override (dd/mm/yyyy)]], AR[[#This Row],[Due date (dd/mm/yyyy)]])</f>
        <v>0</v>
      </c>
      <c r="O599" s="46">
        <f t="shared" si="9"/>
        <v>52</v>
      </c>
    </row>
    <row r="600" spans="3:15" x14ac:dyDescent="0.25">
      <c r="C600" s="28"/>
      <c r="D600" s="20"/>
      <c r="E600" s="4"/>
      <c r="F600" s="37"/>
      <c r="G600" s="24"/>
      <c r="H600" s="51">
        <f>Assumptions!$D$15</f>
        <v>0.1</v>
      </c>
      <c r="I600" s="45">
        <f>IF(AR[[#This Row],[GST applies?]] = "Yes", (AR[[#This Row],[Invoice value inc. VAT]] / 1 + AR[[#This Row],[GST %]]) * AR[[#This Row],[GST %]], 0)</f>
        <v>0</v>
      </c>
      <c r="J600" s="31">
        <f>_xlfn.XLOOKUP(AR[[#This Row],[Customer name]], Customer_master[Customer name], Customer_master[EOM or Net], 0)</f>
        <v>0</v>
      </c>
      <c r="K600" s="31">
        <f>_xlfn.XLOOKUP(AR[[#This Row],[Customer name]], Customer_master[Customer name], Customer_master[Terms days], 0)</f>
        <v>0</v>
      </c>
      <c r="L6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0" s="4"/>
      <c r="N600" s="46">
        <f>IF(AR[[#This Row],[Collection date - override (dd/mm/yyyy)]] &lt;&gt; "", AR[[#This Row],[Collection date - override (dd/mm/yyyy)]], AR[[#This Row],[Due date (dd/mm/yyyy)]])</f>
        <v>0</v>
      </c>
      <c r="O600" s="46">
        <f t="shared" si="9"/>
        <v>52</v>
      </c>
    </row>
    <row r="601" spans="3:15" x14ac:dyDescent="0.25">
      <c r="C601" s="28"/>
      <c r="D601" s="20"/>
      <c r="E601" s="4"/>
      <c r="F601" s="37"/>
      <c r="G601" s="24"/>
      <c r="H601" s="51">
        <f>Assumptions!$D$15</f>
        <v>0.1</v>
      </c>
      <c r="I601" s="45">
        <f>IF(AR[[#This Row],[GST applies?]] = "Yes", (AR[[#This Row],[Invoice value inc. VAT]] / 1 + AR[[#This Row],[GST %]]) * AR[[#This Row],[GST %]], 0)</f>
        <v>0</v>
      </c>
      <c r="J601" s="31">
        <f>_xlfn.XLOOKUP(AR[[#This Row],[Customer name]], Customer_master[Customer name], Customer_master[EOM or Net], 0)</f>
        <v>0</v>
      </c>
      <c r="K601" s="31">
        <f>_xlfn.XLOOKUP(AR[[#This Row],[Customer name]], Customer_master[Customer name], Customer_master[Terms days], 0)</f>
        <v>0</v>
      </c>
      <c r="L6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1" s="4"/>
      <c r="N601" s="46">
        <f>IF(AR[[#This Row],[Collection date - override (dd/mm/yyyy)]] &lt;&gt; "", AR[[#This Row],[Collection date - override (dd/mm/yyyy)]], AR[[#This Row],[Due date (dd/mm/yyyy)]])</f>
        <v>0</v>
      </c>
      <c r="O601" s="46">
        <f t="shared" si="9"/>
        <v>52</v>
      </c>
    </row>
    <row r="602" spans="3:15" x14ac:dyDescent="0.25">
      <c r="C602" s="28"/>
      <c r="D602" s="20"/>
      <c r="E602" s="4"/>
      <c r="F602" s="37"/>
      <c r="G602" s="24"/>
      <c r="H602" s="51">
        <f>Assumptions!$D$15</f>
        <v>0.1</v>
      </c>
      <c r="I602" s="45">
        <f>IF(AR[[#This Row],[GST applies?]] = "Yes", (AR[[#This Row],[Invoice value inc. VAT]] / 1 + AR[[#This Row],[GST %]]) * AR[[#This Row],[GST %]], 0)</f>
        <v>0</v>
      </c>
      <c r="J602" s="31">
        <f>_xlfn.XLOOKUP(AR[[#This Row],[Customer name]], Customer_master[Customer name], Customer_master[EOM or Net], 0)</f>
        <v>0</v>
      </c>
      <c r="K602" s="31">
        <f>_xlfn.XLOOKUP(AR[[#This Row],[Customer name]], Customer_master[Customer name], Customer_master[Terms days], 0)</f>
        <v>0</v>
      </c>
      <c r="L6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2" s="4"/>
      <c r="N602" s="46">
        <f>IF(AR[[#This Row],[Collection date - override (dd/mm/yyyy)]] &lt;&gt; "", AR[[#This Row],[Collection date - override (dd/mm/yyyy)]], AR[[#This Row],[Due date (dd/mm/yyyy)]])</f>
        <v>0</v>
      </c>
      <c r="O602" s="46">
        <f t="shared" si="9"/>
        <v>52</v>
      </c>
    </row>
    <row r="603" spans="3:15" x14ac:dyDescent="0.25">
      <c r="C603" s="28"/>
      <c r="D603" s="20"/>
      <c r="E603" s="4"/>
      <c r="F603" s="37"/>
      <c r="G603" s="24"/>
      <c r="H603" s="51">
        <f>Assumptions!$D$15</f>
        <v>0.1</v>
      </c>
      <c r="I603" s="45">
        <f>IF(AR[[#This Row],[GST applies?]] = "Yes", (AR[[#This Row],[Invoice value inc. VAT]] / 1 + AR[[#This Row],[GST %]]) * AR[[#This Row],[GST %]], 0)</f>
        <v>0</v>
      </c>
      <c r="J603" s="31">
        <f>_xlfn.XLOOKUP(AR[[#This Row],[Customer name]], Customer_master[Customer name], Customer_master[EOM or Net], 0)</f>
        <v>0</v>
      </c>
      <c r="K603" s="31">
        <f>_xlfn.XLOOKUP(AR[[#This Row],[Customer name]], Customer_master[Customer name], Customer_master[Terms days], 0)</f>
        <v>0</v>
      </c>
      <c r="L6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3" s="4"/>
      <c r="N603" s="46">
        <f>IF(AR[[#This Row],[Collection date - override (dd/mm/yyyy)]] &lt;&gt; "", AR[[#This Row],[Collection date - override (dd/mm/yyyy)]], AR[[#This Row],[Due date (dd/mm/yyyy)]])</f>
        <v>0</v>
      </c>
      <c r="O603" s="46">
        <f t="shared" si="9"/>
        <v>52</v>
      </c>
    </row>
    <row r="604" spans="3:15" x14ac:dyDescent="0.25">
      <c r="C604" s="28"/>
      <c r="D604" s="20"/>
      <c r="E604" s="4"/>
      <c r="F604" s="37"/>
      <c r="G604" s="24"/>
      <c r="H604" s="51">
        <f>Assumptions!$D$15</f>
        <v>0.1</v>
      </c>
      <c r="I604" s="45">
        <f>IF(AR[[#This Row],[GST applies?]] = "Yes", (AR[[#This Row],[Invoice value inc. VAT]] / 1 + AR[[#This Row],[GST %]]) * AR[[#This Row],[GST %]], 0)</f>
        <v>0</v>
      </c>
      <c r="J604" s="31">
        <f>_xlfn.XLOOKUP(AR[[#This Row],[Customer name]], Customer_master[Customer name], Customer_master[EOM or Net], 0)</f>
        <v>0</v>
      </c>
      <c r="K604" s="31">
        <f>_xlfn.XLOOKUP(AR[[#This Row],[Customer name]], Customer_master[Customer name], Customer_master[Terms days], 0)</f>
        <v>0</v>
      </c>
      <c r="L6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4" s="4"/>
      <c r="N604" s="46">
        <f>IF(AR[[#This Row],[Collection date - override (dd/mm/yyyy)]] &lt;&gt; "", AR[[#This Row],[Collection date - override (dd/mm/yyyy)]], AR[[#This Row],[Due date (dd/mm/yyyy)]])</f>
        <v>0</v>
      </c>
      <c r="O604" s="46">
        <f t="shared" si="9"/>
        <v>52</v>
      </c>
    </row>
    <row r="605" spans="3:15" x14ac:dyDescent="0.25">
      <c r="C605" s="28"/>
      <c r="D605" s="20"/>
      <c r="E605" s="4"/>
      <c r="F605" s="37"/>
      <c r="G605" s="24"/>
      <c r="H605" s="51">
        <f>Assumptions!$D$15</f>
        <v>0.1</v>
      </c>
      <c r="I605" s="45">
        <f>IF(AR[[#This Row],[GST applies?]] = "Yes", (AR[[#This Row],[Invoice value inc. VAT]] / 1 + AR[[#This Row],[GST %]]) * AR[[#This Row],[GST %]], 0)</f>
        <v>0</v>
      </c>
      <c r="J605" s="31">
        <f>_xlfn.XLOOKUP(AR[[#This Row],[Customer name]], Customer_master[Customer name], Customer_master[EOM or Net], 0)</f>
        <v>0</v>
      </c>
      <c r="K605" s="31">
        <f>_xlfn.XLOOKUP(AR[[#This Row],[Customer name]], Customer_master[Customer name], Customer_master[Terms days], 0)</f>
        <v>0</v>
      </c>
      <c r="L6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5" s="4"/>
      <c r="N605" s="46">
        <f>IF(AR[[#This Row],[Collection date - override (dd/mm/yyyy)]] &lt;&gt; "", AR[[#This Row],[Collection date - override (dd/mm/yyyy)]], AR[[#This Row],[Due date (dd/mm/yyyy)]])</f>
        <v>0</v>
      </c>
      <c r="O605" s="46">
        <f t="shared" si="9"/>
        <v>52</v>
      </c>
    </row>
    <row r="606" spans="3:15" x14ac:dyDescent="0.25">
      <c r="C606" s="28"/>
      <c r="D606" s="20"/>
      <c r="E606" s="4"/>
      <c r="F606" s="37"/>
      <c r="G606" s="24"/>
      <c r="H606" s="51">
        <f>Assumptions!$D$15</f>
        <v>0.1</v>
      </c>
      <c r="I606" s="45">
        <f>IF(AR[[#This Row],[GST applies?]] = "Yes", (AR[[#This Row],[Invoice value inc. VAT]] / 1 + AR[[#This Row],[GST %]]) * AR[[#This Row],[GST %]], 0)</f>
        <v>0</v>
      </c>
      <c r="J606" s="31">
        <f>_xlfn.XLOOKUP(AR[[#This Row],[Customer name]], Customer_master[Customer name], Customer_master[EOM or Net], 0)</f>
        <v>0</v>
      </c>
      <c r="K606" s="31">
        <f>_xlfn.XLOOKUP(AR[[#This Row],[Customer name]], Customer_master[Customer name], Customer_master[Terms days], 0)</f>
        <v>0</v>
      </c>
      <c r="L6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6" s="4"/>
      <c r="N606" s="46">
        <f>IF(AR[[#This Row],[Collection date - override (dd/mm/yyyy)]] &lt;&gt; "", AR[[#This Row],[Collection date - override (dd/mm/yyyy)]], AR[[#This Row],[Due date (dd/mm/yyyy)]])</f>
        <v>0</v>
      </c>
      <c r="O606" s="46">
        <f t="shared" si="9"/>
        <v>52</v>
      </c>
    </row>
    <row r="607" spans="3:15" x14ac:dyDescent="0.25">
      <c r="C607" s="28"/>
      <c r="D607" s="20"/>
      <c r="E607" s="4"/>
      <c r="F607" s="37"/>
      <c r="G607" s="24"/>
      <c r="H607" s="51">
        <f>Assumptions!$D$15</f>
        <v>0.1</v>
      </c>
      <c r="I607" s="45">
        <f>IF(AR[[#This Row],[GST applies?]] = "Yes", (AR[[#This Row],[Invoice value inc. VAT]] / 1 + AR[[#This Row],[GST %]]) * AR[[#This Row],[GST %]], 0)</f>
        <v>0</v>
      </c>
      <c r="J607" s="31">
        <f>_xlfn.XLOOKUP(AR[[#This Row],[Customer name]], Customer_master[Customer name], Customer_master[EOM or Net], 0)</f>
        <v>0</v>
      </c>
      <c r="K607" s="31">
        <f>_xlfn.XLOOKUP(AR[[#This Row],[Customer name]], Customer_master[Customer name], Customer_master[Terms days], 0)</f>
        <v>0</v>
      </c>
      <c r="L6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7" s="4"/>
      <c r="N607" s="46">
        <f>IF(AR[[#This Row],[Collection date - override (dd/mm/yyyy)]] &lt;&gt; "", AR[[#This Row],[Collection date - override (dd/mm/yyyy)]], AR[[#This Row],[Due date (dd/mm/yyyy)]])</f>
        <v>0</v>
      </c>
      <c r="O607" s="46">
        <f t="shared" si="9"/>
        <v>52</v>
      </c>
    </row>
    <row r="608" spans="3:15" x14ac:dyDescent="0.25">
      <c r="C608" s="28"/>
      <c r="D608" s="20"/>
      <c r="E608" s="4"/>
      <c r="F608" s="37"/>
      <c r="G608" s="24"/>
      <c r="H608" s="51">
        <f>Assumptions!$D$15</f>
        <v>0.1</v>
      </c>
      <c r="I608" s="45">
        <f>IF(AR[[#This Row],[GST applies?]] = "Yes", (AR[[#This Row],[Invoice value inc. VAT]] / 1 + AR[[#This Row],[GST %]]) * AR[[#This Row],[GST %]], 0)</f>
        <v>0</v>
      </c>
      <c r="J608" s="31">
        <f>_xlfn.XLOOKUP(AR[[#This Row],[Customer name]], Customer_master[Customer name], Customer_master[EOM or Net], 0)</f>
        <v>0</v>
      </c>
      <c r="K608" s="31">
        <f>_xlfn.XLOOKUP(AR[[#This Row],[Customer name]], Customer_master[Customer name], Customer_master[Terms days], 0)</f>
        <v>0</v>
      </c>
      <c r="L6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8" s="4"/>
      <c r="N608" s="46">
        <f>IF(AR[[#This Row],[Collection date - override (dd/mm/yyyy)]] &lt;&gt; "", AR[[#This Row],[Collection date - override (dd/mm/yyyy)]], AR[[#This Row],[Due date (dd/mm/yyyy)]])</f>
        <v>0</v>
      </c>
      <c r="O608" s="46">
        <f t="shared" si="9"/>
        <v>52</v>
      </c>
    </row>
    <row r="609" spans="3:15" x14ac:dyDescent="0.25">
      <c r="C609" s="28"/>
      <c r="D609" s="20"/>
      <c r="E609" s="4"/>
      <c r="F609" s="37"/>
      <c r="G609" s="24"/>
      <c r="H609" s="51">
        <f>Assumptions!$D$15</f>
        <v>0.1</v>
      </c>
      <c r="I609" s="45">
        <f>IF(AR[[#This Row],[GST applies?]] = "Yes", (AR[[#This Row],[Invoice value inc. VAT]] / 1 + AR[[#This Row],[GST %]]) * AR[[#This Row],[GST %]], 0)</f>
        <v>0</v>
      </c>
      <c r="J609" s="31">
        <f>_xlfn.XLOOKUP(AR[[#This Row],[Customer name]], Customer_master[Customer name], Customer_master[EOM or Net], 0)</f>
        <v>0</v>
      </c>
      <c r="K609" s="31">
        <f>_xlfn.XLOOKUP(AR[[#This Row],[Customer name]], Customer_master[Customer name], Customer_master[Terms days], 0)</f>
        <v>0</v>
      </c>
      <c r="L6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9" s="4"/>
      <c r="N609" s="46">
        <f>IF(AR[[#This Row],[Collection date - override (dd/mm/yyyy)]] &lt;&gt; "", AR[[#This Row],[Collection date - override (dd/mm/yyyy)]], AR[[#This Row],[Due date (dd/mm/yyyy)]])</f>
        <v>0</v>
      </c>
      <c r="O609" s="46">
        <f t="shared" si="9"/>
        <v>52</v>
      </c>
    </row>
    <row r="610" spans="3:15" x14ac:dyDescent="0.25">
      <c r="C610" s="28"/>
      <c r="D610" s="20"/>
      <c r="E610" s="4"/>
      <c r="F610" s="37"/>
      <c r="G610" s="24"/>
      <c r="H610" s="51">
        <f>Assumptions!$D$15</f>
        <v>0.1</v>
      </c>
      <c r="I610" s="45">
        <f>IF(AR[[#This Row],[GST applies?]] = "Yes", (AR[[#This Row],[Invoice value inc. VAT]] / 1 + AR[[#This Row],[GST %]]) * AR[[#This Row],[GST %]], 0)</f>
        <v>0</v>
      </c>
      <c r="J610" s="31">
        <f>_xlfn.XLOOKUP(AR[[#This Row],[Customer name]], Customer_master[Customer name], Customer_master[EOM or Net], 0)</f>
        <v>0</v>
      </c>
      <c r="K610" s="31">
        <f>_xlfn.XLOOKUP(AR[[#This Row],[Customer name]], Customer_master[Customer name], Customer_master[Terms days], 0)</f>
        <v>0</v>
      </c>
      <c r="L6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0" s="4"/>
      <c r="N610" s="46">
        <f>IF(AR[[#This Row],[Collection date - override (dd/mm/yyyy)]] &lt;&gt; "", AR[[#This Row],[Collection date - override (dd/mm/yyyy)]], AR[[#This Row],[Due date (dd/mm/yyyy)]])</f>
        <v>0</v>
      </c>
      <c r="O610" s="46">
        <f t="shared" si="9"/>
        <v>52</v>
      </c>
    </row>
    <row r="611" spans="3:15" x14ac:dyDescent="0.25">
      <c r="C611" s="28"/>
      <c r="D611" s="20"/>
      <c r="E611" s="4"/>
      <c r="F611" s="37"/>
      <c r="G611" s="24"/>
      <c r="H611" s="51">
        <f>Assumptions!$D$15</f>
        <v>0.1</v>
      </c>
      <c r="I611" s="45">
        <f>IF(AR[[#This Row],[GST applies?]] = "Yes", (AR[[#This Row],[Invoice value inc. VAT]] / 1 + AR[[#This Row],[GST %]]) * AR[[#This Row],[GST %]], 0)</f>
        <v>0</v>
      </c>
      <c r="J611" s="31">
        <f>_xlfn.XLOOKUP(AR[[#This Row],[Customer name]], Customer_master[Customer name], Customer_master[EOM or Net], 0)</f>
        <v>0</v>
      </c>
      <c r="K611" s="31">
        <f>_xlfn.XLOOKUP(AR[[#This Row],[Customer name]], Customer_master[Customer name], Customer_master[Terms days], 0)</f>
        <v>0</v>
      </c>
      <c r="L6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1" s="4"/>
      <c r="N611" s="46">
        <f>IF(AR[[#This Row],[Collection date - override (dd/mm/yyyy)]] &lt;&gt; "", AR[[#This Row],[Collection date - override (dd/mm/yyyy)]], AR[[#This Row],[Due date (dd/mm/yyyy)]])</f>
        <v>0</v>
      </c>
      <c r="O611" s="46">
        <f t="shared" si="9"/>
        <v>52</v>
      </c>
    </row>
    <row r="612" spans="3:15" x14ac:dyDescent="0.25">
      <c r="C612" s="28"/>
      <c r="D612" s="20"/>
      <c r="E612" s="4"/>
      <c r="F612" s="37"/>
      <c r="G612" s="24"/>
      <c r="H612" s="51">
        <f>Assumptions!$D$15</f>
        <v>0.1</v>
      </c>
      <c r="I612" s="45">
        <f>IF(AR[[#This Row],[GST applies?]] = "Yes", (AR[[#This Row],[Invoice value inc. VAT]] / 1 + AR[[#This Row],[GST %]]) * AR[[#This Row],[GST %]], 0)</f>
        <v>0</v>
      </c>
      <c r="J612" s="31">
        <f>_xlfn.XLOOKUP(AR[[#This Row],[Customer name]], Customer_master[Customer name], Customer_master[EOM or Net], 0)</f>
        <v>0</v>
      </c>
      <c r="K612" s="31">
        <f>_xlfn.XLOOKUP(AR[[#This Row],[Customer name]], Customer_master[Customer name], Customer_master[Terms days], 0)</f>
        <v>0</v>
      </c>
      <c r="L6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2" s="4"/>
      <c r="N612" s="46">
        <f>IF(AR[[#This Row],[Collection date - override (dd/mm/yyyy)]] &lt;&gt; "", AR[[#This Row],[Collection date - override (dd/mm/yyyy)]], AR[[#This Row],[Due date (dd/mm/yyyy)]])</f>
        <v>0</v>
      </c>
      <c r="O612" s="46">
        <f t="shared" si="9"/>
        <v>52</v>
      </c>
    </row>
    <row r="613" spans="3:15" x14ac:dyDescent="0.25">
      <c r="C613" s="28"/>
      <c r="D613" s="20"/>
      <c r="E613" s="4"/>
      <c r="F613" s="37"/>
      <c r="G613" s="24"/>
      <c r="H613" s="51">
        <f>Assumptions!$D$15</f>
        <v>0.1</v>
      </c>
      <c r="I613" s="45">
        <f>IF(AR[[#This Row],[GST applies?]] = "Yes", (AR[[#This Row],[Invoice value inc. VAT]] / 1 + AR[[#This Row],[GST %]]) * AR[[#This Row],[GST %]], 0)</f>
        <v>0</v>
      </c>
      <c r="J613" s="31">
        <f>_xlfn.XLOOKUP(AR[[#This Row],[Customer name]], Customer_master[Customer name], Customer_master[EOM or Net], 0)</f>
        <v>0</v>
      </c>
      <c r="K613" s="31">
        <f>_xlfn.XLOOKUP(AR[[#This Row],[Customer name]], Customer_master[Customer name], Customer_master[Terms days], 0)</f>
        <v>0</v>
      </c>
      <c r="L6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3" s="4"/>
      <c r="N613" s="46">
        <f>IF(AR[[#This Row],[Collection date - override (dd/mm/yyyy)]] &lt;&gt; "", AR[[#This Row],[Collection date - override (dd/mm/yyyy)]], AR[[#This Row],[Due date (dd/mm/yyyy)]])</f>
        <v>0</v>
      </c>
      <c r="O613" s="46">
        <f t="shared" si="9"/>
        <v>52</v>
      </c>
    </row>
    <row r="614" spans="3:15" x14ac:dyDescent="0.25">
      <c r="C614" s="28"/>
      <c r="D614" s="20"/>
      <c r="E614" s="4"/>
      <c r="F614" s="37"/>
      <c r="G614" s="24"/>
      <c r="H614" s="51">
        <f>Assumptions!$D$15</f>
        <v>0.1</v>
      </c>
      <c r="I614" s="45">
        <f>IF(AR[[#This Row],[GST applies?]] = "Yes", (AR[[#This Row],[Invoice value inc. VAT]] / 1 + AR[[#This Row],[GST %]]) * AR[[#This Row],[GST %]], 0)</f>
        <v>0</v>
      </c>
      <c r="J614" s="31">
        <f>_xlfn.XLOOKUP(AR[[#This Row],[Customer name]], Customer_master[Customer name], Customer_master[EOM or Net], 0)</f>
        <v>0</v>
      </c>
      <c r="K614" s="31">
        <f>_xlfn.XLOOKUP(AR[[#This Row],[Customer name]], Customer_master[Customer name], Customer_master[Terms days], 0)</f>
        <v>0</v>
      </c>
      <c r="L6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4" s="4"/>
      <c r="N614" s="46">
        <f>IF(AR[[#This Row],[Collection date - override (dd/mm/yyyy)]] &lt;&gt; "", AR[[#This Row],[Collection date - override (dd/mm/yyyy)]], AR[[#This Row],[Due date (dd/mm/yyyy)]])</f>
        <v>0</v>
      </c>
      <c r="O614" s="46">
        <f t="shared" si="9"/>
        <v>52</v>
      </c>
    </row>
    <row r="615" spans="3:15" x14ac:dyDescent="0.25">
      <c r="C615" s="28"/>
      <c r="D615" s="20"/>
      <c r="E615" s="4"/>
      <c r="F615" s="37"/>
      <c r="G615" s="24"/>
      <c r="H615" s="51">
        <f>Assumptions!$D$15</f>
        <v>0.1</v>
      </c>
      <c r="I615" s="45">
        <f>IF(AR[[#This Row],[GST applies?]] = "Yes", (AR[[#This Row],[Invoice value inc. VAT]] / 1 + AR[[#This Row],[GST %]]) * AR[[#This Row],[GST %]], 0)</f>
        <v>0</v>
      </c>
      <c r="J615" s="31">
        <f>_xlfn.XLOOKUP(AR[[#This Row],[Customer name]], Customer_master[Customer name], Customer_master[EOM or Net], 0)</f>
        <v>0</v>
      </c>
      <c r="K615" s="31">
        <f>_xlfn.XLOOKUP(AR[[#This Row],[Customer name]], Customer_master[Customer name], Customer_master[Terms days], 0)</f>
        <v>0</v>
      </c>
      <c r="L6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5" s="4"/>
      <c r="N615" s="46">
        <f>IF(AR[[#This Row],[Collection date - override (dd/mm/yyyy)]] &lt;&gt; "", AR[[#This Row],[Collection date - override (dd/mm/yyyy)]], AR[[#This Row],[Due date (dd/mm/yyyy)]])</f>
        <v>0</v>
      </c>
      <c r="O615" s="46">
        <f t="shared" si="9"/>
        <v>52</v>
      </c>
    </row>
    <row r="616" spans="3:15" x14ac:dyDescent="0.25">
      <c r="C616" s="28"/>
      <c r="D616" s="20"/>
      <c r="E616" s="4"/>
      <c r="F616" s="37"/>
      <c r="G616" s="24"/>
      <c r="H616" s="51">
        <f>Assumptions!$D$15</f>
        <v>0.1</v>
      </c>
      <c r="I616" s="45">
        <f>IF(AR[[#This Row],[GST applies?]] = "Yes", (AR[[#This Row],[Invoice value inc. VAT]] / 1 + AR[[#This Row],[GST %]]) * AR[[#This Row],[GST %]], 0)</f>
        <v>0</v>
      </c>
      <c r="J616" s="31">
        <f>_xlfn.XLOOKUP(AR[[#This Row],[Customer name]], Customer_master[Customer name], Customer_master[EOM or Net], 0)</f>
        <v>0</v>
      </c>
      <c r="K616" s="31">
        <f>_xlfn.XLOOKUP(AR[[#This Row],[Customer name]], Customer_master[Customer name], Customer_master[Terms days], 0)</f>
        <v>0</v>
      </c>
      <c r="L6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6" s="4"/>
      <c r="N616" s="46">
        <f>IF(AR[[#This Row],[Collection date - override (dd/mm/yyyy)]] &lt;&gt; "", AR[[#This Row],[Collection date - override (dd/mm/yyyy)]], AR[[#This Row],[Due date (dd/mm/yyyy)]])</f>
        <v>0</v>
      </c>
      <c r="O616" s="46">
        <f t="shared" si="9"/>
        <v>52</v>
      </c>
    </row>
    <row r="617" spans="3:15" x14ac:dyDescent="0.25">
      <c r="C617" s="28"/>
      <c r="D617" s="20"/>
      <c r="E617" s="4"/>
      <c r="F617" s="37"/>
      <c r="G617" s="24"/>
      <c r="H617" s="51">
        <f>Assumptions!$D$15</f>
        <v>0.1</v>
      </c>
      <c r="I617" s="45">
        <f>IF(AR[[#This Row],[GST applies?]] = "Yes", (AR[[#This Row],[Invoice value inc. VAT]] / 1 + AR[[#This Row],[GST %]]) * AR[[#This Row],[GST %]], 0)</f>
        <v>0</v>
      </c>
      <c r="J617" s="31">
        <f>_xlfn.XLOOKUP(AR[[#This Row],[Customer name]], Customer_master[Customer name], Customer_master[EOM or Net], 0)</f>
        <v>0</v>
      </c>
      <c r="K617" s="31">
        <f>_xlfn.XLOOKUP(AR[[#This Row],[Customer name]], Customer_master[Customer name], Customer_master[Terms days], 0)</f>
        <v>0</v>
      </c>
      <c r="L6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7" s="4"/>
      <c r="N617" s="46">
        <f>IF(AR[[#This Row],[Collection date - override (dd/mm/yyyy)]] &lt;&gt; "", AR[[#This Row],[Collection date - override (dd/mm/yyyy)]], AR[[#This Row],[Due date (dd/mm/yyyy)]])</f>
        <v>0</v>
      </c>
      <c r="O617" s="46">
        <f t="shared" si="9"/>
        <v>52</v>
      </c>
    </row>
    <row r="618" spans="3:15" x14ac:dyDescent="0.25">
      <c r="C618" s="28"/>
      <c r="D618" s="20"/>
      <c r="E618" s="4"/>
      <c r="F618" s="37"/>
      <c r="G618" s="24"/>
      <c r="H618" s="51">
        <f>Assumptions!$D$15</f>
        <v>0.1</v>
      </c>
      <c r="I618" s="45">
        <f>IF(AR[[#This Row],[GST applies?]] = "Yes", (AR[[#This Row],[Invoice value inc. VAT]] / 1 + AR[[#This Row],[GST %]]) * AR[[#This Row],[GST %]], 0)</f>
        <v>0</v>
      </c>
      <c r="J618" s="31">
        <f>_xlfn.XLOOKUP(AR[[#This Row],[Customer name]], Customer_master[Customer name], Customer_master[EOM or Net], 0)</f>
        <v>0</v>
      </c>
      <c r="K618" s="31">
        <f>_xlfn.XLOOKUP(AR[[#This Row],[Customer name]], Customer_master[Customer name], Customer_master[Terms days], 0)</f>
        <v>0</v>
      </c>
      <c r="L6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8" s="4"/>
      <c r="N618" s="46">
        <f>IF(AR[[#This Row],[Collection date - override (dd/mm/yyyy)]] &lt;&gt; "", AR[[#This Row],[Collection date - override (dd/mm/yyyy)]], AR[[#This Row],[Due date (dd/mm/yyyy)]])</f>
        <v>0</v>
      </c>
      <c r="O618" s="46">
        <f t="shared" si="9"/>
        <v>52</v>
      </c>
    </row>
    <row r="619" spans="3:15" x14ac:dyDescent="0.25">
      <c r="C619" s="28"/>
      <c r="D619" s="20"/>
      <c r="E619" s="4"/>
      <c r="F619" s="37"/>
      <c r="G619" s="24"/>
      <c r="H619" s="51">
        <f>Assumptions!$D$15</f>
        <v>0.1</v>
      </c>
      <c r="I619" s="45">
        <f>IF(AR[[#This Row],[GST applies?]] = "Yes", (AR[[#This Row],[Invoice value inc. VAT]] / 1 + AR[[#This Row],[GST %]]) * AR[[#This Row],[GST %]], 0)</f>
        <v>0</v>
      </c>
      <c r="J619" s="31">
        <f>_xlfn.XLOOKUP(AR[[#This Row],[Customer name]], Customer_master[Customer name], Customer_master[EOM or Net], 0)</f>
        <v>0</v>
      </c>
      <c r="K619" s="31">
        <f>_xlfn.XLOOKUP(AR[[#This Row],[Customer name]], Customer_master[Customer name], Customer_master[Terms days], 0)</f>
        <v>0</v>
      </c>
      <c r="L6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9" s="4"/>
      <c r="N619" s="46">
        <f>IF(AR[[#This Row],[Collection date - override (dd/mm/yyyy)]] &lt;&gt; "", AR[[#This Row],[Collection date - override (dd/mm/yyyy)]], AR[[#This Row],[Due date (dd/mm/yyyy)]])</f>
        <v>0</v>
      </c>
      <c r="O619" s="46">
        <f t="shared" si="9"/>
        <v>52</v>
      </c>
    </row>
    <row r="620" spans="3:15" x14ac:dyDescent="0.25">
      <c r="C620" s="28"/>
      <c r="D620" s="20"/>
      <c r="E620" s="4"/>
      <c r="F620" s="37"/>
      <c r="G620" s="24"/>
      <c r="H620" s="51">
        <f>Assumptions!$D$15</f>
        <v>0.1</v>
      </c>
      <c r="I620" s="45">
        <f>IF(AR[[#This Row],[GST applies?]] = "Yes", (AR[[#This Row],[Invoice value inc. VAT]] / 1 + AR[[#This Row],[GST %]]) * AR[[#This Row],[GST %]], 0)</f>
        <v>0</v>
      </c>
      <c r="J620" s="31">
        <f>_xlfn.XLOOKUP(AR[[#This Row],[Customer name]], Customer_master[Customer name], Customer_master[EOM or Net], 0)</f>
        <v>0</v>
      </c>
      <c r="K620" s="31">
        <f>_xlfn.XLOOKUP(AR[[#This Row],[Customer name]], Customer_master[Customer name], Customer_master[Terms days], 0)</f>
        <v>0</v>
      </c>
      <c r="L6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0" s="4"/>
      <c r="N620" s="46">
        <f>IF(AR[[#This Row],[Collection date - override (dd/mm/yyyy)]] &lt;&gt; "", AR[[#This Row],[Collection date - override (dd/mm/yyyy)]], AR[[#This Row],[Due date (dd/mm/yyyy)]])</f>
        <v>0</v>
      </c>
      <c r="O620" s="46">
        <f t="shared" si="9"/>
        <v>52</v>
      </c>
    </row>
    <row r="621" spans="3:15" x14ac:dyDescent="0.25">
      <c r="C621" s="28"/>
      <c r="D621" s="20"/>
      <c r="E621" s="4"/>
      <c r="F621" s="37"/>
      <c r="G621" s="24"/>
      <c r="H621" s="51">
        <f>Assumptions!$D$15</f>
        <v>0.1</v>
      </c>
      <c r="I621" s="45">
        <f>IF(AR[[#This Row],[GST applies?]] = "Yes", (AR[[#This Row],[Invoice value inc. VAT]] / 1 + AR[[#This Row],[GST %]]) * AR[[#This Row],[GST %]], 0)</f>
        <v>0</v>
      </c>
      <c r="J621" s="31">
        <f>_xlfn.XLOOKUP(AR[[#This Row],[Customer name]], Customer_master[Customer name], Customer_master[EOM or Net], 0)</f>
        <v>0</v>
      </c>
      <c r="K621" s="31">
        <f>_xlfn.XLOOKUP(AR[[#This Row],[Customer name]], Customer_master[Customer name], Customer_master[Terms days], 0)</f>
        <v>0</v>
      </c>
      <c r="L6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1" s="4"/>
      <c r="N621" s="46">
        <f>IF(AR[[#This Row],[Collection date - override (dd/mm/yyyy)]] &lt;&gt; "", AR[[#This Row],[Collection date - override (dd/mm/yyyy)]], AR[[#This Row],[Due date (dd/mm/yyyy)]])</f>
        <v>0</v>
      </c>
      <c r="O621" s="46">
        <f t="shared" si="9"/>
        <v>52</v>
      </c>
    </row>
    <row r="622" spans="3:15" x14ac:dyDescent="0.25">
      <c r="C622" s="28"/>
      <c r="D622" s="20"/>
      <c r="E622" s="4"/>
      <c r="F622" s="37"/>
      <c r="G622" s="24"/>
      <c r="H622" s="51">
        <f>Assumptions!$D$15</f>
        <v>0.1</v>
      </c>
      <c r="I622" s="45">
        <f>IF(AR[[#This Row],[GST applies?]] = "Yes", (AR[[#This Row],[Invoice value inc. VAT]] / 1 + AR[[#This Row],[GST %]]) * AR[[#This Row],[GST %]], 0)</f>
        <v>0</v>
      </c>
      <c r="J622" s="31">
        <f>_xlfn.XLOOKUP(AR[[#This Row],[Customer name]], Customer_master[Customer name], Customer_master[EOM or Net], 0)</f>
        <v>0</v>
      </c>
      <c r="K622" s="31">
        <f>_xlfn.XLOOKUP(AR[[#This Row],[Customer name]], Customer_master[Customer name], Customer_master[Terms days], 0)</f>
        <v>0</v>
      </c>
      <c r="L6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2" s="4"/>
      <c r="N622" s="46">
        <f>IF(AR[[#This Row],[Collection date - override (dd/mm/yyyy)]] &lt;&gt; "", AR[[#This Row],[Collection date - override (dd/mm/yyyy)]], AR[[#This Row],[Due date (dd/mm/yyyy)]])</f>
        <v>0</v>
      </c>
      <c r="O622" s="46">
        <f t="shared" si="9"/>
        <v>52</v>
      </c>
    </row>
    <row r="623" spans="3:15" x14ac:dyDescent="0.25">
      <c r="C623" s="28"/>
      <c r="D623" s="20"/>
      <c r="E623" s="4"/>
      <c r="F623" s="37"/>
      <c r="G623" s="24"/>
      <c r="H623" s="51">
        <f>Assumptions!$D$15</f>
        <v>0.1</v>
      </c>
      <c r="I623" s="45">
        <f>IF(AR[[#This Row],[GST applies?]] = "Yes", (AR[[#This Row],[Invoice value inc. VAT]] / 1 + AR[[#This Row],[GST %]]) * AR[[#This Row],[GST %]], 0)</f>
        <v>0</v>
      </c>
      <c r="J623" s="31">
        <f>_xlfn.XLOOKUP(AR[[#This Row],[Customer name]], Customer_master[Customer name], Customer_master[EOM or Net], 0)</f>
        <v>0</v>
      </c>
      <c r="K623" s="31">
        <f>_xlfn.XLOOKUP(AR[[#This Row],[Customer name]], Customer_master[Customer name], Customer_master[Terms days], 0)</f>
        <v>0</v>
      </c>
      <c r="L6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3" s="4"/>
      <c r="N623" s="46">
        <f>IF(AR[[#This Row],[Collection date - override (dd/mm/yyyy)]] &lt;&gt; "", AR[[#This Row],[Collection date - override (dd/mm/yyyy)]], AR[[#This Row],[Due date (dd/mm/yyyy)]])</f>
        <v>0</v>
      </c>
      <c r="O623" s="46">
        <f t="shared" si="9"/>
        <v>52</v>
      </c>
    </row>
    <row r="624" spans="3:15" x14ac:dyDescent="0.25">
      <c r="C624" s="28"/>
      <c r="D624" s="20"/>
      <c r="E624" s="4"/>
      <c r="F624" s="37"/>
      <c r="G624" s="24"/>
      <c r="H624" s="51">
        <f>Assumptions!$D$15</f>
        <v>0.1</v>
      </c>
      <c r="I624" s="45">
        <f>IF(AR[[#This Row],[GST applies?]] = "Yes", (AR[[#This Row],[Invoice value inc. VAT]] / 1 + AR[[#This Row],[GST %]]) * AR[[#This Row],[GST %]], 0)</f>
        <v>0</v>
      </c>
      <c r="J624" s="31">
        <f>_xlfn.XLOOKUP(AR[[#This Row],[Customer name]], Customer_master[Customer name], Customer_master[EOM or Net], 0)</f>
        <v>0</v>
      </c>
      <c r="K624" s="31">
        <f>_xlfn.XLOOKUP(AR[[#This Row],[Customer name]], Customer_master[Customer name], Customer_master[Terms days], 0)</f>
        <v>0</v>
      </c>
      <c r="L6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4" s="4"/>
      <c r="N624" s="46">
        <f>IF(AR[[#This Row],[Collection date - override (dd/mm/yyyy)]] &lt;&gt; "", AR[[#This Row],[Collection date - override (dd/mm/yyyy)]], AR[[#This Row],[Due date (dd/mm/yyyy)]])</f>
        <v>0</v>
      </c>
      <c r="O624" s="46">
        <f t="shared" si="9"/>
        <v>52</v>
      </c>
    </row>
    <row r="625" spans="3:15" x14ac:dyDescent="0.25">
      <c r="C625" s="28"/>
      <c r="D625" s="20"/>
      <c r="E625" s="4"/>
      <c r="F625" s="37"/>
      <c r="G625" s="24"/>
      <c r="H625" s="51">
        <f>Assumptions!$D$15</f>
        <v>0.1</v>
      </c>
      <c r="I625" s="45">
        <f>IF(AR[[#This Row],[GST applies?]] = "Yes", (AR[[#This Row],[Invoice value inc. VAT]] / 1 + AR[[#This Row],[GST %]]) * AR[[#This Row],[GST %]], 0)</f>
        <v>0</v>
      </c>
      <c r="J625" s="31">
        <f>_xlfn.XLOOKUP(AR[[#This Row],[Customer name]], Customer_master[Customer name], Customer_master[EOM or Net], 0)</f>
        <v>0</v>
      </c>
      <c r="K625" s="31">
        <f>_xlfn.XLOOKUP(AR[[#This Row],[Customer name]], Customer_master[Customer name], Customer_master[Terms days], 0)</f>
        <v>0</v>
      </c>
      <c r="L6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5" s="4"/>
      <c r="N625" s="46">
        <f>IF(AR[[#This Row],[Collection date - override (dd/mm/yyyy)]] &lt;&gt; "", AR[[#This Row],[Collection date - override (dd/mm/yyyy)]], AR[[#This Row],[Due date (dd/mm/yyyy)]])</f>
        <v>0</v>
      </c>
      <c r="O625" s="46">
        <f t="shared" si="9"/>
        <v>52</v>
      </c>
    </row>
    <row r="626" spans="3:15" x14ac:dyDescent="0.25">
      <c r="C626" s="28"/>
      <c r="D626" s="20"/>
      <c r="E626" s="4"/>
      <c r="F626" s="37"/>
      <c r="G626" s="24"/>
      <c r="H626" s="51">
        <f>Assumptions!$D$15</f>
        <v>0.1</v>
      </c>
      <c r="I626" s="45">
        <f>IF(AR[[#This Row],[GST applies?]] = "Yes", (AR[[#This Row],[Invoice value inc. VAT]] / 1 + AR[[#This Row],[GST %]]) * AR[[#This Row],[GST %]], 0)</f>
        <v>0</v>
      </c>
      <c r="J626" s="31">
        <f>_xlfn.XLOOKUP(AR[[#This Row],[Customer name]], Customer_master[Customer name], Customer_master[EOM or Net], 0)</f>
        <v>0</v>
      </c>
      <c r="K626" s="31">
        <f>_xlfn.XLOOKUP(AR[[#This Row],[Customer name]], Customer_master[Customer name], Customer_master[Terms days], 0)</f>
        <v>0</v>
      </c>
      <c r="L6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6" s="4"/>
      <c r="N626" s="46">
        <f>IF(AR[[#This Row],[Collection date - override (dd/mm/yyyy)]] &lt;&gt; "", AR[[#This Row],[Collection date - override (dd/mm/yyyy)]], AR[[#This Row],[Due date (dd/mm/yyyy)]])</f>
        <v>0</v>
      </c>
      <c r="O626" s="46">
        <f t="shared" si="9"/>
        <v>52</v>
      </c>
    </row>
    <row r="627" spans="3:15" x14ac:dyDescent="0.25">
      <c r="C627" s="28"/>
      <c r="D627" s="20"/>
      <c r="E627" s="4"/>
      <c r="F627" s="37"/>
      <c r="G627" s="24"/>
      <c r="H627" s="51">
        <f>Assumptions!$D$15</f>
        <v>0.1</v>
      </c>
      <c r="I627" s="45">
        <f>IF(AR[[#This Row],[GST applies?]] = "Yes", (AR[[#This Row],[Invoice value inc. VAT]] / 1 + AR[[#This Row],[GST %]]) * AR[[#This Row],[GST %]], 0)</f>
        <v>0</v>
      </c>
      <c r="J627" s="31">
        <f>_xlfn.XLOOKUP(AR[[#This Row],[Customer name]], Customer_master[Customer name], Customer_master[EOM or Net], 0)</f>
        <v>0</v>
      </c>
      <c r="K627" s="31">
        <f>_xlfn.XLOOKUP(AR[[#This Row],[Customer name]], Customer_master[Customer name], Customer_master[Terms days], 0)</f>
        <v>0</v>
      </c>
      <c r="L6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7" s="4"/>
      <c r="N627" s="46">
        <f>IF(AR[[#This Row],[Collection date - override (dd/mm/yyyy)]] &lt;&gt; "", AR[[#This Row],[Collection date - override (dd/mm/yyyy)]], AR[[#This Row],[Due date (dd/mm/yyyy)]])</f>
        <v>0</v>
      </c>
      <c r="O627" s="46">
        <f t="shared" si="9"/>
        <v>52</v>
      </c>
    </row>
    <row r="628" spans="3:15" x14ac:dyDescent="0.25">
      <c r="C628" s="28"/>
      <c r="D628" s="20"/>
      <c r="E628" s="4"/>
      <c r="F628" s="37"/>
      <c r="G628" s="24"/>
      <c r="H628" s="51">
        <f>Assumptions!$D$15</f>
        <v>0.1</v>
      </c>
      <c r="I628" s="45">
        <f>IF(AR[[#This Row],[GST applies?]] = "Yes", (AR[[#This Row],[Invoice value inc. VAT]] / 1 + AR[[#This Row],[GST %]]) * AR[[#This Row],[GST %]], 0)</f>
        <v>0</v>
      </c>
      <c r="J628" s="31">
        <f>_xlfn.XLOOKUP(AR[[#This Row],[Customer name]], Customer_master[Customer name], Customer_master[EOM or Net], 0)</f>
        <v>0</v>
      </c>
      <c r="K628" s="31">
        <f>_xlfn.XLOOKUP(AR[[#This Row],[Customer name]], Customer_master[Customer name], Customer_master[Terms days], 0)</f>
        <v>0</v>
      </c>
      <c r="L6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8" s="4"/>
      <c r="N628" s="46">
        <f>IF(AR[[#This Row],[Collection date - override (dd/mm/yyyy)]] &lt;&gt; "", AR[[#This Row],[Collection date - override (dd/mm/yyyy)]], AR[[#This Row],[Due date (dd/mm/yyyy)]])</f>
        <v>0</v>
      </c>
      <c r="O628" s="46">
        <f t="shared" si="9"/>
        <v>52</v>
      </c>
    </row>
    <row r="629" spans="3:15" x14ac:dyDescent="0.25">
      <c r="C629" s="28"/>
      <c r="D629" s="20"/>
      <c r="E629" s="4"/>
      <c r="F629" s="37"/>
      <c r="G629" s="24"/>
      <c r="H629" s="51">
        <f>Assumptions!$D$15</f>
        <v>0.1</v>
      </c>
      <c r="I629" s="45">
        <f>IF(AR[[#This Row],[GST applies?]] = "Yes", (AR[[#This Row],[Invoice value inc. VAT]] / 1 + AR[[#This Row],[GST %]]) * AR[[#This Row],[GST %]], 0)</f>
        <v>0</v>
      </c>
      <c r="J629" s="31">
        <f>_xlfn.XLOOKUP(AR[[#This Row],[Customer name]], Customer_master[Customer name], Customer_master[EOM or Net], 0)</f>
        <v>0</v>
      </c>
      <c r="K629" s="31">
        <f>_xlfn.XLOOKUP(AR[[#This Row],[Customer name]], Customer_master[Customer name], Customer_master[Terms days], 0)</f>
        <v>0</v>
      </c>
      <c r="L6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9" s="4"/>
      <c r="N629" s="46">
        <f>IF(AR[[#This Row],[Collection date - override (dd/mm/yyyy)]] &lt;&gt; "", AR[[#This Row],[Collection date - override (dd/mm/yyyy)]], AR[[#This Row],[Due date (dd/mm/yyyy)]])</f>
        <v>0</v>
      </c>
      <c r="O629" s="46">
        <f t="shared" si="9"/>
        <v>52</v>
      </c>
    </row>
    <row r="630" spans="3:15" x14ac:dyDescent="0.25">
      <c r="C630" s="28"/>
      <c r="D630" s="20"/>
      <c r="E630" s="4"/>
      <c r="F630" s="37"/>
      <c r="G630" s="24"/>
      <c r="H630" s="51">
        <f>Assumptions!$D$15</f>
        <v>0.1</v>
      </c>
      <c r="I630" s="45">
        <f>IF(AR[[#This Row],[GST applies?]] = "Yes", (AR[[#This Row],[Invoice value inc. VAT]] / 1 + AR[[#This Row],[GST %]]) * AR[[#This Row],[GST %]], 0)</f>
        <v>0</v>
      </c>
      <c r="J630" s="31">
        <f>_xlfn.XLOOKUP(AR[[#This Row],[Customer name]], Customer_master[Customer name], Customer_master[EOM or Net], 0)</f>
        <v>0</v>
      </c>
      <c r="K630" s="31">
        <f>_xlfn.XLOOKUP(AR[[#This Row],[Customer name]], Customer_master[Customer name], Customer_master[Terms days], 0)</f>
        <v>0</v>
      </c>
      <c r="L6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0" s="4"/>
      <c r="N630" s="46">
        <f>IF(AR[[#This Row],[Collection date - override (dd/mm/yyyy)]] &lt;&gt; "", AR[[#This Row],[Collection date - override (dd/mm/yyyy)]], AR[[#This Row],[Due date (dd/mm/yyyy)]])</f>
        <v>0</v>
      </c>
      <c r="O630" s="46">
        <f t="shared" si="9"/>
        <v>52</v>
      </c>
    </row>
    <row r="631" spans="3:15" x14ac:dyDescent="0.25">
      <c r="C631" s="28"/>
      <c r="D631" s="20"/>
      <c r="E631" s="4"/>
      <c r="F631" s="37"/>
      <c r="G631" s="24"/>
      <c r="H631" s="51">
        <f>Assumptions!$D$15</f>
        <v>0.1</v>
      </c>
      <c r="I631" s="45">
        <f>IF(AR[[#This Row],[GST applies?]] = "Yes", (AR[[#This Row],[Invoice value inc. VAT]] / 1 + AR[[#This Row],[GST %]]) * AR[[#This Row],[GST %]], 0)</f>
        <v>0</v>
      </c>
      <c r="J631" s="31">
        <f>_xlfn.XLOOKUP(AR[[#This Row],[Customer name]], Customer_master[Customer name], Customer_master[EOM or Net], 0)</f>
        <v>0</v>
      </c>
      <c r="K631" s="31">
        <f>_xlfn.XLOOKUP(AR[[#This Row],[Customer name]], Customer_master[Customer name], Customer_master[Terms days], 0)</f>
        <v>0</v>
      </c>
      <c r="L6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1" s="4"/>
      <c r="N631" s="46">
        <f>IF(AR[[#This Row],[Collection date - override (dd/mm/yyyy)]] &lt;&gt; "", AR[[#This Row],[Collection date - override (dd/mm/yyyy)]], AR[[#This Row],[Due date (dd/mm/yyyy)]])</f>
        <v>0</v>
      </c>
      <c r="O631" s="46">
        <f t="shared" si="9"/>
        <v>52</v>
      </c>
    </row>
    <row r="632" spans="3:15" x14ac:dyDescent="0.25">
      <c r="C632" s="28"/>
      <c r="D632" s="20"/>
      <c r="E632" s="4"/>
      <c r="F632" s="37"/>
      <c r="G632" s="24"/>
      <c r="H632" s="51">
        <f>Assumptions!$D$15</f>
        <v>0.1</v>
      </c>
      <c r="I632" s="45">
        <f>IF(AR[[#This Row],[GST applies?]] = "Yes", (AR[[#This Row],[Invoice value inc. VAT]] / 1 + AR[[#This Row],[GST %]]) * AR[[#This Row],[GST %]], 0)</f>
        <v>0</v>
      </c>
      <c r="J632" s="31">
        <f>_xlfn.XLOOKUP(AR[[#This Row],[Customer name]], Customer_master[Customer name], Customer_master[EOM or Net], 0)</f>
        <v>0</v>
      </c>
      <c r="K632" s="31">
        <f>_xlfn.XLOOKUP(AR[[#This Row],[Customer name]], Customer_master[Customer name], Customer_master[Terms days], 0)</f>
        <v>0</v>
      </c>
      <c r="L6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2" s="4"/>
      <c r="N632" s="46">
        <f>IF(AR[[#This Row],[Collection date - override (dd/mm/yyyy)]] &lt;&gt; "", AR[[#This Row],[Collection date - override (dd/mm/yyyy)]], AR[[#This Row],[Due date (dd/mm/yyyy)]])</f>
        <v>0</v>
      </c>
      <c r="O632" s="46">
        <f t="shared" si="9"/>
        <v>52</v>
      </c>
    </row>
    <row r="633" spans="3:15" x14ac:dyDescent="0.25">
      <c r="C633" s="28"/>
      <c r="D633" s="20"/>
      <c r="E633" s="4"/>
      <c r="F633" s="37"/>
      <c r="G633" s="24"/>
      <c r="H633" s="51">
        <f>Assumptions!$D$15</f>
        <v>0.1</v>
      </c>
      <c r="I633" s="45">
        <f>IF(AR[[#This Row],[GST applies?]] = "Yes", (AR[[#This Row],[Invoice value inc. VAT]] / 1 + AR[[#This Row],[GST %]]) * AR[[#This Row],[GST %]], 0)</f>
        <v>0</v>
      </c>
      <c r="J633" s="31">
        <f>_xlfn.XLOOKUP(AR[[#This Row],[Customer name]], Customer_master[Customer name], Customer_master[EOM or Net], 0)</f>
        <v>0</v>
      </c>
      <c r="K633" s="31">
        <f>_xlfn.XLOOKUP(AR[[#This Row],[Customer name]], Customer_master[Customer name], Customer_master[Terms days], 0)</f>
        <v>0</v>
      </c>
      <c r="L6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3" s="4"/>
      <c r="N633" s="46">
        <f>IF(AR[[#This Row],[Collection date - override (dd/mm/yyyy)]] &lt;&gt; "", AR[[#This Row],[Collection date - override (dd/mm/yyyy)]], AR[[#This Row],[Due date (dd/mm/yyyy)]])</f>
        <v>0</v>
      </c>
      <c r="O633" s="46">
        <f t="shared" si="9"/>
        <v>52</v>
      </c>
    </row>
    <row r="634" spans="3:15" x14ac:dyDescent="0.25">
      <c r="C634" s="28"/>
      <c r="D634" s="20"/>
      <c r="E634" s="4"/>
      <c r="F634" s="37"/>
      <c r="G634" s="24"/>
      <c r="H634" s="51">
        <f>Assumptions!$D$15</f>
        <v>0.1</v>
      </c>
      <c r="I634" s="45">
        <f>IF(AR[[#This Row],[GST applies?]] = "Yes", (AR[[#This Row],[Invoice value inc. VAT]] / 1 + AR[[#This Row],[GST %]]) * AR[[#This Row],[GST %]], 0)</f>
        <v>0</v>
      </c>
      <c r="J634" s="31">
        <f>_xlfn.XLOOKUP(AR[[#This Row],[Customer name]], Customer_master[Customer name], Customer_master[EOM or Net], 0)</f>
        <v>0</v>
      </c>
      <c r="K634" s="31">
        <f>_xlfn.XLOOKUP(AR[[#This Row],[Customer name]], Customer_master[Customer name], Customer_master[Terms days], 0)</f>
        <v>0</v>
      </c>
      <c r="L6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4" s="4"/>
      <c r="N634" s="46">
        <f>IF(AR[[#This Row],[Collection date - override (dd/mm/yyyy)]] &lt;&gt; "", AR[[#This Row],[Collection date - override (dd/mm/yyyy)]], AR[[#This Row],[Due date (dd/mm/yyyy)]])</f>
        <v>0</v>
      </c>
      <c r="O634" s="46">
        <f t="shared" si="9"/>
        <v>52</v>
      </c>
    </row>
    <row r="635" spans="3:15" x14ac:dyDescent="0.25">
      <c r="C635" s="28"/>
      <c r="D635" s="20"/>
      <c r="E635" s="4"/>
      <c r="F635" s="37"/>
      <c r="G635" s="24"/>
      <c r="H635" s="51">
        <f>Assumptions!$D$15</f>
        <v>0.1</v>
      </c>
      <c r="I635" s="45">
        <f>IF(AR[[#This Row],[GST applies?]] = "Yes", (AR[[#This Row],[Invoice value inc. VAT]] / 1 + AR[[#This Row],[GST %]]) * AR[[#This Row],[GST %]], 0)</f>
        <v>0</v>
      </c>
      <c r="J635" s="31">
        <f>_xlfn.XLOOKUP(AR[[#This Row],[Customer name]], Customer_master[Customer name], Customer_master[EOM or Net], 0)</f>
        <v>0</v>
      </c>
      <c r="K635" s="31">
        <f>_xlfn.XLOOKUP(AR[[#This Row],[Customer name]], Customer_master[Customer name], Customer_master[Terms days], 0)</f>
        <v>0</v>
      </c>
      <c r="L6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5" s="4"/>
      <c r="N635" s="46">
        <f>IF(AR[[#This Row],[Collection date - override (dd/mm/yyyy)]] &lt;&gt; "", AR[[#This Row],[Collection date - override (dd/mm/yyyy)]], AR[[#This Row],[Due date (dd/mm/yyyy)]])</f>
        <v>0</v>
      </c>
      <c r="O635" s="46">
        <f t="shared" si="9"/>
        <v>52</v>
      </c>
    </row>
    <row r="636" spans="3:15" x14ac:dyDescent="0.25">
      <c r="C636" s="28"/>
      <c r="D636" s="20"/>
      <c r="E636" s="4"/>
      <c r="F636" s="37"/>
      <c r="G636" s="24"/>
      <c r="H636" s="51">
        <f>Assumptions!$D$15</f>
        <v>0.1</v>
      </c>
      <c r="I636" s="45">
        <f>IF(AR[[#This Row],[GST applies?]] = "Yes", (AR[[#This Row],[Invoice value inc. VAT]] / 1 + AR[[#This Row],[GST %]]) * AR[[#This Row],[GST %]], 0)</f>
        <v>0</v>
      </c>
      <c r="J636" s="31">
        <f>_xlfn.XLOOKUP(AR[[#This Row],[Customer name]], Customer_master[Customer name], Customer_master[EOM or Net], 0)</f>
        <v>0</v>
      </c>
      <c r="K636" s="31">
        <f>_xlfn.XLOOKUP(AR[[#This Row],[Customer name]], Customer_master[Customer name], Customer_master[Terms days], 0)</f>
        <v>0</v>
      </c>
      <c r="L6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6" s="4"/>
      <c r="N636" s="46">
        <f>IF(AR[[#This Row],[Collection date - override (dd/mm/yyyy)]] &lt;&gt; "", AR[[#This Row],[Collection date - override (dd/mm/yyyy)]], AR[[#This Row],[Due date (dd/mm/yyyy)]])</f>
        <v>0</v>
      </c>
      <c r="O636" s="46">
        <f t="shared" si="9"/>
        <v>52</v>
      </c>
    </row>
    <row r="637" spans="3:15" x14ac:dyDescent="0.25">
      <c r="C637" s="28"/>
      <c r="D637" s="20"/>
      <c r="E637" s="4"/>
      <c r="F637" s="37"/>
      <c r="G637" s="24"/>
      <c r="H637" s="51">
        <f>Assumptions!$D$15</f>
        <v>0.1</v>
      </c>
      <c r="I637" s="45">
        <f>IF(AR[[#This Row],[GST applies?]] = "Yes", (AR[[#This Row],[Invoice value inc. VAT]] / 1 + AR[[#This Row],[GST %]]) * AR[[#This Row],[GST %]], 0)</f>
        <v>0</v>
      </c>
      <c r="J637" s="31">
        <f>_xlfn.XLOOKUP(AR[[#This Row],[Customer name]], Customer_master[Customer name], Customer_master[EOM or Net], 0)</f>
        <v>0</v>
      </c>
      <c r="K637" s="31">
        <f>_xlfn.XLOOKUP(AR[[#This Row],[Customer name]], Customer_master[Customer name], Customer_master[Terms days], 0)</f>
        <v>0</v>
      </c>
      <c r="L6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7" s="4"/>
      <c r="N637" s="46">
        <f>IF(AR[[#This Row],[Collection date - override (dd/mm/yyyy)]] &lt;&gt; "", AR[[#This Row],[Collection date - override (dd/mm/yyyy)]], AR[[#This Row],[Due date (dd/mm/yyyy)]])</f>
        <v>0</v>
      </c>
      <c r="O637" s="46">
        <f t="shared" si="9"/>
        <v>52</v>
      </c>
    </row>
    <row r="638" spans="3:15" x14ac:dyDescent="0.25">
      <c r="C638" s="28"/>
      <c r="D638" s="20"/>
      <c r="E638" s="4"/>
      <c r="F638" s="37"/>
      <c r="G638" s="24"/>
      <c r="H638" s="51">
        <f>Assumptions!$D$15</f>
        <v>0.1</v>
      </c>
      <c r="I638" s="45">
        <f>IF(AR[[#This Row],[GST applies?]] = "Yes", (AR[[#This Row],[Invoice value inc. VAT]] / 1 + AR[[#This Row],[GST %]]) * AR[[#This Row],[GST %]], 0)</f>
        <v>0</v>
      </c>
      <c r="J638" s="31">
        <f>_xlfn.XLOOKUP(AR[[#This Row],[Customer name]], Customer_master[Customer name], Customer_master[EOM or Net], 0)</f>
        <v>0</v>
      </c>
      <c r="K638" s="31">
        <f>_xlfn.XLOOKUP(AR[[#This Row],[Customer name]], Customer_master[Customer name], Customer_master[Terms days], 0)</f>
        <v>0</v>
      </c>
      <c r="L6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8" s="4"/>
      <c r="N638" s="46">
        <f>IF(AR[[#This Row],[Collection date - override (dd/mm/yyyy)]] &lt;&gt; "", AR[[#This Row],[Collection date - override (dd/mm/yyyy)]], AR[[#This Row],[Due date (dd/mm/yyyy)]])</f>
        <v>0</v>
      </c>
      <c r="O638" s="46">
        <f t="shared" si="9"/>
        <v>52</v>
      </c>
    </row>
    <row r="639" spans="3:15" x14ac:dyDescent="0.25">
      <c r="C639" s="28"/>
      <c r="D639" s="20"/>
      <c r="E639" s="4"/>
      <c r="F639" s="37"/>
      <c r="G639" s="24"/>
      <c r="H639" s="51">
        <f>Assumptions!$D$15</f>
        <v>0.1</v>
      </c>
      <c r="I639" s="45">
        <f>IF(AR[[#This Row],[GST applies?]] = "Yes", (AR[[#This Row],[Invoice value inc. VAT]] / 1 + AR[[#This Row],[GST %]]) * AR[[#This Row],[GST %]], 0)</f>
        <v>0</v>
      </c>
      <c r="J639" s="31">
        <f>_xlfn.XLOOKUP(AR[[#This Row],[Customer name]], Customer_master[Customer name], Customer_master[EOM or Net], 0)</f>
        <v>0</v>
      </c>
      <c r="K639" s="31">
        <f>_xlfn.XLOOKUP(AR[[#This Row],[Customer name]], Customer_master[Customer name], Customer_master[Terms days], 0)</f>
        <v>0</v>
      </c>
      <c r="L6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9" s="4"/>
      <c r="N639" s="46">
        <f>IF(AR[[#This Row],[Collection date - override (dd/mm/yyyy)]] &lt;&gt; "", AR[[#This Row],[Collection date - override (dd/mm/yyyy)]], AR[[#This Row],[Due date (dd/mm/yyyy)]])</f>
        <v>0</v>
      </c>
      <c r="O639" s="46">
        <f t="shared" si="9"/>
        <v>52</v>
      </c>
    </row>
    <row r="640" spans="3:15" x14ac:dyDescent="0.25">
      <c r="C640" s="28"/>
      <c r="D640" s="20"/>
      <c r="E640" s="4"/>
      <c r="F640" s="37"/>
      <c r="G640" s="24"/>
      <c r="H640" s="51">
        <f>Assumptions!$D$15</f>
        <v>0.1</v>
      </c>
      <c r="I640" s="45">
        <f>IF(AR[[#This Row],[GST applies?]] = "Yes", (AR[[#This Row],[Invoice value inc. VAT]] / 1 + AR[[#This Row],[GST %]]) * AR[[#This Row],[GST %]], 0)</f>
        <v>0</v>
      </c>
      <c r="J640" s="31">
        <f>_xlfn.XLOOKUP(AR[[#This Row],[Customer name]], Customer_master[Customer name], Customer_master[EOM or Net], 0)</f>
        <v>0</v>
      </c>
      <c r="K640" s="31">
        <f>_xlfn.XLOOKUP(AR[[#This Row],[Customer name]], Customer_master[Customer name], Customer_master[Terms days], 0)</f>
        <v>0</v>
      </c>
      <c r="L6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0" s="4"/>
      <c r="N640" s="46">
        <f>IF(AR[[#This Row],[Collection date - override (dd/mm/yyyy)]] &lt;&gt; "", AR[[#This Row],[Collection date - override (dd/mm/yyyy)]], AR[[#This Row],[Due date (dd/mm/yyyy)]])</f>
        <v>0</v>
      </c>
      <c r="O640" s="46">
        <f t="shared" si="9"/>
        <v>52</v>
      </c>
    </row>
    <row r="641" spans="3:15" x14ac:dyDescent="0.25">
      <c r="C641" s="28"/>
      <c r="D641" s="20"/>
      <c r="E641" s="4"/>
      <c r="F641" s="37"/>
      <c r="G641" s="24"/>
      <c r="H641" s="51">
        <f>Assumptions!$D$15</f>
        <v>0.1</v>
      </c>
      <c r="I641" s="45">
        <f>IF(AR[[#This Row],[GST applies?]] = "Yes", (AR[[#This Row],[Invoice value inc. VAT]] / 1 + AR[[#This Row],[GST %]]) * AR[[#This Row],[GST %]], 0)</f>
        <v>0</v>
      </c>
      <c r="J641" s="31">
        <f>_xlfn.XLOOKUP(AR[[#This Row],[Customer name]], Customer_master[Customer name], Customer_master[EOM or Net], 0)</f>
        <v>0</v>
      </c>
      <c r="K641" s="31">
        <f>_xlfn.XLOOKUP(AR[[#This Row],[Customer name]], Customer_master[Customer name], Customer_master[Terms days], 0)</f>
        <v>0</v>
      </c>
      <c r="L6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1" s="4"/>
      <c r="N641" s="46">
        <f>IF(AR[[#This Row],[Collection date - override (dd/mm/yyyy)]] &lt;&gt; "", AR[[#This Row],[Collection date - override (dd/mm/yyyy)]], AR[[#This Row],[Due date (dd/mm/yyyy)]])</f>
        <v>0</v>
      </c>
      <c r="O641" s="46">
        <f t="shared" si="9"/>
        <v>52</v>
      </c>
    </row>
    <row r="642" spans="3:15" x14ac:dyDescent="0.25">
      <c r="C642" s="28"/>
      <c r="D642" s="20"/>
      <c r="E642" s="4"/>
      <c r="F642" s="37"/>
      <c r="G642" s="24"/>
      <c r="H642" s="51">
        <f>Assumptions!$D$15</f>
        <v>0.1</v>
      </c>
      <c r="I642" s="45">
        <f>IF(AR[[#This Row],[GST applies?]] = "Yes", (AR[[#This Row],[Invoice value inc. VAT]] / 1 + AR[[#This Row],[GST %]]) * AR[[#This Row],[GST %]], 0)</f>
        <v>0</v>
      </c>
      <c r="J642" s="31">
        <f>_xlfn.XLOOKUP(AR[[#This Row],[Customer name]], Customer_master[Customer name], Customer_master[EOM or Net], 0)</f>
        <v>0</v>
      </c>
      <c r="K642" s="31">
        <f>_xlfn.XLOOKUP(AR[[#This Row],[Customer name]], Customer_master[Customer name], Customer_master[Terms days], 0)</f>
        <v>0</v>
      </c>
      <c r="L6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2" s="4"/>
      <c r="N642" s="46">
        <f>IF(AR[[#This Row],[Collection date - override (dd/mm/yyyy)]] &lt;&gt; "", AR[[#This Row],[Collection date - override (dd/mm/yyyy)]], AR[[#This Row],[Due date (dd/mm/yyyy)]])</f>
        <v>0</v>
      </c>
      <c r="O642" s="46">
        <f t="shared" si="9"/>
        <v>52</v>
      </c>
    </row>
    <row r="643" spans="3:15" x14ac:dyDescent="0.25">
      <c r="C643" s="28"/>
      <c r="D643" s="20"/>
      <c r="E643" s="4"/>
      <c r="F643" s="37"/>
      <c r="G643" s="24"/>
      <c r="H643" s="51">
        <f>Assumptions!$D$15</f>
        <v>0.1</v>
      </c>
      <c r="I643" s="45">
        <f>IF(AR[[#This Row],[GST applies?]] = "Yes", (AR[[#This Row],[Invoice value inc. VAT]] / 1 + AR[[#This Row],[GST %]]) * AR[[#This Row],[GST %]], 0)</f>
        <v>0</v>
      </c>
      <c r="J643" s="31">
        <f>_xlfn.XLOOKUP(AR[[#This Row],[Customer name]], Customer_master[Customer name], Customer_master[EOM or Net], 0)</f>
        <v>0</v>
      </c>
      <c r="K643" s="31">
        <f>_xlfn.XLOOKUP(AR[[#This Row],[Customer name]], Customer_master[Customer name], Customer_master[Terms days], 0)</f>
        <v>0</v>
      </c>
      <c r="L6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3" s="4"/>
      <c r="N643" s="46">
        <f>IF(AR[[#This Row],[Collection date - override (dd/mm/yyyy)]] &lt;&gt; "", AR[[#This Row],[Collection date - override (dd/mm/yyyy)]], AR[[#This Row],[Due date (dd/mm/yyyy)]])</f>
        <v>0</v>
      </c>
      <c r="O643" s="46">
        <f t="shared" si="9"/>
        <v>52</v>
      </c>
    </row>
    <row r="644" spans="3:15" x14ac:dyDescent="0.25">
      <c r="C644" s="28"/>
      <c r="D644" s="20"/>
      <c r="E644" s="4"/>
      <c r="F644" s="37"/>
      <c r="G644" s="24"/>
      <c r="H644" s="51">
        <f>Assumptions!$D$15</f>
        <v>0.1</v>
      </c>
      <c r="I644" s="45">
        <f>IF(AR[[#This Row],[GST applies?]] = "Yes", (AR[[#This Row],[Invoice value inc. VAT]] / 1 + AR[[#This Row],[GST %]]) * AR[[#This Row],[GST %]], 0)</f>
        <v>0</v>
      </c>
      <c r="J644" s="31">
        <f>_xlfn.XLOOKUP(AR[[#This Row],[Customer name]], Customer_master[Customer name], Customer_master[EOM or Net], 0)</f>
        <v>0</v>
      </c>
      <c r="K644" s="31">
        <f>_xlfn.XLOOKUP(AR[[#This Row],[Customer name]], Customer_master[Customer name], Customer_master[Terms days], 0)</f>
        <v>0</v>
      </c>
      <c r="L6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4" s="4"/>
      <c r="N644" s="46">
        <f>IF(AR[[#This Row],[Collection date - override (dd/mm/yyyy)]] &lt;&gt; "", AR[[#This Row],[Collection date - override (dd/mm/yyyy)]], AR[[#This Row],[Due date (dd/mm/yyyy)]])</f>
        <v>0</v>
      </c>
      <c r="O644" s="46">
        <f t="shared" si="9"/>
        <v>52</v>
      </c>
    </row>
    <row r="645" spans="3:15" x14ac:dyDescent="0.25">
      <c r="C645" s="28"/>
      <c r="D645" s="20"/>
      <c r="E645" s="4"/>
      <c r="F645" s="37"/>
      <c r="G645" s="24"/>
      <c r="H645" s="51">
        <f>Assumptions!$D$15</f>
        <v>0.1</v>
      </c>
      <c r="I645" s="45">
        <f>IF(AR[[#This Row],[GST applies?]] = "Yes", (AR[[#This Row],[Invoice value inc. VAT]] / 1 + AR[[#This Row],[GST %]]) * AR[[#This Row],[GST %]], 0)</f>
        <v>0</v>
      </c>
      <c r="J645" s="31">
        <f>_xlfn.XLOOKUP(AR[[#This Row],[Customer name]], Customer_master[Customer name], Customer_master[EOM or Net], 0)</f>
        <v>0</v>
      </c>
      <c r="K645" s="31">
        <f>_xlfn.XLOOKUP(AR[[#This Row],[Customer name]], Customer_master[Customer name], Customer_master[Terms days], 0)</f>
        <v>0</v>
      </c>
      <c r="L6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5" s="4"/>
      <c r="N645" s="46">
        <f>IF(AR[[#This Row],[Collection date - override (dd/mm/yyyy)]] &lt;&gt; "", AR[[#This Row],[Collection date - override (dd/mm/yyyy)]], AR[[#This Row],[Due date (dd/mm/yyyy)]])</f>
        <v>0</v>
      </c>
      <c r="O645" s="46">
        <f t="shared" si="9"/>
        <v>52</v>
      </c>
    </row>
    <row r="646" spans="3:15" x14ac:dyDescent="0.25">
      <c r="C646" s="28"/>
      <c r="D646" s="20"/>
      <c r="E646" s="4"/>
      <c r="F646" s="37"/>
      <c r="G646" s="24"/>
      <c r="H646" s="51">
        <f>Assumptions!$D$15</f>
        <v>0.1</v>
      </c>
      <c r="I646" s="45">
        <f>IF(AR[[#This Row],[GST applies?]] = "Yes", (AR[[#This Row],[Invoice value inc. VAT]] / 1 + AR[[#This Row],[GST %]]) * AR[[#This Row],[GST %]], 0)</f>
        <v>0</v>
      </c>
      <c r="J646" s="31">
        <f>_xlfn.XLOOKUP(AR[[#This Row],[Customer name]], Customer_master[Customer name], Customer_master[EOM or Net], 0)</f>
        <v>0</v>
      </c>
      <c r="K646" s="31">
        <f>_xlfn.XLOOKUP(AR[[#This Row],[Customer name]], Customer_master[Customer name], Customer_master[Terms days], 0)</f>
        <v>0</v>
      </c>
      <c r="L6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6" s="4"/>
      <c r="N646" s="46">
        <f>IF(AR[[#This Row],[Collection date - override (dd/mm/yyyy)]] &lt;&gt; "", AR[[#This Row],[Collection date - override (dd/mm/yyyy)]], AR[[#This Row],[Due date (dd/mm/yyyy)]])</f>
        <v>0</v>
      </c>
      <c r="O646" s="46">
        <f t="shared" si="9"/>
        <v>52</v>
      </c>
    </row>
    <row r="647" spans="3:15" x14ac:dyDescent="0.25">
      <c r="C647" s="28"/>
      <c r="D647" s="20"/>
      <c r="E647" s="4"/>
      <c r="F647" s="37"/>
      <c r="G647" s="24"/>
      <c r="H647" s="51">
        <f>Assumptions!$D$15</f>
        <v>0.1</v>
      </c>
      <c r="I647" s="45">
        <f>IF(AR[[#This Row],[GST applies?]] = "Yes", (AR[[#This Row],[Invoice value inc. VAT]] / 1 + AR[[#This Row],[GST %]]) * AR[[#This Row],[GST %]], 0)</f>
        <v>0</v>
      </c>
      <c r="J647" s="31">
        <f>_xlfn.XLOOKUP(AR[[#This Row],[Customer name]], Customer_master[Customer name], Customer_master[EOM or Net], 0)</f>
        <v>0</v>
      </c>
      <c r="K647" s="31">
        <f>_xlfn.XLOOKUP(AR[[#This Row],[Customer name]], Customer_master[Customer name], Customer_master[Terms days], 0)</f>
        <v>0</v>
      </c>
      <c r="L6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7" s="4"/>
      <c r="N647" s="46">
        <f>IF(AR[[#This Row],[Collection date - override (dd/mm/yyyy)]] &lt;&gt; "", AR[[#This Row],[Collection date - override (dd/mm/yyyy)]], AR[[#This Row],[Due date (dd/mm/yyyy)]])</f>
        <v>0</v>
      </c>
      <c r="O647" s="46">
        <f t="shared" si="9"/>
        <v>52</v>
      </c>
    </row>
    <row r="648" spans="3:15" x14ac:dyDescent="0.25">
      <c r="C648" s="28"/>
      <c r="D648" s="20"/>
      <c r="E648" s="4"/>
      <c r="F648" s="37"/>
      <c r="G648" s="24"/>
      <c r="H648" s="51">
        <f>Assumptions!$D$15</f>
        <v>0.1</v>
      </c>
      <c r="I648" s="45">
        <f>IF(AR[[#This Row],[GST applies?]] = "Yes", (AR[[#This Row],[Invoice value inc. VAT]] / 1 + AR[[#This Row],[GST %]]) * AR[[#This Row],[GST %]], 0)</f>
        <v>0</v>
      </c>
      <c r="J648" s="31">
        <f>_xlfn.XLOOKUP(AR[[#This Row],[Customer name]], Customer_master[Customer name], Customer_master[EOM or Net], 0)</f>
        <v>0</v>
      </c>
      <c r="K648" s="31">
        <f>_xlfn.XLOOKUP(AR[[#This Row],[Customer name]], Customer_master[Customer name], Customer_master[Terms days], 0)</f>
        <v>0</v>
      </c>
      <c r="L6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8" s="4"/>
      <c r="N648" s="46">
        <f>IF(AR[[#This Row],[Collection date - override (dd/mm/yyyy)]] &lt;&gt; "", AR[[#This Row],[Collection date - override (dd/mm/yyyy)]], AR[[#This Row],[Due date (dd/mm/yyyy)]])</f>
        <v>0</v>
      </c>
      <c r="O648" s="46">
        <f t="shared" si="9"/>
        <v>52</v>
      </c>
    </row>
    <row r="649" spans="3:15" x14ac:dyDescent="0.25">
      <c r="C649" s="28"/>
      <c r="D649" s="20"/>
      <c r="E649" s="4"/>
      <c r="F649" s="37"/>
      <c r="G649" s="24"/>
      <c r="H649" s="51">
        <f>Assumptions!$D$15</f>
        <v>0.1</v>
      </c>
      <c r="I649" s="45">
        <f>IF(AR[[#This Row],[GST applies?]] = "Yes", (AR[[#This Row],[Invoice value inc. VAT]] / 1 + AR[[#This Row],[GST %]]) * AR[[#This Row],[GST %]], 0)</f>
        <v>0</v>
      </c>
      <c r="J649" s="31">
        <f>_xlfn.XLOOKUP(AR[[#This Row],[Customer name]], Customer_master[Customer name], Customer_master[EOM or Net], 0)</f>
        <v>0</v>
      </c>
      <c r="K649" s="31">
        <f>_xlfn.XLOOKUP(AR[[#This Row],[Customer name]], Customer_master[Customer name], Customer_master[Terms days], 0)</f>
        <v>0</v>
      </c>
      <c r="L6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9" s="4"/>
      <c r="N649" s="46">
        <f>IF(AR[[#This Row],[Collection date - override (dd/mm/yyyy)]] &lt;&gt; "", AR[[#This Row],[Collection date - override (dd/mm/yyyy)]], AR[[#This Row],[Due date (dd/mm/yyyy)]])</f>
        <v>0</v>
      </c>
      <c r="O649" s="46">
        <f t="shared" ref="O649:O712" si="10">IF(GST_Freq="Monthly",
    DATE(YEAR(E649), MONTH(E649) + 1, 21),
    IF(GST_Freq="Quarterly",
        IF(MOD(MONTH(E649) + 2 - MOD(MOD(MONTH(E649) - GST_First_Month, 12), 3), 12) = 0,
            DATE(YEAR(E649), MONTH(E649) + 4 - MOD(MOD(MONTH(E649) - GST_First_Month, 12), 3), 28),
            DATE(YEAR(E649), MONTH(E649) + 3 - MOD(MOD(MONTH(E649) - GST_First_Month, 12), 3), 28)
        ),
        "Invalid frequency"
    )
)</f>
        <v>52</v>
      </c>
    </row>
    <row r="650" spans="3:15" x14ac:dyDescent="0.25">
      <c r="C650" s="28"/>
      <c r="D650" s="20"/>
      <c r="E650" s="4"/>
      <c r="F650" s="37"/>
      <c r="G650" s="24"/>
      <c r="H650" s="51">
        <f>Assumptions!$D$15</f>
        <v>0.1</v>
      </c>
      <c r="I650" s="45">
        <f>IF(AR[[#This Row],[GST applies?]] = "Yes", (AR[[#This Row],[Invoice value inc. VAT]] / 1 + AR[[#This Row],[GST %]]) * AR[[#This Row],[GST %]], 0)</f>
        <v>0</v>
      </c>
      <c r="J650" s="31">
        <f>_xlfn.XLOOKUP(AR[[#This Row],[Customer name]], Customer_master[Customer name], Customer_master[EOM or Net], 0)</f>
        <v>0</v>
      </c>
      <c r="K650" s="31">
        <f>_xlfn.XLOOKUP(AR[[#This Row],[Customer name]], Customer_master[Customer name], Customer_master[Terms days], 0)</f>
        <v>0</v>
      </c>
      <c r="L6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0" s="4"/>
      <c r="N650" s="46">
        <f>IF(AR[[#This Row],[Collection date - override (dd/mm/yyyy)]] &lt;&gt; "", AR[[#This Row],[Collection date - override (dd/mm/yyyy)]], AR[[#This Row],[Due date (dd/mm/yyyy)]])</f>
        <v>0</v>
      </c>
      <c r="O650" s="46">
        <f t="shared" si="10"/>
        <v>52</v>
      </c>
    </row>
    <row r="651" spans="3:15" x14ac:dyDescent="0.25">
      <c r="C651" s="28"/>
      <c r="D651" s="20"/>
      <c r="E651" s="4"/>
      <c r="F651" s="37"/>
      <c r="G651" s="24"/>
      <c r="H651" s="51">
        <f>Assumptions!$D$15</f>
        <v>0.1</v>
      </c>
      <c r="I651" s="45">
        <f>IF(AR[[#This Row],[GST applies?]] = "Yes", (AR[[#This Row],[Invoice value inc. VAT]] / 1 + AR[[#This Row],[GST %]]) * AR[[#This Row],[GST %]], 0)</f>
        <v>0</v>
      </c>
      <c r="J651" s="31">
        <f>_xlfn.XLOOKUP(AR[[#This Row],[Customer name]], Customer_master[Customer name], Customer_master[EOM or Net], 0)</f>
        <v>0</v>
      </c>
      <c r="K651" s="31">
        <f>_xlfn.XLOOKUP(AR[[#This Row],[Customer name]], Customer_master[Customer name], Customer_master[Terms days], 0)</f>
        <v>0</v>
      </c>
      <c r="L6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1" s="4"/>
      <c r="N651" s="46">
        <f>IF(AR[[#This Row],[Collection date - override (dd/mm/yyyy)]] &lt;&gt; "", AR[[#This Row],[Collection date - override (dd/mm/yyyy)]], AR[[#This Row],[Due date (dd/mm/yyyy)]])</f>
        <v>0</v>
      </c>
      <c r="O651" s="46">
        <f t="shared" si="10"/>
        <v>52</v>
      </c>
    </row>
    <row r="652" spans="3:15" x14ac:dyDescent="0.25">
      <c r="C652" s="28"/>
      <c r="D652" s="20"/>
      <c r="E652" s="4"/>
      <c r="F652" s="37"/>
      <c r="G652" s="24"/>
      <c r="H652" s="51">
        <f>Assumptions!$D$15</f>
        <v>0.1</v>
      </c>
      <c r="I652" s="45">
        <f>IF(AR[[#This Row],[GST applies?]] = "Yes", (AR[[#This Row],[Invoice value inc. VAT]] / 1 + AR[[#This Row],[GST %]]) * AR[[#This Row],[GST %]], 0)</f>
        <v>0</v>
      </c>
      <c r="J652" s="31">
        <f>_xlfn.XLOOKUP(AR[[#This Row],[Customer name]], Customer_master[Customer name], Customer_master[EOM or Net], 0)</f>
        <v>0</v>
      </c>
      <c r="K652" s="31">
        <f>_xlfn.XLOOKUP(AR[[#This Row],[Customer name]], Customer_master[Customer name], Customer_master[Terms days], 0)</f>
        <v>0</v>
      </c>
      <c r="L6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2" s="4"/>
      <c r="N652" s="46">
        <f>IF(AR[[#This Row],[Collection date - override (dd/mm/yyyy)]] &lt;&gt; "", AR[[#This Row],[Collection date - override (dd/mm/yyyy)]], AR[[#This Row],[Due date (dd/mm/yyyy)]])</f>
        <v>0</v>
      </c>
      <c r="O652" s="46">
        <f t="shared" si="10"/>
        <v>52</v>
      </c>
    </row>
    <row r="653" spans="3:15" x14ac:dyDescent="0.25">
      <c r="C653" s="28"/>
      <c r="D653" s="20"/>
      <c r="E653" s="4"/>
      <c r="F653" s="37"/>
      <c r="G653" s="24"/>
      <c r="H653" s="51">
        <f>Assumptions!$D$15</f>
        <v>0.1</v>
      </c>
      <c r="I653" s="45">
        <f>IF(AR[[#This Row],[GST applies?]] = "Yes", (AR[[#This Row],[Invoice value inc. VAT]] / 1 + AR[[#This Row],[GST %]]) * AR[[#This Row],[GST %]], 0)</f>
        <v>0</v>
      </c>
      <c r="J653" s="31">
        <f>_xlfn.XLOOKUP(AR[[#This Row],[Customer name]], Customer_master[Customer name], Customer_master[EOM or Net], 0)</f>
        <v>0</v>
      </c>
      <c r="K653" s="31">
        <f>_xlfn.XLOOKUP(AR[[#This Row],[Customer name]], Customer_master[Customer name], Customer_master[Terms days], 0)</f>
        <v>0</v>
      </c>
      <c r="L6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3" s="4"/>
      <c r="N653" s="46">
        <f>IF(AR[[#This Row],[Collection date - override (dd/mm/yyyy)]] &lt;&gt; "", AR[[#This Row],[Collection date - override (dd/mm/yyyy)]], AR[[#This Row],[Due date (dd/mm/yyyy)]])</f>
        <v>0</v>
      </c>
      <c r="O653" s="46">
        <f t="shared" si="10"/>
        <v>52</v>
      </c>
    </row>
    <row r="654" spans="3:15" x14ac:dyDescent="0.25">
      <c r="C654" s="28"/>
      <c r="D654" s="20"/>
      <c r="E654" s="4"/>
      <c r="F654" s="37"/>
      <c r="G654" s="24"/>
      <c r="H654" s="51">
        <f>Assumptions!$D$15</f>
        <v>0.1</v>
      </c>
      <c r="I654" s="45">
        <f>IF(AR[[#This Row],[GST applies?]] = "Yes", (AR[[#This Row],[Invoice value inc. VAT]] / 1 + AR[[#This Row],[GST %]]) * AR[[#This Row],[GST %]], 0)</f>
        <v>0</v>
      </c>
      <c r="J654" s="31">
        <f>_xlfn.XLOOKUP(AR[[#This Row],[Customer name]], Customer_master[Customer name], Customer_master[EOM or Net], 0)</f>
        <v>0</v>
      </c>
      <c r="K654" s="31">
        <f>_xlfn.XLOOKUP(AR[[#This Row],[Customer name]], Customer_master[Customer name], Customer_master[Terms days], 0)</f>
        <v>0</v>
      </c>
      <c r="L6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4" s="4"/>
      <c r="N654" s="46">
        <f>IF(AR[[#This Row],[Collection date - override (dd/mm/yyyy)]] &lt;&gt; "", AR[[#This Row],[Collection date - override (dd/mm/yyyy)]], AR[[#This Row],[Due date (dd/mm/yyyy)]])</f>
        <v>0</v>
      </c>
      <c r="O654" s="46">
        <f t="shared" si="10"/>
        <v>52</v>
      </c>
    </row>
    <row r="655" spans="3:15" x14ac:dyDescent="0.25">
      <c r="C655" s="28"/>
      <c r="D655" s="20"/>
      <c r="E655" s="4"/>
      <c r="F655" s="37"/>
      <c r="G655" s="24"/>
      <c r="H655" s="51">
        <f>Assumptions!$D$15</f>
        <v>0.1</v>
      </c>
      <c r="I655" s="45">
        <f>IF(AR[[#This Row],[GST applies?]] = "Yes", (AR[[#This Row],[Invoice value inc. VAT]] / 1 + AR[[#This Row],[GST %]]) * AR[[#This Row],[GST %]], 0)</f>
        <v>0</v>
      </c>
      <c r="J655" s="31">
        <f>_xlfn.XLOOKUP(AR[[#This Row],[Customer name]], Customer_master[Customer name], Customer_master[EOM or Net], 0)</f>
        <v>0</v>
      </c>
      <c r="K655" s="31">
        <f>_xlfn.XLOOKUP(AR[[#This Row],[Customer name]], Customer_master[Customer name], Customer_master[Terms days], 0)</f>
        <v>0</v>
      </c>
      <c r="L6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5" s="4"/>
      <c r="N655" s="46">
        <f>IF(AR[[#This Row],[Collection date - override (dd/mm/yyyy)]] &lt;&gt; "", AR[[#This Row],[Collection date - override (dd/mm/yyyy)]], AR[[#This Row],[Due date (dd/mm/yyyy)]])</f>
        <v>0</v>
      </c>
      <c r="O655" s="46">
        <f t="shared" si="10"/>
        <v>52</v>
      </c>
    </row>
    <row r="656" spans="3:15" x14ac:dyDescent="0.25">
      <c r="C656" s="28"/>
      <c r="D656" s="20"/>
      <c r="E656" s="4"/>
      <c r="F656" s="37"/>
      <c r="G656" s="24"/>
      <c r="H656" s="51">
        <f>Assumptions!$D$15</f>
        <v>0.1</v>
      </c>
      <c r="I656" s="45">
        <f>IF(AR[[#This Row],[GST applies?]] = "Yes", (AR[[#This Row],[Invoice value inc. VAT]] / 1 + AR[[#This Row],[GST %]]) * AR[[#This Row],[GST %]], 0)</f>
        <v>0</v>
      </c>
      <c r="J656" s="31">
        <f>_xlfn.XLOOKUP(AR[[#This Row],[Customer name]], Customer_master[Customer name], Customer_master[EOM or Net], 0)</f>
        <v>0</v>
      </c>
      <c r="K656" s="31">
        <f>_xlfn.XLOOKUP(AR[[#This Row],[Customer name]], Customer_master[Customer name], Customer_master[Terms days], 0)</f>
        <v>0</v>
      </c>
      <c r="L6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6" s="4"/>
      <c r="N656" s="46">
        <f>IF(AR[[#This Row],[Collection date - override (dd/mm/yyyy)]] &lt;&gt; "", AR[[#This Row],[Collection date - override (dd/mm/yyyy)]], AR[[#This Row],[Due date (dd/mm/yyyy)]])</f>
        <v>0</v>
      </c>
      <c r="O656" s="46">
        <f t="shared" si="10"/>
        <v>52</v>
      </c>
    </row>
    <row r="657" spans="3:15" x14ac:dyDescent="0.25">
      <c r="C657" s="28"/>
      <c r="D657" s="20"/>
      <c r="E657" s="4"/>
      <c r="F657" s="37"/>
      <c r="G657" s="24"/>
      <c r="H657" s="51">
        <f>Assumptions!$D$15</f>
        <v>0.1</v>
      </c>
      <c r="I657" s="45">
        <f>IF(AR[[#This Row],[GST applies?]] = "Yes", (AR[[#This Row],[Invoice value inc. VAT]] / 1 + AR[[#This Row],[GST %]]) * AR[[#This Row],[GST %]], 0)</f>
        <v>0</v>
      </c>
      <c r="J657" s="31">
        <f>_xlfn.XLOOKUP(AR[[#This Row],[Customer name]], Customer_master[Customer name], Customer_master[EOM or Net], 0)</f>
        <v>0</v>
      </c>
      <c r="K657" s="31">
        <f>_xlfn.XLOOKUP(AR[[#This Row],[Customer name]], Customer_master[Customer name], Customer_master[Terms days], 0)</f>
        <v>0</v>
      </c>
      <c r="L6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7" s="4"/>
      <c r="N657" s="46">
        <f>IF(AR[[#This Row],[Collection date - override (dd/mm/yyyy)]] &lt;&gt; "", AR[[#This Row],[Collection date - override (dd/mm/yyyy)]], AR[[#This Row],[Due date (dd/mm/yyyy)]])</f>
        <v>0</v>
      </c>
      <c r="O657" s="46">
        <f t="shared" si="10"/>
        <v>52</v>
      </c>
    </row>
    <row r="658" spans="3:15" x14ac:dyDescent="0.25">
      <c r="C658" s="28"/>
      <c r="D658" s="20"/>
      <c r="E658" s="4"/>
      <c r="F658" s="37"/>
      <c r="G658" s="24"/>
      <c r="H658" s="51">
        <f>Assumptions!$D$15</f>
        <v>0.1</v>
      </c>
      <c r="I658" s="45">
        <f>IF(AR[[#This Row],[GST applies?]] = "Yes", (AR[[#This Row],[Invoice value inc. VAT]] / 1 + AR[[#This Row],[GST %]]) * AR[[#This Row],[GST %]], 0)</f>
        <v>0</v>
      </c>
      <c r="J658" s="31">
        <f>_xlfn.XLOOKUP(AR[[#This Row],[Customer name]], Customer_master[Customer name], Customer_master[EOM or Net], 0)</f>
        <v>0</v>
      </c>
      <c r="K658" s="31">
        <f>_xlfn.XLOOKUP(AR[[#This Row],[Customer name]], Customer_master[Customer name], Customer_master[Terms days], 0)</f>
        <v>0</v>
      </c>
      <c r="L6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8" s="4"/>
      <c r="N658" s="46">
        <f>IF(AR[[#This Row],[Collection date - override (dd/mm/yyyy)]] &lt;&gt; "", AR[[#This Row],[Collection date - override (dd/mm/yyyy)]], AR[[#This Row],[Due date (dd/mm/yyyy)]])</f>
        <v>0</v>
      </c>
      <c r="O658" s="46">
        <f t="shared" si="10"/>
        <v>52</v>
      </c>
    </row>
    <row r="659" spans="3:15" x14ac:dyDescent="0.25">
      <c r="C659" s="28"/>
      <c r="D659" s="20"/>
      <c r="E659" s="4"/>
      <c r="F659" s="37"/>
      <c r="G659" s="24"/>
      <c r="H659" s="51">
        <f>Assumptions!$D$15</f>
        <v>0.1</v>
      </c>
      <c r="I659" s="45">
        <f>IF(AR[[#This Row],[GST applies?]] = "Yes", (AR[[#This Row],[Invoice value inc. VAT]] / 1 + AR[[#This Row],[GST %]]) * AR[[#This Row],[GST %]], 0)</f>
        <v>0</v>
      </c>
      <c r="J659" s="31">
        <f>_xlfn.XLOOKUP(AR[[#This Row],[Customer name]], Customer_master[Customer name], Customer_master[EOM or Net], 0)</f>
        <v>0</v>
      </c>
      <c r="K659" s="31">
        <f>_xlfn.XLOOKUP(AR[[#This Row],[Customer name]], Customer_master[Customer name], Customer_master[Terms days], 0)</f>
        <v>0</v>
      </c>
      <c r="L6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9" s="4"/>
      <c r="N659" s="46">
        <f>IF(AR[[#This Row],[Collection date - override (dd/mm/yyyy)]] &lt;&gt; "", AR[[#This Row],[Collection date - override (dd/mm/yyyy)]], AR[[#This Row],[Due date (dd/mm/yyyy)]])</f>
        <v>0</v>
      </c>
      <c r="O659" s="46">
        <f t="shared" si="10"/>
        <v>52</v>
      </c>
    </row>
    <row r="660" spans="3:15" x14ac:dyDescent="0.25">
      <c r="C660" s="28"/>
      <c r="D660" s="20"/>
      <c r="E660" s="4"/>
      <c r="F660" s="37"/>
      <c r="G660" s="24"/>
      <c r="H660" s="51">
        <f>Assumptions!$D$15</f>
        <v>0.1</v>
      </c>
      <c r="I660" s="45">
        <f>IF(AR[[#This Row],[GST applies?]] = "Yes", (AR[[#This Row],[Invoice value inc. VAT]] / 1 + AR[[#This Row],[GST %]]) * AR[[#This Row],[GST %]], 0)</f>
        <v>0</v>
      </c>
      <c r="J660" s="31">
        <f>_xlfn.XLOOKUP(AR[[#This Row],[Customer name]], Customer_master[Customer name], Customer_master[EOM or Net], 0)</f>
        <v>0</v>
      </c>
      <c r="K660" s="31">
        <f>_xlfn.XLOOKUP(AR[[#This Row],[Customer name]], Customer_master[Customer name], Customer_master[Terms days], 0)</f>
        <v>0</v>
      </c>
      <c r="L6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0" s="4"/>
      <c r="N660" s="46">
        <f>IF(AR[[#This Row],[Collection date - override (dd/mm/yyyy)]] &lt;&gt; "", AR[[#This Row],[Collection date - override (dd/mm/yyyy)]], AR[[#This Row],[Due date (dd/mm/yyyy)]])</f>
        <v>0</v>
      </c>
      <c r="O660" s="46">
        <f t="shared" si="10"/>
        <v>52</v>
      </c>
    </row>
    <row r="661" spans="3:15" x14ac:dyDescent="0.25">
      <c r="C661" s="28"/>
      <c r="D661" s="20"/>
      <c r="E661" s="4"/>
      <c r="F661" s="37"/>
      <c r="G661" s="24"/>
      <c r="H661" s="51">
        <f>Assumptions!$D$15</f>
        <v>0.1</v>
      </c>
      <c r="I661" s="45">
        <f>IF(AR[[#This Row],[GST applies?]] = "Yes", (AR[[#This Row],[Invoice value inc. VAT]] / 1 + AR[[#This Row],[GST %]]) * AR[[#This Row],[GST %]], 0)</f>
        <v>0</v>
      </c>
      <c r="J661" s="31">
        <f>_xlfn.XLOOKUP(AR[[#This Row],[Customer name]], Customer_master[Customer name], Customer_master[EOM or Net], 0)</f>
        <v>0</v>
      </c>
      <c r="K661" s="31">
        <f>_xlfn.XLOOKUP(AR[[#This Row],[Customer name]], Customer_master[Customer name], Customer_master[Terms days], 0)</f>
        <v>0</v>
      </c>
      <c r="L6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1" s="4"/>
      <c r="N661" s="46">
        <f>IF(AR[[#This Row],[Collection date - override (dd/mm/yyyy)]] &lt;&gt; "", AR[[#This Row],[Collection date - override (dd/mm/yyyy)]], AR[[#This Row],[Due date (dd/mm/yyyy)]])</f>
        <v>0</v>
      </c>
      <c r="O661" s="46">
        <f t="shared" si="10"/>
        <v>52</v>
      </c>
    </row>
    <row r="662" spans="3:15" x14ac:dyDescent="0.25">
      <c r="C662" s="28"/>
      <c r="D662" s="20"/>
      <c r="E662" s="4"/>
      <c r="F662" s="37"/>
      <c r="G662" s="24"/>
      <c r="H662" s="51">
        <f>Assumptions!$D$15</f>
        <v>0.1</v>
      </c>
      <c r="I662" s="45">
        <f>IF(AR[[#This Row],[GST applies?]] = "Yes", (AR[[#This Row],[Invoice value inc. VAT]] / 1 + AR[[#This Row],[GST %]]) * AR[[#This Row],[GST %]], 0)</f>
        <v>0</v>
      </c>
      <c r="J662" s="31">
        <f>_xlfn.XLOOKUP(AR[[#This Row],[Customer name]], Customer_master[Customer name], Customer_master[EOM or Net], 0)</f>
        <v>0</v>
      </c>
      <c r="K662" s="31">
        <f>_xlfn.XLOOKUP(AR[[#This Row],[Customer name]], Customer_master[Customer name], Customer_master[Terms days], 0)</f>
        <v>0</v>
      </c>
      <c r="L6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2" s="4"/>
      <c r="N662" s="46">
        <f>IF(AR[[#This Row],[Collection date - override (dd/mm/yyyy)]] &lt;&gt; "", AR[[#This Row],[Collection date - override (dd/mm/yyyy)]], AR[[#This Row],[Due date (dd/mm/yyyy)]])</f>
        <v>0</v>
      </c>
      <c r="O662" s="46">
        <f t="shared" si="10"/>
        <v>52</v>
      </c>
    </row>
    <row r="663" spans="3:15" x14ac:dyDescent="0.25">
      <c r="C663" s="28"/>
      <c r="D663" s="20"/>
      <c r="E663" s="4"/>
      <c r="F663" s="37"/>
      <c r="G663" s="24"/>
      <c r="H663" s="51">
        <f>Assumptions!$D$15</f>
        <v>0.1</v>
      </c>
      <c r="I663" s="45">
        <f>IF(AR[[#This Row],[GST applies?]] = "Yes", (AR[[#This Row],[Invoice value inc. VAT]] / 1 + AR[[#This Row],[GST %]]) * AR[[#This Row],[GST %]], 0)</f>
        <v>0</v>
      </c>
      <c r="J663" s="31">
        <f>_xlfn.XLOOKUP(AR[[#This Row],[Customer name]], Customer_master[Customer name], Customer_master[EOM or Net], 0)</f>
        <v>0</v>
      </c>
      <c r="K663" s="31">
        <f>_xlfn.XLOOKUP(AR[[#This Row],[Customer name]], Customer_master[Customer name], Customer_master[Terms days], 0)</f>
        <v>0</v>
      </c>
      <c r="L6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3" s="4"/>
      <c r="N663" s="46">
        <f>IF(AR[[#This Row],[Collection date - override (dd/mm/yyyy)]] &lt;&gt; "", AR[[#This Row],[Collection date - override (dd/mm/yyyy)]], AR[[#This Row],[Due date (dd/mm/yyyy)]])</f>
        <v>0</v>
      </c>
      <c r="O663" s="46">
        <f t="shared" si="10"/>
        <v>52</v>
      </c>
    </row>
    <row r="664" spans="3:15" x14ac:dyDescent="0.25">
      <c r="C664" s="28"/>
      <c r="D664" s="20"/>
      <c r="E664" s="4"/>
      <c r="F664" s="37"/>
      <c r="G664" s="24"/>
      <c r="H664" s="51">
        <f>Assumptions!$D$15</f>
        <v>0.1</v>
      </c>
      <c r="I664" s="45">
        <f>IF(AR[[#This Row],[GST applies?]] = "Yes", (AR[[#This Row],[Invoice value inc. VAT]] / 1 + AR[[#This Row],[GST %]]) * AR[[#This Row],[GST %]], 0)</f>
        <v>0</v>
      </c>
      <c r="J664" s="31">
        <f>_xlfn.XLOOKUP(AR[[#This Row],[Customer name]], Customer_master[Customer name], Customer_master[EOM or Net], 0)</f>
        <v>0</v>
      </c>
      <c r="K664" s="31">
        <f>_xlfn.XLOOKUP(AR[[#This Row],[Customer name]], Customer_master[Customer name], Customer_master[Terms days], 0)</f>
        <v>0</v>
      </c>
      <c r="L6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4" s="4"/>
      <c r="N664" s="46">
        <f>IF(AR[[#This Row],[Collection date - override (dd/mm/yyyy)]] &lt;&gt; "", AR[[#This Row],[Collection date - override (dd/mm/yyyy)]], AR[[#This Row],[Due date (dd/mm/yyyy)]])</f>
        <v>0</v>
      </c>
      <c r="O664" s="46">
        <f t="shared" si="10"/>
        <v>52</v>
      </c>
    </row>
    <row r="665" spans="3:15" x14ac:dyDescent="0.25">
      <c r="C665" s="28"/>
      <c r="D665" s="20"/>
      <c r="E665" s="4"/>
      <c r="F665" s="37"/>
      <c r="G665" s="24"/>
      <c r="H665" s="51">
        <f>Assumptions!$D$15</f>
        <v>0.1</v>
      </c>
      <c r="I665" s="45">
        <f>IF(AR[[#This Row],[GST applies?]] = "Yes", (AR[[#This Row],[Invoice value inc. VAT]] / 1 + AR[[#This Row],[GST %]]) * AR[[#This Row],[GST %]], 0)</f>
        <v>0</v>
      </c>
      <c r="J665" s="31">
        <f>_xlfn.XLOOKUP(AR[[#This Row],[Customer name]], Customer_master[Customer name], Customer_master[EOM or Net], 0)</f>
        <v>0</v>
      </c>
      <c r="K665" s="31">
        <f>_xlfn.XLOOKUP(AR[[#This Row],[Customer name]], Customer_master[Customer name], Customer_master[Terms days], 0)</f>
        <v>0</v>
      </c>
      <c r="L6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5" s="4"/>
      <c r="N665" s="46">
        <f>IF(AR[[#This Row],[Collection date - override (dd/mm/yyyy)]] &lt;&gt; "", AR[[#This Row],[Collection date - override (dd/mm/yyyy)]], AR[[#This Row],[Due date (dd/mm/yyyy)]])</f>
        <v>0</v>
      </c>
      <c r="O665" s="46">
        <f t="shared" si="10"/>
        <v>52</v>
      </c>
    </row>
    <row r="666" spans="3:15" x14ac:dyDescent="0.25">
      <c r="C666" s="28"/>
      <c r="D666" s="20"/>
      <c r="E666" s="4"/>
      <c r="F666" s="37"/>
      <c r="G666" s="24"/>
      <c r="H666" s="51">
        <f>Assumptions!$D$15</f>
        <v>0.1</v>
      </c>
      <c r="I666" s="45">
        <f>IF(AR[[#This Row],[GST applies?]] = "Yes", (AR[[#This Row],[Invoice value inc. VAT]] / 1 + AR[[#This Row],[GST %]]) * AR[[#This Row],[GST %]], 0)</f>
        <v>0</v>
      </c>
      <c r="J666" s="31">
        <f>_xlfn.XLOOKUP(AR[[#This Row],[Customer name]], Customer_master[Customer name], Customer_master[EOM or Net], 0)</f>
        <v>0</v>
      </c>
      <c r="K666" s="31">
        <f>_xlfn.XLOOKUP(AR[[#This Row],[Customer name]], Customer_master[Customer name], Customer_master[Terms days], 0)</f>
        <v>0</v>
      </c>
      <c r="L6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6" s="4"/>
      <c r="N666" s="46">
        <f>IF(AR[[#This Row],[Collection date - override (dd/mm/yyyy)]] &lt;&gt; "", AR[[#This Row],[Collection date - override (dd/mm/yyyy)]], AR[[#This Row],[Due date (dd/mm/yyyy)]])</f>
        <v>0</v>
      </c>
      <c r="O666" s="46">
        <f t="shared" si="10"/>
        <v>52</v>
      </c>
    </row>
    <row r="667" spans="3:15" x14ac:dyDescent="0.25">
      <c r="C667" s="28"/>
      <c r="D667" s="20"/>
      <c r="E667" s="4"/>
      <c r="F667" s="37"/>
      <c r="G667" s="24"/>
      <c r="H667" s="51">
        <f>Assumptions!$D$15</f>
        <v>0.1</v>
      </c>
      <c r="I667" s="45">
        <f>IF(AR[[#This Row],[GST applies?]] = "Yes", (AR[[#This Row],[Invoice value inc. VAT]] / 1 + AR[[#This Row],[GST %]]) * AR[[#This Row],[GST %]], 0)</f>
        <v>0</v>
      </c>
      <c r="J667" s="31">
        <f>_xlfn.XLOOKUP(AR[[#This Row],[Customer name]], Customer_master[Customer name], Customer_master[EOM or Net], 0)</f>
        <v>0</v>
      </c>
      <c r="K667" s="31">
        <f>_xlfn.XLOOKUP(AR[[#This Row],[Customer name]], Customer_master[Customer name], Customer_master[Terms days], 0)</f>
        <v>0</v>
      </c>
      <c r="L6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7" s="4"/>
      <c r="N667" s="46">
        <f>IF(AR[[#This Row],[Collection date - override (dd/mm/yyyy)]] &lt;&gt; "", AR[[#This Row],[Collection date - override (dd/mm/yyyy)]], AR[[#This Row],[Due date (dd/mm/yyyy)]])</f>
        <v>0</v>
      </c>
      <c r="O667" s="46">
        <f t="shared" si="10"/>
        <v>52</v>
      </c>
    </row>
    <row r="668" spans="3:15" x14ac:dyDescent="0.25">
      <c r="C668" s="28"/>
      <c r="D668" s="20"/>
      <c r="E668" s="4"/>
      <c r="F668" s="37"/>
      <c r="G668" s="24"/>
      <c r="H668" s="51">
        <f>Assumptions!$D$15</f>
        <v>0.1</v>
      </c>
      <c r="I668" s="45">
        <f>IF(AR[[#This Row],[GST applies?]] = "Yes", (AR[[#This Row],[Invoice value inc. VAT]] / 1 + AR[[#This Row],[GST %]]) * AR[[#This Row],[GST %]], 0)</f>
        <v>0</v>
      </c>
      <c r="J668" s="31">
        <f>_xlfn.XLOOKUP(AR[[#This Row],[Customer name]], Customer_master[Customer name], Customer_master[EOM or Net], 0)</f>
        <v>0</v>
      </c>
      <c r="K668" s="31">
        <f>_xlfn.XLOOKUP(AR[[#This Row],[Customer name]], Customer_master[Customer name], Customer_master[Terms days], 0)</f>
        <v>0</v>
      </c>
      <c r="L6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8" s="4"/>
      <c r="N668" s="46">
        <f>IF(AR[[#This Row],[Collection date - override (dd/mm/yyyy)]] &lt;&gt; "", AR[[#This Row],[Collection date - override (dd/mm/yyyy)]], AR[[#This Row],[Due date (dd/mm/yyyy)]])</f>
        <v>0</v>
      </c>
      <c r="O668" s="46">
        <f t="shared" si="10"/>
        <v>52</v>
      </c>
    </row>
    <row r="669" spans="3:15" x14ac:dyDescent="0.25">
      <c r="C669" s="28"/>
      <c r="D669" s="20"/>
      <c r="E669" s="4"/>
      <c r="F669" s="37"/>
      <c r="G669" s="24"/>
      <c r="H669" s="51">
        <f>Assumptions!$D$15</f>
        <v>0.1</v>
      </c>
      <c r="I669" s="45">
        <f>IF(AR[[#This Row],[GST applies?]] = "Yes", (AR[[#This Row],[Invoice value inc. VAT]] / 1 + AR[[#This Row],[GST %]]) * AR[[#This Row],[GST %]], 0)</f>
        <v>0</v>
      </c>
      <c r="J669" s="31">
        <f>_xlfn.XLOOKUP(AR[[#This Row],[Customer name]], Customer_master[Customer name], Customer_master[EOM or Net], 0)</f>
        <v>0</v>
      </c>
      <c r="K669" s="31">
        <f>_xlfn.XLOOKUP(AR[[#This Row],[Customer name]], Customer_master[Customer name], Customer_master[Terms days], 0)</f>
        <v>0</v>
      </c>
      <c r="L6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9" s="4"/>
      <c r="N669" s="46">
        <f>IF(AR[[#This Row],[Collection date - override (dd/mm/yyyy)]] &lt;&gt; "", AR[[#This Row],[Collection date - override (dd/mm/yyyy)]], AR[[#This Row],[Due date (dd/mm/yyyy)]])</f>
        <v>0</v>
      </c>
      <c r="O669" s="46">
        <f t="shared" si="10"/>
        <v>52</v>
      </c>
    </row>
    <row r="670" spans="3:15" x14ac:dyDescent="0.25">
      <c r="C670" s="28"/>
      <c r="D670" s="20"/>
      <c r="E670" s="4"/>
      <c r="F670" s="37"/>
      <c r="G670" s="24"/>
      <c r="H670" s="51">
        <f>Assumptions!$D$15</f>
        <v>0.1</v>
      </c>
      <c r="I670" s="45">
        <f>IF(AR[[#This Row],[GST applies?]] = "Yes", (AR[[#This Row],[Invoice value inc. VAT]] / 1 + AR[[#This Row],[GST %]]) * AR[[#This Row],[GST %]], 0)</f>
        <v>0</v>
      </c>
      <c r="J670" s="31">
        <f>_xlfn.XLOOKUP(AR[[#This Row],[Customer name]], Customer_master[Customer name], Customer_master[EOM or Net], 0)</f>
        <v>0</v>
      </c>
      <c r="K670" s="31">
        <f>_xlfn.XLOOKUP(AR[[#This Row],[Customer name]], Customer_master[Customer name], Customer_master[Terms days], 0)</f>
        <v>0</v>
      </c>
      <c r="L6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0" s="4"/>
      <c r="N670" s="46">
        <f>IF(AR[[#This Row],[Collection date - override (dd/mm/yyyy)]] &lt;&gt; "", AR[[#This Row],[Collection date - override (dd/mm/yyyy)]], AR[[#This Row],[Due date (dd/mm/yyyy)]])</f>
        <v>0</v>
      </c>
      <c r="O670" s="46">
        <f t="shared" si="10"/>
        <v>52</v>
      </c>
    </row>
    <row r="671" spans="3:15" x14ac:dyDescent="0.25">
      <c r="C671" s="28"/>
      <c r="D671" s="20"/>
      <c r="E671" s="4"/>
      <c r="F671" s="37"/>
      <c r="G671" s="24"/>
      <c r="H671" s="51">
        <f>Assumptions!$D$15</f>
        <v>0.1</v>
      </c>
      <c r="I671" s="45">
        <f>IF(AR[[#This Row],[GST applies?]] = "Yes", (AR[[#This Row],[Invoice value inc. VAT]] / 1 + AR[[#This Row],[GST %]]) * AR[[#This Row],[GST %]], 0)</f>
        <v>0</v>
      </c>
      <c r="J671" s="31">
        <f>_xlfn.XLOOKUP(AR[[#This Row],[Customer name]], Customer_master[Customer name], Customer_master[EOM or Net], 0)</f>
        <v>0</v>
      </c>
      <c r="K671" s="31">
        <f>_xlfn.XLOOKUP(AR[[#This Row],[Customer name]], Customer_master[Customer name], Customer_master[Terms days], 0)</f>
        <v>0</v>
      </c>
      <c r="L6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1" s="4"/>
      <c r="N671" s="46">
        <f>IF(AR[[#This Row],[Collection date - override (dd/mm/yyyy)]] &lt;&gt; "", AR[[#This Row],[Collection date - override (dd/mm/yyyy)]], AR[[#This Row],[Due date (dd/mm/yyyy)]])</f>
        <v>0</v>
      </c>
      <c r="O671" s="46">
        <f t="shared" si="10"/>
        <v>52</v>
      </c>
    </row>
    <row r="672" spans="3:15" x14ac:dyDescent="0.25">
      <c r="C672" s="28"/>
      <c r="D672" s="20"/>
      <c r="E672" s="4"/>
      <c r="F672" s="37"/>
      <c r="G672" s="24"/>
      <c r="H672" s="51">
        <f>Assumptions!$D$15</f>
        <v>0.1</v>
      </c>
      <c r="I672" s="45">
        <f>IF(AR[[#This Row],[GST applies?]] = "Yes", (AR[[#This Row],[Invoice value inc. VAT]] / 1 + AR[[#This Row],[GST %]]) * AR[[#This Row],[GST %]], 0)</f>
        <v>0</v>
      </c>
      <c r="J672" s="31">
        <f>_xlfn.XLOOKUP(AR[[#This Row],[Customer name]], Customer_master[Customer name], Customer_master[EOM or Net], 0)</f>
        <v>0</v>
      </c>
      <c r="K672" s="31">
        <f>_xlfn.XLOOKUP(AR[[#This Row],[Customer name]], Customer_master[Customer name], Customer_master[Terms days], 0)</f>
        <v>0</v>
      </c>
      <c r="L6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2" s="4"/>
      <c r="N672" s="46">
        <f>IF(AR[[#This Row],[Collection date - override (dd/mm/yyyy)]] &lt;&gt; "", AR[[#This Row],[Collection date - override (dd/mm/yyyy)]], AR[[#This Row],[Due date (dd/mm/yyyy)]])</f>
        <v>0</v>
      </c>
      <c r="O672" s="46">
        <f t="shared" si="10"/>
        <v>52</v>
      </c>
    </row>
    <row r="673" spans="3:15" x14ac:dyDescent="0.25">
      <c r="C673" s="28"/>
      <c r="D673" s="20"/>
      <c r="E673" s="4"/>
      <c r="F673" s="37"/>
      <c r="G673" s="24"/>
      <c r="H673" s="51">
        <f>Assumptions!$D$15</f>
        <v>0.1</v>
      </c>
      <c r="I673" s="45">
        <f>IF(AR[[#This Row],[GST applies?]] = "Yes", (AR[[#This Row],[Invoice value inc. VAT]] / 1 + AR[[#This Row],[GST %]]) * AR[[#This Row],[GST %]], 0)</f>
        <v>0</v>
      </c>
      <c r="J673" s="31">
        <f>_xlfn.XLOOKUP(AR[[#This Row],[Customer name]], Customer_master[Customer name], Customer_master[EOM or Net], 0)</f>
        <v>0</v>
      </c>
      <c r="K673" s="31">
        <f>_xlfn.XLOOKUP(AR[[#This Row],[Customer name]], Customer_master[Customer name], Customer_master[Terms days], 0)</f>
        <v>0</v>
      </c>
      <c r="L6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3" s="4"/>
      <c r="N673" s="46">
        <f>IF(AR[[#This Row],[Collection date - override (dd/mm/yyyy)]] &lt;&gt; "", AR[[#This Row],[Collection date - override (dd/mm/yyyy)]], AR[[#This Row],[Due date (dd/mm/yyyy)]])</f>
        <v>0</v>
      </c>
      <c r="O673" s="46">
        <f t="shared" si="10"/>
        <v>52</v>
      </c>
    </row>
    <row r="674" spans="3:15" x14ac:dyDescent="0.25">
      <c r="C674" s="28"/>
      <c r="D674" s="20"/>
      <c r="E674" s="4"/>
      <c r="F674" s="37"/>
      <c r="G674" s="24"/>
      <c r="H674" s="51">
        <f>Assumptions!$D$15</f>
        <v>0.1</v>
      </c>
      <c r="I674" s="45">
        <f>IF(AR[[#This Row],[GST applies?]] = "Yes", (AR[[#This Row],[Invoice value inc. VAT]] / 1 + AR[[#This Row],[GST %]]) * AR[[#This Row],[GST %]], 0)</f>
        <v>0</v>
      </c>
      <c r="J674" s="31">
        <f>_xlfn.XLOOKUP(AR[[#This Row],[Customer name]], Customer_master[Customer name], Customer_master[EOM or Net], 0)</f>
        <v>0</v>
      </c>
      <c r="K674" s="31">
        <f>_xlfn.XLOOKUP(AR[[#This Row],[Customer name]], Customer_master[Customer name], Customer_master[Terms days], 0)</f>
        <v>0</v>
      </c>
      <c r="L6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4" s="4"/>
      <c r="N674" s="46">
        <f>IF(AR[[#This Row],[Collection date - override (dd/mm/yyyy)]] &lt;&gt; "", AR[[#This Row],[Collection date - override (dd/mm/yyyy)]], AR[[#This Row],[Due date (dd/mm/yyyy)]])</f>
        <v>0</v>
      </c>
      <c r="O674" s="46">
        <f t="shared" si="10"/>
        <v>52</v>
      </c>
    </row>
    <row r="675" spans="3:15" x14ac:dyDescent="0.25">
      <c r="C675" s="28"/>
      <c r="D675" s="20"/>
      <c r="E675" s="4"/>
      <c r="F675" s="37"/>
      <c r="G675" s="24"/>
      <c r="H675" s="51">
        <f>Assumptions!$D$15</f>
        <v>0.1</v>
      </c>
      <c r="I675" s="45">
        <f>IF(AR[[#This Row],[GST applies?]] = "Yes", (AR[[#This Row],[Invoice value inc. VAT]] / 1 + AR[[#This Row],[GST %]]) * AR[[#This Row],[GST %]], 0)</f>
        <v>0</v>
      </c>
      <c r="J675" s="31">
        <f>_xlfn.XLOOKUP(AR[[#This Row],[Customer name]], Customer_master[Customer name], Customer_master[EOM or Net], 0)</f>
        <v>0</v>
      </c>
      <c r="K675" s="31">
        <f>_xlfn.XLOOKUP(AR[[#This Row],[Customer name]], Customer_master[Customer name], Customer_master[Terms days], 0)</f>
        <v>0</v>
      </c>
      <c r="L6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5" s="4"/>
      <c r="N675" s="46">
        <f>IF(AR[[#This Row],[Collection date - override (dd/mm/yyyy)]] &lt;&gt; "", AR[[#This Row],[Collection date - override (dd/mm/yyyy)]], AR[[#This Row],[Due date (dd/mm/yyyy)]])</f>
        <v>0</v>
      </c>
      <c r="O675" s="46">
        <f t="shared" si="10"/>
        <v>52</v>
      </c>
    </row>
    <row r="676" spans="3:15" x14ac:dyDescent="0.25">
      <c r="C676" s="28"/>
      <c r="D676" s="20"/>
      <c r="E676" s="4"/>
      <c r="F676" s="37"/>
      <c r="G676" s="24"/>
      <c r="H676" s="51">
        <f>Assumptions!$D$15</f>
        <v>0.1</v>
      </c>
      <c r="I676" s="45">
        <f>IF(AR[[#This Row],[GST applies?]] = "Yes", (AR[[#This Row],[Invoice value inc. VAT]] / 1 + AR[[#This Row],[GST %]]) * AR[[#This Row],[GST %]], 0)</f>
        <v>0</v>
      </c>
      <c r="J676" s="31">
        <f>_xlfn.XLOOKUP(AR[[#This Row],[Customer name]], Customer_master[Customer name], Customer_master[EOM or Net], 0)</f>
        <v>0</v>
      </c>
      <c r="K676" s="31">
        <f>_xlfn.XLOOKUP(AR[[#This Row],[Customer name]], Customer_master[Customer name], Customer_master[Terms days], 0)</f>
        <v>0</v>
      </c>
      <c r="L6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6" s="4"/>
      <c r="N676" s="46">
        <f>IF(AR[[#This Row],[Collection date - override (dd/mm/yyyy)]] &lt;&gt; "", AR[[#This Row],[Collection date - override (dd/mm/yyyy)]], AR[[#This Row],[Due date (dd/mm/yyyy)]])</f>
        <v>0</v>
      </c>
      <c r="O676" s="46">
        <f t="shared" si="10"/>
        <v>52</v>
      </c>
    </row>
    <row r="677" spans="3:15" x14ac:dyDescent="0.25">
      <c r="C677" s="28"/>
      <c r="D677" s="20"/>
      <c r="E677" s="4"/>
      <c r="F677" s="37"/>
      <c r="G677" s="24"/>
      <c r="H677" s="51">
        <f>Assumptions!$D$15</f>
        <v>0.1</v>
      </c>
      <c r="I677" s="45">
        <f>IF(AR[[#This Row],[GST applies?]] = "Yes", (AR[[#This Row],[Invoice value inc. VAT]] / 1 + AR[[#This Row],[GST %]]) * AR[[#This Row],[GST %]], 0)</f>
        <v>0</v>
      </c>
      <c r="J677" s="31">
        <f>_xlfn.XLOOKUP(AR[[#This Row],[Customer name]], Customer_master[Customer name], Customer_master[EOM or Net], 0)</f>
        <v>0</v>
      </c>
      <c r="K677" s="31">
        <f>_xlfn.XLOOKUP(AR[[#This Row],[Customer name]], Customer_master[Customer name], Customer_master[Terms days], 0)</f>
        <v>0</v>
      </c>
      <c r="L6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7" s="4"/>
      <c r="N677" s="46">
        <f>IF(AR[[#This Row],[Collection date - override (dd/mm/yyyy)]] &lt;&gt; "", AR[[#This Row],[Collection date - override (dd/mm/yyyy)]], AR[[#This Row],[Due date (dd/mm/yyyy)]])</f>
        <v>0</v>
      </c>
      <c r="O677" s="46">
        <f t="shared" si="10"/>
        <v>52</v>
      </c>
    </row>
    <row r="678" spans="3:15" x14ac:dyDescent="0.25">
      <c r="C678" s="28"/>
      <c r="D678" s="20"/>
      <c r="E678" s="4"/>
      <c r="F678" s="37"/>
      <c r="G678" s="24"/>
      <c r="H678" s="51">
        <f>Assumptions!$D$15</f>
        <v>0.1</v>
      </c>
      <c r="I678" s="45">
        <f>IF(AR[[#This Row],[GST applies?]] = "Yes", (AR[[#This Row],[Invoice value inc. VAT]] / 1 + AR[[#This Row],[GST %]]) * AR[[#This Row],[GST %]], 0)</f>
        <v>0</v>
      </c>
      <c r="J678" s="31">
        <f>_xlfn.XLOOKUP(AR[[#This Row],[Customer name]], Customer_master[Customer name], Customer_master[EOM or Net], 0)</f>
        <v>0</v>
      </c>
      <c r="K678" s="31">
        <f>_xlfn.XLOOKUP(AR[[#This Row],[Customer name]], Customer_master[Customer name], Customer_master[Terms days], 0)</f>
        <v>0</v>
      </c>
      <c r="L6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8" s="4"/>
      <c r="N678" s="46">
        <f>IF(AR[[#This Row],[Collection date - override (dd/mm/yyyy)]] &lt;&gt; "", AR[[#This Row],[Collection date - override (dd/mm/yyyy)]], AR[[#This Row],[Due date (dd/mm/yyyy)]])</f>
        <v>0</v>
      </c>
      <c r="O678" s="46">
        <f t="shared" si="10"/>
        <v>52</v>
      </c>
    </row>
    <row r="679" spans="3:15" x14ac:dyDescent="0.25">
      <c r="C679" s="28"/>
      <c r="D679" s="20"/>
      <c r="E679" s="4"/>
      <c r="F679" s="37"/>
      <c r="G679" s="24"/>
      <c r="H679" s="51">
        <f>Assumptions!$D$15</f>
        <v>0.1</v>
      </c>
      <c r="I679" s="45">
        <f>IF(AR[[#This Row],[GST applies?]] = "Yes", (AR[[#This Row],[Invoice value inc. VAT]] / 1 + AR[[#This Row],[GST %]]) * AR[[#This Row],[GST %]], 0)</f>
        <v>0</v>
      </c>
      <c r="J679" s="31">
        <f>_xlfn.XLOOKUP(AR[[#This Row],[Customer name]], Customer_master[Customer name], Customer_master[EOM or Net], 0)</f>
        <v>0</v>
      </c>
      <c r="K679" s="31">
        <f>_xlfn.XLOOKUP(AR[[#This Row],[Customer name]], Customer_master[Customer name], Customer_master[Terms days], 0)</f>
        <v>0</v>
      </c>
      <c r="L6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9" s="4"/>
      <c r="N679" s="46">
        <f>IF(AR[[#This Row],[Collection date - override (dd/mm/yyyy)]] &lt;&gt; "", AR[[#This Row],[Collection date - override (dd/mm/yyyy)]], AR[[#This Row],[Due date (dd/mm/yyyy)]])</f>
        <v>0</v>
      </c>
      <c r="O679" s="46">
        <f t="shared" si="10"/>
        <v>52</v>
      </c>
    </row>
    <row r="680" spans="3:15" x14ac:dyDescent="0.25">
      <c r="C680" s="28"/>
      <c r="D680" s="20"/>
      <c r="E680" s="4"/>
      <c r="F680" s="37"/>
      <c r="G680" s="24"/>
      <c r="H680" s="51">
        <f>Assumptions!$D$15</f>
        <v>0.1</v>
      </c>
      <c r="I680" s="45">
        <f>IF(AR[[#This Row],[GST applies?]] = "Yes", (AR[[#This Row],[Invoice value inc. VAT]] / 1 + AR[[#This Row],[GST %]]) * AR[[#This Row],[GST %]], 0)</f>
        <v>0</v>
      </c>
      <c r="J680" s="31">
        <f>_xlfn.XLOOKUP(AR[[#This Row],[Customer name]], Customer_master[Customer name], Customer_master[EOM or Net], 0)</f>
        <v>0</v>
      </c>
      <c r="K680" s="31">
        <f>_xlfn.XLOOKUP(AR[[#This Row],[Customer name]], Customer_master[Customer name], Customer_master[Terms days], 0)</f>
        <v>0</v>
      </c>
      <c r="L6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0" s="4"/>
      <c r="N680" s="46">
        <f>IF(AR[[#This Row],[Collection date - override (dd/mm/yyyy)]] &lt;&gt; "", AR[[#This Row],[Collection date - override (dd/mm/yyyy)]], AR[[#This Row],[Due date (dd/mm/yyyy)]])</f>
        <v>0</v>
      </c>
      <c r="O680" s="46">
        <f t="shared" si="10"/>
        <v>52</v>
      </c>
    </row>
    <row r="681" spans="3:15" x14ac:dyDescent="0.25">
      <c r="C681" s="28"/>
      <c r="D681" s="20"/>
      <c r="E681" s="4"/>
      <c r="F681" s="37"/>
      <c r="G681" s="24"/>
      <c r="H681" s="51">
        <f>Assumptions!$D$15</f>
        <v>0.1</v>
      </c>
      <c r="I681" s="45">
        <f>IF(AR[[#This Row],[GST applies?]] = "Yes", (AR[[#This Row],[Invoice value inc. VAT]] / 1 + AR[[#This Row],[GST %]]) * AR[[#This Row],[GST %]], 0)</f>
        <v>0</v>
      </c>
      <c r="J681" s="31">
        <f>_xlfn.XLOOKUP(AR[[#This Row],[Customer name]], Customer_master[Customer name], Customer_master[EOM or Net], 0)</f>
        <v>0</v>
      </c>
      <c r="K681" s="31">
        <f>_xlfn.XLOOKUP(AR[[#This Row],[Customer name]], Customer_master[Customer name], Customer_master[Terms days], 0)</f>
        <v>0</v>
      </c>
      <c r="L6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1" s="4"/>
      <c r="N681" s="46">
        <f>IF(AR[[#This Row],[Collection date - override (dd/mm/yyyy)]] &lt;&gt; "", AR[[#This Row],[Collection date - override (dd/mm/yyyy)]], AR[[#This Row],[Due date (dd/mm/yyyy)]])</f>
        <v>0</v>
      </c>
      <c r="O681" s="46">
        <f t="shared" si="10"/>
        <v>52</v>
      </c>
    </row>
    <row r="682" spans="3:15" x14ac:dyDescent="0.25">
      <c r="C682" s="28"/>
      <c r="D682" s="20"/>
      <c r="E682" s="4"/>
      <c r="F682" s="37"/>
      <c r="G682" s="24"/>
      <c r="H682" s="51">
        <f>Assumptions!$D$15</f>
        <v>0.1</v>
      </c>
      <c r="I682" s="45">
        <f>IF(AR[[#This Row],[GST applies?]] = "Yes", (AR[[#This Row],[Invoice value inc. VAT]] / 1 + AR[[#This Row],[GST %]]) * AR[[#This Row],[GST %]], 0)</f>
        <v>0</v>
      </c>
      <c r="J682" s="31">
        <f>_xlfn.XLOOKUP(AR[[#This Row],[Customer name]], Customer_master[Customer name], Customer_master[EOM or Net], 0)</f>
        <v>0</v>
      </c>
      <c r="K682" s="31">
        <f>_xlfn.XLOOKUP(AR[[#This Row],[Customer name]], Customer_master[Customer name], Customer_master[Terms days], 0)</f>
        <v>0</v>
      </c>
      <c r="L6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2" s="4"/>
      <c r="N682" s="46">
        <f>IF(AR[[#This Row],[Collection date - override (dd/mm/yyyy)]] &lt;&gt; "", AR[[#This Row],[Collection date - override (dd/mm/yyyy)]], AR[[#This Row],[Due date (dd/mm/yyyy)]])</f>
        <v>0</v>
      </c>
      <c r="O682" s="46">
        <f t="shared" si="10"/>
        <v>52</v>
      </c>
    </row>
    <row r="683" spans="3:15" x14ac:dyDescent="0.25">
      <c r="C683" s="28"/>
      <c r="D683" s="20"/>
      <c r="E683" s="4"/>
      <c r="F683" s="37"/>
      <c r="G683" s="24"/>
      <c r="H683" s="51">
        <f>Assumptions!$D$15</f>
        <v>0.1</v>
      </c>
      <c r="I683" s="45">
        <f>IF(AR[[#This Row],[GST applies?]] = "Yes", (AR[[#This Row],[Invoice value inc. VAT]] / 1 + AR[[#This Row],[GST %]]) * AR[[#This Row],[GST %]], 0)</f>
        <v>0</v>
      </c>
      <c r="J683" s="31">
        <f>_xlfn.XLOOKUP(AR[[#This Row],[Customer name]], Customer_master[Customer name], Customer_master[EOM or Net], 0)</f>
        <v>0</v>
      </c>
      <c r="K683" s="31">
        <f>_xlfn.XLOOKUP(AR[[#This Row],[Customer name]], Customer_master[Customer name], Customer_master[Terms days], 0)</f>
        <v>0</v>
      </c>
      <c r="L6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3" s="4"/>
      <c r="N683" s="46">
        <f>IF(AR[[#This Row],[Collection date - override (dd/mm/yyyy)]] &lt;&gt; "", AR[[#This Row],[Collection date - override (dd/mm/yyyy)]], AR[[#This Row],[Due date (dd/mm/yyyy)]])</f>
        <v>0</v>
      </c>
      <c r="O683" s="46">
        <f t="shared" si="10"/>
        <v>52</v>
      </c>
    </row>
    <row r="684" spans="3:15" x14ac:dyDescent="0.25">
      <c r="C684" s="28"/>
      <c r="D684" s="20"/>
      <c r="E684" s="4"/>
      <c r="F684" s="37"/>
      <c r="G684" s="24"/>
      <c r="H684" s="51">
        <f>Assumptions!$D$15</f>
        <v>0.1</v>
      </c>
      <c r="I684" s="45">
        <f>IF(AR[[#This Row],[GST applies?]] = "Yes", (AR[[#This Row],[Invoice value inc. VAT]] / 1 + AR[[#This Row],[GST %]]) * AR[[#This Row],[GST %]], 0)</f>
        <v>0</v>
      </c>
      <c r="J684" s="31">
        <f>_xlfn.XLOOKUP(AR[[#This Row],[Customer name]], Customer_master[Customer name], Customer_master[EOM or Net], 0)</f>
        <v>0</v>
      </c>
      <c r="K684" s="31">
        <f>_xlfn.XLOOKUP(AR[[#This Row],[Customer name]], Customer_master[Customer name], Customer_master[Terms days], 0)</f>
        <v>0</v>
      </c>
      <c r="L6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4" s="4"/>
      <c r="N684" s="46">
        <f>IF(AR[[#This Row],[Collection date - override (dd/mm/yyyy)]] &lt;&gt; "", AR[[#This Row],[Collection date - override (dd/mm/yyyy)]], AR[[#This Row],[Due date (dd/mm/yyyy)]])</f>
        <v>0</v>
      </c>
      <c r="O684" s="46">
        <f t="shared" si="10"/>
        <v>52</v>
      </c>
    </row>
    <row r="685" spans="3:15" x14ac:dyDescent="0.25">
      <c r="C685" s="28"/>
      <c r="D685" s="20"/>
      <c r="E685" s="4"/>
      <c r="F685" s="37"/>
      <c r="G685" s="24"/>
      <c r="H685" s="51">
        <f>Assumptions!$D$15</f>
        <v>0.1</v>
      </c>
      <c r="I685" s="45">
        <f>IF(AR[[#This Row],[GST applies?]] = "Yes", (AR[[#This Row],[Invoice value inc. VAT]] / 1 + AR[[#This Row],[GST %]]) * AR[[#This Row],[GST %]], 0)</f>
        <v>0</v>
      </c>
      <c r="J685" s="31">
        <f>_xlfn.XLOOKUP(AR[[#This Row],[Customer name]], Customer_master[Customer name], Customer_master[EOM or Net], 0)</f>
        <v>0</v>
      </c>
      <c r="K685" s="31">
        <f>_xlfn.XLOOKUP(AR[[#This Row],[Customer name]], Customer_master[Customer name], Customer_master[Terms days], 0)</f>
        <v>0</v>
      </c>
      <c r="L6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5" s="4"/>
      <c r="N685" s="46">
        <f>IF(AR[[#This Row],[Collection date - override (dd/mm/yyyy)]] &lt;&gt; "", AR[[#This Row],[Collection date - override (dd/mm/yyyy)]], AR[[#This Row],[Due date (dd/mm/yyyy)]])</f>
        <v>0</v>
      </c>
      <c r="O685" s="46">
        <f t="shared" si="10"/>
        <v>52</v>
      </c>
    </row>
    <row r="686" spans="3:15" x14ac:dyDescent="0.25">
      <c r="C686" s="28"/>
      <c r="D686" s="20"/>
      <c r="E686" s="4"/>
      <c r="F686" s="37"/>
      <c r="G686" s="24"/>
      <c r="H686" s="51">
        <f>Assumptions!$D$15</f>
        <v>0.1</v>
      </c>
      <c r="I686" s="45">
        <f>IF(AR[[#This Row],[GST applies?]] = "Yes", (AR[[#This Row],[Invoice value inc. VAT]] / 1 + AR[[#This Row],[GST %]]) * AR[[#This Row],[GST %]], 0)</f>
        <v>0</v>
      </c>
      <c r="J686" s="31">
        <f>_xlfn.XLOOKUP(AR[[#This Row],[Customer name]], Customer_master[Customer name], Customer_master[EOM or Net], 0)</f>
        <v>0</v>
      </c>
      <c r="K686" s="31">
        <f>_xlfn.XLOOKUP(AR[[#This Row],[Customer name]], Customer_master[Customer name], Customer_master[Terms days], 0)</f>
        <v>0</v>
      </c>
      <c r="L6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6" s="4"/>
      <c r="N686" s="46">
        <f>IF(AR[[#This Row],[Collection date - override (dd/mm/yyyy)]] &lt;&gt; "", AR[[#This Row],[Collection date - override (dd/mm/yyyy)]], AR[[#This Row],[Due date (dd/mm/yyyy)]])</f>
        <v>0</v>
      </c>
      <c r="O686" s="46">
        <f t="shared" si="10"/>
        <v>52</v>
      </c>
    </row>
    <row r="687" spans="3:15" x14ac:dyDescent="0.25">
      <c r="C687" s="28"/>
      <c r="D687" s="20"/>
      <c r="E687" s="4"/>
      <c r="F687" s="37"/>
      <c r="G687" s="24"/>
      <c r="H687" s="51">
        <f>Assumptions!$D$15</f>
        <v>0.1</v>
      </c>
      <c r="I687" s="45">
        <f>IF(AR[[#This Row],[GST applies?]] = "Yes", (AR[[#This Row],[Invoice value inc. VAT]] / 1 + AR[[#This Row],[GST %]]) * AR[[#This Row],[GST %]], 0)</f>
        <v>0</v>
      </c>
      <c r="J687" s="31">
        <f>_xlfn.XLOOKUP(AR[[#This Row],[Customer name]], Customer_master[Customer name], Customer_master[EOM or Net], 0)</f>
        <v>0</v>
      </c>
      <c r="K687" s="31">
        <f>_xlfn.XLOOKUP(AR[[#This Row],[Customer name]], Customer_master[Customer name], Customer_master[Terms days], 0)</f>
        <v>0</v>
      </c>
      <c r="L6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7" s="4"/>
      <c r="N687" s="46">
        <f>IF(AR[[#This Row],[Collection date - override (dd/mm/yyyy)]] &lt;&gt; "", AR[[#This Row],[Collection date - override (dd/mm/yyyy)]], AR[[#This Row],[Due date (dd/mm/yyyy)]])</f>
        <v>0</v>
      </c>
      <c r="O687" s="46">
        <f t="shared" si="10"/>
        <v>52</v>
      </c>
    </row>
    <row r="688" spans="3:15" x14ac:dyDescent="0.25">
      <c r="C688" s="28"/>
      <c r="D688" s="20"/>
      <c r="E688" s="4"/>
      <c r="F688" s="37"/>
      <c r="G688" s="24"/>
      <c r="H688" s="51">
        <f>Assumptions!$D$15</f>
        <v>0.1</v>
      </c>
      <c r="I688" s="45">
        <f>IF(AR[[#This Row],[GST applies?]] = "Yes", (AR[[#This Row],[Invoice value inc. VAT]] / 1 + AR[[#This Row],[GST %]]) * AR[[#This Row],[GST %]], 0)</f>
        <v>0</v>
      </c>
      <c r="J688" s="31">
        <f>_xlfn.XLOOKUP(AR[[#This Row],[Customer name]], Customer_master[Customer name], Customer_master[EOM or Net], 0)</f>
        <v>0</v>
      </c>
      <c r="K688" s="31">
        <f>_xlfn.XLOOKUP(AR[[#This Row],[Customer name]], Customer_master[Customer name], Customer_master[Terms days], 0)</f>
        <v>0</v>
      </c>
      <c r="L6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8" s="4"/>
      <c r="N688" s="46">
        <f>IF(AR[[#This Row],[Collection date - override (dd/mm/yyyy)]] &lt;&gt; "", AR[[#This Row],[Collection date - override (dd/mm/yyyy)]], AR[[#This Row],[Due date (dd/mm/yyyy)]])</f>
        <v>0</v>
      </c>
      <c r="O688" s="46">
        <f t="shared" si="10"/>
        <v>52</v>
      </c>
    </row>
    <row r="689" spans="3:15" x14ac:dyDescent="0.25">
      <c r="C689" s="28"/>
      <c r="D689" s="20"/>
      <c r="E689" s="4"/>
      <c r="F689" s="37"/>
      <c r="G689" s="24"/>
      <c r="H689" s="51">
        <f>Assumptions!$D$15</f>
        <v>0.1</v>
      </c>
      <c r="I689" s="45">
        <f>IF(AR[[#This Row],[GST applies?]] = "Yes", (AR[[#This Row],[Invoice value inc. VAT]] / 1 + AR[[#This Row],[GST %]]) * AR[[#This Row],[GST %]], 0)</f>
        <v>0</v>
      </c>
      <c r="J689" s="31">
        <f>_xlfn.XLOOKUP(AR[[#This Row],[Customer name]], Customer_master[Customer name], Customer_master[EOM or Net], 0)</f>
        <v>0</v>
      </c>
      <c r="K689" s="31">
        <f>_xlfn.XLOOKUP(AR[[#This Row],[Customer name]], Customer_master[Customer name], Customer_master[Terms days], 0)</f>
        <v>0</v>
      </c>
      <c r="L6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9" s="4"/>
      <c r="N689" s="46">
        <f>IF(AR[[#This Row],[Collection date - override (dd/mm/yyyy)]] &lt;&gt; "", AR[[#This Row],[Collection date - override (dd/mm/yyyy)]], AR[[#This Row],[Due date (dd/mm/yyyy)]])</f>
        <v>0</v>
      </c>
      <c r="O689" s="46">
        <f t="shared" si="10"/>
        <v>52</v>
      </c>
    </row>
    <row r="690" spans="3:15" x14ac:dyDescent="0.25">
      <c r="C690" s="28"/>
      <c r="D690" s="20"/>
      <c r="E690" s="4"/>
      <c r="F690" s="37"/>
      <c r="G690" s="24"/>
      <c r="H690" s="51">
        <f>Assumptions!$D$15</f>
        <v>0.1</v>
      </c>
      <c r="I690" s="45">
        <f>IF(AR[[#This Row],[GST applies?]] = "Yes", (AR[[#This Row],[Invoice value inc. VAT]] / 1 + AR[[#This Row],[GST %]]) * AR[[#This Row],[GST %]], 0)</f>
        <v>0</v>
      </c>
      <c r="J690" s="31">
        <f>_xlfn.XLOOKUP(AR[[#This Row],[Customer name]], Customer_master[Customer name], Customer_master[EOM or Net], 0)</f>
        <v>0</v>
      </c>
      <c r="K690" s="31">
        <f>_xlfn.XLOOKUP(AR[[#This Row],[Customer name]], Customer_master[Customer name], Customer_master[Terms days], 0)</f>
        <v>0</v>
      </c>
      <c r="L6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0" s="4"/>
      <c r="N690" s="46">
        <f>IF(AR[[#This Row],[Collection date - override (dd/mm/yyyy)]] &lt;&gt; "", AR[[#This Row],[Collection date - override (dd/mm/yyyy)]], AR[[#This Row],[Due date (dd/mm/yyyy)]])</f>
        <v>0</v>
      </c>
      <c r="O690" s="46">
        <f t="shared" si="10"/>
        <v>52</v>
      </c>
    </row>
    <row r="691" spans="3:15" x14ac:dyDescent="0.25">
      <c r="C691" s="28"/>
      <c r="D691" s="20"/>
      <c r="E691" s="4"/>
      <c r="F691" s="37"/>
      <c r="G691" s="24"/>
      <c r="H691" s="51">
        <f>Assumptions!$D$15</f>
        <v>0.1</v>
      </c>
      <c r="I691" s="45">
        <f>IF(AR[[#This Row],[GST applies?]] = "Yes", (AR[[#This Row],[Invoice value inc. VAT]] / 1 + AR[[#This Row],[GST %]]) * AR[[#This Row],[GST %]], 0)</f>
        <v>0</v>
      </c>
      <c r="J691" s="31">
        <f>_xlfn.XLOOKUP(AR[[#This Row],[Customer name]], Customer_master[Customer name], Customer_master[EOM or Net], 0)</f>
        <v>0</v>
      </c>
      <c r="K691" s="31">
        <f>_xlfn.XLOOKUP(AR[[#This Row],[Customer name]], Customer_master[Customer name], Customer_master[Terms days], 0)</f>
        <v>0</v>
      </c>
      <c r="L6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1" s="4"/>
      <c r="N691" s="46">
        <f>IF(AR[[#This Row],[Collection date - override (dd/mm/yyyy)]] &lt;&gt; "", AR[[#This Row],[Collection date - override (dd/mm/yyyy)]], AR[[#This Row],[Due date (dd/mm/yyyy)]])</f>
        <v>0</v>
      </c>
      <c r="O691" s="46">
        <f t="shared" si="10"/>
        <v>52</v>
      </c>
    </row>
    <row r="692" spans="3:15" x14ac:dyDescent="0.25">
      <c r="C692" s="28"/>
      <c r="D692" s="20"/>
      <c r="E692" s="4"/>
      <c r="F692" s="37"/>
      <c r="G692" s="24"/>
      <c r="H692" s="51">
        <f>Assumptions!$D$15</f>
        <v>0.1</v>
      </c>
      <c r="I692" s="45">
        <f>IF(AR[[#This Row],[GST applies?]] = "Yes", (AR[[#This Row],[Invoice value inc. VAT]] / 1 + AR[[#This Row],[GST %]]) * AR[[#This Row],[GST %]], 0)</f>
        <v>0</v>
      </c>
      <c r="J692" s="31">
        <f>_xlfn.XLOOKUP(AR[[#This Row],[Customer name]], Customer_master[Customer name], Customer_master[EOM or Net], 0)</f>
        <v>0</v>
      </c>
      <c r="K692" s="31">
        <f>_xlfn.XLOOKUP(AR[[#This Row],[Customer name]], Customer_master[Customer name], Customer_master[Terms days], 0)</f>
        <v>0</v>
      </c>
      <c r="L6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2" s="4"/>
      <c r="N692" s="46">
        <f>IF(AR[[#This Row],[Collection date - override (dd/mm/yyyy)]] &lt;&gt; "", AR[[#This Row],[Collection date - override (dd/mm/yyyy)]], AR[[#This Row],[Due date (dd/mm/yyyy)]])</f>
        <v>0</v>
      </c>
      <c r="O692" s="46">
        <f t="shared" si="10"/>
        <v>52</v>
      </c>
    </row>
    <row r="693" spans="3:15" x14ac:dyDescent="0.25">
      <c r="C693" s="28"/>
      <c r="D693" s="20"/>
      <c r="E693" s="4"/>
      <c r="F693" s="37"/>
      <c r="G693" s="24"/>
      <c r="H693" s="51">
        <f>Assumptions!$D$15</f>
        <v>0.1</v>
      </c>
      <c r="I693" s="45">
        <f>IF(AR[[#This Row],[GST applies?]] = "Yes", (AR[[#This Row],[Invoice value inc. VAT]] / 1 + AR[[#This Row],[GST %]]) * AR[[#This Row],[GST %]], 0)</f>
        <v>0</v>
      </c>
      <c r="J693" s="31">
        <f>_xlfn.XLOOKUP(AR[[#This Row],[Customer name]], Customer_master[Customer name], Customer_master[EOM or Net], 0)</f>
        <v>0</v>
      </c>
      <c r="K693" s="31">
        <f>_xlfn.XLOOKUP(AR[[#This Row],[Customer name]], Customer_master[Customer name], Customer_master[Terms days], 0)</f>
        <v>0</v>
      </c>
      <c r="L6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3" s="4"/>
      <c r="N693" s="46">
        <f>IF(AR[[#This Row],[Collection date - override (dd/mm/yyyy)]] &lt;&gt; "", AR[[#This Row],[Collection date - override (dd/mm/yyyy)]], AR[[#This Row],[Due date (dd/mm/yyyy)]])</f>
        <v>0</v>
      </c>
      <c r="O693" s="46">
        <f t="shared" si="10"/>
        <v>52</v>
      </c>
    </row>
    <row r="694" spans="3:15" x14ac:dyDescent="0.25">
      <c r="C694" s="28"/>
      <c r="D694" s="20"/>
      <c r="E694" s="4"/>
      <c r="F694" s="37"/>
      <c r="G694" s="24"/>
      <c r="H694" s="51">
        <f>Assumptions!$D$15</f>
        <v>0.1</v>
      </c>
      <c r="I694" s="45">
        <f>IF(AR[[#This Row],[GST applies?]] = "Yes", (AR[[#This Row],[Invoice value inc. VAT]] / 1 + AR[[#This Row],[GST %]]) * AR[[#This Row],[GST %]], 0)</f>
        <v>0</v>
      </c>
      <c r="J694" s="31">
        <f>_xlfn.XLOOKUP(AR[[#This Row],[Customer name]], Customer_master[Customer name], Customer_master[EOM or Net], 0)</f>
        <v>0</v>
      </c>
      <c r="K694" s="31">
        <f>_xlfn.XLOOKUP(AR[[#This Row],[Customer name]], Customer_master[Customer name], Customer_master[Terms days], 0)</f>
        <v>0</v>
      </c>
      <c r="L6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4" s="4"/>
      <c r="N694" s="46">
        <f>IF(AR[[#This Row],[Collection date - override (dd/mm/yyyy)]] &lt;&gt; "", AR[[#This Row],[Collection date - override (dd/mm/yyyy)]], AR[[#This Row],[Due date (dd/mm/yyyy)]])</f>
        <v>0</v>
      </c>
      <c r="O694" s="46">
        <f t="shared" si="10"/>
        <v>52</v>
      </c>
    </row>
    <row r="695" spans="3:15" x14ac:dyDescent="0.25">
      <c r="C695" s="28"/>
      <c r="D695" s="20"/>
      <c r="E695" s="4"/>
      <c r="F695" s="37"/>
      <c r="G695" s="24"/>
      <c r="H695" s="51">
        <f>Assumptions!$D$15</f>
        <v>0.1</v>
      </c>
      <c r="I695" s="45">
        <f>IF(AR[[#This Row],[GST applies?]] = "Yes", (AR[[#This Row],[Invoice value inc. VAT]] / 1 + AR[[#This Row],[GST %]]) * AR[[#This Row],[GST %]], 0)</f>
        <v>0</v>
      </c>
      <c r="J695" s="31">
        <f>_xlfn.XLOOKUP(AR[[#This Row],[Customer name]], Customer_master[Customer name], Customer_master[EOM or Net], 0)</f>
        <v>0</v>
      </c>
      <c r="K695" s="31">
        <f>_xlfn.XLOOKUP(AR[[#This Row],[Customer name]], Customer_master[Customer name], Customer_master[Terms days], 0)</f>
        <v>0</v>
      </c>
      <c r="L6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5" s="4"/>
      <c r="N695" s="46">
        <f>IF(AR[[#This Row],[Collection date - override (dd/mm/yyyy)]] &lt;&gt; "", AR[[#This Row],[Collection date - override (dd/mm/yyyy)]], AR[[#This Row],[Due date (dd/mm/yyyy)]])</f>
        <v>0</v>
      </c>
      <c r="O695" s="46">
        <f t="shared" si="10"/>
        <v>52</v>
      </c>
    </row>
    <row r="696" spans="3:15" x14ac:dyDescent="0.25">
      <c r="C696" s="28"/>
      <c r="D696" s="20"/>
      <c r="E696" s="4"/>
      <c r="F696" s="37"/>
      <c r="G696" s="24"/>
      <c r="H696" s="51">
        <f>Assumptions!$D$15</f>
        <v>0.1</v>
      </c>
      <c r="I696" s="45">
        <f>IF(AR[[#This Row],[GST applies?]] = "Yes", (AR[[#This Row],[Invoice value inc. VAT]] / 1 + AR[[#This Row],[GST %]]) * AR[[#This Row],[GST %]], 0)</f>
        <v>0</v>
      </c>
      <c r="J696" s="31">
        <f>_xlfn.XLOOKUP(AR[[#This Row],[Customer name]], Customer_master[Customer name], Customer_master[EOM or Net], 0)</f>
        <v>0</v>
      </c>
      <c r="K696" s="31">
        <f>_xlfn.XLOOKUP(AR[[#This Row],[Customer name]], Customer_master[Customer name], Customer_master[Terms days], 0)</f>
        <v>0</v>
      </c>
      <c r="L6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6" s="4"/>
      <c r="N696" s="46">
        <f>IF(AR[[#This Row],[Collection date - override (dd/mm/yyyy)]] &lt;&gt; "", AR[[#This Row],[Collection date - override (dd/mm/yyyy)]], AR[[#This Row],[Due date (dd/mm/yyyy)]])</f>
        <v>0</v>
      </c>
      <c r="O696" s="46">
        <f t="shared" si="10"/>
        <v>52</v>
      </c>
    </row>
    <row r="697" spans="3:15" x14ac:dyDescent="0.25">
      <c r="C697" s="28"/>
      <c r="D697" s="20"/>
      <c r="E697" s="4"/>
      <c r="F697" s="37"/>
      <c r="G697" s="24"/>
      <c r="H697" s="51">
        <f>Assumptions!$D$15</f>
        <v>0.1</v>
      </c>
      <c r="I697" s="45">
        <f>IF(AR[[#This Row],[GST applies?]] = "Yes", (AR[[#This Row],[Invoice value inc. VAT]] / 1 + AR[[#This Row],[GST %]]) * AR[[#This Row],[GST %]], 0)</f>
        <v>0</v>
      </c>
      <c r="J697" s="31">
        <f>_xlfn.XLOOKUP(AR[[#This Row],[Customer name]], Customer_master[Customer name], Customer_master[EOM or Net], 0)</f>
        <v>0</v>
      </c>
      <c r="K697" s="31">
        <f>_xlfn.XLOOKUP(AR[[#This Row],[Customer name]], Customer_master[Customer name], Customer_master[Terms days], 0)</f>
        <v>0</v>
      </c>
      <c r="L6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7" s="4"/>
      <c r="N697" s="46">
        <f>IF(AR[[#This Row],[Collection date - override (dd/mm/yyyy)]] &lt;&gt; "", AR[[#This Row],[Collection date - override (dd/mm/yyyy)]], AR[[#This Row],[Due date (dd/mm/yyyy)]])</f>
        <v>0</v>
      </c>
      <c r="O697" s="46">
        <f t="shared" si="10"/>
        <v>52</v>
      </c>
    </row>
    <row r="698" spans="3:15" x14ac:dyDescent="0.25">
      <c r="C698" s="28"/>
      <c r="D698" s="20"/>
      <c r="E698" s="4"/>
      <c r="F698" s="37"/>
      <c r="G698" s="24"/>
      <c r="H698" s="51">
        <f>Assumptions!$D$15</f>
        <v>0.1</v>
      </c>
      <c r="I698" s="45">
        <f>IF(AR[[#This Row],[GST applies?]] = "Yes", (AR[[#This Row],[Invoice value inc. VAT]] / 1 + AR[[#This Row],[GST %]]) * AR[[#This Row],[GST %]], 0)</f>
        <v>0</v>
      </c>
      <c r="J698" s="31">
        <f>_xlfn.XLOOKUP(AR[[#This Row],[Customer name]], Customer_master[Customer name], Customer_master[EOM or Net], 0)</f>
        <v>0</v>
      </c>
      <c r="K698" s="31">
        <f>_xlfn.XLOOKUP(AR[[#This Row],[Customer name]], Customer_master[Customer name], Customer_master[Terms days], 0)</f>
        <v>0</v>
      </c>
      <c r="L6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8" s="4"/>
      <c r="N698" s="46">
        <f>IF(AR[[#This Row],[Collection date - override (dd/mm/yyyy)]] &lt;&gt; "", AR[[#This Row],[Collection date - override (dd/mm/yyyy)]], AR[[#This Row],[Due date (dd/mm/yyyy)]])</f>
        <v>0</v>
      </c>
      <c r="O698" s="46">
        <f t="shared" si="10"/>
        <v>52</v>
      </c>
    </row>
    <row r="699" spans="3:15" x14ac:dyDescent="0.25">
      <c r="C699" s="28"/>
      <c r="D699" s="20"/>
      <c r="E699" s="4"/>
      <c r="F699" s="37"/>
      <c r="G699" s="24"/>
      <c r="H699" s="51">
        <f>Assumptions!$D$15</f>
        <v>0.1</v>
      </c>
      <c r="I699" s="45">
        <f>IF(AR[[#This Row],[GST applies?]] = "Yes", (AR[[#This Row],[Invoice value inc. VAT]] / 1 + AR[[#This Row],[GST %]]) * AR[[#This Row],[GST %]], 0)</f>
        <v>0</v>
      </c>
      <c r="J699" s="31">
        <f>_xlfn.XLOOKUP(AR[[#This Row],[Customer name]], Customer_master[Customer name], Customer_master[EOM or Net], 0)</f>
        <v>0</v>
      </c>
      <c r="K699" s="31">
        <f>_xlfn.XLOOKUP(AR[[#This Row],[Customer name]], Customer_master[Customer name], Customer_master[Terms days], 0)</f>
        <v>0</v>
      </c>
      <c r="L6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9" s="4"/>
      <c r="N699" s="46">
        <f>IF(AR[[#This Row],[Collection date - override (dd/mm/yyyy)]] &lt;&gt; "", AR[[#This Row],[Collection date - override (dd/mm/yyyy)]], AR[[#This Row],[Due date (dd/mm/yyyy)]])</f>
        <v>0</v>
      </c>
      <c r="O699" s="46">
        <f t="shared" si="10"/>
        <v>52</v>
      </c>
    </row>
    <row r="700" spans="3:15" x14ac:dyDescent="0.25">
      <c r="C700" s="28"/>
      <c r="D700" s="20"/>
      <c r="E700" s="4"/>
      <c r="F700" s="37"/>
      <c r="G700" s="24"/>
      <c r="H700" s="51">
        <f>Assumptions!$D$15</f>
        <v>0.1</v>
      </c>
      <c r="I700" s="45">
        <f>IF(AR[[#This Row],[GST applies?]] = "Yes", (AR[[#This Row],[Invoice value inc. VAT]] / 1 + AR[[#This Row],[GST %]]) * AR[[#This Row],[GST %]], 0)</f>
        <v>0</v>
      </c>
      <c r="J700" s="31">
        <f>_xlfn.XLOOKUP(AR[[#This Row],[Customer name]], Customer_master[Customer name], Customer_master[EOM or Net], 0)</f>
        <v>0</v>
      </c>
      <c r="K700" s="31">
        <f>_xlfn.XLOOKUP(AR[[#This Row],[Customer name]], Customer_master[Customer name], Customer_master[Terms days], 0)</f>
        <v>0</v>
      </c>
      <c r="L7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0" s="4"/>
      <c r="N700" s="46">
        <f>IF(AR[[#This Row],[Collection date - override (dd/mm/yyyy)]] &lt;&gt; "", AR[[#This Row],[Collection date - override (dd/mm/yyyy)]], AR[[#This Row],[Due date (dd/mm/yyyy)]])</f>
        <v>0</v>
      </c>
      <c r="O700" s="46">
        <f t="shared" si="10"/>
        <v>52</v>
      </c>
    </row>
    <row r="701" spans="3:15" x14ac:dyDescent="0.25">
      <c r="C701" s="28"/>
      <c r="D701" s="20"/>
      <c r="E701" s="4"/>
      <c r="F701" s="37"/>
      <c r="G701" s="24"/>
      <c r="H701" s="51">
        <f>Assumptions!$D$15</f>
        <v>0.1</v>
      </c>
      <c r="I701" s="45">
        <f>IF(AR[[#This Row],[GST applies?]] = "Yes", (AR[[#This Row],[Invoice value inc. VAT]] / 1 + AR[[#This Row],[GST %]]) * AR[[#This Row],[GST %]], 0)</f>
        <v>0</v>
      </c>
      <c r="J701" s="31">
        <f>_xlfn.XLOOKUP(AR[[#This Row],[Customer name]], Customer_master[Customer name], Customer_master[EOM or Net], 0)</f>
        <v>0</v>
      </c>
      <c r="K701" s="31">
        <f>_xlfn.XLOOKUP(AR[[#This Row],[Customer name]], Customer_master[Customer name], Customer_master[Terms days], 0)</f>
        <v>0</v>
      </c>
      <c r="L7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1" s="4"/>
      <c r="N701" s="46">
        <f>IF(AR[[#This Row],[Collection date - override (dd/mm/yyyy)]] &lt;&gt; "", AR[[#This Row],[Collection date - override (dd/mm/yyyy)]], AR[[#This Row],[Due date (dd/mm/yyyy)]])</f>
        <v>0</v>
      </c>
      <c r="O701" s="46">
        <f t="shared" si="10"/>
        <v>52</v>
      </c>
    </row>
    <row r="702" spans="3:15" x14ac:dyDescent="0.25">
      <c r="C702" s="28"/>
      <c r="D702" s="20"/>
      <c r="E702" s="4"/>
      <c r="F702" s="37"/>
      <c r="G702" s="24"/>
      <c r="H702" s="51">
        <f>Assumptions!$D$15</f>
        <v>0.1</v>
      </c>
      <c r="I702" s="45">
        <f>IF(AR[[#This Row],[GST applies?]] = "Yes", (AR[[#This Row],[Invoice value inc. VAT]] / 1 + AR[[#This Row],[GST %]]) * AR[[#This Row],[GST %]], 0)</f>
        <v>0</v>
      </c>
      <c r="J702" s="31">
        <f>_xlfn.XLOOKUP(AR[[#This Row],[Customer name]], Customer_master[Customer name], Customer_master[EOM or Net], 0)</f>
        <v>0</v>
      </c>
      <c r="K702" s="31">
        <f>_xlfn.XLOOKUP(AR[[#This Row],[Customer name]], Customer_master[Customer name], Customer_master[Terms days], 0)</f>
        <v>0</v>
      </c>
      <c r="L7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2" s="4"/>
      <c r="N702" s="46">
        <f>IF(AR[[#This Row],[Collection date - override (dd/mm/yyyy)]] &lt;&gt; "", AR[[#This Row],[Collection date - override (dd/mm/yyyy)]], AR[[#This Row],[Due date (dd/mm/yyyy)]])</f>
        <v>0</v>
      </c>
      <c r="O702" s="46">
        <f t="shared" si="10"/>
        <v>52</v>
      </c>
    </row>
    <row r="703" spans="3:15" x14ac:dyDescent="0.25">
      <c r="C703" s="28"/>
      <c r="D703" s="20"/>
      <c r="E703" s="4"/>
      <c r="F703" s="37"/>
      <c r="G703" s="24"/>
      <c r="H703" s="51">
        <f>Assumptions!$D$15</f>
        <v>0.1</v>
      </c>
      <c r="I703" s="45">
        <f>IF(AR[[#This Row],[GST applies?]] = "Yes", (AR[[#This Row],[Invoice value inc. VAT]] / 1 + AR[[#This Row],[GST %]]) * AR[[#This Row],[GST %]], 0)</f>
        <v>0</v>
      </c>
      <c r="J703" s="31">
        <f>_xlfn.XLOOKUP(AR[[#This Row],[Customer name]], Customer_master[Customer name], Customer_master[EOM or Net], 0)</f>
        <v>0</v>
      </c>
      <c r="K703" s="31">
        <f>_xlfn.XLOOKUP(AR[[#This Row],[Customer name]], Customer_master[Customer name], Customer_master[Terms days], 0)</f>
        <v>0</v>
      </c>
      <c r="L7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3" s="4"/>
      <c r="N703" s="46">
        <f>IF(AR[[#This Row],[Collection date - override (dd/mm/yyyy)]] &lt;&gt; "", AR[[#This Row],[Collection date - override (dd/mm/yyyy)]], AR[[#This Row],[Due date (dd/mm/yyyy)]])</f>
        <v>0</v>
      </c>
      <c r="O703" s="46">
        <f t="shared" si="10"/>
        <v>52</v>
      </c>
    </row>
    <row r="704" spans="3:15" x14ac:dyDescent="0.25">
      <c r="C704" s="28"/>
      <c r="D704" s="20"/>
      <c r="E704" s="4"/>
      <c r="F704" s="37"/>
      <c r="G704" s="24"/>
      <c r="H704" s="51">
        <f>Assumptions!$D$15</f>
        <v>0.1</v>
      </c>
      <c r="I704" s="45">
        <f>IF(AR[[#This Row],[GST applies?]] = "Yes", (AR[[#This Row],[Invoice value inc. VAT]] / 1 + AR[[#This Row],[GST %]]) * AR[[#This Row],[GST %]], 0)</f>
        <v>0</v>
      </c>
      <c r="J704" s="31">
        <f>_xlfn.XLOOKUP(AR[[#This Row],[Customer name]], Customer_master[Customer name], Customer_master[EOM or Net], 0)</f>
        <v>0</v>
      </c>
      <c r="K704" s="31">
        <f>_xlfn.XLOOKUP(AR[[#This Row],[Customer name]], Customer_master[Customer name], Customer_master[Terms days], 0)</f>
        <v>0</v>
      </c>
      <c r="L7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4" s="4"/>
      <c r="N704" s="46">
        <f>IF(AR[[#This Row],[Collection date - override (dd/mm/yyyy)]] &lt;&gt; "", AR[[#This Row],[Collection date - override (dd/mm/yyyy)]], AR[[#This Row],[Due date (dd/mm/yyyy)]])</f>
        <v>0</v>
      </c>
      <c r="O704" s="46">
        <f t="shared" si="10"/>
        <v>52</v>
      </c>
    </row>
    <row r="705" spans="3:15" x14ac:dyDescent="0.25">
      <c r="C705" s="28"/>
      <c r="D705" s="20"/>
      <c r="E705" s="4"/>
      <c r="F705" s="37"/>
      <c r="G705" s="24"/>
      <c r="H705" s="51">
        <f>Assumptions!$D$15</f>
        <v>0.1</v>
      </c>
      <c r="I705" s="45">
        <f>IF(AR[[#This Row],[GST applies?]] = "Yes", (AR[[#This Row],[Invoice value inc. VAT]] / 1 + AR[[#This Row],[GST %]]) * AR[[#This Row],[GST %]], 0)</f>
        <v>0</v>
      </c>
      <c r="J705" s="31">
        <f>_xlfn.XLOOKUP(AR[[#This Row],[Customer name]], Customer_master[Customer name], Customer_master[EOM or Net], 0)</f>
        <v>0</v>
      </c>
      <c r="K705" s="31">
        <f>_xlfn.XLOOKUP(AR[[#This Row],[Customer name]], Customer_master[Customer name], Customer_master[Terms days], 0)</f>
        <v>0</v>
      </c>
      <c r="L7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5" s="4"/>
      <c r="N705" s="46">
        <f>IF(AR[[#This Row],[Collection date - override (dd/mm/yyyy)]] &lt;&gt; "", AR[[#This Row],[Collection date - override (dd/mm/yyyy)]], AR[[#This Row],[Due date (dd/mm/yyyy)]])</f>
        <v>0</v>
      </c>
      <c r="O705" s="46">
        <f t="shared" si="10"/>
        <v>52</v>
      </c>
    </row>
    <row r="706" spans="3:15" x14ac:dyDescent="0.25">
      <c r="C706" s="28"/>
      <c r="D706" s="20"/>
      <c r="E706" s="4"/>
      <c r="F706" s="37"/>
      <c r="G706" s="24"/>
      <c r="H706" s="51">
        <f>Assumptions!$D$15</f>
        <v>0.1</v>
      </c>
      <c r="I706" s="45">
        <f>IF(AR[[#This Row],[GST applies?]] = "Yes", (AR[[#This Row],[Invoice value inc. VAT]] / 1 + AR[[#This Row],[GST %]]) * AR[[#This Row],[GST %]], 0)</f>
        <v>0</v>
      </c>
      <c r="J706" s="31">
        <f>_xlfn.XLOOKUP(AR[[#This Row],[Customer name]], Customer_master[Customer name], Customer_master[EOM or Net], 0)</f>
        <v>0</v>
      </c>
      <c r="K706" s="31">
        <f>_xlfn.XLOOKUP(AR[[#This Row],[Customer name]], Customer_master[Customer name], Customer_master[Terms days], 0)</f>
        <v>0</v>
      </c>
      <c r="L7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6" s="4"/>
      <c r="N706" s="46">
        <f>IF(AR[[#This Row],[Collection date - override (dd/mm/yyyy)]] &lt;&gt; "", AR[[#This Row],[Collection date - override (dd/mm/yyyy)]], AR[[#This Row],[Due date (dd/mm/yyyy)]])</f>
        <v>0</v>
      </c>
      <c r="O706" s="46">
        <f t="shared" si="10"/>
        <v>52</v>
      </c>
    </row>
    <row r="707" spans="3:15" x14ac:dyDescent="0.25">
      <c r="C707" s="28"/>
      <c r="D707" s="20"/>
      <c r="E707" s="4"/>
      <c r="F707" s="37"/>
      <c r="G707" s="24"/>
      <c r="H707" s="51">
        <f>Assumptions!$D$15</f>
        <v>0.1</v>
      </c>
      <c r="I707" s="45">
        <f>IF(AR[[#This Row],[GST applies?]] = "Yes", (AR[[#This Row],[Invoice value inc. VAT]] / 1 + AR[[#This Row],[GST %]]) * AR[[#This Row],[GST %]], 0)</f>
        <v>0</v>
      </c>
      <c r="J707" s="31">
        <f>_xlfn.XLOOKUP(AR[[#This Row],[Customer name]], Customer_master[Customer name], Customer_master[EOM or Net], 0)</f>
        <v>0</v>
      </c>
      <c r="K707" s="31">
        <f>_xlfn.XLOOKUP(AR[[#This Row],[Customer name]], Customer_master[Customer name], Customer_master[Terms days], 0)</f>
        <v>0</v>
      </c>
      <c r="L7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7" s="4"/>
      <c r="N707" s="46">
        <f>IF(AR[[#This Row],[Collection date - override (dd/mm/yyyy)]] &lt;&gt; "", AR[[#This Row],[Collection date - override (dd/mm/yyyy)]], AR[[#This Row],[Due date (dd/mm/yyyy)]])</f>
        <v>0</v>
      </c>
      <c r="O707" s="46">
        <f t="shared" si="10"/>
        <v>52</v>
      </c>
    </row>
    <row r="708" spans="3:15" x14ac:dyDescent="0.25">
      <c r="C708" s="28"/>
      <c r="D708" s="20"/>
      <c r="E708" s="4"/>
      <c r="F708" s="37"/>
      <c r="G708" s="24"/>
      <c r="H708" s="51">
        <f>Assumptions!$D$15</f>
        <v>0.1</v>
      </c>
      <c r="I708" s="45">
        <f>IF(AR[[#This Row],[GST applies?]] = "Yes", (AR[[#This Row],[Invoice value inc. VAT]] / 1 + AR[[#This Row],[GST %]]) * AR[[#This Row],[GST %]], 0)</f>
        <v>0</v>
      </c>
      <c r="J708" s="31">
        <f>_xlfn.XLOOKUP(AR[[#This Row],[Customer name]], Customer_master[Customer name], Customer_master[EOM or Net], 0)</f>
        <v>0</v>
      </c>
      <c r="K708" s="31">
        <f>_xlfn.XLOOKUP(AR[[#This Row],[Customer name]], Customer_master[Customer name], Customer_master[Terms days], 0)</f>
        <v>0</v>
      </c>
      <c r="L7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8" s="4"/>
      <c r="N708" s="46">
        <f>IF(AR[[#This Row],[Collection date - override (dd/mm/yyyy)]] &lt;&gt; "", AR[[#This Row],[Collection date - override (dd/mm/yyyy)]], AR[[#This Row],[Due date (dd/mm/yyyy)]])</f>
        <v>0</v>
      </c>
      <c r="O708" s="46">
        <f t="shared" si="10"/>
        <v>52</v>
      </c>
    </row>
    <row r="709" spans="3:15" x14ac:dyDescent="0.25">
      <c r="C709" s="28"/>
      <c r="D709" s="20"/>
      <c r="E709" s="4"/>
      <c r="F709" s="37"/>
      <c r="G709" s="24"/>
      <c r="H709" s="51">
        <f>Assumptions!$D$15</f>
        <v>0.1</v>
      </c>
      <c r="I709" s="45">
        <f>IF(AR[[#This Row],[GST applies?]] = "Yes", (AR[[#This Row],[Invoice value inc. VAT]] / 1 + AR[[#This Row],[GST %]]) * AR[[#This Row],[GST %]], 0)</f>
        <v>0</v>
      </c>
      <c r="J709" s="31">
        <f>_xlfn.XLOOKUP(AR[[#This Row],[Customer name]], Customer_master[Customer name], Customer_master[EOM or Net], 0)</f>
        <v>0</v>
      </c>
      <c r="K709" s="31">
        <f>_xlfn.XLOOKUP(AR[[#This Row],[Customer name]], Customer_master[Customer name], Customer_master[Terms days], 0)</f>
        <v>0</v>
      </c>
      <c r="L7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9" s="4"/>
      <c r="N709" s="46">
        <f>IF(AR[[#This Row],[Collection date - override (dd/mm/yyyy)]] &lt;&gt; "", AR[[#This Row],[Collection date - override (dd/mm/yyyy)]], AR[[#This Row],[Due date (dd/mm/yyyy)]])</f>
        <v>0</v>
      </c>
      <c r="O709" s="46">
        <f t="shared" si="10"/>
        <v>52</v>
      </c>
    </row>
    <row r="710" spans="3:15" x14ac:dyDescent="0.25">
      <c r="C710" s="28"/>
      <c r="D710" s="20"/>
      <c r="E710" s="4"/>
      <c r="F710" s="37"/>
      <c r="G710" s="24"/>
      <c r="H710" s="51">
        <f>Assumptions!$D$15</f>
        <v>0.1</v>
      </c>
      <c r="I710" s="45">
        <f>IF(AR[[#This Row],[GST applies?]] = "Yes", (AR[[#This Row],[Invoice value inc. VAT]] / 1 + AR[[#This Row],[GST %]]) * AR[[#This Row],[GST %]], 0)</f>
        <v>0</v>
      </c>
      <c r="J710" s="31">
        <f>_xlfn.XLOOKUP(AR[[#This Row],[Customer name]], Customer_master[Customer name], Customer_master[EOM or Net], 0)</f>
        <v>0</v>
      </c>
      <c r="K710" s="31">
        <f>_xlfn.XLOOKUP(AR[[#This Row],[Customer name]], Customer_master[Customer name], Customer_master[Terms days], 0)</f>
        <v>0</v>
      </c>
      <c r="L7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0" s="4"/>
      <c r="N710" s="46">
        <f>IF(AR[[#This Row],[Collection date - override (dd/mm/yyyy)]] &lt;&gt; "", AR[[#This Row],[Collection date - override (dd/mm/yyyy)]], AR[[#This Row],[Due date (dd/mm/yyyy)]])</f>
        <v>0</v>
      </c>
      <c r="O710" s="46">
        <f t="shared" si="10"/>
        <v>52</v>
      </c>
    </row>
    <row r="711" spans="3:15" x14ac:dyDescent="0.25">
      <c r="C711" s="28"/>
      <c r="D711" s="20"/>
      <c r="E711" s="4"/>
      <c r="F711" s="37"/>
      <c r="G711" s="24"/>
      <c r="H711" s="51">
        <f>Assumptions!$D$15</f>
        <v>0.1</v>
      </c>
      <c r="I711" s="45">
        <f>IF(AR[[#This Row],[GST applies?]] = "Yes", (AR[[#This Row],[Invoice value inc. VAT]] / 1 + AR[[#This Row],[GST %]]) * AR[[#This Row],[GST %]], 0)</f>
        <v>0</v>
      </c>
      <c r="J711" s="31">
        <f>_xlfn.XLOOKUP(AR[[#This Row],[Customer name]], Customer_master[Customer name], Customer_master[EOM or Net], 0)</f>
        <v>0</v>
      </c>
      <c r="K711" s="31">
        <f>_xlfn.XLOOKUP(AR[[#This Row],[Customer name]], Customer_master[Customer name], Customer_master[Terms days], 0)</f>
        <v>0</v>
      </c>
      <c r="L7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1" s="4"/>
      <c r="N711" s="46">
        <f>IF(AR[[#This Row],[Collection date - override (dd/mm/yyyy)]] &lt;&gt; "", AR[[#This Row],[Collection date - override (dd/mm/yyyy)]], AR[[#This Row],[Due date (dd/mm/yyyy)]])</f>
        <v>0</v>
      </c>
      <c r="O711" s="46">
        <f t="shared" si="10"/>
        <v>52</v>
      </c>
    </row>
    <row r="712" spans="3:15" x14ac:dyDescent="0.25">
      <c r="C712" s="28"/>
      <c r="D712" s="20"/>
      <c r="E712" s="4"/>
      <c r="F712" s="37"/>
      <c r="G712" s="24"/>
      <c r="H712" s="51">
        <f>Assumptions!$D$15</f>
        <v>0.1</v>
      </c>
      <c r="I712" s="45">
        <f>IF(AR[[#This Row],[GST applies?]] = "Yes", (AR[[#This Row],[Invoice value inc. VAT]] / 1 + AR[[#This Row],[GST %]]) * AR[[#This Row],[GST %]], 0)</f>
        <v>0</v>
      </c>
      <c r="J712" s="31">
        <f>_xlfn.XLOOKUP(AR[[#This Row],[Customer name]], Customer_master[Customer name], Customer_master[EOM or Net], 0)</f>
        <v>0</v>
      </c>
      <c r="K712" s="31">
        <f>_xlfn.XLOOKUP(AR[[#This Row],[Customer name]], Customer_master[Customer name], Customer_master[Terms days], 0)</f>
        <v>0</v>
      </c>
      <c r="L7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2" s="4"/>
      <c r="N712" s="46">
        <f>IF(AR[[#This Row],[Collection date - override (dd/mm/yyyy)]] &lt;&gt; "", AR[[#This Row],[Collection date - override (dd/mm/yyyy)]], AR[[#This Row],[Due date (dd/mm/yyyy)]])</f>
        <v>0</v>
      </c>
      <c r="O712" s="46">
        <f t="shared" si="10"/>
        <v>52</v>
      </c>
    </row>
    <row r="713" spans="3:15" x14ac:dyDescent="0.25">
      <c r="C713" s="28"/>
      <c r="D713" s="20"/>
      <c r="E713" s="4"/>
      <c r="F713" s="37"/>
      <c r="G713" s="24"/>
      <c r="H713" s="51">
        <f>Assumptions!$D$15</f>
        <v>0.1</v>
      </c>
      <c r="I713" s="45">
        <f>IF(AR[[#This Row],[GST applies?]] = "Yes", (AR[[#This Row],[Invoice value inc. VAT]] / 1 + AR[[#This Row],[GST %]]) * AR[[#This Row],[GST %]], 0)</f>
        <v>0</v>
      </c>
      <c r="J713" s="31">
        <f>_xlfn.XLOOKUP(AR[[#This Row],[Customer name]], Customer_master[Customer name], Customer_master[EOM or Net], 0)</f>
        <v>0</v>
      </c>
      <c r="K713" s="31">
        <f>_xlfn.XLOOKUP(AR[[#This Row],[Customer name]], Customer_master[Customer name], Customer_master[Terms days], 0)</f>
        <v>0</v>
      </c>
      <c r="L7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3" s="4"/>
      <c r="N713" s="46">
        <f>IF(AR[[#This Row],[Collection date - override (dd/mm/yyyy)]] &lt;&gt; "", AR[[#This Row],[Collection date - override (dd/mm/yyyy)]], AR[[#This Row],[Due date (dd/mm/yyyy)]])</f>
        <v>0</v>
      </c>
      <c r="O713" s="46">
        <f t="shared" ref="O713:O776" si="11">IF(GST_Freq="Monthly",
    DATE(YEAR(E713), MONTH(E713) + 1, 21),
    IF(GST_Freq="Quarterly",
        IF(MOD(MONTH(E713) + 2 - MOD(MOD(MONTH(E713) - GST_First_Month, 12), 3), 12) = 0,
            DATE(YEAR(E713), MONTH(E713) + 4 - MOD(MOD(MONTH(E713) - GST_First_Month, 12), 3), 28),
            DATE(YEAR(E713), MONTH(E713) + 3 - MOD(MOD(MONTH(E713) - GST_First_Month, 12), 3), 28)
        ),
        "Invalid frequency"
    )
)</f>
        <v>52</v>
      </c>
    </row>
    <row r="714" spans="3:15" x14ac:dyDescent="0.25">
      <c r="C714" s="28"/>
      <c r="D714" s="20"/>
      <c r="E714" s="4"/>
      <c r="F714" s="37"/>
      <c r="G714" s="24"/>
      <c r="H714" s="51">
        <f>Assumptions!$D$15</f>
        <v>0.1</v>
      </c>
      <c r="I714" s="45">
        <f>IF(AR[[#This Row],[GST applies?]] = "Yes", (AR[[#This Row],[Invoice value inc. VAT]] / 1 + AR[[#This Row],[GST %]]) * AR[[#This Row],[GST %]], 0)</f>
        <v>0</v>
      </c>
      <c r="J714" s="31">
        <f>_xlfn.XLOOKUP(AR[[#This Row],[Customer name]], Customer_master[Customer name], Customer_master[EOM or Net], 0)</f>
        <v>0</v>
      </c>
      <c r="K714" s="31">
        <f>_xlfn.XLOOKUP(AR[[#This Row],[Customer name]], Customer_master[Customer name], Customer_master[Terms days], 0)</f>
        <v>0</v>
      </c>
      <c r="L7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4" s="4"/>
      <c r="N714" s="46">
        <f>IF(AR[[#This Row],[Collection date - override (dd/mm/yyyy)]] &lt;&gt; "", AR[[#This Row],[Collection date - override (dd/mm/yyyy)]], AR[[#This Row],[Due date (dd/mm/yyyy)]])</f>
        <v>0</v>
      </c>
      <c r="O714" s="46">
        <f t="shared" si="11"/>
        <v>52</v>
      </c>
    </row>
    <row r="715" spans="3:15" x14ac:dyDescent="0.25">
      <c r="C715" s="28"/>
      <c r="D715" s="20"/>
      <c r="E715" s="4"/>
      <c r="F715" s="37"/>
      <c r="G715" s="24"/>
      <c r="H715" s="51">
        <f>Assumptions!$D$15</f>
        <v>0.1</v>
      </c>
      <c r="I715" s="45">
        <f>IF(AR[[#This Row],[GST applies?]] = "Yes", (AR[[#This Row],[Invoice value inc. VAT]] / 1 + AR[[#This Row],[GST %]]) * AR[[#This Row],[GST %]], 0)</f>
        <v>0</v>
      </c>
      <c r="J715" s="31">
        <f>_xlfn.XLOOKUP(AR[[#This Row],[Customer name]], Customer_master[Customer name], Customer_master[EOM or Net], 0)</f>
        <v>0</v>
      </c>
      <c r="K715" s="31">
        <f>_xlfn.XLOOKUP(AR[[#This Row],[Customer name]], Customer_master[Customer name], Customer_master[Terms days], 0)</f>
        <v>0</v>
      </c>
      <c r="L7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5" s="4"/>
      <c r="N715" s="46">
        <f>IF(AR[[#This Row],[Collection date - override (dd/mm/yyyy)]] &lt;&gt; "", AR[[#This Row],[Collection date - override (dd/mm/yyyy)]], AR[[#This Row],[Due date (dd/mm/yyyy)]])</f>
        <v>0</v>
      </c>
      <c r="O715" s="46">
        <f t="shared" si="11"/>
        <v>52</v>
      </c>
    </row>
    <row r="716" spans="3:15" x14ac:dyDescent="0.25">
      <c r="C716" s="28"/>
      <c r="D716" s="20"/>
      <c r="E716" s="4"/>
      <c r="F716" s="37"/>
      <c r="G716" s="24"/>
      <c r="H716" s="51">
        <f>Assumptions!$D$15</f>
        <v>0.1</v>
      </c>
      <c r="I716" s="45">
        <f>IF(AR[[#This Row],[GST applies?]] = "Yes", (AR[[#This Row],[Invoice value inc. VAT]] / 1 + AR[[#This Row],[GST %]]) * AR[[#This Row],[GST %]], 0)</f>
        <v>0</v>
      </c>
      <c r="J716" s="31">
        <f>_xlfn.XLOOKUP(AR[[#This Row],[Customer name]], Customer_master[Customer name], Customer_master[EOM or Net], 0)</f>
        <v>0</v>
      </c>
      <c r="K716" s="31">
        <f>_xlfn.XLOOKUP(AR[[#This Row],[Customer name]], Customer_master[Customer name], Customer_master[Terms days], 0)</f>
        <v>0</v>
      </c>
      <c r="L7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6" s="4"/>
      <c r="N716" s="46">
        <f>IF(AR[[#This Row],[Collection date - override (dd/mm/yyyy)]] &lt;&gt; "", AR[[#This Row],[Collection date - override (dd/mm/yyyy)]], AR[[#This Row],[Due date (dd/mm/yyyy)]])</f>
        <v>0</v>
      </c>
      <c r="O716" s="46">
        <f t="shared" si="11"/>
        <v>52</v>
      </c>
    </row>
    <row r="717" spans="3:15" x14ac:dyDescent="0.25">
      <c r="C717" s="28"/>
      <c r="D717" s="20"/>
      <c r="E717" s="4"/>
      <c r="F717" s="37"/>
      <c r="G717" s="24"/>
      <c r="H717" s="51">
        <f>Assumptions!$D$15</f>
        <v>0.1</v>
      </c>
      <c r="I717" s="45">
        <f>IF(AR[[#This Row],[GST applies?]] = "Yes", (AR[[#This Row],[Invoice value inc. VAT]] / 1 + AR[[#This Row],[GST %]]) * AR[[#This Row],[GST %]], 0)</f>
        <v>0</v>
      </c>
      <c r="J717" s="31">
        <f>_xlfn.XLOOKUP(AR[[#This Row],[Customer name]], Customer_master[Customer name], Customer_master[EOM or Net], 0)</f>
        <v>0</v>
      </c>
      <c r="K717" s="31">
        <f>_xlfn.XLOOKUP(AR[[#This Row],[Customer name]], Customer_master[Customer name], Customer_master[Terms days], 0)</f>
        <v>0</v>
      </c>
      <c r="L7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7" s="4"/>
      <c r="N717" s="46">
        <f>IF(AR[[#This Row],[Collection date - override (dd/mm/yyyy)]] &lt;&gt; "", AR[[#This Row],[Collection date - override (dd/mm/yyyy)]], AR[[#This Row],[Due date (dd/mm/yyyy)]])</f>
        <v>0</v>
      </c>
      <c r="O717" s="46">
        <f t="shared" si="11"/>
        <v>52</v>
      </c>
    </row>
    <row r="718" spans="3:15" x14ac:dyDescent="0.25">
      <c r="C718" s="28"/>
      <c r="D718" s="20"/>
      <c r="E718" s="4"/>
      <c r="F718" s="37"/>
      <c r="G718" s="24"/>
      <c r="H718" s="51">
        <f>Assumptions!$D$15</f>
        <v>0.1</v>
      </c>
      <c r="I718" s="45">
        <f>IF(AR[[#This Row],[GST applies?]] = "Yes", (AR[[#This Row],[Invoice value inc. VAT]] / 1 + AR[[#This Row],[GST %]]) * AR[[#This Row],[GST %]], 0)</f>
        <v>0</v>
      </c>
      <c r="J718" s="31">
        <f>_xlfn.XLOOKUP(AR[[#This Row],[Customer name]], Customer_master[Customer name], Customer_master[EOM or Net], 0)</f>
        <v>0</v>
      </c>
      <c r="K718" s="31">
        <f>_xlfn.XLOOKUP(AR[[#This Row],[Customer name]], Customer_master[Customer name], Customer_master[Terms days], 0)</f>
        <v>0</v>
      </c>
      <c r="L7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8" s="4"/>
      <c r="N718" s="46">
        <f>IF(AR[[#This Row],[Collection date - override (dd/mm/yyyy)]] &lt;&gt; "", AR[[#This Row],[Collection date - override (dd/mm/yyyy)]], AR[[#This Row],[Due date (dd/mm/yyyy)]])</f>
        <v>0</v>
      </c>
      <c r="O718" s="46">
        <f t="shared" si="11"/>
        <v>52</v>
      </c>
    </row>
    <row r="719" spans="3:15" x14ac:dyDescent="0.25">
      <c r="C719" s="28"/>
      <c r="D719" s="20"/>
      <c r="E719" s="4"/>
      <c r="F719" s="37"/>
      <c r="G719" s="24"/>
      <c r="H719" s="51">
        <f>Assumptions!$D$15</f>
        <v>0.1</v>
      </c>
      <c r="I719" s="45">
        <f>IF(AR[[#This Row],[GST applies?]] = "Yes", (AR[[#This Row],[Invoice value inc. VAT]] / 1 + AR[[#This Row],[GST %]]) * AR[[#This Row],[GST %]], 0)</f>
        <v>0</v>
      </c>
      <c r="J719" s="31">
        <f>_xlfn.XLOOKUP(AR[[#This Row],[Customer name]], Customer_master[Customer name], Customer_master[EOM or Net], 0)</f>
        <v>0</v>
      </c>
      <c r="K719" s="31">
        <f>_xlfn.XLOOKUP(AR[[#This Row],[Customer name]], Customer_master[Customer name], Customer_master[Terms days], 0)</f>
        <v>0</v>
      </c>
      <c r="L7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9" s="4"/>
      <c r="N719" s="46">
        <f>IF(AR[[#This Row],[Collection date - override (dd/mm/yyyy)]] &lt;&gt; "", AR[[#This Row],[Collection date - override (dd/mm/yyyy)]], AR[[#This Row],[Due date (dd/mm/yyyy)]])</f>
        <v>0</v>
      </c>
      <c r="O719" s="46">
        <f t="shared" si="11"/>
        <v>52</v>
      </c>
    </row>
    <row r="720" spans="3:15" x14ac:dyDescent="0.25">
      <c r="C720" s="28"/>
      <c r="D720" s="20"/>
      <c r="E720" s="4"/>
      <c r="F720" s="37"/>
      <c r="G720" s="24"/>
      <c r="H720" s="51">
        <f>Assumptions!$D$15</f>
        <v>0.1</v>
      </c>
      <c r="I720" s="45">
        <f>IF(AR[[#This Row],[GST applies?]] = "Yes", (AR[[#This Row],[Invoice value inc. VAT]] / 1 + AR[[#This Row],[GST %]]) * AR[[#This Row],[GST %]], 0)</f>
        <v>0</v>
      </c>
      <c r="J720" s="31">
        <f>_xlfn.XLOOKUP(AR[[#This Row],[Customer name]], Customer_master[Customer name], Customer_master[EOM or Net], 0)</f>
        <v>0</v>
      </c>
      <c r="K720" s="31">
        <f>_xlfn.XLOOKUP(AR[[#This Row],[Customer name]], Customer_master[Customer name], Customer_master[Terms days], 0)</f>
        <v>0</v>
      </c>
      <c r="L7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0" s="4"/>
      <c r="N720" s="46">
        <f>IF(AR[[#This Row],[Collection date - override (dd/mm/yyyy)]] &lt;&gt; "", AR[[#This Row],[Collection date - override (dd/mm/yyyy)]], AR[[#This Row],[Due date (dd/mm/yyyy)]])</f>
        <v>0</v>
      </c>
      <c r="O720" s="46">
        <f t="shared" si="11"/>
        <v>52</v>
      </c>
    </row>
    <row r="721" spans="3:15" x14ac:dyDescent="0.25">
      <c r="C721" s="28"/>
      <c r="D721" s="20"/>
      <c r="E721" s="4"/>
      <c r="F721" s="37"/>
      <c r="G721" s="24"/>
      <c r="H721" s="51">
        <f>Assumptions!$D$15</f>
        <v>0.1</v>
      </c>
      <c r="I721" s="45">
        <f>IF(AR[[#This Row],[GST applies?]] = "Yes", (AR[[#This Row],[Invoice value inc. VAT]] / 1 + AR[[#This Row],[GST %]]) * AR[[#This Row],[GST %]], 0)</f>
        <v>0</v>
      </c>
      <c r="J721" s="31">
        <f>_xlfn.XLOOKUP(AR[[#This Row],[Customer name]], Customer_master[Customer name], Customer_master[EOM or Net], 0)</f>
        <v>0</v>
      </c>
      <c r="K721" s="31">
        <f>_xlfn.XLOOKUP(AR[[#This Row],[Customer name]], Customer_master[Customer name], Customer_master[Terms days], 0)</f>
        <v>0</v>
      </c>
      <c r="L7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1" s="4"/>
      <c r="N721" s="46">
        <f>IF(AR[[#This Row],[Collection date - override (dd/mm/yyyy)]] &lt;&gt; "", AR[[#This Row],[Collection date - override (dd/mm/yyyy)]], AR[[#This Row],[Due date (dd/mm/yyyy)]])</f>
        <v>0</v>
      </c>
      <c r="O721" s="46">
        <f t="shared" si="11"/>
        <v>52</v>
      </c>
    </row>
    <row r="722" spans="3:15" x14ac:dyDescent="0.25">
      <c r="C722" s="28"/>
      <c r="D722" s="20"/>
      <c r="E722" s="4"/>
      <c r="F722" s="37"/>
      <c r="G722" s="24"/>
      <c r="H722" s="51">
        <f>Assumptions!$D$15</f>
        <v>0.1</v>
      </c>
      <c r="I722" s="45">
        <f>IF(AR[[#This Row],[GST applies?]] = "Yes", (AR[[#This Row],[Invoice value inc. VAT]] / 1 + AR[[#This Row],[GST %]]) * AR[[#This Row],[GST %]], 0)</f>
        <v>0</v>
      </c>
      <c r="J722" s="31">
        <f>_xlfn.XLOOKUP(AR[[#This Row],[Customer name]], Customer_master[Customer name], Customer_master[EOM or Net], 0)</f>
        <v>0</v>
      </c>
      <c r="K722" s="31">
        <f>_xlfn.XLOOKUP(AR[[#This Row],[Customer name]], Customer_master[Customer name], Customer_master[Terms days], 0)</f>
        <v>0</v>
      </c>
      <c r="L7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2" s="4"/>
      <c r="N722" s="46">
        <f>IF(AR[[#This Row],[Collection date - override (dd/mm/yyyy)]] &lt;&gt; "", AR[[#This Row],[Collection date - override (dd/mm/yyyy)]], AR[[#This Row],[Due date (dd/mm/yyyy)]])</f>
        <v>0</v>
      </c>
      <c r="O722" s="46">
        <f t="shared" si="11"/>
        <v>52</v>
      </c>
    </row>
    <row r="723" spans="3:15" x14ac:dyDescent="0.25">
      <c r="C723" s="28"/>
      <c r="D723" s="20"/>
      <c r="E723" s="4"/>
      <c r="F723" s="37"/>
      <c r="G723" s="24"/>
      <c r="H723" s="51">
        <f>Assumptions!$D$15</f>
        <v>0.1</v>
      </c>
      <c r="I723" s="45">
        <f>IF(AR[[#This Row],[GST applies?]] = "Yes", (AR[[#This Row],[Invoice value inc. VAT]] / 1 + AR[[#This Row],[GST %]]) * AR[[#This Row],[GST %]], 0)</f>
        <v>0</v>
      </c>
      <c r="J723" s="31">
        <f>_xlfn.XLOOKUP(AR[[#This Row],[Customer name]], Customer_master[Customer name], Customer_master[EOM or Net], 0)</f>
        <v>0</v>
      </c>
      <c r="K723" s="31">
        <f>_xlfn.XLOOKUP(AR[[#This Row],[Customer name]], Customer_master[Customer name], Customer_master[Terms days], 0)</f>
        <v>0</v>
      </c>
      <c r="L7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3" s="4"/>
      <c r="N723" s="46">
        <f>IF(AR[[#This Row],[Collection date - override (dd/mm/yyyy)]] &lt;&gt; "", AR[[#This Row],[Collection date - override (dd/mm/yyyy)]], AR[[#This Row],[Due date (dd/mm/yyyy)]])</f>
        <v>0</v>
      </c>
      <c r="O723" s="46">
        <f t="shared" si="11"/>
        <v>52</v>
      </c>
    </row>
    <row r="724" spans="3:15" x14ac:dyDescent="0.25">
      <c r="C724" s="28"/>
      <c r="D724" s="20"/>
      <c r="E724" s="4"/>
      <c r="F724" s="37"/>
      <c r="G724" s="24"/>
      <c r="H724" s="51">
        <f>Assumptions!$D$15</f>
        <v>0.1</v>
      </c>
      <c r="I724" s="45">
        <f>IF(AR[[#This Row],[GST applies?]] = "Yes", (AR[[#This Row],[Invoice value inc. VAT]] / 1 + AR[[#This Row],[GST %]]) * AR[[#This Row],[GST %]], 0)</f>
        <v>0</v>
      </c>
      <c r="J724" s="31">
        <f>_xlfn.XLOOKUP(AR[[#This Row],[Customer name]], Customer_master[Customer name], Customer_master[EOM or Net], 0)</f>
        <v>0</v>
      </c>
      <c r="K724" s="31">
        <f>_xlfn.XLOOKUP(AR[[#This Row],[Customer name]], Customer_master[Customer name], Customer_master[Terms days], 0)</f>
        <v>0</v>
      </c>
      <c r="L7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4" s="4"/>
      <c r="N724" s="46">
        <f>IF(AR[[#This Row],[Collection date - override (dd/mm/yyyy)]] &lt;&gt; "", AR[[#This Row],[Collection date - override (dd/mm/yyyy)]], AR[[#This Row],[Due date (dd/mm/yyyy)]])</f>
        <v>0</v>
      </c>
      <c r="O724" s="46">
        <f t="shared" si="11"/>
        <v>52</v>
      </c>
    </row>
    <row r="725" spans="3:15" x14ac:dyDescent="0.25">
      <c r="C725" s="28"/>
      <c r="D725" s="20"/>
      <c r="E725" s="4"/>
      <c r="F725" s="37"/>
      <c r="G725" s="24"/>
      <c r="H725" s="51">
        <f>Assumptions!$D$15</f>
        <v>0.1</v>
      </c>
      <c r="I725" s="45">
        <f>IF(AR[[#This Row],[GST applies?]] = "Yes", (AR[[#This Row],[Invoice value inc. VAT]] / 1 + AR[[#This Row],[GST %]]) * AR[[#This Row],[GST %]], 0)</f>
        <v>0</v>
      </c>
      <c r="J725" s="31">
        <f>_xlfn.XLOOKUP(AR[[#This Row],[Customer name]], Customer_master[Customer name], Customer_master[EOM or Net], 0)</f>
        <v>0</v>
      </c>
      <c r="K725" s="31">
        <f>_xlfn.XLOOKUP(AR[[#This Row],[Customer name]], Customer_master[Customer name], Customer_master[Terms days], 0)</f>
        <v>0</v>
      </c>
      <c r="L7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5" s="4"/>
      <c r="N725" s="46">
        <f>IF(AR[[#This Row],[Collection date - override (dd/mm/yyyy)]] &lt;&gt; "", AR[[#This Row],[Collection date - override (dd/mm/yyyy)]], AR[[#This Row],[Due date (dd/mm/yyyy)]])</f>
        <v>0</v>
      </c>
      <c r="O725" s="46">
        <f t="shared" si="11"/>
        <v>52</v>
      </c>
    </row>
    <row r="726" spans="3:15" x14ac:dyDescent="0.25">
      <c r="C726" s="28"/>
      <c r="D726" s="20"/>
      <c r="E726" s="4"/>
      <c r="F726" s="37"/>
      <c r="G726" s="24"/>
      <c r="H726" s="51">
        <f>Assumptions!$D$15</f>
        <v>0.1</v>
      </c>
      <c r="I726" s="45">
        <f>IF(AR[[#This Row],[GST applies?]] = "Yes", (AR[[#This Row],[Invoice value inc. VAT]] / 1 + AR[[#This Row],[GST %]]) * AR[[#This Row],[GST %]], 0)</f>
        <v>0</v>
      </c>
      <c r="J726" s="31">
        <f>_xlfn.XLOOKUP(AR[[#This Row],[Customer name]], Customer_master[Customer name], Customer_master[EOM or Net], 0)</f>
        <v>0</v>
      </c>
      <c r="K726" s="31">
        <f>_xlfn.XLOOKUP(AR[[#This Row],[Customer name]], Customer_master[Customer name], Customer_master[Terms days], 0)</f>
        <v>0</v>
      </c>
      <c r="L7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6" s="4"/>
      <c r="N726" s="46">
        <f>IF(AR[[#This Row],[Collection date - override (dd/mm/yyyy)]] &lt;&gt; "", AR[[#This Row],[Collection date - override (dd/mm/yyyy)]], AR[[#This Row],[Due date (dd/mm/yyyy)]])</f>
        <v>0</v>
      </c>
      <c r="O726" s="46">
        <f t="shared" si="11"/>
        <v>52</v>
      </c>
    </row>
    <row r="727" spans="3:15" x14ac:dyDescent="0.25">
      <c r="C727" s="28"/>
      <c r="D727" s="20"/>
      <c r="E727" s="4"/>
      <c r="F727" s="37"/>
      <c r="G727" s="24"/>
      <c r="H727" s="51">
        <f>Assumptions!$D$15</f>
        <v>0.1</v>
      </c>
      <c r="I727" s="45">
        <f>IF(AR[[#This Row],[GST applies?]] = "Yes", (AR[[#This Row],[Invoice value inc. VAT]] / 1 + AR[[#This Row],[GST %]]) * AR[[#This Row],[GST %]], 0)</f>
        <v>0</v>
      </c>
      <c r="J727" s="31">
        <f>_xlfn.XLOOKUP(AR[[#This Row],[Customer name]], Customer_master[Customer name], Customer_master[EOM or Net], 0)</f>
        <v>0</v>
      </c>
      <c r="K727" s="31">
        <f>_xlfn.XLOOKUP(AR[[#This Row],[Customer name]], Customer_master[Customer name], Customer_master[Terms days], 0)</f>
        <v>0</v>
      </c>
      <c r="L7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7" s="4"/>
      <c r="N727" s="46">
        <f>IF(AR[[#This Row],[Collection date - override (dd/mm/yyyy)]] &lt;&gt; "", AR[[#This Row],[Collection date - override (dd/mm/yyyy)]], AR[[#This Row],[Due date (dd/mm/yyyy)]])</f>
        <v>0</v>
      </c>
      <c r="O727" s="46">
        <f t="shared" si="11"/>
        <v>52</v>
      </c>
    </row>
    <row r="728" spans="3:15" x14ac:dyDescent="0.25">
      <c r="C728" s="28"/>
      <c r="D728" s="20"/>
      <c r="E728" s="4"/>
      <c r="F728" s="37"/>
      <c r="G728" s="24"/>
      <c r="H728" s="51">
        <f>Assumptions!$D$15</f>
        <v>0.1</v>
      </c>
      <c r="I728" s="45">
        <f>IF(AR[[#This Row],[GST applies?]] = "Yes", (AR[[#This Row],[Invoice value inc. VAT]] / 1 + AR[[#This Row],[GST %]]) * AR[[#This Row],[GST %]], 0)</f>
        <v>0</v>
      </c>
      <c r="J728" s="31">
        <f>_xlfn.XLOOKUP(AR[[#This Row],[Customer name]], Customer_master[Customer name], Customer_master[EOM or Net], 0)</f>
        <v>0</v>
      </c>
      <c r="K728" s="31">
        <f>_xlfn.XLOOKUP(AR[[#This Row],[Customer name]], Customer_master[Customer name], Customer_master[Terms days], 0)</f>
        <v>0</v>
      </c>
      <c r="L7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8" s="4"/>
      <c r="N728" s="46">
        <f>IF(AR[[#This Row],[Collection date - override (dd/mm/yyyy)]] &lt;&gt; "", AR[[#This Row],[Collection date - override (dd/mm/yyyy)]], AR[[#This Row],[Due date (dd/mm/yyyy)]])</f>
        <v>0</v>
      </c>
      <c r="O728" s="46">
        <f t="shared" si="11"/>
        <v>52</v>
      </c>
    </row>
    <row r="729" spans="3:15" x14ac:dyDescent="0.25">
      <c r="C729" s="28"/>
      <c r="D729" s="20"/>
      <c r="E729" s="4"/>
      <c r="F729" s="37"/>
      <c r="G729" s="24"/>
      <c r="H729" s="51">
        <f>Assumptions!$D$15</f>
        <v>0.1</v>
      </c>
      <c r="I729" s="45">
        <f>IF(AR[[#This Row],[GST applies?]] = "Yes", (AR[[#This Row],[Invoice value inc. VAT]] / 1 + AR[[#This Row],[GST %]]) * AR[[#This Row],[GST %]], 0)</f>
        <v>0</v>
      </c>
      <c r="J729" s="31">
        <f>_xlfn.XLOOKUP(AR[[#This Row],[Customer name]], Customer_master[Customer name], Customer_master[EOM or Net], 0)</f>
        <v>0</v>
      </c>
      <c r="K729" s="31">
        <f>_xlfn.XLOOKUP(AR[[#This Row],[Customer name]], Customer_master[Customer name], Customer_master[Terms days], 0)</f>
        <v>0</v>
      </c>
      <c r="L7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9" s="4"/>
      <c r="N729" s="46">
        <f>IF(AR[[#This Row],[Collection date - override (dd/mm/yyyy)]] &lt;&gt; "", AR[[#This Row],[Collection date - override (dd/mm/yyyy)]], AR[[#This Row],[Due date (dd/mm/yyyy)]])</f>
        <v>0</v>
      </c>
      <c r="O729" s="46">
        <f t="shared" si="11"/>
        <v>52</v>
      </c>
    </row>
    <row r="730" spans="3:15" x14ac:dyDescent="0.25">
      <c r="C730" s="28"/>
      <c r="D730" s="20"/>
      <c r="E730" s="4"/>
      <c r="F730" s="37"/>
      <c r="G730" s="24"/>
      <c r="H730" s="51">
        <f>Assumptions!$D$15</f>
        <v>0.1</v>
      </c>
      <c r="I730" s="45">
        <f>IF(AR[[#This Row],[GST applies?]] = "Yes", (AR[[#This Row],[Invoice value inc. VAT]] / 1 + AR[[#This Row],[GST %]]) * AR[[#This Row],[GST %]], 0)</f>
        <v>0</v>
      </c>
      <c r="J730" s="31">
        <f>_xlfn.XLOOKUP(AR[[#This Row],[Customer name]], Customer_master[Customer name], Customer_master[EOM or Net], 0)</f>
        <v>0</v>
      </c>
      <c r="K730" s="31">
        <f>_xlfn.XLOOKUP(AR[[#This Row],[Customer name]], Customer_master[Customer name], Customer_master[Terms days], 0)</f>
        <v>0</v>
      </c>
      <c r="L7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0" s="4"/>
      <c r="N730" s="46">
        <f>IF(AR[[#This Row],[Collection date - override (dd/mm/yyyy)]] &lt;&gt; "", AR[[#This Row],[Collection date - override (dd/mm/yyyy)]], AR[[#This Row],[Due date (dd/mm/yyyy)]])</f>
        <v>0</v>
      </c>
      <c r="O730" s="46">
        <f t="shared" si="11"/>
        <v>52</v>
      </c>
    </row>
    <row r="731" spans="3:15" x14ac:dyDescent="0.25">
      <c r="C731" s="28"/>
      <c r="D731" s="20"/>
      <c r="E731" s="4"/>
      <c r="F731" s="37"/>
      <c r="G731" s="24"/>
      <c r="H731" s="51">
        <f>Assumptions!$D$15</f>
        <v>0.1</v>
      </c>
      <c r="I731" s="45">
        <f>IF(AR[[#This Row],[GST applies?]] = "Yes", (AR[[#This Row],[Invoice value inc. VAT]] / 1 + AR[[#This Row],[GST %]]) * AR[[#This Row],[GST %]], 0)</f>
        <v>0</v>
      </c>
      <c r="J731" s="31">
        <f>_xlfn.XLOOKUP(AR[[#This Row],[Customer name]], Customer_master[Customer name], Customer_master[EOM or Net], 0)</f>
        <v>0</v>
      </c>
      <c r="K731" s="31">
        <f>_xlfn.XLOOKUP(AR[[#This Row],[Customer name]], Customer_master[Customer name], Customer_master[Terms days], 0)</f>
        <v>0</v>
      </c>
      <c r="L7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1" s="4"/>
      <c r="N731" s="46">
        <f>IF(AR[[#This Row],[Collection date - override (dd/mm/yyyy)]] &lt;&gt; "", AR[[#This Row],[Collection date - override (dd/mm/yyyy)]], AR[[#This Row],[Due date (dd/mm/yyyy)]])</f>
        <v>0</v>
      </c>
      <c r="O731" s="46">
        <f t="shared" si="11"/>
        <v>52</v>
      </c>
    </row>
    <row r="732" spans="3:15" x14ac:dyDescent="0.25">
      <c r="C732" s="28"/>
      <c r="D732" s="20"/>
      <c r="E732" s="4"/>
      <c r="F732" s="37"/>
      <c r="G732" s="24"/>
      <c r="H732" s="51">
        <f>Assumptions!$D$15</f>
        <v>0.1</v>
      </c>
      <c r="I732" s="45">
        <f>IF(AR[[#This Row],[GST applies?]] = "Yes", (AR[[#This Row],[Invoice value inc. VAT]] / 1 + AR[[#This Row],[GST %]]) * AR[[#This Row],[GST %]], 0)</f>
        <v>0</v>
      </c>
      <c r="J732" s="31">
        <f>_xlfn.XLOOKUP(AR[[#This Row],[Customer name]], Customer_master[Customer name], Customer_master[EOM or Net], 0)</f>
        <v>0</v>
      </c>
      <c r="K732" s="31">
        <f>_xlfn.XLOOKUP(AR[[#This Row],[Customer name]], Customer_master[Customer name], Customer_master[Terms days], 0)</f>
        <v>0</v>
      </c>
      <c r="L7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2" s="4"/>
      <c r="N732" s="46">
        <f>IF(AR[[#This Row],[Collection date - override (dd/mm/yyyy)]] &lt;&gt; "", AR[[#This Row],[Collection date - override (dd/mm/yyyy)]], AR[[#This Row],[Due date (dd/mm/yyyy)]])</f>
        <v>0</v>
      </c>
      <c r="O732" s="46">
        <f t="shared" si="11"/>
        <v>52</v>
      </c>
    </row>
    <row r="733" spans="3:15" x14ac:dyDescent="0.25">
      <c r="C733" s="28"/>
      <c r="D733" s="20"/>
      <c r="E733" s="4"/>
      <c r="F733" s="37"/>
      <c r="G733" s="24"/>
      <c r="H733" s="51">
        <f>Assumptions!$D$15</f>
        <v>0.1</v>
      </c>
      <c r="I733" s="45">
        <f>IF(AR[[#This Row],[GST applies?]] = "Yes", (AR[[#This Row],[Invoice value inc. VAT]] / 1 + AR[[#This Row],[GST %]]) * AR[[#This Row],[GST %]], 0)</f>
        <v>0</v>
      </c>
      <c r="J733" s="31">
        <f>_xlfn.XLOOKUP(AR[[#This Row],[Customer name]], Customer_master[Customer name], Customer_master[EOM or Net], 0)</f>
        <v>0</v>
      </c>
      <c r="K733" s="31">
        <f>_xlfn.XLOOKUP(AR[[#This Row],[Customer name]], Customer_master[Customer name], Customer_master[Terms days], 0)</f>
        <v>0</v>
      </c>
      <c r="L7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3" s="4"/>
      <c r="N733" s="46">
        <f>IF(AR[[#This Row],[Collection date - override (dd/mm/yyyy)]] &lt;&gt; "", AR[[#This Row],[Collection date - override (dd/mm/yyyy)]], AR[[#This Row],[Due date (dd/mm/yyyy)]])</f>
        <v>0</v>
      </c>
      <c r="O733" s="46">
        <f t="shared" si="11"/>
        <v>52</v>
      </c>
    </row>
    <row r="734" spans="3:15" x14ac:dyDescent="0.25">
      <c r="C734" s="28"/>
      <c r="D734" s="20"/>
      <c r="E734" s="4"/>
      <c r="F734" s="37"/>
      <c r="G734" s="24"/>
      <c r="H734" s="51">
        <f>Assumptions!$D$15</f>
        <v>0.1</v>
      </c>
      <c r="I734" s="45">
        <f>IF(AR[[#This Row],[GST applies?]] = "Yes", (AR[[#This Row],[Invoice value inc. VAT]] / 1 + AR[[#This Row],[GST %]]) * AR[[#This Row],[GST %]], 0)</f>
        <v>0</v>
      </c>
      <c r="J734" s="31">
        <f>_xlfn.XLOOKUP(AR[[#This Row],[Customer name]], Customer_master[Customer name], Customer_master[EOM or Net], 0)</f>
        <v>0</v>
      </c>
      <c r="K734" s="31">
        <f>_xlfn.XLOOKUP(AR[[#This Row],[Customer name]], Customer_master[Customer name], Customer_master[Terms days], 0)</f>
        <v>0</v>
      </c>
      <c r="L7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4" s="4"/>
      <c r="N734" s="46">
        <f>IF(AR[[#This Row],[Collection date - override (dd/mm/yyyy)]] &lt;&gt; "", AR[[#This Row],[Collection date - override (dd/mm/yyyy)]], AR[[#This Row],[Due date (dd/mm/yyyy)]])</f>
        <v>0</v>
      </c>
      <c r="O734" s="46">
        <f t="shared" si="11"/>
        <v>52</v>
      </c>
    </row>
    <row r="735" spans="3:15" x14ac:dyDescent="0.25">
      <c r="C735" s="28"/>
      <c r="D735" s="20"/>
      <c r="E735" s="4"/>
      <c r="F735" s="37"/>
      <c r="G735" s="24"/>
      <c r="H735" s="51">
        <f>Assumptions!$D$15</f>
        <v>0.1</v>
      </c>
      <c r="I735" s="45">
        <f>IF(AR[[#This Row],[GST applies?]] = "Yes", (AR[[#This Row],[Invoice value inc. VAT]] / 1 + AR[[#This Row],[GST %]]) * AR[[#This Row],[GST %]], 0)</f>
        <v>0</v>
      </c>
      <c r="J735" s="31">
        <f>_xlfn.XLOOKUP(AR[[#This Row],[Customer name]], Customer_master[Customer name], Customer_master[EOM or Net], 0)</f>
        <v>0</v>
      </c>
      <c r="K735" s="31">
        <f>_xlfn.XLOOKUP(AR[[#This Row],[Customer name]], Customer_master[Customer name], Customer_master[Terms days], 0)</f>
        <v>0</v>
      </c>
      <c r="L7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5" s="4"/>
      <c r="N735" s="46">
        <f>IF(AR[[#This Row],[Collection date - override (dd/mm/yyyy)]] &lt;&gt; "", AR[[#This Row],[Collection date - override (dd/mm/yyyy)]], AR[[#This Row],[Due date (dd/mm/yyyy)]])</f>
        <v>0</v>
      </c>
      <c r="O735" s="46">
        <f t="shared" si="11"/>
        <v>52</v>
      </c>
    </row>
    <row r="736" spans="3:15" x14ac:dyDescent="0.25">
      <c r="C736" s="28"/>
      <c r="D736" s="20"/>
      <c r="E736" s="4"/>
      <c r="F736" s="37"/>
      <c r="G736" s="24"/>
      <c r="H736" s="51">
        <f>Assumptions!$D$15</f>
        <v>0.1</v>
      </c>
      <c r="I736" s="45">
        <f>IF(AR[[#This Row],[GST applies?]] = "Yes", (AR[[#This Row],[Invoice value inc. VAT]] / 1 + AR[[#This Row],[GST %]]) * AR[[#This Row],[GST %]], 0)</f>
        <v>0</v>
      </c>
      <c r="J736" s="31">
        <f>_xlfn.XLOOKUP(AR[[#This Row],[Customer name]], Customer_master[Customer name], Customer_master[EOM or Net], 0)</f>
        <v>0</v>
      </c>
      <c r="K736" s="31">
        <f>_xlfn.XLOOKUP(AR[[#This Row],[Customer name]], Customer_master[Customer name], Customer_master[Terms days], 0)</f>
        <v>0</v>
      </c>
      <c r="L7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6" s="4"/>
      <c r="N736" s="46">
        <f>IF(AR[[#This Row],[Collection date - override (dd/mm/yyyy)]] &lt;&gt; "", AR[[#This Row],[Collection date - override (dd/mm/yyyy)]], AR[[#This Row],[Due date (dd/mm/yyyy)]])</f>
        <v>0</v>
      </c>
      <c r="O736" s="46">
        <f t="shared" si="11"/>
        <v>52</v>
      </c>
    </row>
    <row r="737" spans="3:15" x14ac:dyDescent="0.25">
      <c r="C737" s="28"/>
      <c r="D737" s="20"/>
      <c r="E737" s="4"/>
      <c r="F737" s="37"/>
      <c r="G737" s="24"/>
      <c r="H737" s="51">
        <f>Assumptions!$D$15</f>
        <v>0.1</v>
      </c>
      <c r="I737" s="45">
        <f>IF(AR[[#This Row],[GST applies?]] = "Yes", (AR[[#This Row],[Invoice value inc. VAT]] / 1 + AR[[#This Row],[GST %]]) * AR[[#This Row],[GST %]], 0)</f>
        <v>0</v>
      </c>
      <c r="J737" s="31">
        <f>_xlfn.XLOOKUP(AR[[#This Row],[Customer name]], Customer_master[Customer name], Customer_master[EOM or Net], 0)</f>
        <v>0</v>
      </c>
      <c r="K737" s="31">
        <f>_xlfn.XLOOKUP(AR[[#This Row],[Customer name]], Customer_master[Customer name], Customer_master[Terms days], 0)</f>
        <v>0</v>
      </c>
      <c r="L7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7" s="4"/>
      <c r="N737" s="46">
        <f>IF(AR[[#This Row],[Collection date - override (dd/mm/yyyy)]] &lt;&gt; "", AR[[#This Row],[Collection date - override (dd/mm/yyyy)]], AR[[#This Row],[Due date (dd/mm/yyyy)]])</f>
        <v>0</v>
      </c>
      <c r="O737" s="46">
        <f t="shared" si="11"/>
        <v>52</v>
      </c>
    </row>
    <row r="738" spans="3:15" x14ac:dyDescent="0.25">
      <c r="C738" s="28"/>
      <c r="D738" s="20"/>
      <c r="E738" s="4"/>
      <c r="F738" s="37"/>
      <c r="G738" s="24"/>
      <c r="H738" s="51">
        <f>Assumptions!$D$15</f>
        <v>0.1</v>
      </c>
      <c r="I738" s="45">
        <f>IF(AR[[#This Row],[GST applies?]] = "Yes", (AR[[#This Row],[Invoice value inc. VAT]] / 1 + AR[[#This Row],[GST %]]) * AR[[#This Row],[GST %]], 0)</f>
        <v>0</v>
      </c>
      <c r="J738" s="31">
        <f>_xlfn.XLOOKUP(AR[[#This Row],[Customer name]], Customer_master[Customer name], Customer_master[EOM or Net], 0)</f>
        <v>0</v>
      </c>
      <c r="K738" s="31">
        <f>_xlfn.XLOOKUP(AR[[#This Row],[Customer name]], Customer_master[Customer name], Customer_master[Terms days], 0)</f>
        <v>0</v>
      </c>
      <c r="L7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8" s="4"/>
      <c r="N738" s="46">
        <f>IF(AR[[#This Row],[Collection date - override (dd/mm/yyyy)]] &lt;&gt; "", AR[[#This Row],[Collection date - override (dd/mm/yyyy)]], AR[[#This Row],[Due date (dd/mm/yyyy)]])</f>
        <v>0</v>
      </c>
      <c r="O738" s="46">
        <f t="shared" si="11"/>
        <v>52</v>
      </c>
    </row>
    <row r="739" spans="3:15" x14ac:dyDescent="0.25">
      <c r="C739" s="28"/>
      <c r="D739" s="20"/>
      <c r="E739" s="4"/>
      <c r="F739" s="37"/>
      <c r="G739" s="24"/>
      <c r="H739" s="51">
        <f>Assumptions!$D$15</f>
        <v>0.1</v>
      </c>
      <c r="I739" s="45">
        <f>IF(AR[[#This Row],[GST applies?]] = "Yes", (AR[[#This Row],[Invoice value inc. VAT]] / 1 + AR[[#This Row],[GST %]]) * AR[[#This Row],[GST %]], 0)</f>
        <v>0</v>
      </c>
      <c r="J739" s="31">
        <f>_xlfn.XLOOKUP(AR[[#This Row],[Customer name]], Customer_master[Customer name], Customer_master[EOM or Net], 0)</f>
        <v>0</v>
      </c>
      <c r="K739" s="31">
        <f>_xlfn.XLOOKUP(AR[[#This Row],[Customer name]], Customer_master[Customer name], Customer_master[Terms days], 0)</f>
        <v>0</v>
      </c>
      <c r="L7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9" s="4"/>
      <c r="N739" s="46">
        <f>IF(AR[[#This Row],[Collection date - override (dd/mm/yyyy)]] &lt;&gt; "", AR[[#This Row],[Collection date - override (dd/mm/yyyy)]], AR[[#This Row],[Due date (dd/mm/yyyy)]])</f>
        <v>0</v>
      </c>
      <c r="O739" s="46">
        <f t="shared" si="11"/>
        <v>52</v>
      </c>
    </row>
    <row r="740" spans="3:15" x14ac:dyDescent="0.25">
      <c r="C740" s="28"/>
      <c r="D740" s="20"/>
      <c r="E740" s="4"/>
      <c r="F740" s="37"/>
      <c r="G740" s="24"/>
      <c r="H740" s="51">
        <f>Assumptions!$D$15</f>
        <v>0.1</v>
      </c>
      <c r="I740" s="45">
        <f>IF(AR[[#This Row],[GST applies?]] = "Yes", (AR[[#This Row],[Invoice value inc. VAT]] / 1 + AR[[#This Row],[GST %]]) * AR[[#This Row],[GST %]], 0)</f>
        <v>0</v>
      </c>
      <c r="J740" s="31">
        <f>_xlfn.XLOOKUP(AR[[#This Row],[Customer name]], Customer_master[Customer name], Customer_master[EOM or Net], 0)</f>
        <v>0</v>
      </c>
      <c r="K740" s="31">
        <f>_xlfn.XLOOKUP(AR[[#This Row],[Customer name]], Customer_master[Customer name], Customer_master[Terms days], 0)</f>
        <v>0</v>
      </c>
      <c r="L7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0" s="4"/>
      <c r="N740" s="46">
        <f>IF(AR[[#This Row],[Collection date - override (dd/mm/yyyy)]] &lt;&gt; "", AR[[#This Row],[Collection date - override (dd/mm/yyyy)]], AR[[#This Row],[Due date (dd/mm/yyyy)]])</f>
        <v>0</v>
      </c>
      <c r="O740" s="46">
        <f t="shared" si="11"/>
        <v>52</v>
      </c>
    </row>
    <row r="741" spans="3:15" x14ac:dyDescent="0.25">
      <c r="C741" s="28"/>
      <c r="D741" s="20"/>
      <c r="E741" s="4"/>
      <c r="F741" s="37"/>
      <c r="G741" s="24"/>
      <c r="H741" s="51">
        <f>Assumptions!$D$15</f>
        <v>0.1</v>
      </c>
      <c r="I741" s="45">
        <f>IF(AR[[#This Row],[GST applies?]] = "Yes", (AR[[#This Row],[Invoice value inc. VAT]] / 1 + AR[[#This Row],[GST %]]) * AR[[#This Row],[GST %]], 0)</f>
        <v>0</v>
      </c>
      <c r="J741" s="31">
        <f>_xlfn.XLOOKUP(AR[[#This Row],[Customer name]], Customer_master[Customer name], Customer_master[EOM or Net], 0)</f>
        <v>0</v>
      </c>
      <c r="K741" s="31">
        <f>_xlfn.XLOOKUP(AR[[#This Row],[Customer name]], Customer_master[Customer name], Customer_master[Terms days], 0)</f>
        <v>0</v>
      </c>
      <c r="L7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1" s="4"/>
      <c r="N741" s="46">
        <f>IF(AR[[#This Row],[Collection date - override (dd/mm/yyyy)]] &lt;&gt; "", AR[[#This Row],[Collection date - override (dd/mm/yyyy)]], AR[[#This Row],[Due date (dd/mm/yyyy)]])</f>
        <v>0</v>
      </c>
      <c r="O741" s="46">
        <f t="shared" si="11"/>
        <v>52</v>
      </c>
    </row>
    <row r="742" spans="3:15" x14ac:dyDescent="0.25">
      <c r="C742" s="28"/>
      <c r="D742" s="20"/>
      <c r="E742" s="4"/>
      <c r="F742" s="37"/>
      <c r="G742" s="24"/>
      <c r="H742" s="51">
        <f>Assumptions!$D$15</f>
        <v>0.1</v>
      </c>
      <c r="I742" s="45">
        <f>IF(AR[[#This Row],[GST applies?]] = "Yes", (AR[[#This Row],[Invoice value inc. VAT]] / 1 + AR[[#This Row],[GST %]]) * AR[[#This Row],[GST %]], 0)</f>
        <v>0</v>
      </c>
      <c r="J742" s="31">
        <f>_xlfn.XLOOKUP(AR[[#This Row],[Customer name]], Customer_master[Customer name], Customer_master[EOM or Net], 0)</f>
        <v>0</v>
      </c>
      <c r="K742" s="31">
        <f>_xlfn.XLOOKUP(AR[[#This Row],[Customer name]], Customer_master[Customer name], Customer_master[Terms days], 0)</f>
        <v>0</v>
      </c>
      <c r="L7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2" s="4"/>
      <c r="N742" s="46">
        <f>IF(AR[[#This Row],[Collection date - override (dd/mm/yyyy)]] &lt;&gt; "", AR[[#This Row],[Collection date - override (dd/mm/yyyy)]], AR[[#This Row],[Due date (dd/mm/yyyy)]])</f>
        <v>0</v>
      </c>
      <c r="O742" s="46">
        <f t="shared" si="11"/>
        <v>52</v>
      </c>
    </row>
    <row r="743" spans="3:15" x14ac:dyDescent="0.25">
      <c r="C743" s="28"/>
      <c r="D743" s="20"/>
      <c r="E743" s="4"/>
      <c r="F743" s="37"/>
      <c r="G743" s="24"/>
      <c r="H743" s="51">
        <f>Assumptions!$D$15</f>
        <v>0.1</v>
      </c>
      <c r="I743" s="45">
        <f>IF(AR[[#This Row],[GST applies?]] = "Yes", (AR[[#This Row],[Invoice value inc. VAT]] / 1 + AR[[#This Row],[GST %]]) * AR[[#This Row],[GST %]], 0)</f>
        <v>0</v>
      </c>
      <c r="J743" s="31">
        <f>_xlfn.XLOOKUP(AR[[#This Row],[Customer name]], Customer_master[Customer name], Customer_master[EOM or Net], 0)</f>
        <v>0</v>
      </c>
      <c r="K743" s="31">
        <f>_xlfn.XLOOKUP(AR[[#This Row],[Customer name]], Customer_master[Customer name], Customer_master[Terms days], 0)</f>
        <v>0</v>
      </c>
      <c r="L7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3" s="4"/>
      <c r="N743" s="46">
        <f>IF(AR[[#This Row],[Collection date - override (dd/mm/yyyy)]] &lt;&gt; "", AR[[#This Row],[Collection date - override (dd/mm/yyyy)]], AR[[#This Row],[Due date (dd/mm/yyyy)]])</f>
        <v>0</v>
      </c>
      <c r="O743" s="46">
        <f t="shared" si="11"/>
        <v>52</v>
      </c>
    </row>
    <row r="744" spans="3:15" x14ac:dyDescent="0.25">
      <c r="C744" s="28"/>
      <c r="D744" s="20"/>
      <c r="E744" s="4"/>
      <c r="F744" s="37"/>
      <c r="G744" s="24"/>
      <c r="H744" s="51">
        <f>Assumptions!$D$15</f>
        <v>0.1</v>
      </c>
      <c r="I744" s="45">
        <f>IF(AR[[#This Row],[GST applies?]] = "Yes", (AR[[#This Row],[Invoice value inc. VAT]] / 1 + AR[[#This Row],[GST %]]) * AR[[#This Row],[GST %]], 0)</f>
        <v>0</v>
      </c>
      <c r="J744" s="31">
        <f>_xlfn.XLOOKUP(AR[[#This Row],[Customer name]], Customer_master[Customer name], Customer_master[EOM or Net], 0)</f>
        <v>0</v>
      </c>
      <c r="K744" s="31">
        <f>_xlfn.XLOOKUP(AR[[#This Row],[Customer name]], Customer_master[Customer name], Customer_master[Terms days], 0)</f>
        <v>0</v>
      </c>
      <c r="L7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4" s="4"/>
      <c r="N744" s="46">
        <f>IF(AR[[#This Row],[Collection date - override (dd/mm/yyyy)]] &lt;&gt; "", AR[[#This Row],[Collection date - override (dd/mm/yyyy)]], AR[[#This Row],[Due date (dd/mm/yyyy)]])</f>
        <v>0</v>
      </c>
      <c r="O744" s="46">
        <f t="shared" si="11"/>
        <v>52</v>
      </c>
    </row>
    <row r="745" spans="3:15" x14ac:dyDescent="0.25">
      <c r="C745" s="28"/>
      <c r="D745" s="20"/>
      <c r="E745" s="4"/>
      <c r="F745" s="37"/>
      <c r="G745" s="24"/>
      <c r="H745" s="51">
        <f>Assumptions!$D$15</f>
        <v>0.1</v>
      </c>
      <c r="I745" s="45">
        <f>IF(AR[[#This Row],[GST applies?]] = "Yes", (AR[[#This Row],[Invoice value inc. VAT]] / 1 + AR[[#This Row],[GST %]]) * AR[[#This Row],[GST %]], 0)</f>
        <v>0</v>
      </c>
      <c r="J745" s="31">
        <f>_xlfn.XLOOKUP(AR[[#This Row],[Customer name]], Customer_master[Customer name], Customer_master[EOM or Net], 0)</f>
        <v>0</v>
      </c>
      <c r="K745" s="31">
        <f>_xlfn.XLOOKUP(AR[[#This Row],[Customer name]], Customer_master[Customer name], Customer_master[Terms days], 0)</f>
        <v>0</v>
      </c>
      <c r="L7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5" s="4"/>
      <c r="N745" s="46">
        <f>IF(AR[[#This Row],[Collection date - override (dd/mm/yyyy)]] &lt;&gt; "", AR[[#This Row],[Collection date - override (dd/mm/yyyy)]], AR[[#This Row],[Due date (dd/mm/yyyy)]])</f>
        <v>0</v>
      </c>
      <c r="O745" s="46">
        <f t="shared" si="11"/>
        <v>52</v>
      </c>
    </row>
    <row r="746" spans="3:15" x14ac:dyDescent="0.25">
      <c r="C746" s="28"/>
      <c r="D746" s="20"/>
      <c r="E746" s="4"/>
      <c r="F746" s="37"/>
      <c r="G746" s="24"/>
      <c r="H746" s="51">
        <f>Assumptions!$D$15</f>
        <v>0.1</v>
      </c>
      <c r="I746" s="45">
        <f>IF(AR[[#This Row],[GST applies?]] = "Yes", (AR[[#This Row],[Invoice value inc. VAT]] / 1 + AR[[#This Row],[GST %]]) * AR[[#This Row],[GST %]], 0)</f>
        <v>0</v>
      </c>
      <c r="J746" s="31">
        <f>_xlfn.XLOOKUP(AR[[#This Row],[Customer name]], Customer_master[Customer name], Customer_master[EOM or Net], 0)</f>
        <v>0</v>
      </c>
      <c r="K746" s="31">
        <f>_xlfn.XLOOKUP(AR[[#This Row],[Customer name]], Customer_master[Customer name], Customer_master[Terms days], 0)</f>
        <v>0</v>
      </c>
      <c r="L7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6" s="4"/>
      <c r="N746" s="46">
        <f>IF(AR[[#This Row],[Collection date - override (dd/mm/yyyy)]] &lt;&gt; "", AR[[#This Row],[Collection date - override (dd/mm/yyyy)]], AR[[#This Row],[Due date (dd/mm/yyyy)]])</f>
        <v>0</v>
      </c>
      <c r="O746" s="46">
        <f t="shared" si="11"/>
        <v>52</v>
      </c>
    </row>
    <row r="747" spans="3:15" x14ac:dyDescent="0.25">
      <c r="C747" s="28"/>
      <c r="D747" s="20"/>
      <c r="E747" s="4"/>
      <c r="F747" s="37"/>
      <c r="G747" s="24"/>
      <c r="H747" s="51">
        <f>Assumptions!$D$15</f>
        <v>0.1</v>
      </c>
      <c r="I747" s="45">
        <f>IF(AR[[#This Row],[GST applies?]] = "Yes", (AR[[#This Row],[Invoice value inc. VAT]] / 1 + AR[[#This Row],[GST %]]) * AR[[#This Row],[GST %]], 0)</f>
        <v>0</v>
      </c>
      <c r="J747" s="31">
        <f>_xlfn.XLOOKUP(AR[[#This Row],[Customer name]], Customer_master[Customer name], Customer_master[EOM or Net], 0)</f>
        <v>0</v>
      </c>
      <c r="K747" s="31">
        <f>_xlfn.XLOOKUP(AR[[#This Row],[Customer name]], Customer_master[Customer name], Customer_master[Terms days], 0)</f>
        <v>0</v>
      </c>
      <c r="L7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7" s="4"/>
      <c r="N747" s="46">
        <f>IF(AR[[#This Row],[Collection date - override (dd/mm/yyyy)]] &lt;&gt; "", AR[[#This Row],[Collection date - override (dd/mm/yyyy)]], AR[[#This Row],[Due date (dd/mm/yyyy)]])</f>
        <v>0</v>
      </c>
      <c r="O747" s="46">
        <f t="shared" si="11"/>
        <v>52</v>
      </c>
    </row>
    <row r="748" spans="3:15" x14ac:dyDescent="0.25">
      <c r="C748" s="28"/>
      <c r="D748" s="20"/>
      <c r="E748" s="4"/>
      <c r="F748" s="37"/>
      <c r="G748" s="24"/>
      <c r="H748" s="51">
        <f>Assumptions!$D$15</f>
        <v>0.1</v>
      </c>
      <c r="I748" s="45">
        <f>IF(AR[[#This Row],[GST applies?]] = "Yes", (AR[[#This Row],[Invoice value inc. VAT]] / 1 + AR[[#This Row],[GST %]]) * AR[[#This Row],[GST %]], 0)</f>
        <v>0</v>
      </c>
      <c r="J748" s="31">
        <f>_xlfn.XLOOKUP(AR[[#This Row],[Customer name]], Customer_master[Customer name], Customer_master[EOM or Net], 0)</f>
        <v>0</v>
      </c>
      <c r="K748" s="31">
        <f>_xlfn.XLOOKUP(AR[[#This Row],[Customer name]], Customer_master[Customer name], Customer_master[Terms days], 0)</f>
        <v>0</v>
      </c>
      <c r="L7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8" s="4"/>
      <c r="N748" s="46">
        <f>IF(AR[[#This Row],[Collection date - override (dd/mm/yyyy)]] &lt;&gt; "", AR[[#This Row],[Collection date - override (dd/mm/yyyy)]], AR[[#This Row],[Due date (dd/mm/yyyy)]])</f>
        <v>0</v>
      </c>
      <c r="O748" s="46">
        <f t="shared" si="11"/>
        <v>52</v>
      </c>
    </row>
    <row r="749" spans="3:15" x14ac:dyDescent="0.25">
      <c r="C749" s="28"/>
      <c r="D749" s="20"/>
      <c r="E749" s="4"/>
      <c r="F749" s="37"/>
      <c r="G749" s="24"/>
      <c r="H749" s="51">
        <f>Assumptions!$D$15</f>
        <v>0.1</v>
      </c>
      <c r="I749" s="45">
        <f>IF(AR[[#This Row],[GST applies?]] = "Yes", (AR[[#This Row],[Invoice value inc. VAT]] / 1 + AR[[#This Row],[GST %]]) * AR[[#This Row],[GST %]], 0)</f>
        <v>0</v>
      </c>
      <c r="J749" s="31">
        <f>_xlfn.XLOOKUP(AR[[#This Row],[Customer name]], Customer_master[Customer name], Customer_master[EOM or Net], 0)</f>
        <v>0</v>
      </c>
      <c r="K749" s="31">
        <f>_xlfn.XLOOKUP(AR[[#This Row],[Customer name]], Customer_master[Customer name], Customer_master[Terms days], 0)</f>
        <v>0</v>
      </c>
      <c r="L7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9" s="4"/>
      <c r="N749" s="46">
        <f>IF(AR[[#This Row],[Collection date - override (dd/mm/yyyy)]] &lt;&gt; "", AR[[#This Row],[Collection date - override (dd/mm/yyyy)]], AR[[#This Row],[Due date (dd/mm/yyyy)]])</f>
        <v>0</v>
      </c>
      <c r="O749" s="46">
        <f t="shared" si="11"/>
        <v>52</v>
      </c>
    </row>
    <row r="750" spans="3:15" x14ac:dyDescent="0.25">
      <c r="C750" s="28"/>
      <c r="D750" s="20"/>
      <c r="E750" s="4"/>
      <c r="F750" s="37"/>
      <c r="G750" s="24"/>
      <c r="H750" s="51">
        <f>Assumptions!$D$15</f>
        <v>0.1</v>
      </c>
      <c r="I750" s="45">
        <f>IF(AR[[#This Row],[GST applies?]] = "Yes", (AR[[#This Row],[Invoice value inc. VAT]] / 1 + AR[[#This Row],[GST %]]) * AR[[#This Row],[GST %]], 0)</f>
        <v>0</v>
      </c>
      <c r="J750" s="31">
        <f>_xlfn.XLOOKUP(AR[[#This Row],[Customer name]], Customer_master[Customer name], Customer_master[EOM or Net], 0)</f>
        <v>0</v>
      </c>
      <c r="K750" s="31">
        <f>_xlfn.XLOOKUP(AR[[#This Row],[Customer name]], Customer_master[Customer name], Customer_master[Terms days], 0)</f>
        <v>0</v>
      </c>
      <c r="L7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0" s="4"/>
      <c r="N750" s="46">
        <f>IF(AR[[#This Row],[Collection date - override (dd/mm/yyyy)]] &lt;&gt; "", AR[[#This Row],[Collection date - override (dd/mm/yyyy)]], AR[[#This Row],[Due date (dd/mm/yyyy)]])</f>
        <v>0</v>
      </c>
      <c r="O750" s="46">
        <f t="shared" si="11"/>
        <v>52</v>
      </c>
    </row>
    <row r="751" spans="3:15" x14ac:dyDescent="0.25">
      <c r="C751" s="28"/>
      <c r="D751" s="20"/>
      <c r="E751" s="4"/>
      <c r="F751" s="37"/>
      <c r="G751" s="24"/>
      <c r="H751" s="51">
        <f>Assumptions!$D$15</f>
        <v>0.1</v>
      </c>
      <c r="I751" s="45">
        <f>IF(AR[[#This Row],[GST applies?]] = "Yes", (AR[[#This Row],[Invoice value inc. VAT]] / 1 + AR[[#This Row],[GST %]]) * AR[[#This Row],[GST %]], 0)</f>
        <v>0</v>
      </c>
      <c r="J751" s="31">
        <f>_xlfn.XLOOKUP(AR[[#This Row],[Customer name]], Customer_master[Customer name], Customer_master[EOM or Net], 0)</f>
        <v>0</v>
      </c>
      <c r="K751" s="31">
        <f>_xlfn.XLOOKUP(AR[[#This Row],[Customer name]], Customer_master[Customer name], Customer_master[Terms days], 0)</f>
        <v>0</v>
      </c>
      <c r="L7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1" s="4"/>
      <c r="N751" s="46">
        <f>IF(AR[[#This Row],[Collection date - override (dd/mm/yyyy)]] &lt;&gt; "", AR[[#This Row],[Collection date - override (dd/mm/yyyy)]], AR[[#This Row],[Due date (dd/mm/yyyy)]])</f>
        <v>0</v>
      </c>
      <c r="O751" s="46">
        <f t="shared" si="11"/>
        <v>52</v>
      </c>
    </row>
    <row r="752" spans="3:15" x14ac:dyDescent="0.25">
      <c r="C752" s="28"/>
      <c r="D752" s="20"/>
      <c r="E752" s="4"/>
      <c r="F752" s="37"/>
      <c r="G752" s="24"/>
      <c r="H752" s="51">
        <f>Assumptions!$D$15</f>
        <v>0.1</v>
      </c>
      <c r="I752" s="45">
        <f>IF(AR[[#This Row],[GST applies?]] = "Yes", (AR[[#This Row],[Invoice value inc. VAT]] / 1 + AR[[#This Row],[GST %]]) * AR[[#This Row],[GST %]], 0)</f>
        <v>0</v>
      </c>
      <c r="J752" s="31">
        <f>_xlfn.XLOOKUP(AR[[#This Row],[Customer name]], Customer_master[Customer name], Customer_master[EOM or Net], 0)</f>
        <v>0</v>
      </c>
      <c r="K752" s="31">
        <f>_xlfn.XLOOKUP(AR[[#This Row],[Customer name]], Customer_master[Customer name], Customer_master[Terms days], 0)</f>
        <v>0</v>
      </c>
      <c r="L7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2" s="4"/>
      <c r="N752" s="46">
        <f>IF(AR[[#This Row],[Collection date - override (dd/mm/yyyy)]] &lt;&gt; "", AR[[#This Row],[Collection date - override (dd/mm/yyyy)]], AR[[#This Row],[Due date (dd/mm/yyyy)]])</f>
        <v>0</v>
      </c>
      <c r="O752" s="46">
        <f t="shared" si="11"/>
        <v>52</v>
      </c>
    </row>
    <row r="753" spans="3:15" x14ac:dyDescent="0.25">
      <c r="C753" s="28"/>
      <c r="D753" s="20"/>
      <c r="E753" s="4"/>
      <c r="F753" s="37"/>
      <c r="G753" s="24"/>
      <c r="H753" s="51">
        <f>Assumptions!$D$15</f>
        <v>0.1</v>
      </c>
      <c r="I753" s="45">
        <f>IF(AR[[#This Row],[GST applies?]] = "Yes", (AR[[#This Row],[Invoice value inc. VAT]] / 1 + AR[[#This Row],[GST %]]) * AR[[#This Row],[GST %]], 0)</f>
        <v>0</v>
      </c>
      <c r="J753" s="31">
        <f>_xlfn.XLOOKUP(AR[[#This Row],[Customer name]], Customer_master[Customer name], Customer_master[EOM or Net], 0)</f>
        <v>0</v>
      </c>
      <c r="K753" s="31">
        <f>_xlfn.XLOOKUP(AR[[#This Row],[Customer name]], Customer_master[Customer name], Customer_master[Terms days], 0)</f>
        <v>0</v>
      </c>
      <c r="L7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3" s="4"/>
      <c r="N753" s="46">
        <f>IF(AR[[#This Row],[Collection date - override (dd/mm/yyyy)]] &lt;&gt; "", AR[[#This Row],[Collection date - override (dd/mm/yyyy)]], AR[[#This Row],[Due date (dd/mm/yyyy)]])</f>
        <v>0</v>
      </c>
      <c r="O753" s="46">
        <f t="shared" si="11"/>
        <v>52</v>
      </c>
    </row>
    <row r="754" spans="3:15" x14ac:dyDescent="0.25">
      <c r="C754" s="28"/>
      <c r="D754" s="20"/>
      <c r="E754" s="4"/>
      <c r="F754" s="37"/>
      <c r="G754" s="24"/>
      <c r="H754" s="51">
        <f>Assumptions!$D$15</f>
        <v>0.1</v>
      </c>
      <c r="I754" s="45">
        <f>IF(AR[[#This Row],[GST applies?]] = "Yes", (AR[[#This Row],[Invoice value inc. VAT]] / 1 + AR[[#This Row],[GST %]]) * AR[[#This Row],[GST %]], 0)</f>
        <v>0</v>
      </c>
      <c r="J754" s="31">
        <f>_xlfn.XLOOKUP(AR[[#This Row],[Customer name]], Customer_master[Customer name], Customer_master[EOM or Net], 0)</f>
        <v>0</v>
      </c>
      <c r="K754" s="31">
        <f>_xlfn.XLOOKUP(AR[[#This Row],[Customer name]], Customer_master[Customer name], Customer_master[Terms days], 0)</f>
        <v>0</v>
      </c>
      <c r="L7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4" s="4"/>
      <c r="N754" s="46">
        <f>IF(AR[[#This Row],[Collection date - override (dd/mm/yyyy)]] &lt;&gt; "", AR[[#This Row],[Collection date - override (dd/mm/yyyy)]], AR[[#This Row],[Due date (dd/mm/yyyy)]])</f>
        <v>0</v>
      </c>
      <c r="O754" s="46">
        <f t="shared" si="11"/>
        <v>52</v>
      </c>
    </row>
    <row r="755" spans="3:15" x14ac:dyDescent="0.25">
      <c r="C755" s="28"/>
      <c r="D755" s="20"/>
      <c r="E755" s="4"/>
      <c r="F755" s="37"/>
      <c r="G755" s="24"/>
      <c r="H755" s="51">
        <f>Assumptions!$D$15</f>
        <v>0.1</v>
      </c>
      <c r="I755" s="45">
        <f>IF(AR[[#This Row],[GST applies?]] = "Yes", (AR[[#This Row],[Invoice value inc. VAT]] / 1 + AR[[#This Row],[GST %]]) * AR[[#This Row],[GST %]], 0)</f>
        <v>0</v>
      </c>
      <c r="J755" s="31">
        <f>_xlfn.XLOOKUP(AR[[#This Row],[Customer name]], Customer_master[Customer name], Customer_master[EOM or Net], 0)</f>
        <v>0</v>
      </c>
      <c r="K755" s="31">
        <f>_xlfn.XLOOKUP(AR[[#This Row],[Customer name]], Customer_master[Customer name], Customer_master[Terms days], 0)</f>
        <v>0</v>
      </c>
      <c r="L7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5" s="4"/>
      <c r="N755" s="46">
        <f>IF(AR[[#This Row],[Collection date - override (dd/mm/yyyy)]] &lt;&gt; "", AR[[#This Row],[Collection date - override (dd/mm/yyyy)]], AR[[#This Row],[Due date (dd/mm/yyyy)]])</f>
        <v>0</v>
      </c>
      <c r="O755" s="46">
        <f t="shared" si="11"/>
        <v>52</v>
      </c>
    </row>
    <row r="756" spans="3:15" x14ac:dyDescent="0.25">
      <c r="C756" s="28"/>
      <c r="D756" s="20"/>
      <c r="E756" s="4"/>
      <c r="F756" s="37"/>
      <c r="G756" s="24"/>
      <c r="H756" s="51">
        <f>Assumptions!$D$15</f>
        <v>0.1</v>
      </c>
      <c r="I756" s="45">
        <f>IF(AR[[#This Row],[GST applies?]] = "Yes", (AR[[#This Row],[Invoice value inc. VAT]] / 1 + AR[[#This Row],[GST %]]) * AR[[#This Row],[GST %]], 0)</f>
        <v>0</v>
      </c>
      <c r="J756" s="31">
        <f>_xlfn.XLOOKUP(AR[[#This Row],[Customer name]], Customer_master[Customer name], Customer_master[EOM or Net], 0)</f>
        <v>0</v>
      </c>
      <c r="K756" s="31">
        <f>_xlfn.XLOOKUP(AR[[#This Row],[Customer name]], Customer_master[Customer name], Customer_master[Terms days], 0)</f>
        <v>0</v>
      </c>
      <c r="L7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6" s="4"/>
      <c r="N756" s="46">
        <f>IF(AR[[#This Row],[Collection date - override (dd/mm/yyyy)]] &lt;&gt; "", AR[[#This Row],[Collection date - override (dd/mm/yyyy)]], AR[[#This Row],[Due date (dd/mm/yyyy)]])</f>
        <v>0</v>
      </c>
      <c r="O756" s="46">
        <f t="shared" si="11"/>
        <v>52</v>
      </c>
    </row>
    <row r="757" spans="3:15" x14ac:dyDescent="0.25">
      <c r="C757" s="28"/>
      <c r="D757" s="20"/>
      <c r="E757" s="4"/>
      <c r="F757" s="37"/>
      <c r="G757" s="24"/>
      <c r="H757" s="51">
        <f>Assumptions!$D$15</f>
        <v>0.1</v>
      </c>
      <c r="I757" s="45">
        <f>IF(AR[[#This Row],[GST applies?]] = "Yes", (AR[[#This Row],[Invoice value inc. VAT]] / 1 + AR[[#This Row],[GST %]]) * AR[[#This Row],[GST %]], 0)</f>
        <v>0</v>
      </c>
      <c r="J757" s="31">
        <f>_xlfn.XLOOKUP(AR[[#This Row],[Customer name]], Customer_master[Customer name], Customer_master[EOM or Net], 0)</f>
        <v>0</v>
      </c>
      <c r="K757" s="31">
        <f>_xlfn.XLOOKUP(AR[[#This Row],[Customer name]], Customer_master[Customer name], Customer_master[Terms days], 0)</f>
        <v>0</v>
      </c>
      <c r="L7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7" s="4"/>
      <c r="N757" s="46">
        <f>IF(AR[[#This Row],[Collection date - override (dd/mm/yyyy)]] &lt;&gt; "", AR[[#This Row],[Collection date - override (dd/mm/yyyy)]], AR[[#This Row],[Due date (dd/mm/yyyy)]])</f>
        <v>0</v>
      </c>
      <c r="O757" s="46">
        <f t="shared" si="11"/>
        <v>52</v>
      </c>
    </row>
    <row r="758" spans="3:15" x14ac:dyDescent="0.25">
      <c r="C758" s="28"/>
      <c r="D758" s="20"/>
      <c r="E758" s="4"/>
      <c r="F758" s="37"/>
      <c r="G758" s="24"/>
      <c r="H758" s="51">
        <f>Assumptions!$D$15</f>
        <v>0.1</v>
      </c>
      <c r="I758" s="45">
        <f>IF(AR[[#This Row],[GST applies?]] = "Yes", (AR[[#This Row],[Invoice value inc. VAT]] / 1 + AR[[#This Row],[GST %]]) * AR[[#This Row],[GST %]], 0)</f>
        <v>0</v>
      </c>
      <c r="J758" s="31">
        <f>_xlfn.XLOOKUP(AR[[#This Row],[Customer name]], Customer_master[Customer name], Customer_master[EOM or Net], 0)</f>
        <v>0</v>
      </c>
      <c r="K758" s="31">
        <f>_xlfn.XLOOKUP(AR[[#This Row],[Customer name]], Customer_master[Customer name], Customer_master[Terms days], 0)</f>
        <v>0</v>
      </c>
      <c r="L7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8" s="4"/>
      <c r="N758" s="46">
        <f>IF(AR[[#This Row],[Collection date - override (dd/mm/yyyy)]] &lt;&gt; "", AR[[#This Row],[Collection date - override (dd/mm/yyyy)]], AR[[#This Row],[Due date (dd/mm/yyyy)]])</f>
        <v>0</v>
      </c>
      <c r="O758" s="46">
        <f t="shared" si="11"/>
        <v>52</v>
      </c>
    </row>
    <row r="759" spans="3:15" x14ac:dyDescent="0.25">
      <c r="C759" s="28"/>
      <c r="D759" s="20"/>
      <c r="E759" s="4"/>
      <c r="F759" s="37"/>
      <c r="G759" s="24"/>
      <c r="H759" s="51">
        <f>Assumptions!$D$15</f>
        <v>0.1</v>
      </c>
      <c r="I759" s="45">
        <f>IF(AR[[#This Row],[GST applies?]] = "Yes", (AR[[#This Row],[Invoice value inc. VAT]] / 1 + AR[[#This Row],[GST %]]) * AR[[#This Row],[GST %]], 0)</f>
        <v>0</v>
      </c>
      <c r="J759" s="31">
        <f>_xlfn.XLOOKUP(AR[[#This Row],[Customer name]], Customer_master[Customer name], Customer_master[EOM or Net], 0)</f>
        <v>0</v>
      </c>
      <c r="K759" s="31">
        <f>_xlfn.XLOOKUP(AR[[#This Row],[Customer name]], Customer_master[Customer name], Customer_master[Terms days], 0)</f>
        <v>0</v>
      </c>
      <c r="L7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9" s="4"/>
      <c r="N759" s="46">
        <f>IF(AR[[#This Row],[Collection date - override (dd/mm/yyyy)]] &lt;&gt; "", AR[[#This Row],[Collection date - override (dd/mm/yyyy)]], AR[[#This Row],[Due date (dd/mm/yyyy)]])</f>
        <v>0</v>
      </c>
      <c r="O759" s="46">
        <f t="shared" si="11"/>
        <v>52</v>
      </c>
    </row>
    <row r="760" spans="3:15" x14ac:dyDescent="0.25">
      <c r="C760" s="28"/>
      <c r="D760" s="20"/>
      <c r="E760" s="4"/>
      <c r="F760" s="37"/>
      <c r="G760" s="24"/>
      <c r="H760" s="51">
        <f>Assumptions!$D$15</f>
        <v>0.1</v>
      </c>
      <c r="I760" s="45">
        <f>IF(AR[[#This Row],[GST applies?]] = "Yes", (AR[[#This Row],[Invoice value inc. VAT]] / 1 + AR[[#This Row],[GST %]]) * AR[[#This Row],[GST %]], 0)</f>
        <v>0</v>
      </c>
      <c r="J760" s="31">
        <f>_xlfn.XLOOKUP(AR[[#This Row],[Customer name]], Customer_master[Customer name], Customer_master[EOM or Net], 0)</f>
        <v>0</v>
      </c>
      <c r="K760" s="31">
        <f>_xlfn.XLOOKUP(AR[[#This Row],[Customer name]], Customer_master[Customer name], Customer_master[Terms days], 0)</f>
        <v>0</v>
      </c>
      <c r="L7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0" s="4"/>
      <c r="N760" s="46">
        <f>IF(AR[[#This Row],[Collection date - override (dd/mm/yyyy)]] &lt;&gt; "", AR[[#This Row],[Collection date - override (dd/mm/yyyy)]], AR[[#This Row],[Due date (dd/mm/yyyy)]])</f>
        <v>0</v>
      </c>
      <c r="O760" s="46">
        <f t="shared" si="11"/>
        <v>52</v>
      </c>
    </row>
    <row r="761" spans="3:15" x14ac:dyDescent="0.25">
      <c r="C761" s="28"/>
      <c r="D761" s="20"/>
      <c r="E761" s="4"/>
      <c r="F761" s="37"/>
      <c r="G761" s="24"/>
      <c r="H761" s="51">
        <f>Assumptions!$D$15</f>
        <v>0.1</v>
      </c>
      <c r="I761" s="45">
        <f>IF(AR[[#This Row],[GST applies?]] = "Yes", (AR[[#This Row],[Invoice value inc. VAT]] / 1 + AR[[#This Row],[GST %]]) * AR[[#This Row],[GST %]], 0)</f>
        <v>0</v>
      </c>
      <c r="J761" s="31">
        <f>_xlfn.XLOOKUP(AR[[#This Row],[Customer name]], Customer_master[Customer name], Customer_master[EOM or Net], 0)</f>
        <v>0</v>
      </c>
      <c r="K761" s="31">
        <f>_xlfn.XLOOKUP(AR[[#This Row],[Customer name]], Customer_master[Customer name], Customer_master[Terms days], 0)</f>
        <v>0</v>
      </c>
      <c r="L7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1" s="4"/>
      <c r="N761" s="46">
        <f>IF(AR[[#This Row],[Collection date - override (dd/mm/yyyy)]] &lt;&gt; "", AR[[#This Row],[Collection date - override (dd/mm/yyyy)]], AR[[#This Row],[Due date (dd/mm/yyyy)]])</f>
        <v>0</v>
      </c>
      <c r="O761" s="46">
        <f t="shared" si="11"/>
        <v>52</v>
      </c>
    </row>
    <row r="762" spans="3:15" x14ac:dyDescent="0.25">
      <c r="C762" s="28"/>
      <c r="D762" s="20"/>
      <c r="E762" s="4"/>
      <c r="F762" s="37"/>
      <c r="G762" s="24"/>
      <c r="H762" s="51">
        <f>Assumptions!$D$15</f>
        <v>0.1</v>
      </c>
      <c r="I762" s="45">
        <f>IF(AR[[#This Row],[GST applies?]] = "Yes", (AR[[#This Row],[Invoice value inc. VAT]] / 1 + AR[[#This Row],[GST %]]) * AR[[#This Row],[GST %]], 0)</f>
        <v>0</v>
      </c>
      <c r="J762" s="31">
        <f>_xlfn.XLOOKUP(AR[[#This Row],[Customer name]], Customer_master[Customer name], Customer_master[EOM or Net], 0)</f>
        <v>0</v>
      </c>
      <c r="K762" s="31">
        <f>_xlfn.XLOOKUP(AR[[#This Row],[Customer name]], Customer_master[Customer name], Customer_master[Terms days], 0)</f>
        <v>0</v>
      </c>
      <c r="L7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2" s="4"/>
      <c r="N762" s="46">
        <f>IF(AR[[#This Row],[Collection date - override (dd/mm/yyyy)]] &lt;&gt; "", AR[[#This Row],[Collection date - override (dd/mm/yyyy)]], AR[[#This Row],[Due date (dd/mm/yyyy)]])</f>
        <v>0</v>
      </c>
      <c r="O762" s="46">
        <f t="shared" si="11"/>
        <v>52</v>
      </c>
    </row>
    <row r="763" spans="3:15" x14ac:dyDescent="0.25">
      <c r="C763" s="28"/>
      <c r="D763" s="20"/>
      <c r="E763" s="4"/>
      <c r="F763" s="37"/>
      <c r="G763" s="24"/>
      <c r="H763" s="51">
        <f>Assumptions!$D$15</f>
        <v>0.1</v>
      </c>
      <c r="I763" s="45">
        <f>IF(AR[[#This Row],[GST applies?]] = "Yes", (AR[[#This Row],[Invoice value inc. VAT]] / 1 + AR[[#This Row],[GST %]]) * AR[[#This Row],[GST %]], 0)</f>
        <v>0</v>
      </c>
      <c r="J763" s="31">
        <f>_xlfn.XLOOKUP(AR[[#This Row],[Customer name]], Customer_master[Customer name], Customer_master[EOM or Net], 0)</f>
        <v>0</v>
      </c>
      <c r="K763" s="31">
        <f>_xlfn.XLOOKUP(AR[[#This Row],[Customer name]], Customer_master[Customer name], Customer_master[Terms days], 0)</f>
        <v>0</v>
      </c>
      <c r="L7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3" s="4"/>
      <c r="N763" s="46">
        <f>IF(AR[[#This Row],[Collection date - override (dd/mm/yyyy)]] &lt;&gt; "", AR[[#This Row],[Collection date - override (dd/mm/yyyy)]], AR[[#This Row],[Due date (dd/mm/yyyy)]])</f>
        <v>0</v>
      </c>
      <c r="O763" s="46">
        <f t="shared" si="11"/>
        <v>52</v>
      </c>
    </row>
    <row r="764" spans="3:15" x14ac:dyDescent="0.25">
      <c r="C764" s="28"/>
      <c r="D764" s="20"/>
      <c r="E764" s="4"/>
      <c r="F764" s="37"/>
      <c r="G764" s="24"/>
      <c r="H764" s="51">
        <f>Assumptions!$D$15</f>
        <v>0.1</v>
      </c>
      <c r="I764" s="45">
        <f>IF(AR[[#This Row],[GST applies?]] = "Yes", (AR[[#This Row],[Invoice value inc. VAT]] / 1 + AR[[#This Row],[GST %]]) * AR[[#This Row],[GST %]], 0)</f>
        <v>0</v>
      </c>
      <c r="J764" s="31">
        <f>_xlfn.XLOOKUP(AR[[#This Row],[Customer name]], Customer_master[Customer name], Customer_master[EOM or Net], 0)</f>
        <v>0</v>
      </c>
      <c r="K764" s="31">
        <f>_xlfn.XLOOKUP(AR[[#This Row],[Customer name]], Customer_master[Customer name], Customer_master[Terms days], 0)</f>
        <v>0</v>
      </c>
      <c r="L7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4" s="4"/>
      <c r="N764" s="46">
        <f>IF(AR[[#This Row],[Collection date - override (dd/mm/yyyy)]] &lt;&gt; "", AR[[#This Row],[Collection date - override (dd/mm/yyyy)]], AR[[#This Row],[Due date (dd/mm/yyyy)]])</f>
        <v>0</v>
      </c>
      <c r="O764" s="46">
        <f t="shared" si="11"/>
        <v>52</v>
      </c>
    </row>
    <row r="765" spans="3:15" x14ac:dyDescent="0.25">
      <c r="C765" s="28"/>
      <c r="D765" s="20"/>
      <c r="E765" s="4"/>
      <c r="F765" s="37"/>
      <c r="G765" s="24"/>
      <c r="H765" s="51">
        <f>Assumptions!$D$15</f>
        <v>0.1</v>
      </c>
      <c r="I765" s="45">
        <f>IF(AR[[#This Row],[GST applies?]] = "Yes", (AR[[#This Row],[Invoice value inc. VAT]] / 1 + AR[[#This Row],[GST %]]) * AR[[#This Row],[GST %]], 0)</f>
        <v>0</v>
      </c>
      <c r="J765" s="31">
        <f>_xlfn.XLOOKUP(AR[[#This Row],[Customer name]], Customer_master[Customer name], Customer_master[EOM or Net], 0)</f>
        <v>0</v>
      </c>
      <c r="K765" s="31">
        <f>_xlfn.XLOOKUP(AR[[#This Row],[Customer name]], Customer_master[Customer name], Customer_master[Terms days], 0)</f>
        <v>0</v>
      </c>
      <c r="L7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5" s="4"/>
      <c r="N765" s="46">
        <f>IF(AR[[#This Row],[Collection date - override (dd/mm/yyyy)]] &lt;&gt; "", AR[[#This Row],[Collection date - override (dd/mm/yyyy)]], AR[[#This Row],[Due date (dd/mm/yyyy)]])</f>
        <v>0</v>
      </c>
      <c r="O765" s="46">
        <f t="shared" si="11"/>
        <v>52</v>
      </c>
    </row>
    <row r="766" spans="3:15" x14ac:dyDescent="0.25">
      <c r="C766" s="28"/>
      <c r="D766" s="20"/>
      <c r="E766" s="4"/>
      <c r="F766" s="37"/>
      <c r="G766" s="24"/>
      <c r="H766" s="51">
        <f>Assumptions!$D$15</f>
        <v>0.1</v>
      </c>
      <c r="I766" s="45">
        <f>IF(AR[[#This Row],[GST applies?]] = "Yes", (AR[[#This Row],[Invoice value inc. VAT]] / 1 + AR[[#This Row],[GST %]]) * AR[[#This Row],[GST %]], 0)</f>
        <v>0</v>
      </c>
      <c r="J766" s="31">
        <f>_xlfn.XLOOKUP(AR[[#This Row],[Customer name]], Customer_master[Customer name], Customer_master[EOM or Net], 0)</f>
        <v>0</v>
      </c>
      <c r="K766" s="31">
        <f>_xlfn.XLOOKUP(AR[[#This Row],[Customer name]], Customer_master[Customer name], Customer_master[Terms days], 0)</f>
        <v>0</v>
      </c>
      <c r="L7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6" s="4"/>
      <c r="N766" s="46">
        <f>IF(AR[[#This Row],[Collection date - override (dd/mm/yyyy)]] &lt;&gt; "", AR[[#This Row],[Collection date - override (dd/mm/yyyy)]], AR[[#This Row],[Due date (dd/mm/yyyy)]])</f>
        <v>0</v>
      </c>
      <c r="O766" s="46">
        <f t="shared" si="11"/>
        <v>52</v>
      </c>
    </row>
    <row r="767" spans="3:15" x14ac:dyDescent="0.25">
      <c r="C767" s="28"/>
      <c r="D767" s="20"/>
      <c r="E767" s="4"/>
      <c r="F767" s="37"/>
      <c r="G767" s="24"/>
      <c r="H767" s="51">
        <f>Assumptions!$D$15</f>
        <v>0.1</v>
      </c>
      <c r="I767" s="45">
        <f>IF(AR[[#This Row],[GST applies?]] = "Yes", (AR[[#This Row],[Invoice value inc. VAT]] / 1 + AR[[#This Row],[GST %]]) * AR[[#This Row],[GST %]], 0)</f>
        <v>0</v>
      </c>
      <c r="J767" s="31">
        <f>_xlfn.XLOOKUP(AR[[#This Row],[Customer name]], Customer_master[Customer name], Customer_master[EOM or Net], 0)</f>
        <v>0</v>
      </c>
      <c r="K767" s="31">
        <f>_xlfn.XLOOKUP(AR[[#This Row],[Customer name]], Customer_master[Customer name], Customer_master[Terms days], 0)</f>
        <v>0</v>
      </c>
      <c r="L7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7" s="4"/>
      <c r="N767" s="46">
        <f>IF(AR[[#This Row],[Collection date - override (dd/mm/yyyy)]] &lt;&gt; "", AR[[#This Row],[Collection date - override (dd/mm/yyyy)]], AR[[#This Row],[Due date (dd/mm/yyyy)]])</f>
        <v>0</v>
      </c>
      <c r="O767" s="46">
        <f t="shared" si="11"/>
        <v>52</v>
      </c>
    </row>
    <row r="768" spans="3:15" x14ac:dyDescent="0.25">
      <c r="C768" s="28"/>
      <c r="D768" s="20"/>
      <c r="E768" s="4"/>
      <c r="F768" s="37"/>
      <c r="G768" s="24"/>
      <c r="H768" s="51">
        <f>Assumptions!$D$15</f>
        <v>0.1</v>
      </c>
      <c r="I768" s="45">
        <f>IF(AR[[#This Row],[GST applies?]] = "Yes", (AR[[#This Row],[Invoice value inc. VAT]] / 1 + AR[[#This Row],[GST %]]) * AR[[#This Row],[GST %]], 0)</f>
        <v>0</v>
      </c>
      <c r="J768" s="31">
        <f>_xlfn.XLOOKUP(AR[[#This Row],[Customer name]], Customer_master[Customer name], Customer_master[EOM or Net], 0)</f>
        <v>0</v>
      </c>
      <c r="K768" s="31">
        <f>_xlfn.XLOOKUP(AR[[#This Row],[Customer name]], Customer_master[Customer name], Customer_master[Terms days], 0)</f>
        <v>0</v>
      </c>
      <c r="L7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8" s="4"/>
      <c r="N768" s="46">
        <f>IF(AR[[#This Row],[Collection date - override (dd/mm/yyyy)]] &lt;&gt; "", AR[[#This Row],[Collection date - override (dd/mm/yyyy)]], AR[[#This Row],[Due date (dd/mm/yyyy)]])</f>
        <v>0</v>
      </c>
      <c r="O768" s="46">
        <f t="shared" si="11"/>
        <v>52</v>
      </c>
    </row>
    <row r="769" spans="3:15" x14ac:dyDescent="0.25">
      <c r="C769" s="28"/>
      <c r="D769" s="20"/>
      <c r="E769" s="4"/>
      <c r="F769" s="37"/>
      <c r="G769" s="24"/>
      <c r="H769" s="51">
        <f>Assumptions!$D$15</f>
        <v>0.1</v>
      </c>
      <c r="I769" s="45">
        <f>IF(AR[[#This Row],[GST applies?]] = "Yes", (AR[[#This Row],[Invoice value inc. VAT]] / 1 + AR[[#This Row],[GST %]]) * AR[[#This Row],[GST %]], 0)</f>
        <v>0</v>
      </c>
      <c r="J769" s="31">
        <f>_xlfn.XLOOKUP(AR[[#This Row],[Customer name]], Customer_master[Customer name], Customer_master[EOM or Net], 0)</f>
        <v>0</v>
      </c>
      <c r="K769" s="31">
        <f>_xlfn.XLOOKUP(AR[[#This Row],[Customer name]], Customer_master[Customer name], Customer_master[Terms days], 0)</f>
        <v>0</v>
      </c>
      <c r="L7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9" s="4"/>
      <c r="N769" s="46">
        <f>IF(AR[[#This Row],[Collection date - override (dd/mm/yyyy)]] &lt;&gt; "", AR[[#This Row],[Collection date - override (dd/mm/yyyy)]], AR[[#This Row],[Due date (dd/mm/yyyy)]])</f>
        <v>0</v>
      </c>
      <c r="O769" s="46">
        <f t="shared" si="11"/>
        <v>52</v>
      </c>
    </row>
    <row r="770" spans="3:15" x14ac:dyDescent="0.25">
      <c r="C770" s="28"/>
      <c r="D770" s="20"/>
      <c r="E770" s="4"/>
      <c r="F770" s="37"/>
      <c r="G770" s="24"/>
      <c r="H770" s="51">
        <f>Assumptions!$D$15</f>
        <v>0.1</v>
      </c>
      <c r="I770" s="45">
        <f>IF(AR[[#This Row],[GST applies?]] = "Yes", (AR[[#This Row],[Invoice value inc. VAT]] / 1 + AR[[#This Row],[GST %]]) * AR[[#This Row],[GST %]], 0)</f>
        <v>0</v>
      </c>
      <c r="J770" s="31">
        <f>_xlfn.XLOOKUP(AR[[#This Row],[Customer name]], Customer_master[Customer name], Customer_master[EOM or Net], 0)</f>
        <v>0</v>
      </c>
      <c r="K770" s="31">
        <f>_xlfn.XLOOKUP(AR[[#This Row],[Customer name]], Customer_master[Customer name], Customer_master[Terms days], 0)</f>
        <v>0</v>
      </c>
      <c r="L7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0" s="4"/>
      <c r="N770" s="46">
        <f>IF(AR[[#This Row],[Collection date - override (dd/mm/yyyy)]] &lt;&gt; "", AR[[#This Row],[Collection date - override (dd/mm/yyyy)]], AR[[#This Row],[Due date (dd/mm/yyyy)]])</f>
        <v>0</v>
      </c>
      <c r="O770" s="46">
        <f t="shared" si="11"/>
        <v>52</v>
      </c>
    </row>
    <row r="771" spans="3:15" x14ac:dyDescent="0.25">
      <c r="C771" s="28"/>
      <c r="D771" s="20"/>
      <c r="E771" s="4"/>
      <c r="F771" s="37"/>
      <c r="G771" s="24"/>
      <c r="H771" s="51">
        <f>Assumptions!$D$15</f>
        <v>0.1</v>
      </c>
      <c r="I771" s="45">
        <f>IF(AR[[#This Row],[GST applies?]] = "Yes", (AR[[#This Row],[Invoice value inc. VAT]] / 1 + AR[[#This Row],[GST %]]) * AR[[#This Row],[GST %]], 0)</f>
        <v>0</v>
      </c>
      <c r="J771" s="31">
        <f>_xlfn.XLOOKUP(AR[[#This Row],[Customer name]], Customer_master[Customer name], Customer_master[EOM or Net], 0)</f>
        <v>0</v>
      </c>
      <c r="K771" s="31">
        <f>_xlfn.XLOOKUP(AR[[#This Row],[Customer name]], Customer_master[Customer name], Customer_master[Terms days], 0)</f>
        <v>0</v>
      </c>
      <c r="L7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1" s="4"/>
      <c r="N771" s="46">
        <f>IF(AR[[#This Row],[Collection date - override (dd/mm/yyyy)]] &lt;&gt; "", AR[[#This Row],[Collection date - override (dd/mm/yyyy)]], AR[[#This Row],[Due date (dd/mm/yyyy)]])</f>
        <v>0</v>
      </c>
      <c r="O771" s="46">
        <f t="shared" si="11"/>
        <v>52</v>
      </c>
    </row>
    <row r="772" spans="3:15" x14ac:dyDescent="0.25">
      <c r="C772" s="28"/>
      <c r="D772" s="20"/>
      <c r="E772" s="4"/>
      <c r="F772" s="37"/>
      <c r="G772" s="24"/>
      <c r="H772" s="51">
        <f>Assumptions!$D$15</f>
        <v>0.1</v>
      </c>
      <c r="I772" s="45">
        <f>IF(AR[[#This Row],[GST applies?]] = "Yes", (AR[[#This Row],[Invoice value inc. VAT]] / 1 + AR[[#This Row],[GST %]]) * AR[[#This Row],[GST %]], 0)</f>
        <v>0</v>
      </c>
      <c r="J772" s="31">
        <f>_xlfn.XLOOKUP(AR[[#This Row],[Customer name]], Customer_master[Customer name], Customer_master[EOM or Net], 0)</f>
        <v>0</v>
      </c>
      <c r="K772" s="31">
        <f>_xlfn.XLOOKUP(AR[[#This Row],[Customer name]], Customer_master[Customer name], Customer_master[Terms days], 0)</f>
        <v>0</v>
      </c>
      <c r="L7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2" s="4"/>
      <c r="N772" s="46">
        <f>IF(AR[[#This Row],[Collection date - override (dd/mm/yyyy)]] &lt;&gt; "", AR[[#This Row],[Collection date - override (dd/mm/yyyy)]], AR[[#This Row],[Due date (dd/mm/yyyy)]])</f>
        <v>0</v>
      </c>
      <c r="O772" s="46">
        <f t="shared" si="11"/>
        <v>52</v>
      </c>
    </row>
    <row r="773" spans="3:15" x14ac:dyDescent="0.25">
      <c r="C773" s="28"/>
      <c r="D773" s="20"/>
      <c r="E773" s="4"/>
      <c r="F773" s="37"/>
      <c r="G773" s="24"/>
      <c r="H773" s="51">
        <f>Assumptions!$D$15</f>
        <v>0.1</v>
      </c>
      <c r="I773" s="45">
        <f>IF(AR[[#This Row],[GST applies?]] = "Yes", (AR[[#This Row],[Invoice value inc. VAT]] / 1 + AR[[#This Row],[GST %]]) * AR[[#This Row],[GST %]], 0)</f>
        <v>0</v>
      </c>
      <c r="J773" s="31">
        <f>_xlfn.XLOOKUP(AR[[#This Row],[Customer name]], Customer_master[Customer name], Customer_master[EOM or Net], 0)</f>
        <v>0</v>
      </c>
      <c r="K773" s="31">
        <f>_xlfn.XLOOKUP(AR[[#This Row],[Customer name]], Customer_master[Customer name], Customer_master[Terms days], 0)</f>
        <v>0</v>
      </c>
      <c r="L7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3" s="4"/>
      <c r="N773" s="46">
        <f>IF(AR[[#This Row],[Collection date - override (dd/mm/yyyy)]] &lt;&gt; "", AR[[#This Row],[Collection date - override (dd/mm/yyyy)]], AR[[#This Row],[Due date (dd/mm/yyyy)]])</f>
        <v>0</v>
      </c>
      <c r="O773" s="46">
        <f t="shared" si="11"/>
        <v>52</v>
      </c>
    </row>
    <row r="774" spans="3:15" x14ac:dyDescent="0.25">
      <c r="C774" s="28"/>
      <c r="D774" s="20"/>
      <c r="E774" s="4"/>
      <c r="F774" s="37"/>
      <c r="G774" s="24"/>
      <c r="H774" s="51">
        <f>Assumptions!$D$15</f>
        <v>0.1</v>
      </c>
      <c r="I774" s="45">
        <f>IF(AR[[#This Row],[GST applies?]] = "Yes", (AR[[#This Row],[Invoice value inc. VAT]] / 1 + AR[[#This Row],[GST %]]) * AR[[#This Row],[GST %]], 0)</f>
        <v>0</v>
      </c>
      <c r="J774" s="31">
        <f>_xlfn.XLOOKUP(AR[[#This Row],[Customer name]], Customer_master[Customer name], Customer_master[EOM or Net], 0)</f>
        <v>0</v>
      </c>
      <c r="K774" s="31">
        <f>_xlfn.XLOOKUP(AR[[#This Row],[Customer name]], Customer_master[Customer name], Customer_master[Terms days], 0)</f>
        <v>0</v>
      </c>
      <c r="L7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4" s="4"/>
      <c r="N774" s="46">
        <f>IF(AR[[#This Row],[Collection date - override (dd/mm/yyyy)]] &lt;&gt; "", AR[[#This Row],[Collection date - override (dd/mm/yyyy)]], AR[[#This Row],[Due date (dd/mm/yyyy)]])</f>
        <v>0</v>
      </c>
      <c r="O774" s="46">
        <f t="shared" si="11"/>
        <v>52</v>
      </c>
    </row>
    <row r="775" spans="3:15" x14ac:dyDescent="0.25">
      <c r="C775" s="28"/>
      <c r="D775" s="20"/>
      <c r="E775" s="4"/>
      <c r="F775" s="37"/>
      <c r="G775" s="24"/>
      <c r="H775" s="51">
        <f>Assumptions!$D$15</f>
        <v>0.1</v>
      </c>
      <c r="I775" s="45">
        <f>IF(AR[[#This Row],[GST applies?]] = "Yes", (AR[[#This Row],[Invoice value inc. VAT]] / 1 + AR[[#This Row],[GST %]]) * AR[[#This Row],[GST %]], 0)</f>
        <v>0</v>
      </c>
      <c r="J775" s="31">
        <f>_xlfn.XLOOKUP(AR[[#This Row],[Customer name]], Customer_master[Customer name], Customer_master[EOM or Net], 0)</f>
        <v>0</v>
      </c>
      <c r="K775" s="31">
        <f>_xlfn.XLOOKUP(AR[[#This Row],[Customer name]], Customer_master[Customer name], Customer_master[Terms days], 0)</f>
        <v>0</v>
      </c>
      <c r="L7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5" s="4"/>
      <c r="N775" s="46">
        <f>IF(AR[[#This Row],[Collection date - override (dd/mm/yyyy)]] &lt;&gt; "", AR[[#This Row],[Collection date - override (dd/mm/yyyy)]], AR[[#This Row],[Due date (dd/mm/yyyy)]])</f>
        <v>0</v>
      </c>
      <c r="O775" s="46">
        <f t="shared" si="11"/>
        <v>52</v>
      </c>
    </row>
    <row r="776" spans="3:15" x14ac:dyDescent="0.25">
      <c r="C776" s="28"/>
      <c r="D776" s="20"/>
      <c r="E776" s="4"/>
      <c r="F776" s="37"/>
      <c r="G776" s="24"/>
      <c r="H776" s="51">
        <f>Assumptions!$D$15</f>
        <v>0.1</v>
      </c>
      <c r="I776" s="45">
        <f>IF(AR[[#This Row],[GST applies?]] = "Yes", (AR[[#This Row],[Invoice value inc. VAT]] / 1 + AR[[#This Row],[GST %]]) * AR[[#This Row],[GST %]], 0)</f>
        <v>0</v>
      </c>
      <c r="J776" s="31">
        <f>_xlfn.XLOOKUP(AR[[#This Row],[Customer name]], Customer_master[Customer name], Customer_master[EOM or Net], 0)</f>
        <v>0</v>
      </c>
      <c r="K776" s="31">
        <f>_xlfn.XLOOKUP(AR[[#This Row],[Customer name]], Customer_master[Customer name], Customer_master[Terms days], 0)</f>
        <v>0</v>
      </c>
      <c r="L7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6" s="4"/>
      <c r="N776" s="46">
        <f>IF(AR[[#This Row],[Collection date - override (dd/mm/yyyy)]] &lt;&gt; "", AR[[#This Row],[Collection date - override (dd/mm/yyyy)]], AR[[#This Row],[Due date (dd/mm/yyyy)]])</f>
        <v>0</v>
      </c>
      <c r="O776" s="46">
        <f t="shared" si="11"/>
        <v>52</v>
      </c>
    </row>
    <row r="777" spans="3:15" x14ac:dyDescent="0.25">
      <c r="C777" s="28"/>
      <c r="D777" s="20"/>
      <c r="E777" s="4"/>
      <c r="F777" s="37"/>
      <c r="G777" s="24"/>
      <c r="H777" s="51">
        <f>Assumptions!$D$15</f>
        <v>0.1</v>
      </c>
      <c r="I777" s="45">
        <f>IF(AR[[#This Row],[GST applies?]] = "Yes", (AR[[#This Row],[Invoice value inc. VAT]] / 1 + AR[[#This Row],[GST %]]) * AR[[#This Row],[GST %]], 0)</f>
        <v>0</v>
      </c>
      <c r="J777" s="31">
        <f>_xlfn.XLOOKUP(AR[[#This Row],[Customer name]], Customer_master[Customer name], Customer_master[EOM or Net], 0)</f>
        <v>0</v>
      </c>
      <c r="K777" s="31">
        <f>_xlfn.XLOOKUP(AR[[#This Row],[Customer name]], Customer_master[Customer name], Customer_master[Terms days], 0)</f>
        <v>0</v>
      </c>
      <c r="L7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7" s="4"/>
      <c r="N777" s="46">
        <f>IF(AR[[#This Row],[Collection date - override (dd/mm/yyyy)]] &lt;&gt; "", AR[[#This Row],[Collection date - override (dd/mm/yyyy)]], AR[[#This Row],[Due date (dd/mm/yyyy)]])</f>
        <v>0</v>
      </c>
      <c r="O777" s="46">
        <f t="shared" ref="O777:O840" si="12">IF(GST_Freq="Monthly",
    DATE(YEAR(E777), MONTH(E777) + 1, 21),
    IF(GST_Freq="Quarterly",
        IF(MOD(MONTH(E777) + 2 - MOD(MOD(MONTH(E777) - GST_First_Month, 12), 3), 12) = 0,
            DATE(YEAR(E777), MONTH(E777) + 4 - MOD(MOD(MONTH(E777) - GST_First_Month, 12), 3), 28),
            DATE(YEAR(E777), MONTH(E777) + 3 - MOD(MOD(MONTH(E777) - GST_First_Month, 12), 3), 28)
        ),
        "Invalid frequency"
    )
)</f>
        <v>52</v>
      </c>
    </row>
    <row r="778" spans="3:15" x14ac:dyDescent="0.25">
      <c r="C778" s="28"/>
      <c r="D778" s="20"/>
      <c r="E778" s="4"/>
      <c r="F778" s="37"/>
      <c r="G778" s="24"/>
      <c r="H778" s="51">
        <f>Assumptions!$D$15</f>
        <v>0.1</v>
      </c>
      <c r="I778" s="45">
        <f>IF(AR[[#This Row],[GST applies?]] = "Yes", (AR[[#This Row],[Invoice value inc. VAT]] / 1 + AR[[#This Row],[GST %]]) * AR[[#This Row],[GST %]], 0)</f>
        <v>0</v>
      </c>
      <c r="J778" s="31">
        <f>_xlfn.XLOOKUP(AR[[#This Row],[Customer name]], Customer_master[Customer name], Customer_master[EOM or Net], 0)</f>
        <v>0</v>
      </c>
      <c r="K778" s="31">
        <f>_xlfn.XLOOKUP(AR[[#This Row],[Customer name]], Customer_master[Customer name], Customer_master[Terms days], 0)</f>
        <v>0</v>
      </c>
      <c r="L7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8" s="4"/>
      <c r="N778" s="46">
        <f>IF(AR[[#This Row],[Collection date - override (dd/mm/yyyy)]] &lt;&gt; "", AR[[#This Row],[Collection date - override (dd/mm/yyyy)]], AR[[#This Row],[Due date (dd/mm/yyyy)]])</f>
        <v>0</v>
      </c>
      <c r="O778" s="46">
        <f t="shared" si="12"/>
        <v>52</v>
      </c>
    </row>
    <row r="779" spans="3:15" x14ac:dyDescent="0.25">
      <c r="C779" s="28"/>
      <c r="D779" s="20"/>
      <c r="E779" s="4"/>
      <c r="F779" s="37"/>
      <c r="G779" s="24"/>
      <c r="H779" s="51">
        <f>Assumptions!$D$15</f>
        <v>0.1</v>
      </c>
      <c r="I779" s="45">
        <f>IF(AR[[#This Row],[GST applies?]] = "Yes", (AR[[#This Row],[Invoice value inc. VAT]] / 1 + AR[[#This Row],[GST %]]) * AR[[#This Row],[GST %]], 0)</f>
        <v>0</v>
      </c>
      <c r="J779" s="31">
        <f>_xlfn.XLOOKUP(AR[[#This Row],[Customer name]], Customer_master[Customer name], Customer_master[EOM or Net], 0)</f>
        <v>0</v>
      </c>
      <c r="K779" s="31">
        <f>_xlfn.XLOOKUP(AR[[#This Row],[Customer name]], Customer_master[Customer name], Customer_master[Terms days], 0)</f>
        <v>0</v>
      </c>
      <c r="L7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9" s="4"/>
      <c r="N779" s="46">
        <f>IF(AR[[#This Row],[Collection date - override (dd/mm/yyyy)]] &lt;&gt; "", AR[[#This Row],[Collection date - override (dd/mm/yyyy)]], AR[[#This Row],[Due date (dd/mm/yyyy)]])</f>
        <v>0</v>
      </c>
      <c r="O779" s="46">
        <f t="shared" si="12"/>
        <v>52</v>
      </c>
    </row>
    <row r="780" spans="3:15" x14ac:dyDescent="0.25">
      <c r="C780" s="28"/>
      <c r="D780" s="20"/>
      <c r="E780" s="4"/>
      <c r="F780" s="37"/>
      <c r="G780" s="24"/>
      <c r="H780" s="51">
        <f>Assumptions!$D$15</f>
        <v>0.1</v>
      </c>
      <c r="I780" s="45">
        <f>IF(AR[[#This Row],[GST applies?]] = "Yes", (AR[[#This Row],[Invoice value inc. VAT]] / 1 + AR[[#This Row],[GST %]]) * AR[[#This Row],[GST %]], 0)</f>
        <v>0</v>
      </c>
      <c r="J780" s="31">
        <f>_xlfn.XLOOKUP(AR[[#This Row],[Customer name]], Customer_master[Customer name], Customer_master[EOM or Net], 0)</f>
        <v>0</v>
      </c>
      <c r="K780" s="31">
        <f>_xlfn.XLOOKUP(AR[[#This Row],[Customer name]], Customer_master[Customer name], Customer_master[Terms days], 0)</f>
        <v>0</v>
      </c>
      <c r="L7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0" s="4"/>
      <c r="N780" s="46">
        <f>IF(AR[[#This Row],[Collection date - override (dd/mm/yyyy)]] &lt;&gt; "", AR[[#This Row],[Collection date - override (dd/mm/yyyy)]], AR[[#This Row],[Due date (dd/mm/yyyy)]])</f>
        <v>0</v>
      </c>
      <c r="O780" s="46">
        <f t="shared" si="12"/>
        <v>52</v>
      </c>
    </row>
    <row r="781" spans="3:15" x14ac:dyDescent="0.25">
      <c r="C781" s="28"/>
      <c r="D781" s="20"/>
      <c r="E781" s="4"/>
      <c r="F781" s="37"/>
      <c r="G781" s="24"/>
      <c r="H781" s="51">
        <f>Assumptions!$D$15</f>
        <v>0.1</v>
      </c>
      <c r="I781" s="45">
        <f>IF(AR[[#This Row],[GST applies?]] = "Yes", (AR[[#This Row],[Invoice value inc. VAT]] / 1 + AR[[#This Row],[GST %]]) * AR[[#This Row],[GST %]], 0)</f>
        <v>0</v>
      </c>
      <c r="J781" s="31">
        <f>_xlfn.XLOOKUP(AR[[#This Row],[Customer name]], Customer_master[Customer name], Customer_master[EOM or Net], 0)</f>
        <v>0</v>
      </c>
      <c r="K781" s="31">
        <f>_xlfn.XLOOKUP(AR[[#This Row],[Customer name]], Customer_master[Customer name], Customer_master[Terms days], 0)</f>
        <v>0</v>
      </c>
      <c r="L7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1" s="4"/>
      <c r="N781" s="46">
        <f>IF(AR[[#This Row],[Collection date - override (dd/mm/yyyy)]] &lt;&gt; "", AR[[#This Row],[Collection date - override (dd/mm/yyyy)]], AR[[#This Row],[Due date (dd/mm/yyyy)]])</f>
        <v>0</v>
      </c>
      <c r="O781" s="46">
        <f t="shared" si="12"/>
        <v>52</v>
      </c>
    </row>
    <row r="782" spans="3:15" x14ac:dyDescent="0.25">
      <c r="C782" s="28"/>
      <c r="D782" s="20"/>
      <c r="E782" s="4"/>
      <c r="F782" s="37"/>
      <c r="G782" s="24"/>
      <c r="H782" s="51">
        <f>Assumptions!$D$15</f>
        <v>0.1</v>
      </c>
      <c r="I782" s="45">
        <f>IF(AR[[#This Row],[GST applies?]] = "Yes", (AR[[#This Row],[Invoice value inc. VAT]] / 1 + AR[[#This Row],[GST %]]) * AR[[#This Row],[GST %]], 0)</f>
        <v>0</v>
      </c>
      <c r="J782" s="31">
        <f>_xlfn.XLOOKUP(AR[[#This Row],[Customer name]], Customer_master[Customer name], Customer_master[EOM or Net], 0)</f>
        <v>0</v>
      </c>
      <c r="K782" s="31">
        <f>_xlfn.XLOOKUP(AR[[#This Row],[Customer name]], Customer_master[Customer name], Customer_master[Terms days], 0)</f>
        <v>0</v>
      </c>
      <c r="L7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2" s="4"/>
      <c r="N782" s="46">
        <f>IF(AR[[#This Row],[Collection date - override (dd/mm/yyyy)]] &lt;&gt; "", AR[[#This Row],[Collection date - override (dd/mm/yyyy)]], AR[[#This Row],[Due date (dd/mm/yyyy)]])</f>
        <v>0</v>
      </c>
      <c r="O782" s="46">
        <f t="shared" si="12"/>
        <v>52</v>
      </c>
    </row>
    <row r="783" spans="3:15" x14ac:dyDescent="0.25">
      <c r="C783" s="28"/>
      <c r="D783" s="20"/>
      <c r="E783" s="4"/>
      <c r="F783" s="37"/>
      <c r="G783" s="24"/>
      <c r="H783" s="51">
        <f>Assumptions!$D$15</f>
        <v>0.1</v>
      </c>
      <c r="I783" s="45">
        <f>IF(AR[[#This Row],[GST applies?]] = "Yes", (AR[[#This Row],[Invoice value inc. VAT]] / 1 + AR[[#This Row],[GST %]]) * AR[[#This Row],[GST %]], 0)</f>
        <v>0</v>
      </c>
      <c r="J783" s="31">
        <f>_xlfn.XLOOKUP(AR[[#This Row],[Customer name]], Customer_master[Customer name], Customer_master[EOM or Net], 0)</f>
        <v>0</v>
      </c>
      <c r="K783" s="31">
        <f>_xlfn.XLOOKUP(AR[[#This Row],[Customer name]], Customer_master[Customer name], Customer_master[Terms days], 0)</f>
        <v>0</v>
      </c>
      <c r="L7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3" s="4"/>
      <c r="N783" s="46">
        <f>IF(AR[[#This Row],[Collection date - override (dd/mm/yyyy)]] &lt;&gt; "", AR[[#This Row],[Collection date - override (dd/mm/yyyy)]], AR[[#This Row],[Due date (dd/mm/yyyy)]])</f>
        <v>0</v>
      </c>
      <c r="O783" s="46">
        <f t="shared" si="12"/>
        <v>52</v>
      </c>
    </row>
    <row r="784" spans="3:15" x14ac:dyDescent="0.25">
      <c r="C784" s="28"/>
      <c r="D784" s="20"/>
      <c r="E784" s="4"/>
      <c r="F784" s="37"/>
      <c r="G784" s="24"/>
      <c r="H784" s="51">
        <f>Assumptions!$D$15</f>
        <v>0.1</v>
      </c>
      <c r="I784" s="45">
        <f>IF(AR[[#This Row],[GST applies?]] = "Yes", (AR[[#This Row],[Invoice value inc. VAT]] / 1 + AR[[#This Row],[GST %]]) * AR[[#This Row],[GST %]], 0)</f>
        <v>0</v>
      </c>
      <c r="J784" s="31">
        <f>_xlfn.XLOOKUP(AR[[#This Row],[Customer name]], Customer_master[Customer name], Customer_master[EOM or Net], 0)</f>
        <v>0</v>
      </c>
      <c r="K784" s="31">
        <f>_xlfn.XLOOKUP(AR[[#This Row],[Customer name]], Customer_master[Customer name], Customer_master[Terms days], 0)</f>
        <v>0</v>
      </c>
      <c r="L7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4" s="4"/>
      <c r="N784" s="46">
        <f>IF(AR[[#This Row],[Collection date - override (dd/mm/yyyy)]] &lt;&gt; "", AR[[#This Row],[Collection date - override (dd/mm/yyyy)]], AR[[#This Row],[Due date (dd/mm/yyyy)]])</f>
        <v>0</v>
      </c>
      <c r="O784" s="46">
        <f t="shared" si="12"/>
        <v>52</v>
      </c>
    </row>
    <row r="785" spans="3:15" x14ac:dyDescent="0.25">
      <c r="C785" s="28"/>
      <c r="D785" s="20"/>
      <c r="E785" s="4"/>
      <c r="F785" s="37"/>
      <c r="G785" s="24"/>
      <c r="H785" s="51">
        <f>Assumptions!$D$15</f>
        <v>0.1</v>
      </c>
      <c r="I785" s="45">
        <f>IF(AR[[#This Row],[GST applies?]] = "Yes", (AR[[#This Row],[Invoice value inc. VAT]] / 1 + AR[[#This Row],[GST %]]) * AR[[#This Row],[GST %]], 0)</f>
        <v>0</v>
      </c>
      <c r="J785" s="31">
        <f>_xlfn.XLOOKUP(AR[[#This Row],[Customer name]], Customer_master[Customer name], Customer_master[EOM or Net], 0)</f>
        <v>0</v>
      </c>
      <c r="K785" s="31">
        <f>_xlfn.XLOOKUP(AR[[#This Row],[Customer name]], Customer_master[Customer name], Customer_master[Terms days], 0)</f>
        <v>0</v>
      </c>
      <c r="L7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5" s="4"/>
      <c r="N785" s="46">
        <f>IF(AR[[#This Row],[Collection date - override (dd/mm/yyyy)]] &lt;&gt; "", AR[[#This Row],[Collection date - override (dd/mm/yyyy)]], AR[[#This Row],[Due date (dd/mm/yyyy)]])</f>
        <v>0</v>
      </c>
      <c r="O785" s="46">
        <f t="shared" si="12"/>
        <v>52</v>
      </c>
    </row>
    <row r="786" spans="3:15" x14ac:dyDescent="0.25">
      <c r="C786" s="28"/>
      <c r="D786" s="20"/>
      <c r="E786" s="4"/>
      <c r="F786" s="37"/>
      <c r="G786" s="24"/>
      <c r="H786" s="51">
        <f>Assumptions!$D$15</f>
        <v>0.1</v>
      </c>
      <c r="I786" s="45">
        <f>IF(AR[[#This Row],[GST applies?]] = "Yes", (AR[[#This Row],[Invoice value inc. VAT]] / 1 + AR[[#This Row],[GST %]]) * AR[[#This Row],[GST %]], 0)</f>
        <v>0</v>
      </c>
      <c r="J786" s="31">
        <f>_xlfn.XLOOKUP(AR[[#This Row],[Customer name]], Customer_master[Customer name], Customer_master[EOM or Net], 0)</f>
        <v>0</v>
      </c>
      <c r="K786" s="31">
        <f>_xlfn.XLOOKUP(AR[[#This Row],[Customer name]], Customer_master[Customer name], Customer_master[Terms days], 0)</f>
        <v>0</v>
      </c>
      <c r="L7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6" s="4"/>
      <c r="N786" s="46">
        <f>IF(AR[[#This Row],[Collection date - override (dd/mm/yyyy)]] &lt;&gt; "", AR[[#This Row],[Collection date - override (dd/mm/yyyy)]], AR[[#This Row],[Due date (dd/mm/yyyy)]])</f>
        <v>0</v>
      </c>
      <c r="O786" s="46">
        <f t="shared" si="12"/>
        <v>52</v>
      </c>
    </row>
    <row r="787" spans="3:15" x14ac:dyDescent="0.25">
      <c r="C787" s="28"/>
      <c r="D787" s="20"/>
      <c r="E787" s="4"/>
      <c r="F787" s="37"/>
      <c r="G787" s="24"/>
      <c r="H787" s="51">
        <f>Assumptions!$D$15</f>
        <v>0.1</v>
      </c>
      <c r="I787" s="45">
        <f>IF(AR[[#This Row],[GST applies?]] = "Yes", (AR[[#This Row],[Invoice value inc. VAT]] / 1 + AR[[#This Row],[GST %]]) * AR[[#This Row],[GST %]], 0)</f>
        <v>0</v>
      </c>
      <c r="J787" s="31">
        <f>_xlfn.XLOOKUP(AR[[#This Row],[Customer name]], Customer_master[Customer name], Customer_master[EOM or Net], 0)</f>
        <v>0</v>
      </c>
      <c r="K787" s="31">
        <f>_xlfn.XLOOKUP(AR[[#This Row],[Customer name]], Customer_master[Customer name], Customer_master[Terms days], 0)</f>
        <v>0</v>
      </c>
      <c r="L7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7" s="4"/>
      <c r="N787" s="46">
        <f>IF(AR[[#This Row],[Collection date - override (dd/mm/yyyy)]] &lt;&gt; "", AR[[#This Row],[Collection date - override (dd/mm/yyyy)]], AR[[#This Row],[Due date (dd/mm/yyyy)]])</f>
        <v>0</v>
      </c>
      <c r="O787" s="46">
        <f t="shared" si="12"/>
        <v>52</v>
      </c>
    </row>
    <row r="788" spans="3:15" x14ac:dyDescent="0.25">
      <c r="C788" s="28"/>
      <c r="D788" s="20"/>
      <c r="E788" s="4"/>
      <c r="F788" s="37"/>
      <c r="G788" s="24"/>
      <c r="H788" s="51">
        <f>Assumptions!$D$15</f>
        <v>0.1</v>
      </c>
      <c r="I788" s="45">
        <f>IF(AR[[#This Row],[GST applies?]] = "Yes", (AR[[#This Row],[Invoice value inc. VAT]] / 1 + AR[[#This Row],[GST %]]) * AR[[#This Row],[GST %]], 0)</f>
        <v>0</v>
      </c>
      <c r="J788" s="31">
        <f>_xlfn.XLOOKUP(AR[[#This Row],[Customer name]], Customer_master[Customer name], Customer_master[EOM or Net], 0)</f>
        <v>0</v>
      </c>
      <c r="K788" s="31">
        <f>_xlfn.XLOOKUP(AR[[#This Row],[Customer name]], Customer_master[Customer name], Customer_master[Terms days], 0)</f>
        <v>0</v>
      </c>
      <c r="L7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8" s="4"/>
      <c r="N788" s="46">
        <f>IF(AR[[#This Row],[Collection date - override (dd/mm/yyyy)]] &lt;&gt; "", AR[[#This Row],[Collection date - override (dd/mm/yyyy)]], AR[[#This Row],[Due date (dd/mm/yyyy)]])</f>
        <v>0</v>
      </c>
      <c r="O788" s="46">
        <f t="shared" si="12"/>
        <v>52</v>
      </c>
    </row>
    <row r="789" spans="3:15" x14ac:dyDescent="0.25">
      <c r="C789" s="28"/>
      <c r="D789" s="20"/>
      <c r="E789" s="4"/>
      <c r="F789" s="37"/>
      <c r="G789" s="24"/>
      <c r="H789" s="51">
        <f>Assumptions!$D$15</f>
        <v>0.1</v>
      </c>
      <c r="I789" s="45">
        <f>IF(AR[[#This Row],[GST applies?]] = "Yes", (AR[[#This Row],[Invoice value inc. VAT]] / 1 + AR[[#This Row],[GST %]]) * AR[[#This Row],[GST %]], 0)</f>
        <v>0</v>
      </c>
      <c r="J789" s="31">
        <f>_xlfn.XLOOKUP(AR[[#This Row],[Customer name]], Customer_master[Customer name], Customer_master[EOM or Net], 0)</f>
        <v>0</v>
      </c>
      <c r="K789" s="31">
        <f>_xlfn.XLOOKUP(AR[[#This Row],[Customer name]], Customer_master[Customer name], Customer_master[Terms days], 0)</f>
        <v>0</v>
      </c>
      <c r="L7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9" s="4"/>
      <c r="N789" s="46">
        <f>IF(AR[[#This Row],[Collection date - override (dd/mm/yyyy)]] &lt;&gt; "", AR[[#This Row],[Collection date - override (dd/mm/yyyy)]], AR[[#This Row],[Due date (dd/mm/yyyy)]])</f>
        <v>0</v>
      </c>
      <c r="O789" s="46">
        <f t="shared" si="12"/>
        <v>52</v>
      </c>
    </row>
    <row r="790" spans="3:15" x14ac:dyDescent="0.25">
      <c r="C790" s="28"/>
      <c r="D790" s="20"/>
      <c r="E790" s="4"/>
      <c r="F790" s="37"/>
      <c r="G790" s="24"/>
      <c r="H790" s="51">
        <f>Assumptions!$D$15</f>
        <v>0.1</v>
      </c>
      <c r="I790" s="45">
        <f>IF(AR[[#This Row],[GST applies?]] = "Yes", (AR[[#This Row],[Invoice value inc. VAT]] / 1 + AR[[#This Row],[GST %]]) * AR[[#This Row],[GST %]], 0)</f>
        <v>0</v>
      </c>
      <c r="J790" s="31">
        <f>_xlfn.XLOOKUP(AR[[#This Row],[Customer name]], Customer_master[Customer name], Customer_master[EOM or Net], 0)</f>
        <v>0</v>
      </c>
      <c r="K790" s="31">
        <f>_xlfn.XLOOKUP(AR[[#This Row],[Customer name]], Customer_master[Customer name], Customer_master[Terms days], 0)</f>
        <v>0</v>
      </c>
      <c r="L7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0" s="4"/>
      <c r="N790" s="46">
        <f>IF(AR[[#This Row],[Collection date - override (dd/mm/yyyy)]] &lt;&gt; "", AR[[#This Row],[Collection date - override (dd/mm/yyyy)]], AR[[#This Row],[Due date (dd/mm/yyyy)]])</f>
        <v>0</v>
      </c>
      <c r="O790" s="46">
        <f t="shared" si="12"/>
        <v>52</v>
      </c>
    </row>
    <row r="791" spans="3:15" x14ac:dyDescent="0.25">
      <c r="C791" s="28"/>
      <c r="D791" s="20"/>
      <c r="E791" s="4"/>
      <c r="F791" s="37"/>
      <c r="G791" s="24"/>
      <c r="H791" s="51">
        <f>Assumptions!$D$15</f>
        <v>0.1</v>
      </c>
      <c r="I791" s="45">
        <f>IF(AR[[#This Row],[GST applies?]] = "Yes", (AR[[#This Row],[Invoice value inc. VAT]] / 1 + AR[[#This Row],[GST %]]) * AR[[#This Row],[GST %]], 0)</f>
        <v>0</v>
      </c>
      <c r="J791" s="31">
        <f>_xlfn.XLOOKUP(AR[[#This Row],[Customer name]], Customer_master[Customer name], Customer_master[EOM or Net], 0)</f>
        <v>0</v>
      </c>
      <c r="K791" s="31">
        <f>_xlfn.XLOOKUP(AR[[#This Row],[Customer name]], Customer_master[Customer name], Customer_master[Terms days], 0)</f>
        <v>0</v>
      </c>
      <c r="L7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1" s="4"/>
      <c r="N791" s="46">
        <f>IF(AR[[#This Row],[Collection date - override (dd/mm/yyyy)]] &lt;&gt; "", AR[[#This Row],[Collection date - override (dd/mm/yyyy)]], AR[[#This Row],[Due date (dd/mm/yyyy)]])</f>
        <v>0</v>
      </c>
      <c r="O791" s="46">
        <f t="shared" si="12"/>
        <v>52</v>
      </c>
    </row>
    <row r="792" spans="3:15" x14ac:dyDescent="0.25">
      <c r="C792" s="28"/>
      <c r="D792" s="20"/>
      <c r="E792" s="4"/>
      <c r="F792" s="37"/>
      <c r="G792" s="24"/>
      <c r="H792" s="51">
        <f>Assumptions!$D$15</f>
        <v>0.1</v>
      </c>
      <c r="I792" s="45">
        <f>IF(AR[[#This Row],[GST applies?]] = "Yes", (AR[[#This Row],[Invoice value inc. VAT]] / 1 + AR[[#This Row],[GST %]]) * AR[[#This Row],[GST %]], 0)</f>
        <v>0</v>
      </c>
      <c r="J792" s="31">
        <f>_xlfn.XLOOKUP(AR[[#This Row],[Customer name]], Customer_master[Customer name], Customer_master[EOM or Net], 0)</f>
        <v>0</v>
      </c>
      <c r="K792" s="31">
        <f>_xlfn.XLOOKUP(AR[[#This Row],[Customer name]], Customer_master[Customer name], Customer_master[Terms days], 0)</f>
        <v>0</v>
      </c>
      <c r="L7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2" s="4"/>
      <c r="N792" s="46">
        <f>IF(AR[[#This Row],[Collection date - override (dd/mm/yyyy)]] &lt;&gt; "", AR[[#This Row],[Collection date - override (dd/mm/yyyy)]], AR[[#This Row],[Due date (dd/mm/yyyy)]])</f>
        <v>0</v>
      </c>
      <c r="O792" s="46">
        <f t="shared" si="12"/>
        <v>52</v>
      </c>
    </row>
    <row r="793" spans="3:15" x14ac:dyDescent="0.25">
      <c r="C793" s="28"/>
      <c r="D793" s="20"/>
      <c r="E793" s="4"/>
      <c r="F793" s="37"/>
      <c r="G793" s="24"/>
      <c r="H793" s="51">
        <f>Assumptions!$D$15</f>
        <v>0.1</v>
      </c>
      <c r="I793" s="45">
        <f>IF(AR[[#This Row],[GST applies?]] = "Yes", (AR[[#This Row],[Invoice value inc. VAT]] / 1 + AR[[#This Row],[GST %]]) * AR[[#This Row],[GST %]], 0)</f>
        <v>0</v>
      </c>
      <c r="J793" s="31">
        <f>_xlfn.XLOOKUP(AR[[#This Row],[Customer name]], Customer_master[Customer name], Customer_master[EOM or Net], 0)</f>
        <v>0</v>
      </c>
      <c r="K793" s="31">
        <f>_xlfn.XLOOKUP(AR[[#This Row],[Customer name]], Customer_master[Customer name], Customer_master[Terms days], 0)</f>
        <v>0</v>
      </c>
      <c r="L7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3" s="4"/>
      <c r="N793" s="46">
        <f>IF(AR[[#This Row],[Collection date - override (dd/mm/yyyy)]] &lt;&gt; "", AR[[#This Row],[Collection date - override (dd/mm/yyyy)]], AR[[#This Row],[Due date (dd/mm/yyyy)]])</f>
        <v>0</v>
      </c>
      <c r="O793" s="46">
        <f t="shared" si="12"/>
        <v>52</v>
      </c>
    </row>
    <row r="794" spans="3:15" x14ac:dyDescent="0.25">
      <c r="C794" s="28"/>
      <c r="D794" s="20"/>
      <c r="E794" s="4"/>
      <c r="F794" s="37"/>
      <c r="G794" s="24"/>
      <c r="H794" s="51">
        <f>Assumptions!$D$15</f>
        <v>0.1</v>
      </c>
      <c r="I794" s="45">
        <f>IF(AR[[#This Row],[GST applies?]] = "Yes", (AR[[#This Row],[Invoice value inc. VAT]] / 1 + AR[[#This Row],[GST %]]) * AR[[#This Row],[GST %]], 0)</f>
        <v>0</v>
      </c>
      <c r="J794" s="31">
        <f>_xlfn.XLOOKUP(AR[[#This Row],[Customer name]], Customer_master[Customer name], Customer_master[EOM or Net], 0)</f>
        <v>0</v>
      </c>
      <c r="K794" s="31">
        <f>_xlfn.XLOOKUP(AR[[#This Row],[Customer name]], Customer_master[Customer name], Customer_master[Terms days], 0)</f>
        <v>0</v>
      </c>
      <c r="L7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4" s="4"/>
      <c r="N794" s="46">
        <f>IF(AR[[#This Row],[Collection date - override (dd/mm/yyyy)]] &lt;&gt; "", AR[[#This Row],[Collection date - override (dd/mm/yyyy)]], AR[[#This Row],[Due date (dd/mm/yyyy)]])</f>
        <v>0</v>
      </c>
      <c r="O794" s="46">
        <f t="shared" si="12"/>
        <v>52</v>
      </c>
    </row>
    <row r="795" spans="3:15" x14ac:dyDescent="0.25">
      <c r="C795" s="28"/>
      <c r="D795" s="20"/>
      <c r="E795" s="4"/>
      <c r="F795" s="37"/>
      <c r="G795" s="24"/>
      <c r="H795" s="51">
        <f>Assumptions!$D$15</f>
        <v>0.1</v>
      </c>
      <c r="I795" s="45">
        <f>IF(AR[[#This Row],[GST applies?]] = "Yes", (AR[[#This Row],[Invoice value inc. VAT]] / 1 + AR[[#This Row],[GST %]]) * AR[[#This Row],[GST %]], 0)</f>
        <v>0</v>
      </c>
      <c r="J795" s="31">
        <f>_xlfn.XLOOKUP(AR[[#This Row],[Customer name]], Customer_master[Customer name], Customer_master[EOM or Net], 0)</f>
        <v>0</v>
      </c>
      <c r="K795" s="31">
        <f>_xlfn.XLOOKUP(AR[[#This Row],[Customer name]], Customer_master[Customer name], Customer_master[Terms days], 0)</f>
        <v>0</v>
      </c>
      <c r="L7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5" s="4"/>
      <c r="N795" s="46">
        <f>IF(AR[[#This Row],[Collection date - override (dd/mm/yyyy)]] &lt;&gt; "", AR[[#This Row],[Collection date - override (dd/mm/yyyy)]], AR[[#This Row],[Due date (dd/mm/yyyy)]])</f>
        <v>0</v>
      </c>
      <c r="O795" s="46">
        <f t="shared" si="12"/>
        <v>52</v>
      </c>
    </row>
    <row r="796" spans="3:15" x14ac:dyDescent="0.25">
      <c r="C796" s="28"/>
      <c r="D796" s="20"/>
      <c r="E796" s="4"/>
      <c r="F796" s="37"/>
      <c r="G796" s="24"/>
      <c r="H796" s="51">
        <f>Assumptions!$D$15</f>
        <v>0.1</v>
      </c>
      <c r="I796" s="45">
        <f>IF(AR[[#This Row],[GST applies?]] = "Yes", (AR[[#This Row],[Invoice value inc. VAT]] / 1 + AR[[#This Row],[GST %]]) * AR[[#This Row],[GST %]], 0)</f>
        <v>0</v>
      </c>
      <c r="J796" s="31">
        <f>_xlfn.XLOOKUP(AR[[#This Row],[Customer name]], Customer_master[Customer name], Customer_master[EOM or Net], 0)</f>
        <v>0</v>
      </c>
      <c r="K796" s="31">
        <f>_xlfn.XLOOKUP(AR[[#This Row],[Customer name]], Customer_master[Customer name], Customer_master[Terms days], 0)</f>
        <v>0</v>
      </c>
      <c r="L7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6" s="4"/>
      <c r="N796" s="46">
        <f>IF(AR[[#This Row],[Collection date - override (dd/mm/yyyy)]] &lt;&gt; "", AR[[#This Row],[Collection date - override (dd/mm/yyyy)]], AR[[#This Row],[Due date (dd/mm/yyyy)]])</f>
        <v>0</v>
      </c>
      <c r="O796" s="46">
        <f t="shared" si="12"/>
        <v>52</v>
      </c>
    </row>
    <row r="797" spans="3:15" x14ac:dyDescent="0.25">
      <c r="C797" s="28"/>
      <c r="D797" s="20"/>
      <c r="E797" s="4"/>
      <c r="F797" s="37"/>
      <c r="G797" s="24"/>
      <c r="H797" s="51">
        <f>Assumptions!$D$15</f>
        <v>0.1</v>
      </c>
      <c r="I797" s="45">
        <f>IF(AR[[#This Row],[GST applies?]] = "Yes", (AR[[#This Row],[Invoice value inc. VAT]] / 1 + AR[[#This Row],[GST %]]) * AR[[#This Row],[GST %]], 0)</f>
        <v>0</v>
      </c>
      <c r="J797" s="31">
        <f>_xlfn.XLOOKUP(AR[[#This Row],[Customer name]], Customer_master[Customer name], Customer_master[EOM or Net], 0)</f>
        <v>0</v>
      </c>
      <c r="K797" s="31">
        <f>_xlfn.XLOOKUP(AR[[#This Row],[Customer name]], Customer_master[Customer name], Customer_master[Terms days], 0)</f>
        <v>0</v>
      </c>
      <c r="L7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7" s="4"/>
      <c r="N797" s="46">
        <f>IF(AR[[#This Row],[Collection date - override (dd/mm/yyyy)]] &lt;&gt; "", AR[[#This Row],[Collection date - override (dd/mm/yyyy)]], AR[[#This Row],[Due date (dd/mm/yyyy)]])</f>
        <v>0</v>
      </c>
      <c r="O797" s="46">
        <f t="shared" si="12"/>
        <v>52</v>
      </c>
    </row>
    <row r="798" spans="3:15" x14ac:dyDescent="0.25">
      <c r="C798" s="28"/>
      <c r="D798" s="20"/>
      <c r="E798" s="4"/>
      <c r="F798" s="37"/>
      <c r="G798" s="24"/>
      <c r="H798" s="51">
        <f>Assumptions!$D$15</f>
        <v>0.1</v>
      </c>
      <c r="I798" s="45">
        <f>IF(AR[[#This Row],[GST applies?]] = "Yes", (AR[[#This Row],[Invoice value inc. VAT]] / 1 + AR[[#This Row],[GST %]]) * AR[[#This Row],[GST %]], 0)</f>
        <v>0</v>
      </c>
      <c r="J798" s="31">
        <f>_xlfn.XLOOKUP(AR[[#This Row],[Customer name]], Customer_master[Customer name], Customer_master[EOM or Net], 0)</f>
        <v>0</v>
      </c>
      <c r="K798" s="31">
        <f>_xlfn.XLOOKUP(AR[[#This Row],[Customer name]], Customer_master[Customer name], Customer_master[Terms days], 0)</f>
        <v>0</v>
      </c>
      <c r="L7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8" s="4"/>
      <c r="N798" s="46">
        <f>IF(AR[[#This Row],[Collection date - override (dd/mm/yyyy)]] &lt;&gt; "", AR[[#This Row],[Collection date - override (dd/mm/yyyy)]], AR[[#This Row],[Due date (dd/mm/yyyy)]])</f>
        <v>0</v>
      </c>
      <c r="O798" s="46">
        <f t="shared" si="12"/>
        <v>52</v>
      </c>
    </row>
    <row r="799" spans="3:15" x14ac:dyDescent="0.25">
      <c r="C799" s="28"/>
      <c r="D799" s="20"/>
      <c r="E799" s="4"/>
      <c r="F799" s="37"/>
      <c r="G799" s="24"/>
      <c r="H799" s="51">
        <f>Assumptions!$D$15</f>
        <v>0.1</v>
      </c>
      <c r="I799" s="45">
        <f>IF(AR[[#This Row],[GST applies?]] = "Yes", (AR[[#This Row],[Invoice value inc. VAT]] / 1 + AR[[#This Row],[GST %]]) * AR[[#This Row],[GST %]], 0)</f>
        <v>0</v>
      </c>
      <c r="J799" s="31">
        <f>_xlfn.XLOOKUP(AR[[#This Row],[Customer name]], Customer_master[Customer name], Customer_master[EOM or Net], 0)</f>
        <v>0</v>
      </c>
      <c r="K799" s="31">
        <f>_xlfn.XLOOKUP(AR[[#This Row],[Customer name]], Customer_master[Customer name], Customer_master[Terms days], 0)</f>
        <v>0</v>
      </c>
      <c r="L7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9" s="4"/>
      <c r="N799" s="46">
        <f>IF(AR[[#This Row],[Collection date - override (dd/mm/yyyy)]] &lt;&gt; "", AR[[#This Row],[Collection date - override (dd/mm/yyyy)]], AR[[#This Row],[Due date (dd/mm/yyyy)]])</f>
        <v>0</v>
      </c>
      <c r="O799" s="46">
        <f t="shared" si="12"/>
        <v>52</v>
      </c>
    </row>
    <row r="800" spans="3:15" x14ac:dyDescent="0.25">
      <c r="C800" s="28"/>
      <c r="D800" s="20"/>
      <c r="E800" s="4"/>
      <c r="F800" s="37"/>
      <c r="G800" s="24"/>
      <c r="H800" s="51">
        <f>Assumptions!$D$15</f>
        <v>0.1</v>
      </c>
      <c r="I800" s="45">
        <f>IF(AR[[#This Row],[GST applies?]] = "Yes", (AR[[#This Row],[Invoice value inc. VAT]] / 1 + AR[[#This Row],[GST %]]) * AR[[#This Row],[GST %]], 0)</f>
        <v>0</v>
      </c>
      <c r="J800" s="31">
        <f>_xlfn.XLOOKUP(AR[[#This Row],[Customer name]], Customer_master[Customer name], Customer_master[EOM or Net], 0)</f>
        <v>0</v>
      </c>
      <c r="K800" s="31">
        <f>_xlfn.XLOOKUP(AR[[#This Row],[Customer name]], Customer_master[Customer name], Customer_master[Terms days], 0)</f>
        <v>0</v>
      </c>
      <c r="L8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0" s="4"/>
      <c r="N800" s="46">
        <f>IF(AR[[#This Row],[Collection date - override (dd/mm/yyyy)]] &lt;&gt; "", AR[[#This Row],[Collection date - override (dd/mm/yyyy)]], AR[[#This Row],[Due date (dd/mm/yyyy)]])</f>
        <v>0</v>
      </c>
      <c r="O800" s="46">
        <f t="shared" si="12"/>
        <v>52</v>
      </c>
    </row>
    <row r="801" spans="3:15" x14ac:dyDescent="0.25">
      <c r="C801" s="28"/>
      <c r="D801" s="20"/>
      <c r="E801" s="4"/>
      <c r="F801" s="37"/>
      <c r="G801" s="24"/>
      <c r="H801" s="51">
        <f>Assumptions!$D$15</f>
        <v>0.1</v>
      </c>
      <c r="I801" s="45">
        <f>IF(AR[[#This Row],[GST applies?]] = "Yes", (AR[[#This Row],[Invoice value inc. VAT]] / 1 + AR[[#This Row],[GST %]]) * AR[[#This Row],[GST %]], 0)</f>
        <v>0</v>
      </c>
      <c r="J801" s="31">
        <f>_xlfn.XLOOKUP(AR[[#This Row],[Customer name]], Customer_master[Customer name], Customer_master[EOM or Net], 0)</f>
        <v>0</v>
      </c>
      <c r="K801" s="31">
        <f>_xlfn.XLOOKUP(AR[[#This Row],[Customer name]], Customer_master[Customer name], Customer_master[Terms days], 0)</f>
        <v>0</v>
      </c>
      <c r="L8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1" s="4"/>
      <c r="N801" s="46">
        <f>IF(AR[[#This Row],[Collection date - override (dd/mm/yyyy)]] &lt;&gt; "", AR[[#This Row],[Collection date - override (dd/mm/yyyy)]], AR[[#This Row],[Due date (dd/mm/yyyy)]])</f>
        <v>0</v>
      </c>
      <c r="O801" s="46">
        <f t="shared" si="12"/>
        <v>52</v>
      </c>
    </row>
    <row r="802" spans="3:15" x14ac:dyDescent="0.25">
      <c r="C802" s="28"/>
      <c r="D802" s="20"/>
      <c r="E802" s="4"/>
      <c r="F802" s="37"/>
      <c r="G802" s="24"/>
      <c r="H802" s="51">
        <f>Assumptions!$D$15</f>
        <v>0.1</v>
      </c>
      <c r="I802" s="45">
        <f>IF(AR[[#This Row],[GST applies?]] = "Yes", (AR[[#This Row],[Invoice value inc. VAT]] / 1 + AR[[#This Row],[GST %]]) * AR[[#This Row],[GST %]], 0)</f>
        <v>0</v>
      </c>
      <c r="J802" s="31">
        <f>_xlfn.XLOOKUP(AR[[#This Row],[Customer name]], Customer_master[Customer name], Customer_master[EOM or Net], 0)</f>
        <v>0</v>
      </c>
      <c r="K802" s="31">
        <f>_xlfn.XLOOKUP(AR[[#This Row],[Customer name]], Customer_master[Customer name], Customer_master[Terms days], 0)</f>
        <v>0</v>
      </c>
      <c r="L8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2" s="4"/>
      <c r="N802" s="46">
        <f>IF(AR[[#This Row],[Collection date - override (dd/mm/yyyy)]] &lt;&gt; "", AR[[#This Row],[Collection date - override (dd/mm/yyyy)]], AR[[#This Row],[Due date (dd/mm/yyyy)]])</f>
        <v>0</v>
      </c>
      <c r="O802" s="46">
        <f t="shared" si="12"/>
        <v>52</v>
      </c>
    </row>
    <row r="803" spans="3:15" x14ac:dyDescent="0.25">
      <c r="C803" s="28"/>
      <c r="D803" s="20"/>
      <c r="E803" s="4"/>
      <c r="F803" s="37"/>
      <c r="G803" s="24"/>
      <c r="H803" s="51">
        <f>Assumptions!$D$15</f>
        <v>0.1</v>
      </c>
      <c r="I803" s="45">
        <f>IF(AR[[#This Row],[GST applies?]] = "Yes", (AR[[#This Row],[Invoice value inc. VAT]] / 1 + AR[[#This Row],[GST %]]) * AR[[#This Row],[GST %]], 0)</f>
        <v>0</v>
      </c>
      <c r="J803" s="31">
        <f>_xlfn.XLOOKUP(AR[[#This Row],[Customer name]], Customer_master[Customer name], Customer_master[EOM or Net], 0)</f>
        <v>0</v>
      </c>
      <c r="K803" s="31">
        <f>_xlfn.XLOOKUP(AR[[#This Row],[Customer name]], Customer_master[Customer name], Customer_master[Terms days], 0)</f>
        <v>0</v>
      </c>
      <c r="L8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3" s="4"/>
      <c r="N803" s="46">
        <f>IF(AR[[#This Row],[Collection date - override (dd/mm/yyyy)]] &lt;&gt; "", AR[[#This Row],[Collection date - override (dd/mm/yyyy)]], AR[[#This Row],[Due date (dd/mm/yyyy)]])</f>
        <v>0</v>
      </c>
      <c r="O803" s="46">
        <f t="shared" si="12"/>
        <v>52</v>
      </c>
    </row>
    <row r="804" spans="3:15" x14ac:dyDescent="0.25">
      <c r="C804" s="28"/>
      <c r="D804" s="20"/>
      <c r="E804" s="4"/>
      <c r="F804" s="37"/>
      <c r="G804" s="24"/>
      <c r="H804" s="51">
        <f>Assumptions!$D$15</f>
        <v>0.1</v>
      </c>
      <c r="I804" s="45">
        <f>IF(AR[[#This Row],[GST applies?]] = "Yes", (AR[[#This Row],[Invoice value inc. VAT]] / 1 + AR[[#This Row],[GST %]]) * AR[[#This Row],[GST %]], 0)</f>
        <v>0</v>
      </c>
      <c r="J804" s="31">
        <f>_xlfn.XLOOKUP(AR[[#This Row],[Customer name]], Customer_master[Customer name], Customer_master[EOM or Net], 0)</f>
        <v>0</v>
      </c>
      <c r="K804" s="31">
        <f>_xlfn.XLOOKUP(AR[[#This Row],[Customer name]], Customer_master[Customer name], Customer_master[Terms days], 0)</f>
        <v>0</v>
      </c>
      <c r="L8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4" s="4"/>
      <c r="N804" s="46">
        <f>IF(AR[[#This Row],[Collection date - override (dd/mm/yyyy)]] &lt;&gt; "", AR[[#This Row],[Collection date - override (dd/mm/yyyy)]], AR[[#This Row],[Due date (dd/mm/yyyy)]])</f>
        <v>0</v>
      </c>
      <c r="O804" s="46">
        <f t="shared" si="12"/>
        <v>52</v>
      </c>
    </row>
    <row r="805" spans="3:15" x14ac:dyDescent="0.25">
      <c r="C805" s="28"/>
      <c r="D805" s="20"/>
      <c r="E805" s="4"/>
      <c r="F805" s="37"/>
      <c r="G805" s="24"/>
      <c r="H805" s="51">
        <f>Assumptions!$D$15</f>
        <v>0.1</v>
      </c>
      <c r="I805" s="45">
        <f>IF(AR[[#This Row],[GST applies?]] = "Yes", (AR[[#This Row],[Invoice value inc. VAT]] / 1 + AR[[#This Row],[GST %]]) * AR[[#This Row],[GST %]], 0)</f>
        <v>0</v>
      </c>
      <c r="J805" s="31">
        <f>_xlfn.XLOOKUP(AR[[#This Row],[Customer name]], Customer_master[Customer name], Customer_master[EOM or Net], 0)</f>
        <v>0</v>
      </c>
      <c r="K805" s="31">
        <f>_xlfn.XLOOKUP(AR[[#This Row],[Customer name]], Customer_master[Customer name], Customer_master[Terms days], 0)</f>
        <v>0</v>
      </c>
      <c r="L8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5" s="4"/>
      <c r="N805" s="46">
        <f>IF(AR[[#This Row],[Collection date - override (dd/mm/yyyy)]] &lt;&gt; "", AR[[#This Row],[Collection date - override (dd/mm/yyyy)]], AR[[#This Row],[Due date (dd/mm/yyyy)]])</f>
        <v>0</v>
      </c>
      <c r="O805" s="46">
        <f t="shared" si="12"/>
        <v>52</v>
      </c>
    </row>
    <row r="806" spans="3:15" x14ac:dyDescent="0.25">
      <c r="C806" s="28"/>
      <c r="D806" s="20"/>
      <c r="E806" s="4"/>
      <c r="F806" s="37"/>
      <c r="G806" s="24"/>
      <c r="H806" s="51">
        <f>Assumptions!$D$15</f>
        <v>0.1</v>
      </c>
      <c r="I806" s="45">
        <f>IF(AR[[#This Row],[GST applies?]] = "Yes", (AR[[#This Row],[Invoice value inc. VAT]] / 1 + AR[[#This Row],[GST %]]) * AR[[#This Row],[GST %]], 0)</f>
        <v>0</v>
      </c>
      <c r="J806" s="31">
        <f>_xlfn.XLOOKUP(AR[[#This Row],[Customer name]], Customer_master[Customer name], Customer_master[EOM or Net], 0)</f>
        <v>0</v>
      </c>
      <c r="K806" s="31">
        <f>_xlfn.XLOOKUP(AR[[#This Row],[Customer name]], Customer_master[Customer name], Customer_master[Terms days], 0)</f>
        <v>0</v>
      </c>
      <c r="L8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6" s="4"/>
      <c r="N806" s="46">
        <f>IF(AR[[#This Row],[Collection date - override (dd/mm/yyyy)]] &lt;&gt; "", AR[[#This Row],[Collection date - override (dd/mm/yyyy)]], AR[[#This Row],[Due date (dd/mm/yyyy)]])</f>
        <v>0</v>
      </c>
      <c r="O806" s="46">
        <f t="shared" si="12"/>
        <v>52</v>
      </c>
    </row>
    <row r="807" spans="3:15" x14ac:dyDescent="0.25">
      <c r="C807" s="28"/>
      <c r="D807" s="20"/>
      <c r="E807" s="4"/>
      <c r="F807" s="37"/>
      <c r="G807" s="24"/>
      <c r="H807" s="51">
        <f>Assumptions!$D$15</f>
        <v>0.1</v>
      </c>
      <c r="I807" s="45">
        <f>IF(AR[[#This Row],[GST applies?]] = "Yes", (AR[[#This Row],[Invoice value inc. VAT]] / 1 + AR[[#This Row],[GST %]]) * AR[[#This Row],[GST %]], 0)</f>
        <v>0</v>
      </c>
      <c r="J807" s="31">
        <f>_xlfn.XLOOKUP(AR[[#This Row],[Customer name]], Customer_master[Customer name], Customer_master[EOM or Net], 0)</f>
        <v>0</v>
      </c>
      <c r="K807" s="31">
        <f>_xlfn.XLOOKUP(AR[[#This Row],[Customer name]], Customer_master[Customer name], Customer_master[Terms days], 0)</f>
        <v>0</v>
      </c>
      <c r="L8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7" s="4"/>
      <c r="N807" s="46">
        <f>IF(AR[[#This Row],[Collection date - override (dd/mm/yyyy)]] &lt;&gt; "", AR[[#This Row],[Collection date - override (dd/mm/yyyy)]], AR[[#This Row],[Due date (dd/mm/yyyy)]])</f>
        <v>0</v>
      </c>
      <c r="O807" s="46">
        <f t="shared" si="12"/>
        <v>52</v>
      </c>
    </row>
    <row r="808" spans="3:15" x14ac:dyDescent="0.25">
      <c r="C808" s="28"/>
      <c r="D808" s="20"/>
      <c r="E808" s="4"/>
      <c r="F808" s="37"/>
      <c r="G808" s="24"/>
      <c r="H808" s="51">
        <f>Assumptions!$D$15</f>
        <v>0.1</v>
      </c>
      <c r="I808" s="45">
        <f>IF(AR[[#This Row],[GST applies?]] = "Yes", (AR[[#This Row],[Invoice value inc. VAT]] / 1 + AR[[#This Row],[GST %]]) * AR[[#This Row],[GST %]], 0)</f>
        <v>0</v>
      </c>
      <c r="J808" s="31">
        <f>_xlfn.XLOOKUP(AR[[#This Row],[Customer name]], Customer_master[Customer name], Customer_master[EOM or Net], 0)</f>
        <v>0</v>
      </c>
      <c r="K808" s="31">
        <f>_xlfn.XLOOKUP(AR[[#This Row],[Customer name]], Customer_master[Customer name], Customer_master[Terms days], 0)</f>
        <v>0</v>
      </c>
      <c r="L8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8" s="4"/>
      <c r="N808" s="46">
        <f>IF(AR[[#This Row],[Collection date - override (dd/mm/yyyy)]] &lt;&gt; "", AR[[#This Row],[Collection date - override (dd/mm/yyyy)]], AR[[#This Row],[Due date (dd/mm/yyyy)]])</f>
        <v>0</v>
      </c>
      <c r="O808" s="46">
        <f t="shared" si="12"/>
        <v>52</v>
      </c>
    </row>
    <row r="809" spans="3:15" x14ac:dyDescent="0.25">
      <c r="C809" s="28"/>
      <c r="D809" s="20"/>
      <c r="E809" s="4"/>
      <c r="F809" s="37"/>
      <c r="G809" s="24"/>
      <c r="H809" s="51">
        <f>Assumptions!$D$15</f>
        <v>0.1</v>
      </c>
      <c r="I809" s="45">
        <f>IF(AR[[#This Row],[GST applies?]] = "Yes", (AR[[#This Row],[Invoice value inc. VAT]] / 1 + AR[[#This Row],[GST %]]) * AR[[#This Row],[GST %]], 0)</f>
        <v>0</v>
      </c>
      <c r="J809" s="31">
        <f>_xlfn.XLOOKUP(AR[[#This Row],[Customer name]], Customer_master[Customer name], Customer_master[EOM or Net], 0)</f>
        <v>0</v>
      </c>
      <c r="K809" s="31">
        <f>_xlfn.XLOOKUP(AR[[#This Row],[Customer name]], Customer_master[Customer name], Customer_master[Terms days], 0)</f>
        <v>0</v>
      </c>
      <c r="L8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9" s="4"/>
      <c r="N809" s="46">
        <f>IF(AR[[#This Row],[Collection date - override (dd/mm/yyyy)]] &lt;&gt; "", AR[[#This Row],[Collection date - override (dd/mm/yyyy)]], AR[[#This Row],[Due date (dd/mm/yyyy)]])</f>
        <v>0</v>
      </c>
      <c r="O809" s="46">
        <f t="shared" si="12"/>
        <v>52</v>
      </c>
    </row>
    <row r="810" spans="3:15" x14ac:dyDescent="0.25">
      <c r="C810" s="28"/>
      <c r="D810" s="20"/>
      <c r="E810" s="4"/>
      <c r="F810" s="37"/>
      <c r="G810" s="24"/>
      <c r="H810" s="51">
        <f>Assumptions!$D$15</f>
        <v>0.1</v>
      </c>
      <c r="I810" s="45">
        <f>IF(AR[[#This Row],[GST applies?]] = "Yes", (AR[[#This Row],[Invoice value inc. VAT]] / 1 + AR[[#This Row],[GST %]]) * AR[[#This Row],[GST %]], 0)</f>
        <v>0</v>
      </c>
      <c r="J810" s="31">
        <f>_xlfn.XLOOKUP(AR[[#This Row],[Customer name]], Customer_master[Customer name], Customer_master[EOM or Net], 0)</f>
        <v>0</v>
      </c>
      <c r="K810" s="31">
        <f>_xlfn.XLOOKUP(AR[[#This Row],[Customer name]], Customer_master[Customer name], Customer_master[Terms days], 0)</f>
        <v>0</v>
      </c>
      <c r="L8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0" s="4"/>
      <c r="N810" s="46">
        <f>IF(AR[[#This Row],[Collection date - override (dd/mm/yyyy)]] &lt;&gt; "", AR[[#This Row],[Collection date - override (dd/mm/yyyy)]], AR[[#This Row],[Due date (dd/mm/yyyy)]])</f>
        <v>0</v>
      </c>
      <c r="O810" s="46">
        <f t="shared" si="12"/>
        <v>52</v>
      </c>
    </row>
    <row r="811" spans="3:15" x14ac:dyDescent="0.25">
      <c r="C811" s="28"/>
      <c r="D811" s="20"/>
      <c r="E811" s="4"/>
      <c r="F811" s="37"/>
      <c r="G811" s="24"/>
      <c r="H811" s="51">
        <f>Assumptions!$D$15</f>
        <v>0.1</v>
      </c>
      <c r="I811" s="45">
        <f>IF(AR[[#This Row],[GST applies?]] = "Yes", (AR[[#This Row],[Invoice value inc. VAT]] / 1 + AR[[#This Row],[GST %]]) * AR[[#This Row],[GST %]], 0)</f>
        <v>0</v>
      </c>
      <c r="J811" s="31">
        <f>_xlfn.XLOOKUP(AR[[#This Row],[Customer name]], Customer_master[Customer name], Customer_master[EOM or Net], 0)</f>
        <v>0</v>
      </c>
      <c r="K811" s="31">
        <f>_xlfn.XLOOKUP(AR[[#This Row],[Customer name]], Customer_master[Customer name], Customer_master[Terms days], 0)</f>
        <v>0</v>
      </c>
      <c r="L8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1" s="4"/>
      <c r="N811" s="46">
        <f>IF(AR[[#This Row],[Collection date - override (dd/mm/yyyy)]] &lt;&gt; "", AR[[#This Row],[Collection date - override (dd/mm/yyyy)]], AR[[#This Row],[Due date (dd/mm/yyyy)]])</f>
        <v>0</v>
      </c>
      <c r="O811" s="46">
        <f t="shared" si="12"/>
        <v>52</v>
      </c>
    </row>
    <row r="812" spans="3:15" x14ac:dyDescent="0.25">
      <c r="C812" s="28"/>
      <c r="D812" s="20"/>
      <c r="E812" s="4"/>
      <c r="F812" s="37"/>
      <c r="G812" s="24"/>
      <c r="H812" s="51">
        <f>Assumptions!$D$15</f>
        <v>0.1</v>
      </c>
      <c r="I812" s="45">
        <f>IF(AR[[#This Row],[GST applies?]] = "Yes", (AR[[#This Row],[Invoice value inc. VAT]] / 1 + AR[[#This Row],[GST %]]) * AR[[#This Row],[GST %]], 0)</f>
        <v>0</v>
      </c>
      <c r="J812" s="31">
        <f>_xlfn.XLOOKUP(AR[[#This Row],[Customer name]], Customer_master[Customer name], Customer_master[EOM or Net], 0)</f>
        <v>0</v>
      </c>
      <c r="K812" s="31">
        <f>_xlfn.XLOOKUP(AR[[#This Row],[Customer name]], Customer_master[Customer name], Customer_master[Terms days], 0)</f>
        <v>0</v>
      </c>
      <c r="L8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2" s="4"/>
      <c r="N812" s="46">
        <f>IF(AR[[#This Row],[Collection date - override (dd/mm/yyyy)]] &lt;&gt; "", AR[[#This Row],[Collection date - override (dd/mm/yyyy)]], AR[[#This Row],[Due date (dd/mm/yyyy)]])</f>
        <v>0</v>
      </c>
      <c r="O812" s="46">
        <f t="shared" si="12"/>
        <v>52</v>
      </c>
    </row>
    <row r="813" spans="3:15" x14ac:dyDescent="0.25">
      <c r="C813" s="28"/>
      <c r="D813" s="20"/>
      <c r="E813" s="4"/>
      <c r="F813" s="37"/>
      <c r="G813" s="24"/>
      <c r="H813" s="51">
        <f>Assumptions!$D$15</f>
        <v>0.1</v>
      </c>
      <c r="I813" s="45">
        <f>IF(AR[[#This Row],[GST applies?]] = "Yes", (AR[[#This Row],[Invoice value inc. VAT]] / 1 + AR[[#This Row],[GST %]]) * AR[[#This Row],[GST %]], 0)</f>
        <v>0</v>
      </c>
      <c r="J813" s="31">
        <f>_xlfn.XLOOKUP(AR[[#This Row],[Customer name]], Customer_master[Customer name], Customer_master[EOM or Net], 0)</f>
        <v>0</v>
      </c>
      <c r="K813" s="31">
        <f>_xlfn.XLOOKUP(AR[[#This Row],[Customer name]], Customer_master[Customer name], Customer_master[Terms days], 0)</f>
        <v>0</v>
      </c>
      <c r="L8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3" s="4"/>
      <c r="N813" s="46">
        <f>IF(AR[[#This Row],[Collection date - override (dd/mm/yyyy)]] &lt;&gt; "", AR[[#This Row],[Collection date - override (dd/mm/yyyy)]], AR[[#This Row],[Due date (dd/mm/yyyy)]])</f>
        <v>0</v>
      </c>
      <c r="O813" s="46">
        <f t="shared" si="12"/>
        <v>52</v>
      </c>
    </row>
    <row r="814" spans="3:15" x14ac:dyDescent="0.25">
      <c r="C814" s="28"/>
      <c r="D814" s="20"/>
      <c r="E814" s="4"/>
      <c r="F814" s="37"/>
      <c r="G814" s="24"/>
      <c r="H814" s="51">
        <f>Assumptions!$D$15</f>
        <v>0.1</v>
      </c>
      <c r="I814" s="45">
        <f>IF(AR[[#This Row],[GST applies?]] = "Yes", (AR[[#This Row],[Invoice value inc. VAT]] / 1 + AR[[#This Row],[GST %]]) * AR[[#This Row],[GST %]], 0)</f>
        <v>0</v>
      </c>
      <c r="J814" s="31">
        <f>_xlfn.XLOOKUP(AR[[#This Row],[Customer name]], Customer_master[Customer name], Customer_master[EOM or Net], 0)</f>
        <v>0</v>
      </c>
      <c r="K814" s="31">
        <f>_xlfn.XLOOKUP(AR[[#This Row],[Customer name]], Customer_master[Customer name], Customer_master[Terms days], 0)</f>
        <v>0</v>
      </c>
      <c r="L8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4" s="4"/>
      <c r="N814" s="46">
        <f>IF(AR[[#This Row],[Collection date - override (dd/mm/yyyy)]] &lt;&gt; "", AR[[#This Row],[Collection date - override (dd/mm/yyyy)]], AR[[#This Row],[Due date (dd/mm/yyyy)]])</f>
        <v>0</v>
      </c>
      <c r="O814" s="46">
        <f t="shared" si="12"/>
        <v>52</v>
      </c>
    </row>
    <row r="815" spans="3:15" x14ac:dyDescent="0.25">
      <c r="C815" s="28"/>
      <c r="D815" s="20"/>
      <c r="E815" s="4"/>
      <c r="F815" s="37"/>
      <c r="G815" s="24"/>
      <c r="H815" s="51">
        <f>Assumptions!$D$15</f>
        <v>0.1</v>
      </c>
      <c r="I815" s="45">
        <f>IF(AR[[#This Row],[GST applies?]] = "Yes", (AR[[#This Row],[Invoice value inc. VAT]] / 1 + AR[[#This Row],[GST %]]) * AR[[#This Row],[GST %]], 0)</f>
        <v>0</v>
      </c>
      <c r="J815" s="31">
        <f>_xlfn.XLOOKUP(AR[[#This Row],[Customer name]], Customer_master[Customer name], Customer_master[EOM or Net], 0)</f>
        <v>0</v>
      </c>
      <c r="K815" s="31">
        <f>_xlfn.XLOOKUP(AR[[#This Row],[Customer name]], Customer_master[Customer name], Customer_master[Terms days], 0)</f>
        <v>0</v>
      </c>
      <c r="L8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5" s="4"/>
      <c r="N815" s="46">
        <f>IF(AR[[#This Row],[Collection date - override (dd/mm/yyyy)]] &lt;&gt; "", AR[[#This Row],[Collection date - override (dd/mm/yyyy)]], AR[[#This Row],[Due date (dd/mm/yyyy)]])</f>
        <v>0</v>
      </c>
      <c r="O815" s="46">
        <f t="shared" si="12"/>
        <v>52</v>
      </c>
    </row>
    <row r="816" spans="3:15" x14ac:dyDescent="0.25">
      <c r="C816" s="28"/>
      <c r="D816" s="20"/>
      <c r="E816" s="4"/>
      <c r="F816" s="37"/>
      <c r="G816" s="24"/>
      <c r="H816" s="51">
        <f>Assumptions!$D$15</f>
        <v>0.1</v>
      </c>
      <c r="I816" s="45">
        <f>IF(AR[[#This Row],[GST applies?]] = "Yes", (AR[[#This Row],[Invoice value inc. VAT]] / 1 + AR[[#This Row],[GST %]]) * AR[[#This Row],[GST %]], 0)</f>
        <v>0</v>
      </c>
      <c r="J816" s="31">
        <f>_xlfn.XLOOKUP(AR[[#This Row],[Customer name]], Customer_master[Customer name], Customer_master[EOM or Net], 0)</f>
        <v>0</v>
      </c>
      <c r="K816" s="31">
        <f>_xlfn.XLOOKUP(AR[[#This Row],[Customer name]], Customer_master[Customer name], Customer_master[Terms days], 0)</f>
        <v>0</v>
      </c>
      <c r="L8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6" s="4"/>
      <c r="N816" s="46">
        <f>IF(AR[[#This Row],[Collection date - override (dd/mm/yyyy)]] &lt;&gt; "", AR[[#This Row],[Collection date - override (dd/mm/yyyy)]], AR[[#This Row],[Due date (dd/mm/yyyy)]])</f>
        <v>0</v>
      </c>
      <c r="O816" s="46">
        <f t="shared" si="12"/>
        <v>52</v>
      </c>
    </row>
    <row r="817" spans="3:15" x14ac:dyDescent="0.25">
      <c r="C817" s="28"/>
      <c r="D817" s="20"/>
      <c r="E817" s="4"/>
      <c r="F817" s="37"/>
      <c r="G817" s="24"/>
      <c r="H817" s="51">
        <f>Assumptions!$D$15</f>
        <v>0.1</v>
      </c>
      <c r="I817" s="45">
        <f>IF(AR[[#This Row],[GST applies?]] = "Yes", (AR[[#This Row],[Invoice value inc. VAT]] / 1 + AR[[#This Row],[GST %]]) * AR[[#This Row],[GST %]], 0)</f>
        <v>0</v>
      </c>
      <c r="J817" s="31">
        <f>_xlfn.XLOOKUP(AR[[#This Row],[Customer name]], Customer_master[Customer name], Customer_master[EOM or Net], 0)</f>
        <v>0</v>
      </c>
      <c r="K817" s="31">
        <f>_xlfn.XLOOKUP(AR[[#This Row],[Customer name]], Customer_master[Customer name], Customer_master[Terms days], 0)</f>
        <v>0</v>
      </c>
      <c r="L8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7" s="4"/>
      <c r="N817" s="46">
        <f>IF(AR[[#This Row],[Collection date - override (dd/mm/yyyy)]] &lt;&gt; "", AR[[#This Row],[Collection date - override (dd/mm/yyyy)]], AR[[#This Row],[Due date (dd/mm/yyyy)]])</f>
        <v>0</v>
      </c>
      <c r="O817" s="46">
        <f t="shared" si="12"/>
        <v>52</v>
      </c>
    </row>
    <row r="818" spans="3:15" x14ac:dyDescent="0.25">
      <c r="C818" s="28"/>
      <c r="D818" s="20"/>
      <c r="E818" s="4"/>
      <c r="F818" s="37"/>
      <c r="G818" s="24"/>
      <c r="H818" s="51">
        <f>Assumptions!$D$15</f>
        <v>0.1</v>
      </c>
      <c r="I818" s="45">
        <f>IF(AR[[#This Row],[GST applies?]] = "Yes", (AR[[#This Row],[Invoice value inc. VAT]] / 1 + AR[[#This Row],[GST %]]) * AR[[#This Row],[GST %]], 0)</f>
        <v>0</v>
      </c>
      <c r="J818" s="31">
        <f>_xlfn.XLOOKUP(AR[[#This Row],[Customer name]], Customer_master[Customer name], Customer_master[EOM or Net], 0)</f>
        <v>0</v>
      </c>
      <c r="K818" s="31">
        <f>_xlfn.XLOOKUP(AR[[#This Row],[Customer name]], Customer_master[Customer name], Customer_master[Terms days], 0)</f>
        <v>0</v>
      </c>
      <c r="L8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8" s="4"/>
      <c r="N818" s="46">
        <f>IF(AR[[#This Row],[Collection date - override (dd/mm/yyyy)]] &lt;&gt; "", AR[[#This Row],[Collection date - override (dd/mm/yyyy)]], AR[[#This Row],[Due date (dd/mm/yyyy)]])</f>
        <v>0</v>
      </c>
      <c r="O818" s="46">
        <f t="shared" si="12"/>
        <v>52</v>
      </c>
    </row>
    <row r="819" spans="3:15" x14ac:dyDescent="0.25">
      <c r="C819" s="28"/>
      <c r="D819" s="20"/>
      <c r="E819" s="4"/>
      <c r="F819" s="37"/>
      <c r="G819" s="24"/>
      <c r="H819" s="51">
        <f>Assumptions!$D$15</f>
        <v>0.1</v>
      </c>
      <c r="I819" s="45">
        <f>IF(AR[[#This Row],[GST applies?]] = "Yes", (AR[[#This Row],[Invoice value inc. VAT]] / 1 + AR[[#This Row],[GST %]]) * AR[[#This Row],[GST %]], 0)</f>
        <v>0</v>
      </c>
      <c r="J819" s="31">
        <f>_xlfn.XLOOKUP(AR[[#This Row],[Customer name]], Customer_master[Customer name], Customer_master[EOM or Net], 0)</f>
        <v>0</v>
      </c>
      <c r="K819" s="31">
        <f>_xlfn.XLOOKUP(AR[[#This Row],[Customer name]], Customer_master[Customer name], Customer_master[Terms days], 0)</f>
        <v>0</v>
      </c>
      <c r="L8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9" s="4"/>
      <c r="N819" s="46">
        <f>IF(AR[[#This Row],[Collection date - override (dd/mm/yyyy)]] &lt;&gt; "", AR[[#This Row],[Collection date - override (dd/mm/yyyy)]], AR[[#This Row],[Due date (dd/mm/yyyy)]])</f>
        <v>0</v>
      </c>
      <c r="O819" s="46">
        <f t="shared" si="12"/>
        <v>52</v>
      </c>
    </row>
    <row r="820" spans="3:15" x14ac:dyDescent="0.25">
      <c r="C820" s="28"/>
      <c r="D820" s="20"/>
      <c r="E820" s="4"/>
      <c r="F820" s="37"/>
      <c r="G820" s="24"/>
      <c r="H820" s="51">
        <f>Assumptions!$D$15</f>
        <v>0.1</v>
      </c>
      <c r="I820" s="45">
        <f>IF(AR[[#This Row],[GST applies?]] = "Yes", (AR[[#This Row],[Invoice value inc. VAT]] / 1 + AR[[#This Row],[GST %]]) * AR[[#This Row],[GST %]], 0)</f>
        <v>0</v>
      </c>
      <c r="J820" s="31">
        <f>_xlfn.XLOOKUP(AR[[#This Row],[Customer name]], Customer_master[Customer name], Customer_master[EOM or Net], 0)</f>
        <v>0</v>
      </c>
      <c r="K820" s="31">
        <f>_xlfn.XLOOKUP(AR[[#This Row],[Customer name]], Customer_master[Customer name], Customer_master[Terms days], 0)</f>
        <v>0</v>
      </c>
      <c r="L8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0" s="4"/>
      <c r="N820" s="46">
        <f>IF(AR[[#This Row],[Collection date - override (dd/mm/yyyy)]] &lt;&gt; "", AR[[#This Row],[Collection date - override (dd/mm/yyyy)]], AR[[#This Row],[Due date (dd/mm/yyyy)]])</f>
        <v>0</v>
      </c>
      <c r="O820" s="46">
        <f t="shared" si="12"/>
        <v>52</v>
      </c>
    </row>
    <row r="821" spans="3:15" x14ac:dyDescent="0.25">
      <c r="C821" s="28"/>
      <c r="D821" s="20"/>
      <c r="E821" s="4"/>
      <c r="F821" s="37"/>
      <c r="G821" s="24"/>
      <c r="H821" s="51">
        <f>Assumptions!$D$15</f>
        <v>0.1</v>
      </c>
      <c r="I821" s="45">
        <f>IF(AR[[#This Row],[GST applies?]] = "Yes", (AR[[#This Row],[Invoice value inc. VAT]] / 1 + AR[[#This Row],[GST %]]) * AR[[#This Row],[GST %]], 0)</f>
        <v>0</v>
      </c>
      <c r="J821" s="31">
        <f>_xlfn.XLOOKUP(AR[[#This Row],[Customer name]], Customer_master[Customer name], Customer_master[EOM or Net], 0)</f>
        <v>0</v>
      </c>
      <c r="K821" s="31">
        <f>_xlfn.XLOOKUP(AR[[#This Row],[Customer name]], Customer_master[Customer name], Customer_master[Terms days], 0)</f>
        <v>0</v>
      </c>
      <c r="L8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1" s="4"/>
      <c r="N821" s="46">
        <f>IF(AR[[#This Row],[Collection date - override (dd/mm/yyyy)]] &lt;&gt; "", AR[[#This Row],[Collection date - override (dd/mm/yyyy)]], AR[[#This Row],[Due date (dd/mm/yyyy)]])</f>
        <v>0</v>
      </c>
      <c r="O821" s="46">
        <f t="shared" si="12"/>
        <v>52</v>
      </c>
    </row>
    <row r="822" spans="3:15" x14ac:dyDescent="0.25">
      <c r="C822" s="28"/>
      <c r="D822" s="20"/>
      <c r="E822" s="4"/>
      <c r="F822" s="37"/>
      <c r="G822" s="24"/>
      <c r="H822" s="51">
        <f>Assumptions!$D$15</f>
        <v>0.1</v>
      </c>
      <c r="I822" s="45">
        <f>IF(AR[[#This Row],[GST applies?]] = "Yes", (AR[[#This Row],[Invoice value inc. VAT]] / 1 + AR[[#This Row],[GST %]]) * AR[[#This Row],[GST %]], 0)</f>
        <v>0</v>
      </c>
      <c r="J822" s="31">
        <f>_xlfn.XLOOKUP(AR[[#This Row],[Customer name]], Customer_master[Customer name], Customer_master[EOM or Net], 0)</f>
        <v>0</v>
      </c>
      <c r="K822" s="31">
        <f>_xlfn.XLOOKUP(AR[[#This Row],[Customer name]], Customer_master[Customer name], Customer_master[Terms days], 0)</f>
        <v>0</v>
      </c>
      <c r="L8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2" s="4"/>
      <c r="N822" s="46">
        <f>IF(AR[[#This Row],[Collection date - override (dd/mm/yyyy)]] &lt;&gt; "", AR[[#This Row],[Collection date - override (dd/mm/yyyy)]], AR[[#This Row],[Due date (dd/mm/yyyy)]])</f>
        <v>0</v>
      </c>
      <c r="O822" s="46">
        <f t="shared" si="12"/>
        <v>52</v>
      </c>
    </row>
    <row r="823" spans="3:15" x14ac:dyDescent="0.25">
      <c r="C823" s="28"/>
      <c r="D823" s="20"/>
      <c r="E823" s="4"/>
      <c r="F823" s="37"/>
      <c r="G823" s="24"/>
      <c r="H823" s="51">
        <f>Assumptions!$D$15</f>
        <v>0.1</v>
      </c>
      <c r="I823" s="45">
        <f>IF(AR[[#This Row],[GST applies?]] = "Yes", (AR[[#This Row],[Invoice value inc. VAT]] / 1 + AR[[#This Row],[GST %]]) * AR[[#This Row],[GST %]], 0)</f>
        <v>0</v>
      </c>
      <c r="J823" s="31">
        <f>_xlfn.XLOOKUP(AR[[#This Row],[Customer name]], Customer_master[Customer name], Customer_master[EOM or Net], 0)</f>
        <v>0</v>
      </c>
      <c r="K823" s="31">
        <f>_xlfn.XLOOKUP(AR[[#This Row],[Customer name]], Customer_master[Customer name], Customer_master[Terms days], 0)</f>
        <v>0</v>
      </c>
      <c r="L8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3" s="4"/>
      <c r="N823" s="46">
        <f>IF(AR[[#This Row],[Collection date - override (dd/mm/yyyy)]] &lt;&gt; "", AR[[#This Row],[Collection date - override (dd/mm/yyyy)]], AR[[#This Row],[Due date (dd/mm/yyyy)]])</f>
        <v>0</v>
      </c>
      <c r="O823" s="46">
        <f t="shared" si="12"/>
        <v>52</v>
      </c>
    </row>
    <row r="824" spans="3:15" x14ac:dyDescent="0.25">
      <c r="C824" s="28"/>
      <c r="D824" s="20"/>
      <c r="E824" s="4"/>
      <c r="F824" s="37"/>
      <c r="G824" s="24"/>
      <c r="H824" s="51">
        <f>Assumptions!$D$15</f>
        <v>0.1</v>
      </c>
      <c r="I824" s="45">
        <f>IF(AR[[#This Row],[GST applies?]] = "Yes", (AR[[#This Row],[Invoice value inc. VAT]] / 1 + AR[[#This Row],[GST %]]) * AR[[#This Row],[GST %]], 0)</f>
        <v>0</v>
      </c>
      <c r="J824" s="31">
        <f>_xlfn.XLOOKUP(AR[[#This Row],[Customer name]], Customer_master[Customer name], Customer_master[EOM or Net], 0)</f>
        <v>0</v>
      </c>
      <c r="K824" s="31">
        <f>_xlfn.XLOOKUP(AR[[#This Row],[Customer name]], Customer_master[Customer name], Customer_master[Terms days], 0)</f>
        <v>0</v>
      </c>
      <c r="L8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4" s="4"/>
      <c r="N824" s="46">
        <f>IF(AR[[#This Row],[Collection date - override (dd/mm/yyyy)]] &lt;&gt; "", AR[[#This Row],[Collection date - override (dd/mm/yyyy)]], AR[[#This Row],[Due date (dd/mm/yyyy)]])</f>
        <v>0</v>
      </c>
      <c r="O824" s="46">
        <f t="shared" si="12"/>
        <v>52</v>
      </c>
    </row>
    <row r="825" spans="3:15" x14ac:dyDescent="0.25">
      <c r="C825" s="28"/>
      <c r="D825" s="20"/>
      <c r="E825" s="4"/>
      <c r="F825" s="37"/>
      <c r="G825" s="24"/>
      <c r="H825" s="51">
        <f>Assumptions!$D$15</f>
        <v>0.1</v>
      </c>
      <c r="I825" s="45">
        <f>IF(AR[[#This Row],[GST applies?]] = "Yes", (AR[[#This Row],[Invoice value inc. VAT]] / 1 + AR[[#This Row],[GST %]]) * AR[[#This Row],[GST %]], 0)</f>
        <v>0</v>
      </c>
      <c r="J825" s="31">
        <f>_xlfn.XLOOKUP(AR[[#This Row],[Customer name]], Customer_master[Customer name], Customer_master[EOM or Net], 0)</f>
        <v>0</v>
      </c>
      <c r="K825" s="31">
        <f>_xlfn.XLOOKUP(AR[[#This Row],[Customer name]], Customer_master[Customer name], Customer_master[Terms days], 0)</f>
        <v>0</v>
      </c>
      <c r="L8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5" s="4"/>
      <c r="N825" s="46">
        <f>IF(AR[[#This Row],[Collection date - override (dd/mm/yyyy)]] &lt;&gt; "", AR[[#This Row],[Collection date - override (dd/mm/yyyy)]], AR[[#This Row],[Due date (dd/mm/yyyy)]])</f>
        <v>0</v>
      </c>
      <c r="O825" s="46">
        <f t="shared" si="12"/>
        <v>52</v>
      </c>
    </row>
    <row r="826" spans="3:15" x14ac:dyDescent="0.25">
      <c r="C826" s="28"/>
      <c r="D826" s="20"/>
      <c r="E826" s="4"/>
      <c r="F826" s="37"/>
      <c r="G826" s="24"/>
      <c r="H826" s="51">
        <f>Assumptions!$D$15</f>
        <v>0.1</v>
      </c>
      <c r="I826" s="45">
        <f>IF(AR[[#This Row],[GST applies?]] = "Yes", (AR[[#This Row],[Invoice value inc. VAT]] / 1 + AR[[#This Row],[GST %]]) * AR[[#This Row],[GST %]], 0)</f>
        <v>0</v>
      </c>
      <c r="J826" s="31">
        <f>_xlfn.XLOOKUP(AR[[#This Row],[Customer name]], Customer_master[Customer name], Customer_master[EOM or Net], 0)</f>
        <v>0</v>
      </c>
      <c r="K826" s="31">
        <f>_xlfn.XLOOKUP(AR[[#This Row],[Customer name]], Customer_master[Customer name], Customer_master[Terms days], 0)</f>
        <v>0</v>
      </c>
      <c r="L8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6" s="4"/>
      <c r="N826" s="46">
        <f>IF(AR[[#This Row],[Collection date - override (dd/mm/yyyy)]] &lt;&gt; "", AR[[#This Row],[Collection date - override (dd/mm/yyyy)]], AR[[#This Row],[Due date (dd/mm/yyyy)]])</f>
        <v>0</v>
      </c>
      <c r="O826" s="46">
        <f t="shared" si="12"/>
        <v>52</v>
      </c>
    </row>
    <row r="827" spans="3:15" x14ac:dyDescent="0.25">
      <c r="C827" s="28"/>
      <c r="D827" s="20"/>
      <c r="E827" s="4"/>
      <c r="F827" s="37"/>
      <c r="G827" s="24"/>
      <c r="H827" s="51">
        <f>Assumptions!$D$15</f>
        <v>0.1</v>
      </c>
      <c r="I827" s="45">
        <f>IF(AR[[#This Row],[GST applies?]] = "Yes", (AR[[#This Row],[Invoice value inc. VAT]] / 1 + AR[[#This Row],[GST %]]) * AR[[#This Row],[GST %]], 0)</f>
        <v>0</v>
      </c>
      <c r="J827" s="31">
        <f>_xlfn.XLOOKUP(AR[[#This Row],[Customer name]], Customer_master[Customer name], Customer_master[EOM or Net], 0)</f>
        <v>0</v>
      </c>
      <c r="K827" s="31">
        <f>_xlfn.XLOOKUP(AR[[#This Row],[Customer name]], Customer_master[Customer name], Customer_master[Terms days], 0)</f>
        <v>0</v>
      </c>
      <c r="L8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7" s="4"/>
      <c r="N827" s="46">
        <f>IF(AR[[#This Row],[Collection date - override (dd/mm/yyyy)]] &lt;&gt; "", AR[[#This Row],[Collection date - override (dd/mm/yyyy)]], AR[[#This Row],[Due date (dd/mm/yyyy)]])</f>
        <v>0</v>
      </c>
      <c r="O827" s="46">
        <f t="shared" si="12"/>
        <v>52</v>
      </c>
    </row>
    <row r="828" spans="3:15" x14ac:dyDescent="0.25">
      <c r="C828" s="28"/>
      <c r="D828" s="20"/>
      <c r="E828" s="4"/>
      <c r="F828" s="37"/>
      <c r="G828" s="24"/>
      <c r="H828" s="51">
        <f>Assumptions!$D$15</f>
        <v>0.1</v>
      </c>
      <c r="I828" s="45">
        <f>IF(AR[[#This Row],[GST applies?]] = "Yes", (AR[[#This Row],[Invoice value inc. VAT]] / 1 + AR[[#This Row],[GST %]]) * AR[[#This Row],[GST %]], 0)</f>
        <v>0</v>
      </c>
      <c r="J828" s="31">
        <f>_xlfn.XLOOKUP(AR[[#This Row],[Customer name]], Customer_master[Customer name], Customer_master[EOM or Net], 0)</f>
        <v>0</v>
      </c>
      <c r="K828" s="31">
        <f>_xlfn.XLOOKUP(AR[[#This Row],[Customer name]], Customer_master[Customer name], Customer_master[Terms days], 0)</f>
        <v>0</v>
      </c>
      <c r="L8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8" s="4"/>
      <c r="N828" s="46">
        <f>IF(AR[[#This Row],[Collection date - override (dd/mm/yyyy)]] &lt;&gt; "", AR[[#This Row],[Collection date - override (dd/mm/yyyy)]], AR[[#This Row],[Due date (dd/mm/yyyy)]])</f>
        <v>0</v>
      </c>
      <c r="O828" s="46">
        <f t="shared" si="12"/>
        <v>52</v>
      </c>
    </row>
    <row r="829" spans="3:15" x14ac:dyDescent="0.25">
      <c r="C829" s="28"/>
      <c r="D829" s="20"/>
      <c r="E829" s="4"/>
      <c r="F829" s="37"/>
      <c r="G829" s="24"/>
      <c r="H829" s="51">
        <f>Assumptions!$D$15</f>
        <v>0.1</v>
      </c>
      <c r="I829" s="45">
        <f>IF(AR[[#This Row],[GST applies?]] = "Yes", (AR[[#This Row],[Invoice value inc. VAT]] / 1 + AR[[#This Row],[GST %]]) * AR[[#This Row],[GST %]], 0)</f>
        <v>0</v>
      </c>
      <c r="J829" s="31">
        <f>_xlfn.XLOOKUP(AR[[#This Row],[Customer name]], Customer_master[Customer name], Customer_master[EOM or Net], 0)</f>
        <v>0</v>
      </c>
      <c r="K829" s="31">
        <f>_xlfn.XLOOKUP(AR[[#This Row],[Customer name]], Customer_master[Customer name], Customer_master[Terms days], 0)</f>
        <v>0</v>
      </c>
      <c r="L8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9" s="4"/>
      <c r="N829" s="46">
        <f>IF(AR[[#This Row],[Collection date - override (dd/mm/yyyy)]] &lt;&gt; "", AR[[#This Row],[Collection date - override (dd/mm/yyyy)]], AR[[#This Row],[Due date (dd/mm/yyyy)]])</f>
        <v>0</v>
      </c>
      <c r="O829" s="46">
        <f t="shared" si="12"/>
        <v>52</v>
      </c>
    </row>
    <row r="830" spans="3:15" x14ac:dyDescent="0.25">
      <c r="C830" s="28"/>
      <c r="D830" s="20"/>
      <c r="E830" s="4"/>
      <c r="F830" s="37"/>
      <c r="G830" s="24"/>
      <c r="H830" s="51">
        <f>Assumptions!$D$15</f>
        <v>0.1</v>
      </c>
      <c r="I830" s="45">
        <f>IF(AR[[#This Row],[GST applies?]] = "Yes", (AR[[#This Row],[Invoice value inc. VAT]] / 1 + AR[[#This Row],[GST %]]) * AR[[#This Row],[GST %]], 0)</f>
        <v>0</v>
      </c>
      <c r="J830" s="31">
        <f>_xlfn.XLOOKUP(AR[[#This Row],[Customer name]], Customer_master[Customer name], Customer_master[EOM or Net], 0)</f>
        <v>0</v>
      </c>
      <c r="K830" s="31">
        <f>_xlfn.XLOOKUP(AR[[#This Row],[Customer name]], Customer_master[Customer name], Customer_master[Terms days], 0)</f>
        <v>0</v>
      </c>
      <c r="L8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0" s="4"/>
      <c r="N830" s="46">
        <f>IF(AR[[#This Row],[Collection date - override (dd/mm/yyyy)]] &lt;&gt; "", AR[[#This Row],[Collection date - override (dd/mm/yyyy)]], AR[[#This Row],[Due date (dd/mm/yyyy)]])</f>
        <v>0</v>
      </c>
      <c r="O830" s="46">
        <f t="shared" si="12"/>
        <v>52</v>
      </c>
    </row>
    <row r="831" spans="3:15" x14ac:dyDescent="0.25">
      <c r="C831" s="28"/>
      <c r="D831" s="20"/>
      <c r="E831" s="4"/>
      <c r="F831" s="37"/>
      <c r="G831" s="24"/>
      <c r="H831" s="51">
        <f>Assumptions!$D$15</f>
        <v>0.1</v>
      </c>
      <c r="I831" s="45">
        <f>IF(AR[[#This Row],[GST applies?]] = "Yes", (AR[[#This Row],[Invoice value inc. VAT]] / 1 + AR[[#This Row],[GST %]]) * AR[[#This Row],[GST %]], 0)</f>
        <v>0</v>
      </c>
      <c r="J831" s="31">
        <f>_xlfn.XLOOKUP(AR[[#This Row],[Customer name]], Customer_master[Customer name], Customer_master[EOM or Net], 0)</f>
        <v>0</v>
      </c>
      <c r="K831" s="31">
        <f>_xlfn.XLOOKUP(AR[[#This Row],[Customer name]], Customer_master[Customer name], Customer_master[Terms days], 0)</f>
        <v>0</v>
      </c>
      <c r="L8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1" s="4"/>
      <c r="N831" s="46">
        <f>IF(AR[[#This Row],[Collection date - override (dd/mm/yyyy)]] &lt;&gt; "", AR[[#This Row],[Collection date - override (dd/mm/yyyy)]], AR[[#This Row],[Due date (dd/mm/yyyy)]])</f>
        <v>0</v>
      </c>
      <c r="O831" s="46">
        <f t="shared" si="12"/>
        <v>52</v>
      </c>
    </row>
    <row r="832" spans="3:15" x14ac:dyDescent="0.25">
      <c r="C832" s="28"/>
      <c r="D832" s="20"/>
      <c r="E832" s="4"/>
      <c r="F832" s="37"/>
      <c r="G832" s="24"/>
      <c r="H832" s="51">
        <f>Assumptions!$D$15</f>
        <v>0.1</v>
      </c>
      <c r="I832" s="45">
        <f>IF(AR[[#This Row],[GST applies?]] = "Yes", (AR[[#This Row],[Invoice value inc. VAT]] / 1 + AR[[#This Row],[GST %]]) * AR[[#This Row],[GST %]], 0)</f>
        <v>0</v>
      </c>
      <c r="J832" s="31">
        <f>_xlfn.XLOOKUP(AR[[#This Row],[Customer name]], Customer_master[Customer name], Customer_master[EOM or Net], 0)</f>
        <v>0</v>
      </c>
      <c r="K832" s="31">
        <f>_xlfn.XLOOKUP(AR[[#This Row],[Customer name]], Customer_master[Customer name], Customer_master[Terms days], 0)</f>
        <v>0</v>
      </c>
      <c r="L8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2" s="4"/>
      <c r="N832" s="46">
        <f>IF(AR[[#This Row],[Collection date - override (dd/mm/yyyy)]] &lt;&gt; "", AR[[#This Row],[Collection date - override (dd/mm/yyyy)]], AR[[#This Row],[Due date (dd/mm/yyyy)]])</f>
        <v>0</v>
      </c>
      <c r="O832" s="46">
        <f t="shared" si="12"/>
        <v>52</v>
      </c>
    </row>
    <row r="833" spans="3:15" x14ac:dyDescent="0.25">
      <c r="C833" s="28"/>
      <c r="D833" s="20"/>
      <c r="E833" s="4"/>
      <c r="F833" s="37"/>
      <c r="G833" s="24"/>
      <c r="H833" s="51">
        <f>Assumptions!$D$15</f>
        <v>0.1</v>
      </c>
      <c r="I833" s="45">
        <f>IF(AR[[#This Row],[GST applies?]] = "Yes", (AR[[#This Row],[Invoice value inc. VAT]] / 1 + AR[[#This Row],[GST %]]) * AR[[#This Row],[GST %]], 0)</f>
        <v>0</v>
      </c>
      <c r="J833" s="31">
        <f>_xlfn.XLOOKUP(AR[[#This Row],[Customer name]], Customer_master[Customer name], Customer_master[EOM or Net], 0)</f>
        <v>0</v>
      </c>
      <c r="K833" s="31">
        <f>_xlfn.XLOOKUP(AR[[#This Row],[Customer name]], Customer_master[Customer name], Customer_master[Terms days], 0)</f>
        <v>0</v>
      </c>
      <c r="L8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3" s="4"/>
      <c r="N833" s="46">
        <f>IF(AR[[#This Row],[Collection date - override (dd/mm/yyyy)]] &lt;&gt; "", AR[[#This Row],[Collection date - override (dd/mm/yyyy)]], AR[[#This Row],[Due date (dd/mm/yyyy)]])</f>
        <v>0</v>
      </c>
      <c r="O833" s="46">
        <f t="shared" si="12"/>
        <v>52</v>
      </c>
    </row>
    <row r="834" spans="3:15" x14ac:dyDescent="0.25">
      <c r="C834" s="28"/>
      <c r="D834" s="20"/>
      <c r="E834" s="4"/>
      <c r="F834" s="37"/>
      <c r="G834" s="24"/>
      <c r="H834" s="51">
        <f>Assumptions!$D$15</f>
        <v>0.1</v>
      </c>
      <c r="I834" s="45">
        <f>IF(AR[[#This Row],[GST applies?]] = "Yes", (AR[[#This Row],[Invoice value inc. VAT]] / 1 + AR[[#This Row],[GST %]]) * AR[[#This Row],[GST %]], 0)</f>
        <v>0</v>
      </c>
      <c r="J834" s="31">
        <f>_xlfn.XLOOKUP(AR[[#This Row],[Customer name]], Customer_master[Customer name], Customer_master[EOM or Net], 0)</f>
        <v>0</v>
      </c>
      <c r="K834" s="31">
        <f>_xlfn.XLOOKUP(AR[[#This Row],[Customer name]], Customer_master[Customer name], Customer_master[Terms days], 0)</f>
        <v>0</v>
      </c>
      <c r="L8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4" s="4"/>
      <c r="N834" s="46">
        <f>IF(AR[[#This Row],[Collection date - override (dd/mm/yyyy)]] &lt;&gt; "", AR[[#This Row],[Collection date - override (dd/mm/yyyy)]], AR[[#This Row],[Due date (dd/mm/yyyy)]])</f>
        <v>0</v>
      </c>
      <c r="O834" s="46">
        <f t="shared" si="12"/>
        <v>52</v>
      </c>
    </row>
    <row r="835" spans="3:15" x14ac:dyDescent="0.25">
      <c r="C835" s="28"/>
      <c r="D835" s="20"/>
      <c r="E835" s="4"/>
      <c r="F835" s="37"/>
      <c r="G835" s="24"/>
      <c r="H835" s="51">
        <f>Assumptions!$D$15</f>
        <v>0.1</v>
      </c>
      <c r="I835" s="45">
        <f>IF(AR[[#This Row],[GST applies?]] = "Yes", (AR[[#This Row],[Invoice value inc. VAT]] / 1 + AR[[#This Row],[GST %]]) * AR[[#This Row],[GST %]], 0)</f>
        <v>0</v>
      </c>
      <c r="J835" s="31">
        <f>_xlfn.XLOOKUP(AR[[#This Row],[Customer name]], Customer_master[Customer name], Customer_master[EOM or Net], 0)</f>
        <v>0</v>
      </c>
      <c r="K835" s="31">
        <f>_xlfn.XLOOKUP(AR[[#This Row],[Customer name]], Customer_master[Customer name], Customer_master[Terms days], 0)</f>
        <v>0</v>
      </c>
      <c r="L8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5" s="4"/>
      <c r="N835" s="46">
        <f>IF(AR[[#This Row],[Collection date - override (dd/mm/yyyy)]] &lt;&gt; "", AR[[#This Row],[Collection date - override (dd/mm/yyyy)]], AR[[#This Row],[Due date (dd/mm/yyyy)]])</f>
        <v>0</v>
      </c>
      <c r="O835" s="46">
        <f t="shared" si="12"/>
        <v>52</v>
      </c>
    </row>
    <row r="836" spans="3:15" x14ac:dyDescent="0.25">
      <c r="C836" s="28"/>
      <c r="D836" s="20"/>
      <c r="E836" s="4"/>
      <c r="F836" s="37"/>
      <c r="G836" s="24"/>
      <c r="H836" s="51">
        <f>Assumptions!$D$15</f>
        <v>0.1</v>
      </c>
      <c r="I836" s="45">
        <f>IF(AR[[#This Row],[GST applies?]] = "Yes", (AR[[#This Row],[Invoice value inc. VAT]] / 1 + AR[[#This Row],[GST %]]) * AR[[#This Row],[GST %]], 0)</f>
        <v>0</v>
      </c>
      <c r="J836" s="31">
        <f>_xlfn.XLOOKUP(AR[[#This Row],[Customer name]], Customer_master[Customer name], Customer_master[EOM or Net], 0)</f>
        <v>0</v>
      </c>
      <c r="K836" s="31">
        <f>_xlfn.XLOOKUP(AR[[#This Row],[Customer name]], Customer_master[Customer name], Customer_master[Terms days], 0)</f>
        <v>0</v>
      </c>
      <c r="L8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6" s="4"/>
      <c r="N836" s="46">
        <f>IF(AR[[#This Row],[Collection date - override (dd/mm/yyyy)]] &lt;&gt; "", AR[[#This Row],[Collection date - override (dd/mm/yyyy)]], AR[[#This Row],[Due date (dd/mm/yyyy)]])</f>
        <v>0</v>
      </c>
      <c r="O836" s="46">
        <f t="shared" si="12"/>
        <v>52</v>
      </c>
    </row>
    <row r="837" spans="3:15" x14ac:dyDescent="0.25">
      <c r="C837" s="28"/>
      <c r="D837" s="20"/>
      <c r="E837" s="4"/>
      <c r="F837" s="37"/>
      <c r="G837" s="24"/>
      <c r="H837" s="51">
        <f>Assumptions!$D$15</f>
        <v>0.1</v>
      </c>
      <c r="I837" s="45">
        <f>IF(AR[[#This Row],[GST applies?]] = "Yes", (AR[[#This Row],[Invoice value inc. VAT]] / 1 + AR[[#This Row],[GST %]]) * AR[[#This Row],[GST %]], 0)</f>
        <v>0</v>
      </c>
      <c r="J837" s="31">
        <f>_xlfn.XLOOKUP(AR[[#This Row],[Customer name]], Customer_master[Customer name], Customer_master[EOM or Net], 0)</f>
        <v>0</v>
      </c>
      <c r="K837" s="31">
        <f>_xlfn.XLOOKUP(AR[[#This Row],[Customer name]], Customer_master[Customer name], Customer_master[Terms days], 0)</f>
        <v>0</v>
      </c>
      <c r="L8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7" s="4"/>
      <c r="N837" s="46">
        <f>IF(AR[[#This Row],[Collection date - override (dd/mm/yyyy)]] &lt;&gt; "", AR[[#This Row],[Collection date - override (dd/mm/yyyy)]], AR[[#This Row],[Due date (dd/mm/yyyy)]])</f>
        <v>0</v>
      </c>
      <c r="O837" s="46">
        <f t="shared" si="12"/>
        <v>52</v>
      </c>
    </row>
    <row r="838" spans="3:15" x14ac:dyDescent="0.25">
      <c r="C838" s="28"/>
      <c r="D838" s="20"/>
      <c r="E838" s="4"/>
      <c r="F838" s="37"/>
      <c r="G838" s="24"/>
      <c r="H838" s="51">
        <f>Assumptions!$D$15</f>
        <v>0.1</v>
      </c>
      <c r="I838" s="45">
        <f>IF(AR[[#This Row],[GST applies?]] = "Yes", (AR[[#This Row],[Invoice value inc. VAT]] / 1 + AR[[#This Row],[GST %]]) * AR[[#This Row],[GST %]], 0)</f>
        <v>0</v>
      </c>
      <c r="J838" s="31">
        <f>_xlfn.XLOOKUP(AR[[#This Row],[Customer name]], Customer_master[Customer name], Customer_master[EOM or Net], 0)</f>
        <v>0</v>
      </c>
      <c r="K838" s="31">
        <f>_xlfn.XLOOKUP(AR[[#This Row],[Customer name]], Customer_master[Customer name], Customer_master[Terms days], 0)</f>
        <v>0</v>
      </c>
      <c r="L8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8" s="4"/>
      <c r="N838" s="46">
        <f>IF(AR[[#This Row],[Collection date - override (dd/mm/yyyy)]] &lt;&gt; "", AR[[#This Row],[Collection date - override (dd/mm/yyyy)]], AR[[#This Row],[Due date (dd/mm/yyyy)]])</f>
        <v>0</v>
      </c>
      <c r="O838" s="46">
        <f t="shared" si="12"/>
        <v>52</v>
      </c>
    </row>
    <row r="839" spans="3:15" x14ac:dyDescent="0.25">
      <c r="C839" s="28"/>
      <c r="D839" s="20"/>
      <c r="E839" s="4"/>
      <c r="F839" s="37"/>
      <c r="G839" s="24"/>
      <c r="H839" s="51">
        <f>Assumptions!$D$15</f>
        <v>0.1</v>
      </c>
      <c r="I839" s="45">
        <f>IF(AR[[#This Row],[GST applies?]] = "Yes", (AR[[#This Row],[Invoice value inc. VAT]] / 1 + AR[[#This Row],[GST %]]) * AR[[#This Row],[GST %]], 0)</f>
        <v>0</v>
      </c>
      <c r="J839" s="31">
        <f>_xlfn.XLOOKUP(AR[[#This Row],[Customer name]], Customer_master[Customer name], Customer_master[EOM or Net], 0)</f>
        <v>0</v>
      </c>
      <c r="K839" s="31">
        <f>_xlfn.XLOOKUP(AR[[#This Row],[Customer name]], Customer_master[Customer name], Customer_master[Terms days], 0)</f>
        <v>0</v>
      </c>
      <c r="L8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9" s="4"/>
      <c r="N839" s="46">
        <f>IF(AR[[#This Row],[Collection date - override (dd/mm/yyyy)]] &lt;&gt; "", AR[[#This Row],[Collection date - override (dd/mm/yyyy)]], AR[[#This Row],[Due date (dd/mm/yyyy)]])</f>
        <v>0</v>
      </c>
      <c r="O839" s="46">
        <f t="shared" si="12"/>
        <v>52</v>
      </c>
    </row>
    <row r="840" spans="3:15" x14ac:dyDescent="0.25">
      <c r="C840" s="28"/>
      <c r="D840" s="20"/>
      <c r="E840" s="4"/>
      <c r="F840" s="37"/>
      <c r="G840" s="24"/>
      <c r="H840" s="51">
        <f>Assumptions!$D$15</f>
        <v>0.1</v>
      </c>
      <c r="I840" s="45">
        <f>IF(AR[[#This Row],[GST applies?]] = "Yes", (AR[[#This Row],[Invoice value inc. VAT]] / 1 + AR[[#This Row],[GST %]]) * AR[[#This Row],[GST %]], 0)</f>
        <v>0</v>
      </c>
      <c r="J840" s="31">
        <f>_xlfn.XLOOKUP(AR[[#This Row],[Customer name]], Customer_master[Customer name], Customer_master[EOM or Net], 0)</f>
        <v>0</v>
      </c>
      <c r="K840" s="31">
        <f>_xlfn.XLOOKUP(AR[[#This Row],[Customer name]], Customer_master[Customer name], Customer_master[Terms days], 0)</f>
        <v>0</v>
      </c>
      <c r="L8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0" s="4"/>
      <c r="N840" s="46">
        <f>IF(AR[[#This Row],[Collection date - override (dd/mm/yyyy)]] &lt;&gt; "", AR[[#This Row],[Collection date - override (dd/mm/yyyy)]], AR[[#This Row],[Due date (dd/mm/yyyy)]])</f>
        <v>0</v>
      </c>
      <c r="O840" s="46">
        <f t="shared" si="12"/>
        <v>52</v>
      </c>
    </row>
    <row r="841" spans="3:15" x14ac:dyDescent="0.25">
      <c r="C841" s="28"/>
      <c r="D841" s="20"/>
      <c r="E841" s="4"/>
      <c r="F841" s="37"/>
      <c r="G841" s="24"/>
      <c r="H841" s="51">
        <f>Assumptions!$D$15</f>
        <v>0.1</v>
      </c>
      <c r="I841" s="45">
        <f>IF(AR[[#This Row],[GST applies?]] = "Yes", (AR[[#This Row],[Invoice value inc. VAT]] / 1 + AR[[#This Row],[GST %]]) * AR[[#This Row],[GST %]], 0)</f>
        <v>0</v>
      </c>
      <c r="J841" s="31">
        <f>_xlfn.XLOOKUP(AR[[#This Row],[Customer name]], Customer_master[Customer name], Customer_master[EOM or Net], 0)</f>
        <v>0</v>
      </c>
      <c r="K841" s="31">
        <f>_xlfn.XLOOKUP(AR[[#This Row],[Customer name]], Customer_master[Customer name], Customer_master[Terms days], 0)</f>
        <v>0</v>
      </c>
      <c r="L8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1" s="4"/>
      <c r="N841" s="46">
        <f>IF(AR[[#This Row],[Collection date - override (dd/mm/yyyy)]] &lt;&gt; "", AR[[#This Row],[Collection date - override (dd/mm/yyyy)]], AR[[#This Row],[Due date (dd/mm/yyyy)]])</f>
        <v>0</v>
      </c>
      <c r="O841" s="46">
        <f t="shared" ref="O841:O904" si="13">IF(GST_Freq="Monthly",
    DATE(YEAR(E841), MONTH(E841) + 1, 21),
    IF(GST_Freq="Quarterly",
        IF(MOD(MONTH(E841) + 2 - MOD(MOD(MONTH(E841) - GST_First_Month, 12), 3), 12) = 0,
            DATE(YEAR(E841), MONTH(E841) + 4 - MOD(MOD(MONTH(E841) - GST_First_Month, 12), 3), 28),
            DATE(YEAR(E841), MONTH(E841) + 3 - MOD(MOD(MONTH(E841) - GST_First_Month, 12), 3), 28)
        ),
        "Invalid frequency"
    )
)</f>
        <v>52</v>
      </c>
    </row>
    <row r="842" spans="3:15" x14ac:dyDescent="0.25">
      <c r="C842" s="28"/>
      <c r="D842" s="20"/>
      <c r="E842" s="4"/>
      <c r="F842" s="37"/>
      <c r="G842" s="24"/>
      <c r="H842" s="51">
        <f>Assumptions!$D$15</f>
        <v>0.1</v>
      </c>
      <c r="I842" s="45">
        <f>IF(AR[[#This Row],[GST applies?]] = "Yes", (AR[[#This Row],[Invoice value inc. VAT]] / 1 + AR[[#This Row],[GST %]]) * AR[[#This Row],[GST %]], 0)</f>
        <v>0</v>
      </c>
      <c r="J842" s="31">
        <f>_xlfn.XLOOKUP(AR[[#This Row],[Customer name]], Customer_master[Customer name], Customer_master[EOM or Net], 0)</f>
        <v>0</v>
      </c>
      <c r="K842" s="31">
        <f>_xlfn.XLOOKUP(AR[[#This Row],[Customer name]], Customer_master[Customer name], Customer_master[Terms days], 0)</f>
        <v>0</v>
      </c>
      <c r="L8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2" s="4"/>
      <c r="N842" s="46">
        <f>IF(AR[[#This Row],[Collection date - override (dd/mm/yyyy)]] &lt;&gt; "", AR[[#This Row],[Collection date - override (dd/mm/yyyy)]], AR[[#This Row],[Due date (dd/mm/yyyy)]])</f>
        <v>0</v>
      </c>
      <c r="O842" s="46">
        <f t="shared" si="13"/>
        <v>52</v>
      </c>
    </row>
    <row r="843" spans="3:15" x14ac:dyDescent="0.25">
      <c r="C843" s="28"/>
      <c r="D843" s="20"/>
      <c r="E843" s="4"/>
      <c r="F843" s="37"/>
      <c r="G843" s="24"/>
      <c r="H843" s="51">
        <f>Assumptions!$D$15</f>
        <v>0.1</v>
      </c>
      <c r="I843" s="45">
        <f>IF(AR[[#This Row],[GST applies?]] = "Yes", (AR[[#This Row],[Invoice value inc. VAT]] / 1 + AR[[#This Row],[GST %]]) * AR[[#This Row],[GST %]], 0)</f>
        <v>0</v>
      </c>
      <c r="J843" s="31">
        <f>_xlfn.XLOOKUP(AR[[#This Row],[Customer name]], Customer_master[Customer name], Customer_master[EOM or Net], 0)</f>
        <v>0</v>
      </c>
      <c r="K843" s="31">
        <f>_xlfn.XLOOKUP(AR[[#This Row],[Customer name]], Customer_master[Customer name], Customer_master[Terms days], 0)</f>
        <v>0</v>
      </c>
      <c r="L8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3" s="4"/>
      <c r="N843" s="46">
        <f>IF(AR[[#This Row],[Collection date - override (dd/mm/yyyy)]] &lt;&gt; "", AR[[#This Row],[Collection date - override (dd/mm/yyyy)]], AR[[#This Row],[Due date (dd/mm/yyyy)]])</f>
        <v>0</v>
      </c>
      <c r="O843" s="46">
        <f t="shared" si="13"/>
        <v>52</v>
      </c>
    </row>
    <row r="844" spans="3:15" x14ac:dyDescent="0.25">
      <c r="C844" s="28"/>
      <c r="D844" s="20"/>
      <c r="E844" s="4"/>
      <c r="F844" s="37"/>
      <c r="G844" s="24"/>
      <c r="H844" s="51">
        <f>Assumptions!$D$15</f>
        <v>0.1</v>
      </c>
      <c r="I844" s="45">
        <f>IF(AR[[#This Row],[GST applies?]] = "Yes", (AR[[#This Row],[Invoice value inc. VAT]] / 1 + AR[[#This Row],[GST %]]) * AR[[#This Row],[GST %]], 0)</f>
        <v>0</v>
      </c>
      <c r="J844" s="31">
        <f>_xlfn.XLOOKUP(AR[[#This Row],[Customer name]], Customer_master[Customer name], Customer_master[EOM or Net], 0)</f>
        <v>0</v>
      </c>
      <c r="K844" s="31">
        <f>_xlfn.XLOOKUP(AR[[#This Row],[Customer name]], Customer_master[Customer name], Customer_master[Terms days], 0)</f>
        <v>0</v>
      </c>
      <c r="L8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4" s="4"/>
      <c r="N844" s="46">
        <f>IF(AR[[#This Row],[Collection date - override (dd/mm/yyyy)]] &lt;&gt; "", AR[[#This Row],[Collection date - override (dd/mm/yyyy)]], AR[[#This Row],[Due date (dd/mm/yyyy)]])</f>
        <v>0</v>
      </c>
      <c r="O844" s="46">
        <f t="shared" si="13"/>
        <v>52</v>
      </c>
    </row>
    <row r="845" spans="3:15" x14ac:dyDescent="0.25">
      <c r="C845" s="28"/>
      <c r="D845" s="20"/>
      <c r="E845" s="4"/>
      <c r="F845" s="37"/>
      <c r="G845" s="24"/>
      <c r="H845" s="51">
        <f>Assumptions!$D$15</f>
        <v>0.1</v>
      </c>
      <c r="I845" s="45">
        <f>IF(AR[[#This Row],[GST applies?]] = "Yes", (AR[[#This Row],[Invoice value inc. VAT]] / 1 + AR[[#This Row],[GST %]]) * AR[[#This Row],[GST %]], 0)</f>
        <v>0</v>
      </c>
      <c r="J845" s="31">
        <f>_xlfn.XLOOKUP(AR[[#This Row],[Customer name]], Customer_master[Customer name], Customer_master[EOM or Net], 0)</f>
        <v>0</v>
      </c>
      <c r="K845" s="31">
        <f>_xlfn.XLOOKUP(AR[[#This Row],[Customer name]], Customer_master[Customer name], Customer_master[Terms days], 0)</f>
        <v>0</v>
      </c>
      <c r="L8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5" s="4"/>
      <c r="N845" s="46">
        <f>IF(AR[[#This Row],[Collection date - override (dd/mm/yyyy)]] &lt;&gt; "", AR[[#This Row],[Collection date - override (dd/mm/yyyy)]], AR[[#This Row],[Due date (dd/mm/yyyy)]])</f>
        <v>0</v>
      </c>
      <c r="O845" s="46">
        <f t="shared" si="13"/>
        <v>52</v>
      </c>
    </row>
    <row r="846" spans="3:15" x14ac:dyDescent="0.25">
      <c r="C846" s="28"/>
      <c r="D846" s="20"/>
      <c r="E846" s="4"/>
      <c r="F846" s="37"/>
      <c r="G846" s="24"/>
      <c r="H846" s="51">
        <f>Assumptions!$D$15</f>
        <v>0.1</v>
      </c>
      <c r="I846" s="45">
        <f>IF(AR[[#This Row],[GST applies?]] = "Yes", (AR[[#This Row],[Invoice value inc. VAT]] / 1 + AR[[#This Row],[GST %]]) * AR[[#This Row],[GST %]], 0)</f>
        <v>0</v>
      </c>
      <c r="J846" s="31">
        <f>_xlfn.XLOOKUP(AR[[#This Row],[Customer name]], Customer_master[Customer name], Customer_master[EOM or Net], 0)</f>
        <v>0</v>
      </c>
      <c r="K846" s="31">
        <f>_xlfn.XLOOKUP(AR[[#This Row],[Customer name]], Customer_master[Customer name], Customer_master[Terms days], 0)</f>
        <v>0</v>
      </c>
      <c r="L8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6" s="4"/>
      <c r="N846" s="46">
        <f>IF(AR[[#This Row],[Collection date - override (dd/mm/yyyy)]] &lt;&gt; "", AR[[#This Row],[Collection date - override (dd/mm/yyyy)]], AR[[#This Row],[Due date (dd/mm/yyyy)]])</f>
        <v>0</v>
      </c>
      <c r="O846" s="46">
        <f t="shared" si="13"/>
        <v>52</v>
      </c>
    </row>
    <row r="847" spans="3:15" x14ac:dyDescent="0.25">
      <c r="C847" s="28"/>
      <c r="D847" s="20"/>
      <c r="E847" s="4"/>
      <c r="F847" s="37"/>
      <c r="G847" s="24"/>
      <c r="H847" s="51">
        <f>Assumptions!$D$15</f>
        <v>0.1</v>
      </c>
      <c r="I847" s="45">
        <f>IF(AR[[#This Row],[GST applies?]] = "Yes", (AR[[#This Row],[Invoice value inc. VAT]] / 1 + AR[[#This Row],[GST %]]) * AR[[#This Row],[GST %]], 0)</f>
        <v>0</v>
      </c>
      <c r="J847" s="31">
        <f>_xlfn.XLOOKUP(AR[[#This Row],[Customer name]], Customer_master[Customer name], Customer_master[EOM or Net], 0)</f>
        <v>0</v>
      </c>
      <c r="K847" s="31">
        <f>_xlfn.XLOOKUP(AR[[#This Row],[Customer name]], Customer_master[Customer name], Customer_master[Terms days], 0)</f>
        <v>0</v>
      </c>
      <c r="L8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7" s="4"/>
      <c r="N847" s="46">
        <f>IF(AR[[#This Row],[Collection date - override (dd/mm/yyyy)]] &lt;&gt; "", AR[[#This Row],[Collection date - override (dd/mm/yyyy)]], AR[[#This Row],[Due date (dd/mm/yyyy)]])</f>
        <v>0</v>
      </c>
      <c r="O847" s="46">
        <f t="shared" si="13"/>
        <v>52</v>
      </c>
    </row>
    <row r="848" spans="3:15" x14ac:dyDescent="0.25">
      <c r="C848" s="28"/>
      <c r="D848" s="20"/>
      <c r="E848" s="4"/>
      <c r="F848" s="37"/>
      <c r="G848" s="24"/>
      <c r="H848" s="51">
        <f>Assumptions!$D$15</f>
        <v>0.1</v>
      </c>
      <c r="I848" s="45">
        <f>IF(AR[[#This Row],[GST applies?]] = "Yes", (AR[[#This Row],[Invoice value inc. VAT]] / 1 + AR[[#This Row],[GST %]]) * AR[[#This Row],[GST %]], 0)</f>
        <v>0</v>
      </c>
      <c r="J848" s="31">
        <f>_xlfn.XLOOKUP(AR[[#This Row],[Customer name]], Customer_master[Customer name], Customer_master[EOM or Net], 0)</f>
        <v>0</v>
      </c>
      <c r="K848" s="31">
        <f>_xlfn.XLOOKUP(AR[[#This Row],[Customer name]], Customer_master[Customer name], Customer_master[Terms days], 0)</f>
        <v>0</v>
      </c>
      <c r="L8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8" s="4"/>
      <c r="N848" s="46">
        <f>IF(AR[[#This Row],[Collection date - override (dd/mm/yyyy)]] &lt;&gt; "", AR[[#This Row],[Collection date - override (dd/mm/yyyy)]], AR[[#This Row],[Due date (dd/mm/yyyy)]])</f>
        <v>0</v>
      </c>
      <c r="O848" s="46">
        <f t="shared" si="13"/>
        <v>52</v>
      </c>
    </row>
    <row r="849" spans="3:15" x14ac:dyDescent="0.25">
      <c r="C849" s="28"/>
      <c r="D849" s="20"/>
      <c r="E849" s="4"/>
      <c r="F849" s="37"/>
      <c r="G849" s="24"/>
      <c r="H849" s="51">
        <f>Assumptions!$D$15</f>
        <v>0.1</v>
      </c>
      <c r="I849" s="45">
        <f>IF(AR[[#This Row],[GST applies?]] = "Yes", (AR[[#This Row],[Invoice value inc. VAT]] / 1 + AR[[#This Row],[GST %]]) * AR[[#This Row],[GST %]], 0)</f>
        <v>0</v>
      </c>
      <c r="J849" s="31">
        <f>_xlfn.XLOOKUP(AR[[#This Row],[Customer name]], Customer_master[Customer name], Customer_master[EOM or Net], 0)</f>
        <v>0</v>
      </c>
      <c r="K849" s="31">
        <f>_xlfn.XLOOKUP(AR[[#This Row],[Customer name]], Customer_master[Customer name], Customer_master[Terms days], 0)</f>
        <v>0</v>
      </c>
      <c r="L8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9" s="4"/>
      <c r="N849" s="46">
        <f>IF(AR[[#This Row],[Collection date - override (dd/mm/yyyy)]] &lt;&gt; "", AR[[#This Row],[Collection date - override (dd/mm/yyyy)]], AR[[#This Row],[Due date (dd/mm/yyyy)]])</f>
        <v>0</v>
      </c>
      <c r="O849" s="46">
        <f t="shared" si="13"/>
        <v>52</v>
      </c>
    </row>
    <row r="850" spans="3:15" x14ac:dyDescent="0.25">
      <c r="C850" s="28"/>
      <c r="D850" s="20"/>
      <c r="E850" s="4"/>
      <c r="F850" s="37"/>
      <c r="G850" s="24"/>
      <c r="H850" s="51">
        <f>Assumptions!$D$15</f>
        <v>0.1</v>
      </c>
      <c r="I850" s="45">
        <f>IF(AR[[#This Row],[GST applies?]] = "Yes", (AR[[#This Row],[Invoice value inc. VAT]] / 1 + AR[[#This Row],[GST %]]) * AR[[#This Row],[GST %]], 0)</f>
        <v>0</v>
      </c>
      <c r="J850" s="31">
        <f>_xlfn.XLOOKUP(AR[[#This Row],[Customer name]], Customer_master[Customer name], Customer_master[EOM or Net], 0)</f>
        <v>0</v>
      </c>
      <c r="K850" s="31">
        <f>_xlfn.XLOOKUP(AR[[#This Row],[Customer name]], Customer_master[Customer name], Customer_master[Terms days], 0)</f>
        <v>0</v>
      </c>
      <c r="L8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0" s="4"/>
      <c r="N850" s="46">
        <f>IF(AR[[#This Row],[Collection date - override (dd/mm/yyyy)]] &lt;&gt; "", AR[[#This Row],[Collection date - override (dd/mm/yyyy)]], AR[[#This Row],[Due date (dd/mm/yyyy)]])</f>
        <v>0</v>
      </c>
      <c r="O850" s="46">
        <f t="shared" si="13"/>
        <v>52</v>
      </c>
    </row>
    <row r="851" spans="3:15" x14ac:dyDescent="0.25">
      <c r="C851" s="28"/>
      <c r="D851" s="20"/>
      <c r="E851" s="4"/>
      <c r="F851" s="37"/>
      <c r="G851" s="24"/>
      <c r="H851" s="51">
        <f>Assumptions!$D$15</f>
        <v>0.1</v>
      </c>
      <c r="I851" s="45">
        <f>IF(AR[[#This Row],[GST applies?]] = "Yes", (AR[[#This Row],[Invoice value inc. VAT]] / 1 + AR[[#This Row],[GST %]]) * AR[[#This Row],[GST %]], 0)</f>
        <v>0</v>
      </c>
      <c r="J851" s="31">
        <f>_xlfn.XLOOKUP(AR[[#This Row],[Customer name]], Customer_master[Customer name], Customer_master[EOM or Net], 0)</f>
        <v>0</v>
      </c>
      <c r="K851" s="31">
        <f>_xlfn.XLOOKUP(AR[[#This Row],[Customer name]], Customer_master[Customer name], Customer_master[Terms days], 0)</f>
        <v>0</v>
      </c>
      <c r="L8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1" s="4"/>
      <c r="N851" s="46">
        <f>IF(AR[[#This Row],[Collection date - override (dd/mm/yyyy)]] &lt;&gt; "", AR[[#This Row],[Collection date - override (dd/mm/yyyy)]], AR[[#This Row],[Due date (dd/mm/yyyy)]])</f>
        <v>0</v>
      </c>
      <c r="O851" s="46">
        <f t="shared" si="13"/>
        <v>52</v>
      </c>
    </row>
    <row r="852" spans="3:15" x14ac:dyDescent="0.25">
      <c r="C852" s="28"/>
      <c r="D852" s="20"/>
      <c r="E852" s="4"/>
      <c r="F852" s="37"/>
      <c r="G852" s="24"/>
      <c r="H852" s="51">
        <f>Assumptions!$D$15</f>
        <v>0.1</v>
      </c>
      <c r="I852" s="45">
        <f>IF(AR[[#This Row],[GST applies?]] = "Yes", (AR[[#This Row],[Invoice value inc. VAT]] / 1 + AR[[#This Row],[GST %]]) * AR[[#This Row],[GST %]], 0)</f>
        <v>0</v>
      </c>
      <c r="J852" s="31">
        <f>_xlfn.XLOOKUP(AR[[#This Row],[Customer name]], Customer_master[Customer name], Customer_master[EOM or Net], 0)</f>
        <v>0</v>
      </c>
      <c r="K852" s="31">
        <f>_xlfn.XLOOKUP(AR[[#This Row],[Customer name]], Customer_master[Customer name], Customer_master[Terms days], 0)</f>
        <v>0</v>
      </c>
      <c r="L8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2" s="4"/>
      <c r="N852" s="46">
        <f>IF(AR[[#This Row],[Collection date - override (dd/mm/yyyy)]] &lt;&gt; "", AR[[#This Row],[Collection date - override (dd/mm/yyyy)]], AR[[#This Row],[Due date (dd/mm/yyyy)]])</f>
        <v>0</v>
      </c>
      <c r="O852" s="46">
        <f t="shared" si="13"/>
        <v>52</v>
      </c>
    </row>
    <row r="853" spans="3:15" x14ac:dyDescent="0.25">
      <c r="C853" s="28"/>
      <c r="D853" s="20"/>
      <c r="E853" s="4"/>
      <c r="F853" s="37"/>
      <c r="G853" s="24"/>
      <c r="H853" s="51">
        <f>Assumptions!$D$15</f>
        <v>0.1</v>
      </c>
      <c r="I853" s="45">
        <f>IF(AR[[#This Row],[GST applies?]] = "Yes", (AR[[#This Row],[Invoice value inc. VAT]] / 1 + AR[[#This Row],[GST %]]) * AR[[#This Row],[GST %]], 0)</f>
        <v>0</v>
      </c>
      <c r="J853" s="31">
        <f>_xlfn.XLOOKUP(AR[[#This Row],[Customer name]], Customer_master[Customer name], Customer_master[EOM or Net], 0)</f>
        <v>0</v>
      </c>
      <c r="K853" s="31">
        <f>_xlfn.XLOOKUP(AR[[#This Row],[Customer name]], Customer_master[Customer name], Customer_master[Terms days], 0)</f>
        <v>0</v>
      </c>
      <c r="L8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3" s="4"/>
      <c r="N853" s="46">
        <f>IF(AR[[#This Row],[Collection date - override (dd/mm/yyyy)]] &lt;&gt; "", AR[[#This Row],[Collection date - override (dd/mm/yyyy)]], AR[[#This Row],[Due date (dd/mm/yyyy)]])</f>
        <v>0</v>
      </c>
      <c r="O853" s="46">
        <f t="shared" si="13"/>
        <v>52</v>
      </c>
    </row>
    <row r="854" spans="3:15" x14ac:dyDescent="0.25">
      <c r="C854" s="28"/>
      <c r="D854" s="20"/>
      <c r="E854" s="4"/>
      <c r="F854" s="37"/>
      <c r="G854" s="24"/>
      <c r="H854" s="51">
        <f>Assumptions!$D$15</f>
        <v>0.1</v>
      </c>
      <c r="I854" s="45">
        <f>IF(AR[[#This Row],[GST applies?]] = "Yes", (AR[[#This Row],[Invoice value inc. VAT]] / 1 + AR[[#This Row],[GST %]]) * AR[[#This Row],[GST %]], 0)</f>
        <v>0</v>
      </c>
      <c r="J854" s="31">
        <f>_xlfn.XLOOKUP(AR[[#This Row],[Customer name]], Customer_master[Customer name], Customer_master[EOM or Net], 0)</f>
        <v>0</v>
      </c>
      <c r="K854" s="31">
        <f>_xlfn.XLOOKUP(AR[[#This Row],[Customer name]], Customer_master[Customer name], Customer_master[Terms days], 0)</f>
        <v>0</v>
      </c>
      <c r="L8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4" s="4"/>
      <c r="N854" s="46">
        <f>IF(AR[[#This Row],[Collection date - override (dd/mm/yyyy)]] &lt;&gt; "", AR[[#This Row],[Collection date - override (dd/mm/yyyy)]], AR[[#This Row],[Due date (dd/mm/yyyy)]])</f>
        <v>0</v>
      </c>
      <c r="O854" s="46">
        <f t="shared" si="13"/>
        <v>52</v>
      </c>
    </row>
    <row r="855" spans="3:15" x14ac:dyDescent="0.25">
      <c r="C855" s="28"/>
      <c r="D855" s="20"/>
      <c r="E855" s="4"/>
      <c r="F855" s="37"/>
      <c r="G855" s="24"/>
      <c r="H855" s="51">
        <f>Assumptions!$D$15</f>
        <v>0.1</v>
      </c>
      <c r="I855" s="45">
        <f>IF(AR[[#This Row],[GST applies?]] = "Yes", (AR[[#This Row],[Invoice value inc. VAT]] / 1 + AR[[#This Row],[GST %]]) * AR[[#This Row],[GST %]], 0)</f>
        <v>0</v>
      </c>
      <c r="J855" s="31">
        <f>_xlfn.XLOOKUP(AR[[#This Row],[Customer name]], Customer_master[Customer name], Customer_master[EOM or Net], 0)</f>
        <v>0</v>
      </c>
      <c r="K855" s="31">
        <f>_xlfn.XLOOKUP(AR[[#This Row],[Customer name]], Customer_master[Customer name], Customer_master[Terms days], 0)</f>
        <v>0</v>
      </c>
      <c r="L8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5" s="4"/>
      <c r="N855" s="46">
        <f>IF(AR[[#This Row],[Collection date - override (dd/mm/yyyy)]] &lt;&gt; "", AR[[#This Row],[Collection date - override (dd/mm/yyyy)]], AR[[#This Row],[Due date (dd/mm/yyyy)]])</f>
        <v>0</v>
      </c>
      <c r="O855" s="46">
        <f t="shared" si="13"/>
        <v>52</v>
      </c>
    </row>
    <row r="856" spans="3:15" x14ac:dyDescent="0.25">
      <c r="C856" s="28"/>
      <c r="D856" s="20"/>
      <c r="E856" s="4"/>
      <c r="F856" s="37"/>
      <c r="G856" s="24"/>
      <c r="H856" s="51">
        <f>Assumptions!$D$15</f>
        <v>0.1</v>
      </c>
      <c r="I856" s="45">
        <f>IF(AR[[#This Row],[GST applies?]] = "Yes", (AR[[#This Row],[Invoice value inc. VAT]] / 1 + AR[[#This Row],[GST %]]) * AR[[#This Row],[GST %]], 0)</f>
        <v>0</v>
      </c>
      <c r="J856" s="31">
        <f>_xlfn.XLOOKUP(AR[[#This Row],[Customer name]], Customer_master[Customer name], Customer_master[EOM or Net], 0)</f>
        <v>0</v>
      </c>
      <c r="K856" s="31">
        <f>_xlfn.XLOOKUP(AR[[#This Row],[Customer name]], Customer_master[Customer name], Customer_master[Terms days], 0)</f>
        <v>0</v>
      </c>
      <c r="L8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6" s="4"/>
      <c r="N856" s="46">
        <f>IF(AR[[#This Row],[Collection date - override (dd/mm/yyyy)]] &lt;&gt; "", AR[[#This Row],[Collection date - override (dd/mm/yyyy)]], AR[[#This Row],[Due date (dd/mm/yyyy)]])</f>
        <v>0</v>
      </c>
      <c r="O856" s="46">
        <f t="shared" si="13"/>
        <v>52</v>
      </c>
    </row>
    <row r="857" spans="3:15" x14ac:dyDescent="0.25">
      <c r="C857" s="28"/>
      <c r="D857" s="20"/>
      <c r="E857" s="4"/>
      <c r="F857" s="37"/>
      <c r="G857" s="24"/>
      <c r="H857" s="51">
        <f>Assumptions!$D$15</f>
        <v>0.1</v>
      </c>
      <c r="I857" s="45">
        <f>IF(AR[[#This Row],[GST applies?]] = "Yes", (AR[[#This Row],[Invoice value inc. VAT]] / 1 + AR[[#This Row],[GST %]]) * AR[[#This Row],[GST %]], 0)</f>
        <v>0</v>
      </c>
      <c r="J857" s="31">
        <f>_xlfn.XLOOKUP(AR[[#This Row],[Customer name]], Customer_master[Customer name], Customer_master[EOM or Net], 0)</f>
        <v>0</v>
      </c>
      <c r="K857" s="31">
        <f>_xlfn.XLOOKUP(AR[[#This Row],[Customer name]], Customer_master[Customer name], Customer_master[Terms days], 0)</f>
        <v>0</v>
      </c>
      <c r="L8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7" s="4"/>
      <c r="N857" s="46">
        <f>IF(AR[[#This Row],[Collection date - override (dd/mm/yyyy)]] &lt;&gt; "", AR[[#This Row],[Collection date - override (dd/mm/yyyy)]], AR[[#This Row],[Due date (dd/mm/yyyy)]])</f>
        <v>0</v>
      </c>
      <c r="O857" s="46">
        <f t="shared" si="13"/>
        <v>52</v>
      </c>
    </row>
    <row r="858" spans="3:15" x14ac:dyDescent="0.25">
      <c r="C858" s="28"/>
      <c r="D858" s="20"/>
      <c r="E858" s="4"/>
      <c r="F858" s="37"/>
      <c r="G858" s="24"/>
      <c r="H858" s="51">
        <f>Assumptions!$D$15</f>
        <v>0.1</v>
      </c>
      <c r="I858" s="45">
        <f>IF(AR[[#This Row],[GST applies?]] = "Yes", (AR[[#This Row],[Invoice value inc. VAT]] / 1 + AR[[#This Row],[GST %]]) * AR[[#This Row],[GST %]], 0)</f>
        <v>0</v>
      </c>
      <c r="J858" s="31">
        <f>_xlfn.XLOOKUP(AR[[#This Row],[Customer name]], Customer_master[Customer name], Customer_master[EOM or Net], 0)</f>
        <v>0</v>
      </c>
      <c r="K858" s="31">
        <f>_xlfn.XLOOKUP(AR[[#This Row],[Customer name]], Customer_master[Customer name], Customer_master[Terms days], 0)</f>
        <v>0</v>
      </c>
      <c r="L8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8" s="4"/>
      <c r="N858" s="46">
        <f>IF(AR[[#This Row],[Collection date - override (dd/mm/yyyy)]] &lt;&gt; "", AR[[#This Row],[Collection date - override (dd/mm/yyyy)]], AR[[#This Row],[Due date (dd/mm/yyyy)]])</f>
        <v>0</v>
      </c>
      <c r="O858" s="46">
        <f t="shared" si="13"/>
        <v>52</v>
      </c>
    </row>
    <row r="859" spans="3:15" x14ac:dyDescent="0.25">
      <c r="C859" s="28"/>
      <c r="D859" s="20"/>
      <c r="E859" s="4"/>
      <c r="F859" s="37"/>
      <c r="G859" s="24"/>
      <c r="H859" s="51">
        <f>Assumptions!$D$15</f>
        <v>0.1</v>
      </c>
      <c r="I859" s="45">
        <f>IF(AR[[#This Row],[GST applies?]] = "Yes", (AR[[#This Row],[Invoice value inc. VAT]] / 1 + AR[[#This Row],[GST %]]) * AR[[#This Row],[GST %]], 0)</f>
        <v>0</v>
      </c>
      <c r="J859" s="31">
        <f>_xlfn.XLOOKUP(AR[[#This Row],[Customer name]], Customer_master[Customer name], Customer_master[EOM or Net], 0)</f>
        <v>0</v>
      </c>
      <c r="K859" s="31">
        <f>_xlfn.XLOOKUP(AR[[#This Row],[Customer name]], Customer_master[Customer name], Customer_master[Terms days], 0)</f>
        <v>0</v>
      </c>
      <c r="L8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9" s="4"/>
      <c r="N859" s="46">
        <f>IF(AR[[#This Row],[Collection date - override (dd/mm/yyyy)]] &lt;&gt; "", AR[[#This Row],[Collection date - override (dd/mm/yyyy)]], AR[[#This Row],[Due date (dd/mm/yyyy)]])</f>
        <v>0</v>
      </c>
      <c r="O859" s="46">
        <f t="shared" si="13"/>
        <v>52</v>
      </c>
    </row>
    <row r="860" spans="3:15" x14ac:dyDescent="0.25">
      <c r="C860" s="28"/>
      <c r="D860" s="20"/>
      <c r="E860" s="4"/>
      <c r="F860" s="37"/>
      <c r="G860" s="24"/>
      <c r="H860" s="51">
        <f>Assumptions!$D$15</f>
        <v>0.1</v>
      </c>
      <c r="I860" s="45">
        <f>IF(AR[[#This Row],[GST applies?]] = "Yes", (AR[[#This Row],[Invoice value inc. VAT]] / 1 + AR[[#This Row],[GST %]]) * AR[[#This Row],[GST %]], 0)</f>
        <v>0</v>
      </c>
      <c r="J860" s="31">
        <f>_xlfn.XLOOKUP(AR[[#This Row],[Customer name]], Customer_master[Customer name], Customer_master[EOM or Net], 0)</f>
        <v>0</v>
      </c>
      <c r="K860" s="31">
        <f>_xlfn.XLOOKUP(AR[[#This Row],[Customer name]], Customer_master[Customer name], Customer_master[Terms days], 0)</f>
        <v>0</v>
      </c>
      <c r="L8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0" s="4"/>
      <c r="N860" s="46">
        <f>IF(AR[[#This Row],[Collection date - override (dd/mm/yyyy)]] &lt;&gt; "", AR[[#This Row],[Collection date - override (dd/mm/yyyy)]], AR[[#This Row],[Due date (dd/mm/yyyy)]])</f>
        <v>0</v>
      </c>
      <c r="O860" s="46">
        <f t="shared" si="13"/>
        <v>52</v>
      </c>
    </row>
    <row r="861" spans="3:15" x14ac:dyDescent="0.25">
      <c r="C861" s="28"/>
      <c r="D861" s="20"/>
      <c r="E861" s="4"/>
      <c r="F861" s="37"/>
      <c r="G861" s="24"/>
      <c r="H861" s="51">
        <f>Assumptions!$D$15</f>
        <v>0.1</v>
      </c>
      <c r="I861" s="45">
        <f>IF(AR[[#This Row],[GST applies?]] = "Yes", (AR[[#This Row],[Invoice value inc. VAT]] / 1 + AR[[#This Row],[GST %]]) * AR[[#This Row],[GST %]], 0)</f>
        <v>0</v>
      </c>
      <c r="J861" s="31">
        <f>_xlfn.XLOOKUP(AR[[#This Row],[Customer name]], Customer_master[Customer name], Customer_master[EOM or Net], 0)</f>
        <v>0</v>
      </c>
      <c r="K861" s="31">
        <f>_xlfn.XLOOKUP(AR[[#This Row],[Customer name]], Customer_master[Customer name], Customer_master[Terms days], 0)</f>
        <v>0</v>
      </c>
      <c r="L8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1" s="4"/>
      <c r="N861" s="46">
        <f>IF(AR[[#This Row],[Collection date - override (dd/mm/yyyy)]] &lt;&gt; "", AR[[#This Row],[Collection date - override (dd/mm/yyyy)]], AR[[#This Row],[Due date (dd/mm/yyyy)]])</f>
        <v>0</v>
      </c>
      <c r="O861" s="46">
        <f t="shared" si="13"/>
        <v>52</v>
      </c>
    </row>
    <row r="862" spans="3:15" x14ac:dyDescent="0.25">
      <c r="C862" s="28"/>
      <c r="D862" s="20"/>
      <c r="E862" s="4"/>
      <c r="F862" s="37"/>
      <c r="G862" s="24"/>
      <c r="H862" s="51">
        <f>Assumptions!$D$15</f>
        <v>0.1</v>
      </c>
      <c r="I862" s="45">
        <f>IF(AR[[#This Row],[GST applies?]] = "Yes", (AR[[#This Row],[Invoice value inc. VAT]] / 1 + AR[[#This Row],[GST %]]) * AR[[#This Row],[GST %]], 0)</f>
        <v>0</v>
      </c>
      <c r="J862" s="31">
        <f>_xlfn.XLOOKUP(AR[[#This Row],[Customer name]], Customer_master[Customer name], Customer_master[EOM or Net], 0)</f>
        <v>0</v>
      </c>
      <c r="K862" s="31">
        <f>_xlfn.XLOOKUP(AR[[#This Row],[Customer name]], Customer_master[Customer name], Customer_master[Terms days], 0)</f>
        <v>0</v>
      </c>
      <c r="L8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2" s="4"/>
      <c r="N862" s="46">
        <f>IF(AR[[#This Row],[Collection date - override (dd/mm/yyyy)]] &lt;&gt; "", AR[[#This Row],[Collection date - override (dd/mm/yyyy)]], AR[[#This Row],[Due date (dd/mm/yyyy)]])</f>
        <v>0</v>
      </c>
      <c r="O862" s="46">
        <f t="shared" si="13"/>
        <v>52</v>
      </c>
    </row>
    <row r="863" spans="3:15" x14ac:dyDescent="0.25">
      <c r="C863" s="28"/>
      <c r="D863" s="20"/>
      <c r="E863" s="4"/>
      <c r="F863" s="37"/>
      <c r="G863" s="24"/>
      <c r="H863" s="51">
        <f>Assumptions!$D$15</f>
        <v>0.1</v>
      </c>
      <c r="I863" s="45">
        <f>IF(AR[[#This Row],[GST applies?]] = "Yes", (AR[[#This Row],[Invoice value inc. VAT]] / 1 + AR[[#This Row],[GST %]]) * AR[[#This Row],[GST %]], 0)</f>
        <v>0</v>
      </c>
      <c r="J863" s="31">
        <f>_xlfn.XLOOKUP(AR[[#This Row],[Customer name]], Customer_master[Customer name], Customer_master[EOM or Net], 0)</f>
        <v>0</v>
      </c>
      <c r="K863" s="31">
        <f>_xlfn.XLOOKUP(AR[[#This Row],[Customer name]], Customer_master[Customer name], Customer_master[Terms days], 0)</f>
        <v>0</v>
      </c>
      <c r="L8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3" s="4"/>
      <c r="N863" s="46">
        <f>IF(AR[[#This Row],[Collection date - override (dd/mm/yyyy)]] &lt;&gt; "", AR[[#This Row],[Collection date - override (dd/mm/yyyy)]], AR[[#This Row],[Due date (dd/mm/yyyy)]])</f>
        <v>0</v>
      </c>
      <c r="O863" s="46">
        <f t="shared" si="13"/>
        <v>52</v>
      </c>
    </row>
    <row r="864" spans="3:15" x14ac:dyDescent="0.25">
      <c r="C864" s="28"/>
      <c r="D864" s="20"/>
      <c r="E864" s="4"/>
      <c r="F864" s="37"/>
      <c r="G864" s="24"/>
      <c r="H864" s="51">
        <f>Assumptions!$D$15</f>
        <v>0.1</v>
      </c>
      <c r="I864" s="45">
        <f>IF(AR[[#This Row],[GST applies?]] = "Yes", (AR[[#This Row],[Invoice value inc. VAT]] / 1 + AR[[#This Row],[GST %]]) * AR[[#This Row],[GST %]], 0)</f>
        <v>0</v>
      </c>
      <c r="J864" s="31">
        <f>_xlfn.XLOOKUP(AR[[#This Row],[Customer name]], Customer_master[Customer name], Customer_master[EOM or Net], 0)</f>
        <v>0</v>
      </c>
      <c r="K864" s="31">
        <f>_xlfn.XLOOKUP(AR[[#This Row],[Customer name]], Customer_master[Customer name], Customer_master[Terms days], 0)</f>
        <v>0</v>
      </c>
      <c r="L8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4" s="4"/>
      <c r="N864" s="46">
        <f>IF(AR[[#This Row],[Collection date - override (dd/mm/yyyy)]] &lt;&gt; "", AR[[#This Row],[Collection date - override (dd/mm/yyyy)]], AR[[#This Row],[Due date (dd/mm/yyyy)]])</f>
        <v>0</v>
      </c>
      <c r="O864" s="46">
        <f t="shared" si="13"/>
        <v>52</v>
      </c>
    </row>
    <row r="865" spans="3:15" x14ac:dyDescent="0.25">
      <c r="C865" s="28"/>
      <c r="D865" s="20"/>
      <c r="E865" s="4"/>
      <c r="F865" s="37"/>
      <c r="G865" s="24"/>
      <c r="H865" s="51">
        <f>Assumptions!$D$15</f>
        <v>0.1</v>
      </c>
      <c r="I865" s="45">
        <f>IF(AR[[#This Row],[GST applies?]] = "Yes", (AR[[#This Row],[Invoice value inc. VAT]] / 1 + AR[[#This Row],[GST %]]) * AR[[#This Row],[GST %]], 0)</f>
        <v>0</v>
      </c>
      <c r="J865" s="31">
        <f>_xlfn.XLOOKUP(AR[[#This Row],[Customer name]], Customer_master[Customer name], Customer_master[EOM or Net], 0)</f>
        <v>0</v>
      </c>
      <c r="K865" s="31">
        <f>_xlfn.XLOOKUP(AR[[#This Row],[Customer name]], Customer_master[Customer name], Customer_master[Terms days], 0)</f>
        <v>0</v>
      </c>
      <c r="L8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5" s="4"/>
      <c r="N865" s="46">
        <f>IF(AR[[#This Row],[Collection date - override (dd/mm/yyyy)]] &lt;&gt; "", AR[[#This Row],[Collection date - override (dd/mm/yyyy)]], AR[[#This Row],[Due date (dd/mm/yyyy)]])</f>
        <v>0</v>
      </c>
      <c r="O865" s="46">
        <f t="shared" si="13"/>
        <v>52</v>
      </c>
    </row>
    <row r="866" spans="3:15" x14ac:dyDescent="0.25">
      <c r="C866" s="28"/>
      <c r="D866" s="20"/>
      <c r="E866" s="4"/>
      <c r="F866" s="37"/>
      <c r="G866" s="24"/>
      <c r="H866" s="51">
        <f>Assumptions!$D$15</f>
        <v>0.1</v>
      </c>
      <c r="I866" s="45">
        <f>IF(AR[[#This Row],[GST applies?]] = "Yes", (AR[[#This Row],[Invoice value inc. VAT]] / 1 + AR[[#This Row],[GST %]]) * AR[[#This Row],[GST %]], 0)</f>
        <v>0</v>
      </c>
      <c r="J866" s="31">
        <f>_xlfn.XLOOKUP(AR[[#This Row],[Customer name]], Customer_master[Customer name], Customer_master[EOM or Net], 0)</f>
        <v>0</v>
      </c>
      <c r="K866" s="31">
        <f>_xlfn.XLOOKUP(AR[[#This Row],[Customer name]], Customer_master[Customer name], Customer_master[Terms days], 0)</f>
        <v>0</v>
      </c>
      <c r="L8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6" s="4"/>
      <c r="N866" s="46">
        <f>IF(AR[[#This Row],[Collection date - override (dd/mm/yyyy)]] &lt;&gt; "", AR[[#This Row],[Collection date - override (dd/mm/yyyy)]], AR[[#This Row],[Due date (dd/mm/yyyy)]])</f>
        <v>0</v>
      </c>
      <c r="O866" s="46">
        <f t="shared" si="13"/>
        <v>52</v>
      </c>
    </row>
    <row r="867" spans="3:15" x14ac:dyDescent="0.25">
      <c r="C867" s="28"/>
      <c r="D867" s="20"/>
      <c r="E867" s="4"/>
      <c r="F867" s="37"/>
      <c r="G867" s="24"/>
      <c r="H867" s="51">
        <f>Assumptions!$D$15</f>
        <v>0.1</v>
      </c>
      <c r="I867" s="45">
        <f>IF(AR[[#This Row],[GST applies?]] = "Yes", (AR[[#This Row],[Invoice value inc. VAT]] / 1 + AR[[#This Row],[GST %]]) * AR[[#This Row],[GST %]], 0)</f>
        <v>0</v>
      </c>
      <c r="J867" s="31">
        <f>_xlfn.XLOOKUP(AR[[#This Row],[Customer name]], Customer_master[Customer name], Customer_master[EOM or Net], 0)</f>
        <v>0</v>
      </c>
      <c r="K867" s="31">
        <f>_xlfn.XLOOKUP(AR[[#This Row],[Customer name]], Customer_master[Customer name], Customer_master[Terms days], 0)</f>
        <v>0</v>
      </c>
      <c r="L8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7" s="4"/>
      <c r="N867" s="46">
        <f>IF(AR[[#This Row],[Collection date - override (dd/mm/yyyy)]] &lt;&gt; "", AR[[#This Row],[Collection date - override (dd/mm/yyyy)]], AR[[#This Row],[Due date (dd/mm/yyyy)]])</f>
        <v>0</v>
      </c>
      <c r="O867" s="46">
        <f t="shared" si="13"/>
        <v>52</v>
      </c>
    </row>
    <row r="868" spans="3:15" x14ac:dyDescent="0.25">
      <c r="C868" s="28"/>
      <c r="D868" s="20"/>
      <c r="E868" s="4"/>
      <c r="F868" s="37"/>
      <c r="G868" s="24"/>
      <c r="H868" s="51">
        <f>Assumptions!$D$15</f>
        <v>0.1</v>
      </c>
      <c r="I868" s="45">
        <f>IF(AR[[#This Row],[GST applies?]] = "Yes", (AR[[#This Row],[Invoice value inc. VAT]] / 1 + AR[[#This Row],[GST %]]) * AR[[#This Row],[GST %]], 0)</f>
        <v>0</v>
      </c>
      <c r="J868" s="31">
        <f>_xlfn.XLOOKUP(AR[[#This Row],[Customer name]], Customer_master[Customer name], Customer_master[EOM or Net], 0)</f>
        <v>0</v>
      </c>
      <c r="K868" s="31">
        <f>_xlfn.XLOOKUP(AR[[#This Row],[Customer name]], Customer_master[Customer name], Customer_master[Terms days], 0)</f>
        <v>0</v>
      </c>
      <c r="L8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8" s="4"/>
      <c r="N868" s="46">
        <f>IF(AR[[#This Row],[Collection date - override (dd/mm/yyyy)]] &lt;&gt; "", AR[[#This Row],[Collection date - override (dd/mm/yyyy)]], AR[[#This Row],[Due date (dd/mm/yyyy)]])</f>
        <v>0</v>
      </c>
      <c r="O868" s="46">
        <f t="shared" si="13"/>
        <v>52</v>
      </c>
    </row>
    <row r="869" spans="3:15" x14ac:dyDescent="0.25">
      <c r="C869" s="28"/>
      <c r="D869" s="20"/>
      <c r="E869" s="4"/>
      <c r="F869" s="37"/>
      <c r="G869" s="24"/>
      <c r="H869" s="51">
        <f>Assumptions!$D$15</f>
        <v>0.1</v>
      </c>
      <c r="I869" s="45">
        <f>IF(AR[[#This Row],[GST applies?]] = "Yes", (AR[[#This Row],[Invoice value inc. VAT]] / 1 + AR[[#This Row],[GST %]]) * AR[[#This Row],[GST %]], 0)</f>
        <v>0</v>
      </c>
      <c r="J869" s="31">
        <f>_xlfn.XLOOKUP(AR[[#This Row],[Customer name]], Customer_master[Customer name], Customer_master[EOM or Net], 0)</f>
        <v>0</v>
      </c>
      <c r="K869" s="31">
        <f>_xlfn.XLOOKUP(AR[[#This Row],[Customer name]], Customer_master[Customer name], Customer_master[Terms days], 0)</f>
        <v>0</v>
      </c>
      <c r="L8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9" s="4"/>
      <c r="N869" s="46">
        <f>IF(AR[[#This Row],[Collection date - override (dd/mm/yyyy)]] &lt;&gt; "", AR[[#This Row],[Collection date - override (dd/mm/yyyy)]], AR[[#This Row],[Due date (dd/mm/yyyy)]])</f>
        <v>0</v>
      </c>
      <c r="O869" s="46">
        <f t="shared" si="13"/>
        <v>52</v>
      </c>
    </row>
    <row r="870" spans="3:15" x14ac:dyDescent="0.25">
      <c r="C870" s="28"/>
      <c r="D870" s="20"/>
      <c r="E870" s="4"/>
      <c r="F870" s="37"/>
      <c r="G870" s="24"/>
      <c r="H870" s="51">
        <f>Assumptions!$D$15</f>
        <v>0.1</v>
      </c>
      <c r="I870" s="45">
        <f>IF(AR[[#This Row],[GST applies?]] = "Yes", (AR[[#This Row],[Invoice value inc. VAT]] / 1 + AR[[#This Row],[GST %]]) * AR[[#This Row],[GST %]], 0)</f>
        <v>0</v>
      </c>
      <c r="J870" s="31">
        <f>_xlfn.XLOOKUP(AR[[#This Row],[Customer name]], Customer_master[Customer name], Customer_master[EOM or Net], 0)</f>
        <v>0</v>
      </c>
      <c r="K870" s="31">
        <f>_xlfn.XLOOKUP(AR[[#This Row],[Customer name]], Customer_master[Customer name], Customer_master[Terms days], 0)</f>
        <v>0</v>
      </c>
      <c r="L8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0" s="4"/>
      <c r="N870" s="46">
        <f>IF(AR[[#This Row],[Collection date - override (dd/mm/yyyy)]] &lt;&gt; "", AR[[#This Row],[Collection date - override (dd/mm/yyyy)]], AR[[#This Row],[Due date (dd/mm/yyyy)]])</f>
        <v>0</v>
      </c>
      <c r="O870" s="46">
        <f t="shared" si="13"/>
        <v>52</v>
      </c>
    </row>
    <row r="871" spans="3:15" x14ac:dyDescent="0.25">
      <c r="C871" s="28"/>
      <c r="D871" s="20"/>
      <c r="E871" s="4"/>
      <c r="F871" s="37"/>
      <c r="G871" s="24"/>
      <c r="H871" s="51">
        <f>Assumptions!$D$15</f>
        <v>0.1</v>
      </c>
      <c r="I871" s="45">
        <f>IF(AR[[#This Row],[GST applies?]] = "Yes", (AR[[#This Row],[Invoice value inc. VAT]] / 1 + AR[[#This Row],[GST %]]) * AR[[#This Row],[GST %]], 0)</f>
        <v>0</v>
      </c>
      <c r="J871" s="31">
        <f>_xlfn.XLOOKUP(AR[[#This Row],[Customer name]], Customer_master[Customer name], Customer_master[EOM or Net], 0)</f>
        <v>0</v>
      </c>
      <c r="K871" s="31">
        <f>_xlfn.XLOOKUP(AR[[#This Row],[Customer name]], Customer_master[Customer name], Customer_master[Terms days], 0)</f>
        <v>0</v>
      </c>
      <c r="L8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1" s="4"/>
      <c r="N871" s="46">
        <f>IF(AR[[#This Row],[Collection date - override (dd/mm/yyyy)]] &lt;&gt; "", AR[[#This Row],[Collection date - override (dd/mm/yyyy)]], AR[[#This Row],[Due date (dd/mm/yyyy)]])</f>
        <v>0</v>
      </c>
      <c r="O871" s="46">
        <f t="shared" si="13"/>
        <v>52</v>
      </c>
    </row>
    <row r="872" spans="3:15" x14ac:dyDescent="0.25">
      <c r="C872" s="28"/>
      <c r="D872" s="20"/>
      <c r="E872" s="4"/>
      <c r="F872" s="37"/>
      <c r="G872" s="24"/>
      <c r="H872" s="51">
        <f>Assumptions!$D$15</f>
        <v>0.1</v>
      </c>
      <c r="I872" s="45">
        <f>IF(AR[[#This Row],[GST applies?]] = "Yes", (AR[[#This Row],[Invoice value inc. VAT]] / 1 + AR[[#This Row],[GST %]]) * AR[[#This Row],[GST %]], 0)</f>
        <v>0</v>
      </c>
      <c r="J872" s="31">
        <f>_xlfn.XLOOKUP(AR[[#This Row],[Customer name]], Customer_master[Customer name], Customer_master[EOM or Net], 0)</f>
        <v>0</v>
      </c>
      <c r="K872" s="31">
        <f>_xlfn.XLOOKUP(AR[[#This Row],[Customer name]], Customer_master[Customer name], Customer_master[Terms days], 0)</f>
        <v>0</v>
      </c>
      <c r="L8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2" s="4"/>
      <c r="N872" s="46">
        <f>IF(AR[[#This Row],[Collection date - override (dd/mm/yyyy)]] &lt;&gt; "", AR[[#This Row],[Collection date - override (dd/mm/yyyy)]], AR[[#This Row],[Due date (dd/mm/yyyy)]])</f>
        <v>0</v>
      </c>
      <c r="O872" s="46">
        <f t="shared" si="13"/>
        <v>52</v>
      </c>
    </row>
    <row r="873" spans="3:15" x14ac:dyDescent="0.25">
      <c r="C873" s="28"/>
      <c r="D873" s="20"/>
      <c r="E873" s="4"/>
      <c r="F873" s="37"/>
      <c r="G873" s="24"/>
      <c r="H873" s="51">
        <f>Assumptions!$D$15</f>
        <v>0.1</v>
      </c>
      <c r="I873" s="45">
        <f>IF(AR[[#This Row],[GST applies?]] = "Yes", (AR[[#This Row],[Invoice value inc. VAT]] / 1 + AR[[#This Row],[GST %]]) * AR[[#This Row],[GST %]], 0)</f>
        <v>0</v>
      </c>
      <c r="J873" s="31">
        <f>_xlfn.XLOOKUP(AR[[#This Row],[Customer name]], Customer_master[Customer name], Customer_master[EOM or Net], 0)</f>
        <v>0</v>
      </c>
      <c r="K873" s="31">
        <f>_xlfn.XLOOKUP(AR[[#This Row],[Customer name]], Customer_master[Customer name], Customer_master[Terms days], 0)</f>
        <v>0</v>
      </c>
      <c r="L8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3" s="4"/>
      <c r="N873" s="46">
        <f>IF(AR[[#This Row],[Collection date - override (dd/mm/yyyy)]] &lt;&gt; "", AR[[#This Row],[Collection date - override (dd/mm/yyyy)]], AR[[#This Row],[Due date (dd/mm/yyyy)]])</f>
        <v>0</v>
      </c>
      <c r="O873" s="46">
        <f t="shared" si="13"/>
        <v>52</v>
      </c>
    </row>
    <row r="874" spans="3:15" x14ac:dyDescent="0.25">
      <c r="C874" s="28"/>
      <c r="D874" s="20"/>
      <c r="E874" s="4"/>
      <c r="F874" s="37"/>
      <c r="G874" s="24"/>
      <c r="H874" s="51">
        <f>Assumptions!$D$15</f>
        <v>0.1</v>
      </c>
      <c r="I874" s="45">
        <f>IF(AR[[#This Row],[GST applies?]] = "Yes", (AR[[#This Row],[Invoice value inc. VAT]] / 1 + AR[[#This Row],[GST %]]) * AR[[#This Row],[GST %]], 0)</f>
        <v>0</v>
      </c>
      <c r="J874" s="31">
        <f>_xlfn.XLOOKUP(AR[[#This Row],[Customer name]], Customer_master[Customer name], Customer_master[EOM or Net], 0)</f>
        <v>0</v>
      </c>
      <c r="K874" s="31">
        <f>_xlfn.XLOOKUP(AR[[#This Row],[Customer name]], Customer_master[Customer name], Customer_master[Terms days], 0)</f>
        <v>0</v>
      </c>
      <c r="L8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4" s="4"/>
      <c r="N874" s="46">
        <f>IF(AR[[#This Row],[Collection date - override (dd/mm/yyyy)]] &lt;&gt; "", AR[[#This Row],[Collection date - override (dd/mm/yyyy)]], AR[[#This Row],[Due date (dd/mm/yyyy)]])</f>
        <v>0</v>
      </c>
      <c r="O874" s="46">
        <f t="shared" si="13"/>
        <v>52</v>
      </c>
    </row>
    <row r="875" spans="3:15" x14ac:dyDescent="0.25">
      <c r="C875" s="28"/>
      <c r="D875" s="20"/>
      <c r="E875" s="4"/>
      <c r="F875" s="37"/>
      <c r="G875" s="24"/>
      <c r="H875" s="51">
        <f>Assumptions!$D$15</f>
        <v>0.1</v>
      </c>
      <c r="I875" s="45">
        <f>IF(AR[[#This Row],[GST applies?]] = "Yes", (AR[[#This Row],[Invoice value inc. VAT]] / 1 + AR[[#This Row],[GST %]]) * AR[[#This Row],[GST %]], 0)</f>
        <v>0</v>
      </c>
      <c r="J875" s="31">
        <f>_xlfn.XLOOKUP(AR[[#This Row],[Customer name]], Customer_master[Customer name], Customer_master[EOM or Net], 0)</f>
        <v>0</v>
      </c>
      <c r="K875" s="31">
        <f>_xlfn.XLOOKUP(AR[[#This Row],[Customer name]], Customer_master[Customer name], Customer_master[Terms days], 0)</f>
        <v>0</v>
      </c>
      <c r="L8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5" s="4"/>
      <c r="N875" s="46">
        <f>IF(AR[[#This Row],[Collection date - override (dd/mm/yyyy)]] &lt;&gt; "", AR[[#This Row],[Collection date - override (dd/mm/yyyy)]], AR[[#This Row],[Due date (dd/mm/yyyy)]])</f>
        <v>0</v>
      </c>
      <c r="O875" s="46">
        <f t="shared" si="13"/>
        <v>52</v>
      </c>
    </row>
    <row r="876" spans="3:15" x14ac:dyDescent="0.25">
      <c r="C876" s="28"/>
      <c r="D876" s="20"/>
      <c r="E876" s="4"/>
      <c r="F876" s="37"/>
      <c r="G876" s="24"/>
      <c r="H876" s="51">
        <f>Assumptions!$D$15</f>
        <v>0.1</v>
      </c>
      <c r="I876" s="45">
        <f>IF(AR[[#This Row],[GST applies?]] = "Yes", (AR[[#This Row],[Invoice value inc. VAT]] / 1 + AR[[#This Row],[GST %]]) * AR[[#This Row],[GST %]], 0)</f>
        <v>0</v>
      </c>
      <c r="J876" s="31">
        <f>_xlfn.XLOOKUP(AR[[#This Row],[Customer name]], Customer_master[Customer name], Customer_master[EOM or Net], 0)</f>
        <v>0</v>
      </c>
      <c r="K876" s="31">
        <f>_xlfn.XLOOKUP(AR[[#This Row],[Customer name]], Customer_master[Customer name], Customer_master[Terms days], 0)</f>
        <v>0</v>
      </c>
      <c r="L8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6" s="4"/>
      <c r="N876" s="46">
        <f>IF(AR[[#This Row],[Collection date - override (dd/mm/yyyy)]] &lt;&gt; "", AR[[#This Row],[Collection date - override (dd/mm/yyyy)]], AR[[#This Row],[Due date (dd/mm/yyyy)]])</f>
        <v>0</v>
      </c>
      <c r="O876" s="46">
        <f t="shared" si="13"/>
        <v>52</v>
      </c>
    </row>
    <row r="877" spans="3:15" x14ac:dyDescent="0.25">
      <c r="C877" s="28"/>
      <c r="D877" s="20"/>
      <c r="E877" s="4"/>
      <c r="F877" s="37"/>
      <c r="G877" s="24"/>
      <c r="H877" s="51">
        <f>Assumptions!$D$15</f>
        <v>0.1</v>
      </c>
      <c r="I877" s="45">
        <f>IF(AR[[#This Row],[GST applies?]] = "Yes", (AR[[#This Row],[Invoice value inc. VAT]] / 1 + AR[[#This Row],[GST %]]) * AR[[#This Row],[GST %]], 0)</f>
        <v>0</v>
      </c>
      <c r="J877" s="31">
        <f>_xlfn.XLOOKUP(AR[[#This Row],[Customer name]], Customer_master[Customer name], Customer_master[EOM or Net], 0)</f>
        <v>0</v>
      </c>
      <c r="K877" s="31">
        <f>_xlfn.XLOOKUP(AR[[#This Row],[Customer name]], Customer_master[Customer name], Customer_master[Terms days], 0)</f>
        <v>0</v>
      </c>
      <c r="L8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7" s="4"/>
      <c r="N877" s="46">
        <f>IF(AR[[#This Row],[Collection date - override (dd/mm/yyyy)]] &lt;&gt; "", AR[[#This Row],[Collection date - override (dd/mm/yyyy)]], AR[[#This Row],[Due date (dd/mm/yyyy)]])</f>
        <v>0</v>
      </c>
      <c r="O877" s="46">
        <f t="shared" si="13"/>
        <v>52</v>
      </c>
    </row>
    <row r="878" spans="3:15" x14ac:dyDescent="0.25">
      <c r="C878" s="28"/>
      <c r="D878" s="20"/>
      <c r="E878" s="4"/>
      <c r="F878" s="37"/>
      <c r="G878" s="24"/>
      <c r="H878" s="51">
        <f>Assumptions!$D$15</f>
        <v>0.1</v>
      </c>
      <c r="I878" s="45">
        <f>IF(AR[[#This Row],[GST applies?]] = "Yes", (AR[[#This Row],[Invoice value inc. VAT]] / 1 + AR[[#This Row],[GST %]]) * AR[[#This Row],[GST %]], 0)</f>
        <v>0</v>
      </c>
      <c r="J878" s="31">
        <f>_xlfn.XLOOKUP(AR[[#This Row],[Customer name]], Customer_master[Customer name], Customer_master[EOM or Net], 0)</f>
        <v>0</v>
      </c>
      <c r="K878" s="31">
        <f>_xlfn.XLOOKUP(AR[[#This Row],[Customer name]], Customer_master[Customer name], Customer_master[Terms days], 0)</f>
        <v>0</v>
      </c>
      <c r="L8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8" s="4"/>
      <c r="N878" s="46">
        <f>IF(AR[[#This Row],[Collection date - override (dd/mm/yyyy)]] &lt;&gt; "", AR[[#This Row],[Collection date - override (dd/mm/yyyy)]], AR[[#This Row],[Due date (dd/mm/yyyy)]])</f>
        <v>0</v>
      </c>
      <c r="O878" s="46">
        <f t="shared" si="13"/>
        <v>52</v>
      </c>
    </row>
    <row r="879" spans="3:15" x14ac:dyDescent="0.25">
      <c r="C879" s="28"/>
      <c r="D879" s="20"/>
      <c r="E879" s="4"/>
      <c r="F879" s="37"/>
      <c r="G879" s="24"/>
      <c r="H879" s="51">
        <f>Assumptions!$D$15</f>
        <v>0.1</v>
      </c>
      <c r="I879" s="45">
        <f>IF(AR[[#This Row],[GST applies?]] = "Yes", (AR[[#This Row],[Invoice value inc. VAT]] / 1 + AR[[#This Row],[GST %]]) * AR[[#This Row],[GST %]], 0)</f>
        <v>0</v>
      </c>
      <c r="J879" s="31">
        <f>_xlfn.XLOOKUP(AR[[#This Row],[Customer name]], Customer_master[Customer name], Customer_master[EOM or Net], 0)</f>
        <v>0</v>
      </c>
      <c r="K879" s="31">
        <f>_xlfn.XLOOKUP(AR[[#This Row],[Customer name]], Customer_master[Customer name], Customer_master[Terms days], 0)</f>
        <v>0</v>
      </c>
      <c r="L8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9" s="4"/>
      <c r="N879" s="46">
        <f>IF(AR[[#This Row],[Collection date - override (dd/mm/yyyy)]] &lt;&gt; "", AR[[#This Row],[Collection date - override (dd/mm/yyyy)]], AR[[#This Row],[Due date (dd/mm/yyyy)]])</f>
        <v>0</v>
      </c>
      <c r="O879" s="46">
        <f t="shared" si="13"/>
        <v>52</v>
      </c>
    </row>
    <row r="880" spans="3:15" x14ac:dyDescent="0.25">
      <c r="C880" s="28"/>
      <c r="D880" s="20"/>
      <c r="E880" s="4"/>
      <c r="F880" s="37"/>
      <c r="G880" s="24"/>
      <c r="H880" s="51">
        <f>Assumptions!$D$15</f>
        <v>0.1</v>
      </c>
      <c r="I880" s="45">
        <f>IF(AR[[#This Row],[GST applies?]] = "Yes", (AR[[#This Row],[Invoice value inc. VAT]] / 1 + AR[[#This Row],[GST %]]) * AR[[#This Row],[GST %]], 0)</f>
        <v>0</v>
      </c>
      <c r="J880" s="31">
        <f>_xlfn.XLOOKUP(AR[[#This Row],[Customer name]], Customer_master[Customer name], Customer_master[EOM or Net], 0)</f>
        <v>0</v>
      </c>
      <c r="K880" s="31">
        <f>_xlfn.XLOOKUP(AR[[#This Row],[Customer name]], Customer_master[Customer name], Customer_master[Terms days], 0)</f>
        <v>0</v>
      </c>
      <c r="L8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0" s="4"/>
      <c r="N880" s="46">
        <f>IF(AR[[#This Row],[Collection date - override (dd/mm/yyyy)]] &lt;&gt; "", AR[[#This Row],[Collection date - override (dd/mm/yyyy)]], AR[[#This Row],[Due date (dd/mm/yyyy)]])</f>
        <v>0</v>
      </c>
      <c r="O880" s="46">
        <f t="shared" si="13"/>
        <v>52</v>
      </c>
    </row>
    <row r="881" spans="3:15" x14ac:dyDescent="0.25">
      <c r="C881" s="28"/>
      <c r="D881" s="20"/>
      <c r="E881" s="4"/>
      <c r="F881" s="37"/>
      <c r="G881" s="24"/>
      <c r="H881" s="51">
        <f>Assumptions!$D$15</f>
        <v>0.1</v>
      </c>
      <c r="I881" s="45">
        <f>IF(AR[[#This Row],[GST applies?]] = "Yes", (AR[[#This Row],[Invoice value inc. VAT]] / 1 + AR[[#This Row],[GST %]]) * AR[[#This Row],[GST %]], 0)</f>
        <v>0</v>
      </c>
      <c r="J881" s="31">
        <f>_xlfn.XLOOKUP(AR[[#This Row],[Customer name]], Customer_master[Customer name], Customer_master[EOM or Net], 0)</f>
        <v>0</v>
      </c>
      <c r="K881" s="31">
        <f>_xlfn.XLOOKUP(AR[[#This Row],[Customer name]], Customer_master[Customer name], Customer_master[Terms days], 0)</f>
        <v>0</v>
      </c>
      <c r="L8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1" s="4"/>
      <c r="N881" s="46">
        <f>IF(AR[[#This Row],[Collection date - override (dd/mm/yyyy)]] &lt;&gt; "", AR[[#This Row],[Collection date - override (dd/mm/yyyy)]], AR[[#This Row],[Due date (dd/mm/yyyy)]])</f>
        <v>0</v>
      </c>
      <c r="O881" s="46">
        <f t="shared" si="13"/>
        <v>52</v>
      </c>
    </row>
    <row r="882" spans="3:15" x14ac:dyDescent="0.25">
      <c r="C882" s="28"/>
      <c r="D882" s="20"/>
      <c r="E882" s="4"/>
      <c r="F882" s="37"/>
      <c r="G882" s="24"/>
      <c r="H882" s="51">
        <f>Assumptions!$D$15</f>
        <v>0.1</v>
      </c>
      <c r="I882" s="45">
        <f>IF(AR[[#This Row],[GST applies?]] = "Yes", (AR[[#This Row],[Invoice value inc. VAT]] / 1 + AR[[#This Row],[GST %]]) * AR[[#This Row],[GST %]], 0)</f>
        <v>0</v>
      </c>
      <c r="J882" s="31">
        <f>_xlfn.XLOOKUP(AR[[#This Row],[Customer name]], Customer_master[Customer name], Customer_master[EOM or Net], 0)</f>
        <v>0</v>
      </c>
      <c r="K882" s="31">
        <f>_xlfn.XLOOKUP(AR[[#This Row],[Customer name]], Customer_master[Customer name], Customer_master[Terms days], 0)</f>
        <v>0</v>
      </c>
      <c r="L8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2" s="4"/>
      <c r="N882" s="46">
        <f>IF(AR[[#This Row],[Collection date - override (dd/mm/yyyy)]] &lt;&gt; "", AR[[#This Row],[Collection date - override (dd/mm/yyyy)]], AR[[#This Row],[Due date (dd/mm/yyyy)]])</f>
        <v>0</v>
      </c>
      <c r="O882" s="46">
        <f t="shared" si="13"/>
        <v>52</v>
      </c>
    </row>
    <row r="883" spans="3:15" x14ac:dyDescent="0.25">
      <c r="C883" s="28"/>
      <c r="D883" s="20"/>
      <c r="E883" s="4"/>
      <c r="F883" s="37"/>
      <c r="G883" s="24"/>
      <c r="H883" s="51">
        <f>Assumptions!$D$15</f>
        <v>0.1</v>
      </c>
      <c r="I883" s="45">
        <f>IF(AR[[#This Row],[GST applies?]] = "Yes", (AR[[#This Row],[Invoice value inc. VAT]] / 1 + AR[[#This Row],[GST %]]) * AR[[#This Row],[GST %]], 0)</f>
        <v>0</v>
      </c>
      <c r="J883" s="31">
        <f>_xlfn.XLOOKUP(AR[[#This Row],[Customer name]], Customer_master[Customer name], Customer_master[EOM or Net], 0)</f>
        <v>0</v>
      </c>
      <c r="K883" s="31">
        <f>_xlfn.XLOOKUP(AR[[#This Row],[Customer name]], Customer_master[Customer name], Customer_master[Terms days], 0)</f>
        <v>0</v>
      </c>
      <c r="L8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3" s="4"/>
      <c r="N883" s="46">
        <f>IF(AR[[#This Row],[Collection date - override (dd/mm/yyyy)]] &lt;&gt; "", AR[[#This Row],[Collection date - override (dd/mm/yyyy)]], AR[[#This Row],[Due date (dd/mm/yyyy)]])</f>
        <v>0</v>
      </c>
      <c r="O883" s="46">
        <f t="shared" si="13"/>
        <v>52</v>
      </c>
    </row>
    <row r="884" spans="3:15" x14ac:dyDescent="0.25">
      <c r="C884" s="28"/>
      <c r="D884" s="20"/>
      <c r="E884" s="4"/>
      <c r="F884" s="37"/>
      <c r="G884" s="24"/>
      <c r="H884" s="51">
        <f>Assumptions!$D$15</f>
        <v>0.1</v>
      </c>
      <c r="I884" s="45">
        <f>IF(AR[[#This Row],[GST applies?]] = "Yes", (AR[[#This Row],[Invoice value inc. VAT]] / 1 + AR[[#This Row],[GST %]]) * AR[[#This Row],[GST %]], 0)</f>
        <v>0</v>
      </c>
      <c r="J884" s="31">
        <f>_xlfn.XLOOKUP(AR[[#This Row],[Customer name]], Customer_master[Customer name], Customer_master[EOM or Net], 0)</f>
        <v>0</v>
      </c>
      <c r="K884" s="31">
        <f>_xlfn.XLOOKUP(AR[[#This Row],[Customer name]], Customer_master[Customer name], Customer_master[Terms days], 0)</f>
        <v>0</v>
      </c>
      <c r="L8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4" s="4"/>
      <c r="N884" s="46">
        <f>IF(AR[[#This Row],[Collection date - override (dd/mm/yyyy)]] &lt;&gt; "", AR[[#This Row],[Collection date - override (dd/mm/yyyy)]], AR[[#This Row],[Due date (dd/mm/yyyy)]])</f>
        <v>0</v>
      </c>
      <c r="O884" s="46">
        <f t="shared" si="13"/>
        <v>52</v>
      </c>
    </row>
    <row r="885" spans="3:15" x14ac:dyDescent="0.25">
      <c r="C885" s="28"/>
      <c r="D885" s="20"/>
      <c r="E885" s="4"/>
      <c r="F885" s="37"/>
      <c r="G885" s="24"/>
      <c r="H885" s="51">
        <f>Assumptions!$D$15</f>
        <v>0.1</v>
      </c>
      <c r="I885" s="45">
        <f>IF(AR[[#This Row],[GST applies?]] = "Yes", (AR[[#This Row],[Invoice value inc. VAT]] / 1 + AR[[#This Row],[GST %]]) * AR[[#This Row],[GST %]], 0)</f>
        <v>0</v>
      </c>
      <c r="J885" s="31">
        <f>_xlfn.XLOOKUP(AR[[#This Row],[Customer name]], Customer_master[Customer name], Customer_master[EOM or Net], 0)</f>
        <v>0</v>
      </c>
      <c r="K885" s="31">
        <f>_xlfn.XLOOKUP(AR[[#This Row],[Customer name]], Customer_master[Customer name], Customer_master[Terms days], 0)</f>
        <v>0</v>
      </c>
      <c r="L8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5" s="4"/>
      <c r="N885" s="46">
        <f>IF(AR[[#This Row],[Collection date - override (dd/mm/yyyy)]] &lt;&gt; "", AR[[#This Row],[Collection date - override (dd/mm/yyyy)]], AR[[#This Row],[Due date (dd/mm/yyyy)]])</f>
        <v>0</v>
      </c>
      <c r="O885" s="46">
        <f t="shared" si="13"/>
        <v>52</v>
      </c>
    </row>
    <row r="886" spans="3:15" x14ac:dyDescent="0.25">
      <c r="C886" s="28"/>
      <c r="D886" s="20"/>
      <c r="E886" s="4"/>
      <c r="F886" s="37"/>
      <c r="G886" s="24"/>
      <c r="H886" s="51">
        <f>Assumptions!$D$15</f>
        <v>0.1</v>
      </c>
      <c r="I886" s="45">
        <f>IF(AR[[#This Row],[GST applies?]] = "Yes", (AR[[#This Row],[Invoice value inc. VAT]] / 1 + AR[[#This Row],[GST %]]) * AR[[#This Row],[GST %]], 0)</f>
        <v>0</v>
      </c>
      <c r="J886" s="31">
        <f>_xlfn.XLOOKUP(AR[[#This Row],[Customer name]], Customer_master[Customer name], Customer_master[EOM or Net], 0)</f>
        <v>0</v>
      </c>
      <c r="K886" s="31">
        <f>_xlfn.XLOOKUP(AR[[#This Row],[Customer name]], Customer_master[Customer name], Customer_master[Terms days], 0)</f>
        <v>0</v>
      </c>
      <c r="L8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6" s="4"/>
      <c r="N886" s="46">
        <f>IF(AR[[#This Row],[Collection date - override (dd/mm/yyyy)]] &lt;&gt; "", AR[[#This Row],[Collection date - override (dd/mm/yyyy)]], AR[[#This Row],[Due date (dd/mm/yyyy)]])</f>
        <v>0</v>
      </c>
      <c r="O886" s="46">
        <f t="shared" si="13"/>
        <v>52</v>
      </c>
    </row>
    <row r="887" spans="3:15" x14ac:dyDescent="0.25">
      <c r="C887" s="28"/>
      <c r="D887" s="20"/>
      <c r="E887" s="4"/>
      <c r="F887" s="37"/>
      <c r="G887" s="24"/>
      <c r="H887" s="51">
        <f>Assumptions!$D$15</f>
        <v>0.1</v>
      </c>
      <c r="I887" s="45">
        <f>IF(AR[[#This Row],[GST applies?]] = "Yes", (AR[[#This Row],[Invoice value inc. VAT]] / 1 + AR[[#This Row],[GST %]]) * AR[[#This Row],[GST %]], 0)</f>
        <v>0</v>
      </c>
      <c r="J887" s="31">
        <f>_xlfn.XLOOKUP(AR[[#This Row],[Customer name]], Customer_master[Customer name], Customer_master[EOM or Net], 0)</f>
        <v>0</v>
      </c>
      <c r="K887" s="31">
        <f>_xlfn.XLOOKUP(AR[[#This Row],[Customer name]], Customer_master[Customer name], Customer_master[Terms days], 0)</f>
        <v>0</v>
      </c>
      <c r="L8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7" s="4"/>
      <c r="N887" s="46">
        <f>IF(AR[[#This Row],[Collection date - override (dd/mm/yyyy)]] &lt;&gt; "", AR[[#This Row],[Collection date - override (dd/mm/yyyy)]], AR[[#This Row],[Due date (dd/mm/yyyy)]])</f>
        <v>0</v>
      </c>
      <c r="O887" s="46">
        <f t="shared" si="13"/>
        <v>52</v>
      </c>
    </row>
    <row r="888" spans="3:15" x14ac:dyDescent="0.25">
      <c r="C888" s="28"/>
      <c r="D888" s="20"/>
      <c r="E888" s="4"/>
      <c r="F888" s="37"/>
      <c r="G888" s="24"/>
      <c r="H888" s="51">
        <f>Assumptions!$D$15</f>
        <v>0.1</v>
      </c>
      <c r="I888" s="45">
        <f>IF(AR[[#This Row],[GST applies?]] = "Yes", (AR[[#This Row],[Invoice value inc. VAT]] / 1 + AR[[#This Row],[GST %]]) * AR[[#This Row],[GST %]], 0)</f>
        <v>0</v>
      </c>
      <c r="J888" s="31">
        <f>_xlfn.XLOOKUP(AR[[#This Row],[Customer name]], Customer_master[Customer name], Customer_master[EOM or Net], 0)</f>
        <v>0</v>
      </c>
      <c r="K888" s="31">
        <f>_xlfn.XLOOKUP(AR[[#This Row],[Customer name]], Customer_master[Customer name], Customer_master[Terms days], 0)</f>
        <v>0</v>
      </c>
      <c r="L8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8" s="4"/>
      <c r="N888" s="46">
        <f>IF(AR[[#This Row],[Collection date - override (dd/mm/yyyy)]] &lt;&gt; "", AR[[#This Row],[Collection date - override (dd/mm/yyyy)]], AR[[#This Row],[Due date (dd/mm/yyyy)]])</f>
        <v>0</v>
      </c>
      <c r="O888" s="46">
        <f t="shared" si="13"/>
        <v>52</v>
      </c>
    </row>
    <row r="889" spans="3:15" x14ac:dyDescent="0.25">
      <c r="C889" s="28"/>
      <c r="D889" s="20"/>
      <c r="E889" s="4"/>
      <c r="F889" s="37"/>
      <c r="G889" s="24"/>
      <c r="H889" s="51">
        <f>Assumptions!$D$15</f>
        <v>0.1</v>
      </c>
      <c r="I889" s="45">
        <f>IF(AR[[#This Row],[GST applies?]] = "Yes", (AR[[#This Row],[Invoice value inc. VAT]] / 1 + AR[[#This Row],[GST %]]) * AR[[#This Row],[GST %]], 0)</f>
        <v>0</v>
      </c>
      <c r="J889" s="31">
        <f>_xlfn.XLOOKUP(AR[[#This Row],[Customer name]], Customer_master[Customer name], Customer_master[EOM or Net], 0)</f>
        <v>0</v>
      </c>
      <c r="K889" s="31">
        <f>_xlfn.XLOOKUP(AR[[#This Row],[Customer name]], Customer_master[Customer name], Customer_master[Terms days], 0)</f>
        <v>0</v>
      </c>
      <c r="L8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9" s="4"/>
      <c r="N889" s="46">
        <f>IF(AR[[#This Row],[Collection date - override (dd/mm/yyyy)]] &lt;&gt; "", AR[[#This Row],[Collection date - override (dd/mm/yyyy)]], AR[[#This Row],[Due date (dd/mm/yyyy)]])</f>
        <v>0</v>
      </c>
      <c r="O889" s="46">
        <f t="shared" si="13"/>
        <v>52</v>
      </c>
    </row>
    <row r="890" spans="3:15" x14ac:dyDescent="0.25">
      <c r="C890" s="28"/>
      <c r="D890" s="20"/>
      <c r="E890" s="4"/>
      <c r="F890" s="37"/>
      <c r="G890" s="24"/>
      <c r="H890" s="51">
        <f>Assumptions!$D$15</f>
        <v>0.1</v>
      </c>
      <c r="I890" s="45">
        <f>IF(AR[[#This Row],[GST applies?]] = "Yes", (AR[[#This Row],[Invoice value inc. VAT]] / 1 + AR[[#This Row],[GST %]]) * AR[[#This Row],[GST %]], 0)</f>
        <v>0</v>
      </c>
      <c r="J890" s="31">
        <f>_xlfn.XLOOKUP(AR[[#This Row],[Customer name]], Customer_master[Customer name], Customer_master[EOM or Net], 0)</f>
        <v>0</v>
      </c>
      <c r="K890" s="31">
        <f>_xlfn.XLOOKUP(AR[[#This Row],[Customer name]], Customer_master[Customer name], Customer_master[Terms days], 0)</f>
        <v>0</v>
      </c>
      <c r="L8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0" s="4"/>
      <c r="N890" s="46">
        <f>IF(AR[[#This Row],[Collection date - override (dd/mm/yyyy)]] &lt;&gt; "", AR[[#This Row],[Collection date - override (dd/mm/yyyy)]], AR[[#This Row],[Due date (dd/mm/yyyy)]])</f>
        <v>0</v>
      </c>
      <c r="O890" s="46">
        <f t="shared" si="13"/>
        <v>52</v>
      </c>
    </row>
    <row r="891" spans="3:15" x14ac:dyDescent="0.25">
      <c r="C891" s="28"/>
      <c r="D891" s="20"/>
      <c r="E891" s="4"/>
      <c r="F891" s="37"/>
      <c r="G891" s="24"/>
      <c r="H891" s="51">
        <f>Assumptions!$D$15</f>
        <v>0.1</v>
      </c>
      <c r="I891" s="45">
        <f>IF(AR[[#This Row],[GST applies?]] = "Yes", (AR[[#This Row],[Invoice value inc. VAT]] / 1 + AR[[#This Row],[GST %]]) * AR[[#This Row],[GST %]], 0)</f>
        <v>0</v>
      </c>
      <c r="J891" s="31">
        <f>_xlfn.XLOOKUP(AR[[#This Row],[Customer name]], Customer_master[Customer name], Customer_master[EOM or Net], 0)</f>
        <v>0</v>
      </c>
      <c r="K891" s="31">
        <f>_xlfn.XLOOKUP(AR[[#This Row],[Customer name]], Customer_master[Customer name], Customer_master[Terms days], 0)</f>
        <v>0</v>
      </c>
      <c r="L8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1" s="4"/>
      <c r="N891" s="46">
        <f>IF(AR[[#This Row],[Collection date - override (dd/mm/yyyy)]] &lt;&gt; "", AR[[#This Row],[Collection date - override (dd/mm/yyyy)]], AR[[#This Row],[Due date (dd/mm/yyyy)]])</f>
        <v>0</v>
      </c>
      <c r="O891" s="46">
        <f t="shared" si="13"/>
        <v>52</v>
      </c>
    </row>
    <row r="892" spans="3:15" x14ac:dyDescent="0.25">
      <c r="C892" s="28"/>
      <c r="D892" s="20"/>
      <c r="E892" s="4"/>
      <c r="F892" s="37"/>
      <c r="G892" s="24"/>
      <c r="H892" s="51">
        <f>Assumptions!$D$15</f>
        <v>0.1</v>
      </c>
      <c r="I892" s="45">
        <f>IF(AR[[#This Row],[GST applies?]] = "Yes", (AR[[#This Row],[Invoice value inc. VAT]] / 1 + AR[[#This Row],[GST %]]) * AR[[#This Row],[GST %]], 0)</f>
        <v>0</v>
      </c>
      <c r="J892" s="31">
        <f>_xlfn.XLOOKUP(AR[[#This Row],[Customer name]], Customer_master[Customer name], Customer_master[EOM or Net], 0)</f>
        <v>0</v>
      </c>
      <c r="K892" s="31">
        <f>_xlfn.XLOOKUP(AR[[#This Row],[Customer name]], Customer_master[Customer name], Customer_master[Terms days], 0)</f>
        <v>0</v>
      </c>
      <c r="L8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2" s="4"/>
      <c r="N892" s="46">
        <f>IF(AR[[#This Row],[Collection date - override (dd/mm/yyyy)]] &lt;&gt; "", AR[[#This Row],[Collection date - override (dd/mm/yyyy)]], AR[[#This Row],[Due date (dd/mm/yyyy)]])</f>
        <v>0</v>
      </c>
      <c r="O892" s="46">
        <f t="shared" si="13"/>
        <v>52</v>
      </c>
    </row>
    <row r="893" spans="3:15" x14ac:dyDescent="0.25">
      <c r="C893" s="28"/>
      <c r="D893" s="20"/>
      <c r="E893" s="4"/>
      <c r="F893" s="37"/>
      <c r="G893" s="24"/>
      <c r="H893" s="51">
        <f>Assumptions!$D$15</f>
        <v>0.1</v>
      </c>
      <c r="I893" s="45">
        <f>IF(AR[[#This Row],[GST applies?]] = "Yes", (AR[[#This Row],[Invoice value inc. VAT]] / 1 + AR[[#This Row],[GST %]]) * AR[[#This Row],[GST %]], 0)</f>
        <v>0</v>
      </c>
      <c r="J893" s="31">
        <f>_xlfn.XLOOKUP(AR[[#This Row],[Customer name]], Customer_master[Customer name], Customer_master[EOM or Net], 0)</f>
        <v>0</v>
      </c>
      <c r="K893" s="31">
        <f>_xlfn.XLOOKUP(AR[[#This Row],[Customer name]], Customer_master[Customer name], Customer_master[Terms days], 0)</f>
        <v>0</v>
      </c>
      <c r="L8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3" s="4"/>
      <c r="N893" s="46">
        <f>IF(AR[[#This Row],[Collection date - override (dd/mm/yyyy)]] &lt;&gt; "", AR[[#This Row],[Collection date - override (dd/mm/yyyy)]], AR[[#This Row],[Due date (dd/mm/yyyy)]])</f>
        <v>0</v>
      </c>
      <c r="O893" s="46">
        <f t="shared" si="13"/>
        <v>52</v>
      </c>
    </row>
    <row r="894" spans="3:15" x14ac:dyDescent="0.25">
      <c r="C894" s="28"/>
      <c r="D894" s="20"/>
      <c r="E894" s="4"/>
      <c r="F894" s="37"/>
      <c r="G894" s="24"/>
      <c r="H894" s="51">
        <f>Assumptions!$D$15</f>
        <v>0.1</v>
      </c>
      <c r="I894" s="45">
        <f>IF(AR[[#This Row],[GST applies?]] = "Yes", (AR[[#This Row],[Invoice value inc. VAT]] / 1 + AR[[#This Row],[GST %]]) * AR[[#This Row],[GST %]], 0)</f>
        <v>0</v>
      </c>
      <c r="J894" s="31">
        <f>_xlfn.XLOOKUP(AR[[#This Row],[Customer name]], Customer_master[Customer name], Customer_master[EOM or Net], 0)</f>
        <v>0</v>
      </c>
      <c r="K894" s="31">
        <f>_xlfn.XLOOKUP(AR[[#This Row],[Customer name]], Customer_master[Customer name], Customer_master[Terms days], 0)</f>
        <v>0</v>
      </c>
      <c r="L8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4" s="4"/>
      <c r="N894" s="46">
        <f>IF(AR[[#This Row],[Collection date - override (dd/mm/yyyy)]] &lt;&gt; "", AR[[#This Row],[Collection date - override (dd/mm/yyyy)]], AR[[#This Row],[Due date (dd/mm/yyyy)]])</f>
        <v>0</v>
      </c>
      <c r="O894" s="46">
        <f t="shared" si="13"/>
        <v>52</v>
      </c>
    </row>
    <row r="895" spans="3:15" x14ac:dyDescent="0.25">
      <c r="C895" s="28"/>
      <c r="D895" s="20"/>
      <c r="E895" s="4"/>
      <c r="F895" s="37"/>
      <c r="G895" s="24"/>
      <c r="H895" s="51">
        <f>Assumptions!$D$15</f>
        <v>0.1</v>
      </c>
      <c r="I895" s="45">
        <f>IF(AR[[#This Row],[GST applies?]] = "Yes", (AR[[#This Row],[Invoice value inc. VAT]] / 1 + AR[[#This Row],[GST %]]) * AR[[#This Row],[GST %]], 0)</f>
        <v>0</v>
      </c>
      <c r="J895" s="31">
        <f>_xlfn.XLOOKUP(AR[[#This Row],[Customer name]], Customer_master[Customer name], Customer_master[EOM or Net], 0)</f>
        <v>0</v>
      </c>
      <c r="K895" s="31">
        <f>_xlfn.XLOOKUP(AR[[#This Row],[Customer name]], Customer_master[Customer name], Customer_master[Terms days], 0)</f>
        <v>0</v>
      </c>
      <c r="L8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5" s="4"/>
      <c r="N895" s="46">
        <f>IF(AR[[#This Row],[Collection date - override (dd/mm/yyyy)]] &lt;&gt; "", AR[[#This Row],[Collection date - override (dd/mm/yyyy)]], AR[[#This Row],[Due date (dd/mm/yyyy)]])</f>
        <v>0</v>
      </c>
      <c r="O895" s="46">
        <f t="shared" si="13"/>
        <v>52</v>
      </c>
    </row>
    <row r="896" spans="3:15" x14ac:dyDescent="0.25">
      <c r="C896" s="28"/>
      <c r="D896" s="20"/>
      <c r="E896" s="4"/>
      <c r="F896" s="37"/>
      <c r="G896" s="24"/>
      <c r="H896" s="51">
        <f>Assumptions!$D$15</f>
        <v>0.1</v>
      </c>
      <c r="I896" s="45">
        <f>IF(AR[[#This Row],[GST applies?]] = "Yes", (AR[[#This Row],[Invoice value inc. VAT]] / 1 + AR[[#This Row],[GST %]]) * AR[[#This Row],[GST %]], 0)</f>
        <v>0</v>
      </c>
      <c r="J896" s="31">
        <f>_xlfn.XLOOKUP(AR[[#This Row],[Customer name]], Customer_master[Customer name], Customer_master[EOM or Net], 0)</f>
        <v>0</v>
      </c>
      <c r="K896" s="31">
        <f>_xlfn.XLOOKUP(AR[[#This Row],[Customer name]], Customer_master[Customer name], Customer_master[Terms days], 0)</f>
        <v>0</v>
      </c>
      <c r="L8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6" s="4"/>
      <c r="N896" s="46">
        <f>IF(AR[[#This Row],[Collection date - override (dd/mm/yyyy)]] &lt;&gt; "", AR[[#This Row],[Collection date - override (dd/mm/yyyy)]], AR[[#This Row],[Due date (dd/mm/yyyy)]])</f>
        <v>0</v>
      </c>
      <c r="O896" s="46">
        <f t="shared" si="13"/>
        <v>52</v>
      </c>
    </row>
    <row r="897" spans="3:15" x14ac:dyDescent="0.25">
      <c r="C897" s="28"/>
      <c r="D897" s="20"/>
      <c r="E897" s="4"/>
      <c r="F897" s="37"/>
      <c r="G897" s="24"/>
      <c r="H897" s="51">
        <f>Assumptions!$D$15</f>
        <v>0.1</v>
      </c>
      <c r="I897" s="45">
        <f>IF(AR[[#This Row],[GST applies?]] = "Yes", (AR[[#This Row],[Invoice value inc. VAT]] / 1 + AR[[#This Row],[GST %]]) * AR[[#This Row],[GST %]], 0)</f>
        <v>0</v>
      </c>
      <c r="J897" s="31">
        <f>_xlfn.XLOOKUP(AR[[#This Row],[Customer name]], Customer_master[Customer name], Customer_master[EOM or Net], 0)</f>
        <v>0</v>
      </c>
      <c r="K897" s="31">
        <f>_xlfn.XLOOKUP(AR[[#This Row],[Customer name]], Customer_master[Customer name], Customer_master[Terms days], 0)</f>
        <v>0</v>
      </c>
      <c r="L8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7" s="4"/>
      <c r="N897" s="46">
        <f>IF(AR[[#This Row],[Collection date - override (dd/mm/yyyy)]] &lt;&gt; "", AR[[#This Row],[Collection date - override (dd/mm/yyyy)]], AR[[#This Row],[Due date (dd/mm/yyyy)]])</f>
        <v>0</v>
      </c>
      <c r="O897" s="46">
        <f t="shared" si="13"/>
        <v>52</v>
      </c>
    </row>
    <row r="898" spans="3:15" x14ac:dyDescent="0.25">
      <c r="C898" s="28"/>
      <c r="D898" s="20"/>
      <c r="E898" s="4"/>
      <c r="F898" s="37"/>
      <c r="G898" s="24"/>
      <c r="H898" s="51">
        <f>Assumptions!$D$15</f>
        <v>0.1</v>
      </c>
      <c r="I898" s="45">
        <f>IF(AR[[#This Row],[GST applies?]] = "Yes", (AR[[#This Row],[Invoice value inc. VAT]] / 1 + AR[[#This Row],[GST %]]) * AR[[#This Row],[GST %]], 0)</f>
        <v>0</v>
      </c>
      <c r="J898" s="31">
        <f>_xlfn.XLOOKUP(AR[[#This Row],[Customer name]], Customer_master[Customer name], Customer_master[EOM or Net], 0)</f>
        <v>0</v>
      </c>
      <c r="K898" s="31">
        <f>_xlfn.XLOOKUP(AR[[#This Row],[Customer name]], Customer_master[Customer name], Customer_master[Terms days], 0)</f>
        <v>0</v>
      </c>
      <c r="L8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8" s="4"/>
      <c r="N898" s="46">
        <f>IF(AR[[#This Row],[Collection date - override (dd/mm/yyyy)]] &lt;&gt; "", AR[[#This Row],[Collection date - override (dd/mm/yyyy)]], AR[[#This Row],[Due date (dd/mm/yyyy)]])</f>
        <v>0</v>
      </c>
      <c r="O898" s="46">
        <f t="shared" si="13"/>
        <v>52</v>
      </c>
    </row>
    <row r="899" spans="3:15" x14ac:dyDescent="0.25">
      <c r="C899" s="28"/>
      <c r="D899" s="20"/>
      <c r="E899" s="4"/>
      <c r="F899" s="37"/>
      <c r="G899" s="24"/>
      <c r="H899" s="51">
        <f>Assumptions!$D$15</f>
        <v>0.1</v>
      </c>
      <c r="I899" s="45">
        <f>IF(AR[[#This Row],[GST applies?]] = "Yes", (AR[[#This Row],[Invoice value inc. VAT]] / 1 + AR[[#This Row],[GST %]]) * AR[[#This Row],[GST %]], 0)</f>
        <v>0</v>
      </c>
      <c r="J899" s="31">
        <f>_xlfn.XLOOKUP(AR[[#This Row],[Customer name]], Customer_master[Customer name], Customer_master[EOM or Net], 0)</f>
        <v>0</v>
      </c>
      <c r="K899" s="31">
        <f>_xlfn.XLOOKUP(AR[[#This Row],[Customer name]], Customer_master[Customer name], Customer_master[Terms days], 0)</f>
        <v>0</v>
      </c>
      <c r="L8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9" s="4"/>
      <c r="N899" s="46">
        <f>IF(AR[[#This Row],[Collection date - override (dd/mm/yyyy)]] &lt;&gt; "", AR[[#This Row],[Collection date - override (dd/mm/yyyy)]], AR[[#This Row],[Due date (dd/mm/yyyy)]])</f>
        <v>0</v>
      </c>
      <c r="O899" s="46">
        <f t="shared" si="13"/>
        <v>52</v>
      </c>
    </row>
    <row r="900" spans="3:15" x14ac:dyDescent="0.25">
      <c r="C900" s="28"/>
      <c r="D900" s="20"/>
      <c r="E900" s="4"/>
      <c r="F900" s="37"/>
      <c r="G900" s="24"/>
      <c r="H900" s="51">
        <f>Assumptions!$D$15</f>
        <v>0.1</v>
      </c>
      <c r="I900" s="45">
        <f>IF(AR[[#This Row],[GST applies?]] = "Yes", (AR[[#This Row],[Invoice value inc. VAT]] / 1 + AR[[#This Row],[GST %]]) * AR[[#This Row],[GST %]], 0)</f>
        <v>0</v>
      </c>
      <c r="J900" s="31">
        <f>_xlfn.XLOOKUP(AR[[#This Row],[Customer name]], Customer_master[Customer name], Customer_master[EOM or Net], 0)</f>
        <v>0</v>
      </c>
      <c r="K900" s="31">
        <f>_xlfn.XLOOKUP(AR[[#This Row],[Customer name]], Customer_master[Customer name], Customer_master[Terms days], 0)</f>
        <v>0</v>
      </c>
      <c r="L9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0" s="4"/>
      <c r="N900" s="46">
        <f>IF(AR[[#This Row],[Collection date - override (dd/mm/yyyy)]] &lt;&gt; "", AR[[#This Row],[Collection date - override (dd/mm/yyyy)]], AR[[#This Row],[Due date (dd/mm/yyyy)]])</f>
        <v>0</v>
      </c>
      <c r="O900" s="46">
        <f t="shared" si="13"/>
        <v>52</v>
      </c>
    </row>
    <row r="901" spans="3:15" x14ac:dyDescent="0.25">
      <c r="C901" s="28"/>
      <c r="D901" s="20"/>
      <c r="E901" s="4"/>
      <c r="F901" s="37"/>
      <c r="G901" s="24"/>
      <c r="H901" s="51">
        <f>Assumptions!$D$15</f>
        <v>0.1</v>
      </c>
      <c r="I901" s="45">
        <f>IF(AR[[#This Row],[GST applies?]] = "Yes", (AR[[#This Row],[Invoice value inc. VAT]] / 1 + AR[[#This Row],[GST %]]) * AR[[#This Row],[GST %]], 0)</f>
        <v>0</v>
      </c>
      <c r="J901" s="31">
        <f>_xlfn.XLOOKUP(AR[[#This Row],[Customer name]], Customer_master[Customer name], Customer_master[EOM or Net], 0)</f>
        <v>0</v>
      </c>
      <c r="K901" s="31">
        <f>_xlfn.XLOOKUP(AR[[#This Row],[Customer name]], Customer_master[Customer name], Customer_master[Terms days], 0)</f>
        <v>0</v>
      </c>
      <c r="L9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1" s="4"/>
      <c r="N901" s="46">
        <f>IF(AR[[#This Row],[Collection date - override (dd/mm/yyyy)]] &lt;&gt; "", AR[[#This Row],[Collection date - override (dd/mm/yyyy)]], AR[[#This Row],[Due date (dd/mm/yyyy)]])</f>
        <v>0</v>
      </c>
      <c r="O901" s="46">
        <f t="shared" si="13"/>
        <v>52</v>
      </c>
    </row>
    <row r="902" spans="3:15" x14ac:dyDescent="0.25">
      <c r="C902" s="28"/>
      <c r="D902" s="20"/>
      <c r="E902" s="4"/>
      <c r="F902" s="37"/>
      <c r="G902" s="24"/>
      <c r="H902" s="51">
        <f>Assumptions!$D$15</f>
        <v>0.1</v>
      </c>
      <c r="I902" s="45">
        <f>IF(AR[[#This Row],[GST applies?]] = "Yes", (AR[[#This Row],[Invoice value inc. VAT]] / 1 + AR[[#This Row],[GST %]]) * AR[[#This Row],[GST %]], 0)</f>
        <v>0</v>
      </c>
      <c r="J902" s="31">
        <f>_xlfn.XLOOKUP(AR[[#This Row],[Customer name]], Customer_master[Customer name], Customer_master[EOM or Net], 0)</f>
        <v>0</v>
      </c>
      <c r="K902" s="31">
        <f>_xlfn.XLOOKUP(AR[[#This Row],[Customer name]], Customer_master[Customer name], Customer_master[Terms days], 0)</f>
        <v>0</v>
      </c>
      <c r="L9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2" s="4"/>
      <c r="N902" s="46">
        <f>IF(AR[[#This Row],[Collection date - override (dd/mm/yyyy)]] &lt;&gt; "", AR[[#This Row],[Collection date - override (dd/mm/yyyy)]], AR[[#This Row],[Due date (dd/mm/yyyy)]])</f>
        <v>0</v>
      </c>
      <c r="O902" s="46">
        <f t="shared" si="13"/>
        <v>52</v>
      </c>
    </row>
    <row r="903" spans="3:15" x14ac:dyDescent="0.25">
      <c r="C903" s="28"/>
      <c r="D903" s="20"/>
      <c r="E903" s="4"/>
      <c r="F903" s="37"/>
      <c r="G903" s="24"/>
      <c r="H903" s="51">
        <f>Assumptions!$D$15</f>
        <v>0.1</v>
      </c>
      <c r="I903" s="45">
        <f>IF(AR[[#This Row],[GST applies?]] = "Yes", (AR[[#This Row],[Invoice value inc. VAT]] / 1 + AR[[#This Row],[GST %]]) * AR[[#This Row],[GST %]], 0)</f>
        <v>0</v>
      </c>
      <c r="J903" s="31">
        <f>_xlfn.XLOOKUP(AR[[#This Row],[Customer name]], Customer_master[Customer name], Customer_master[EOM or Net], 0)</f>
        <v>0</v>
      </c>
      <c r="K903" s="31">
        <f>_xlfn.XLOOKUP(AR[[#This Row],[Customer name]], Customer_master[Customer name], Customer_master[Terms days], 0)</f>
        <v>0</v>
      </c>
      <c r="L9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3" s="4"/>
      <c r="N903" s="46">
        <f>IF(AR[[#This Row],[Collection date - override (dd/mm/yyyy)]] &lt;&gt; "", AR[[#This Row],[Collection date - override (dd/mm/yyyy)]], AR[[#This Row],[Due date (dd/mm/yyyy)]])</f>
        <v>0</v>
      </c>
      <c r="O903" s="46">
        <f t="shared" si="13"/>
        <v>52</v>
      </c>
    </row>
    <row r="904" spans="3:15" x14ac:dyDescent="0.25">
      <c r="C904" s="28"/>
      <c r="D904" s="20"/>
      <c r="E904" s="4"/>
      <c r="F904" s="37"/>
      <c r="G904" s="24"/>
      <c r="H904" s="51">
        <f>Assumptions!$D$15</f>
        <v>0.1</v>
      </c>
      <c r="I904" s="45">
        <f>IF(AR[[#This Row],[GST applies?]] = "Yes", (AR[[#This Row],[Invoice value inc. VAT]] / 1 + AR[[#This Row],[GST %]]) * AR[[#This Row],[GST %]], 0)</f>
        <v>0</v>
      </c>
      <c r="J904" s="31">
        <f>_xlfn.XLOOKUP(AR[[#This Row],[Customer name]], Customer_master[Customer name], Customer_master[EOM or Net], 0)</f>
        <v>0</v>
      </c>
      <c r="K904" s="31">
        <f>_xlfn.XLOOKUP(AR[[#This Row],[Customer name]], Customer_master[Customer name], Customer_master[Terms days], 0)</f>
        <v>0</v>
      </c>
      <c r="L9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4" s="4"/>
      <c r="N904" s="46">
        <f>IF(AR[[#This Row],[Collection date - override (dd/mm/yyyy)]] &lt;&gt; "", AR[[#This Row],[Collection date - override (dd/mm/yyyy)]], AR[[#This Row],[Due date (dd/mm/yyyy)]])</f>
        <v>0</v>
      </c>
      <c r="O904" s="46">
        <f t="shared" si="13"/>
        <v>52</v>
      </c>
    </row>
    <row r="905" spans="3:15" x14ac:dyDescent="0.25">
      <c r="C905" s="28"/>
      <c r="D905" s="20"/>
      <c r="E905" s="4"/>
      <c r="F905" s="37"/>
      <c r="G905" s="24"/>
      <c r="H905" s="51">
        <f>Assumptions!$D$15</f>
        <v>0.1</v>
      </c>
      <c r="I905" s="45">
        <f>IF(AR[[#This Row],[GST applies?]] = "Yes", (AR[[#This Row],[Invoice value inc. VAT]] / 1 + AR[[#This Row],[GST %]]) * AR[[#This Row],[GST %]], 0)</f>
        <v>0</v>
      </c>
      <c r="J905" s="31">
        <f>_xlfn.XLOOKUP(AR[[#This Row],[Customer name]], Customer_master[Customer name], Customer_master[EOM or Net], 0)</f>
        <v>0</v>
      </c>
      <c r="K905" s="31">
        <f>_xlfn.XLOOKUP(AR[[#This Row],[Customer name]], Customer_master[Customer name], Customer_master[Terms days], 0)</f>
        <v>0</v>
      </c>
      <c r="L9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5" s="4"/>
      <c r="N905" s="46">
        <f>IF(AR[[#This Row],[Collection date - override (dd/mm/yyyy)]] &lt;&gt; "", AR[[#This Row],[Collection date - override (dd/mm/yyyy)]], AR[[#This Row],[Due date (dd/mm/yyyy)]])</f>
        <v>0</v>
      </c>
      <c r="O905" s="46">
        <f t="shared" ref="O905:O968" si="14">IF(GST_Freq="Monthly",
    DATE(YEAR(E905), MONTH(E905) + 1, 21),
    IF(GST_Freq="Quarterly",
        IF(MOD(MONTH(E905) + 2 - MOD(MOD(MONTH(E905) - GST_First_Month, 12), 3), 12) = 0,
            DATE(YEAR(E905), MONTH(E905) + 4 - MOD(MOD(MONTH(E905) - GST_First_Month, 12), 3), 28),
            DATE(YEAR(E905), MONTH(E905) + 3 - MOD(MOD(MONTH(E905) - GST_First_Month, 12), 3), 28)
        ),
        "Invalid frequency"
    )
)</f>
        <v>52</v>
      </c>
    </row>
    <row r="906" spans="3:15" x14ac:dyDescent="0.25">
      <c r="C906" s="28"/>
      <c r="D906" s="20"/>
      <c r="E906" s="4"/>
      <c r="F906" s="37"/>
      <c r="G906" s="24"/>
      <c r="H906" s="51">
        <f>Assumptions!$D$15</f>
        <v>0.1</v>
      </c>
      <c r="I906" s="45">
        <f>IF(AR[[#This Row],[GST applies?]] = "Yes", (AR[[#This Row],[Invoice value inc. VAT]] / 1 + AR[[#This Row],[GST %]]) * AR[[#This Row],[GST %]], 0)</f>
        <v>0</v>
      </c>
      <c r="J906" s="31">
        <f>_xlfn.XLOOKUP(AR[[#This Row],[Customer name]], Customer_master[Customer name], Customer_master[EOM or Net], 0)</f>
        <v>0</v>
      </c>
      <c r="K906" s="31">
        <f>_xlfn.XLOOKUP(AR[[#This Row],[Customer name]], Customer_master[Customer name], Customer_master[Terms days], 0)</f>
        <v>0</v>
      </c>
      <c r="L9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6" s="4"/>
      <c r="N906" s="46">
        <f>IF(AR[[#This Row],[Collection date - override (dd/mm/yyyy)]] &lt;&gt; "", AR[[#This Row],[Collection date - override (dd/mm/yyyy)]], AR[[#This Row],[Due date (dd/mm/yyyy)]])</f>
        <v>0</v>
      </c>
      <c r="O906" s="46">
        <f t="shared" si="14"/>
        <v>52</v>
      </c>
    </row>
    <row r="907" spans="3:15" x14ac:dyDescent="0.25">
      <c r="C907" s="28"/>
      <c r="D907" s="20"/>
      <c r="E907" s="4"/>
      <c r="F907" s="37"/>
      <c r="G907" s="24"/>
      <c r="H907" s="51">
        <f>Assumptions!$D$15</f>
        <v>0.1</v>
      </c>
      <c r="I907" s="45">
        <f>IF(AR[[#This Row],[GST applies?]] = "Yes", (AR[[#This Row],[Invoice value inc. VAT]] / 1 + AR[[#This Row],[GST %]]) * AR[[#This Row],[GST %]], 0)</f>
        <v>0</v>
      </c>
      <c r="J907" s="31">
        <f>_xlfn.XLOOKUP(AR[[#This Row],[Customer name]], Customer_master[Customer name], Customer_master[EOM or Net], 0)</f>
        <v>0</v>
      </c>
      <c r="K907" s="31">
        <f>_xlfn.XLOOKUP(AR[[#This Row],[Customer name]], Customer_master[Customer name], Customer_master[Terms days], 0)</f>
        <v>0</v>
      </c>
      <c r="L9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7" s="4"/>
      <c r="N907" s="46">
        <f>IF(AR[[#This Row],[Collection date - override (dd/mm/yyyy)]] &lt;&gt; "", AR[[#This Row],[Collection date - override (dd/mm/yyyy)]], AR[[#This Row],[Due date (dd/mm/yyyy)]])</f>
        <v>0</v>
      </c>
      <c r="O907" s="46">
        <f t="shared" si="14"/>
        <v>52</v>
      </c>
    </row>
    <row r="908" spans="3:15" x14ac:dyDescent="0.25">
      <c r="C908" s="28"/>
      <c r="D908" s="20"/>
      <c r="E908" s="4"/>
      <c r="F908" s="37"/>
      <c r="G908" s="24"/>
      <c r="H908" s="51">
        <f>Assumptions!$D$15</f>
        <v>0.1</v>
      </c>
      <c r="I908" s="45">
        <f>IF(AR[[#This Row],[GST applies?]] = "Yes", (AR[[#This Row],[Invoice value inc. VAT]] / 1 + AR[[#This Row],[GST %]]) * AR[[#This Row],[GST %]], 0)</f>
        <v>0</v>
      </c>
      <c r="J908" s="31">
        <f>_xlfn.XLOOKUP(AR[[#This Row],[Customer name]], Customer_master[Customer name], Customer_master[EOM or Net], 0)</f>
        <v>0</v>
      </c>
      <c r="K908" s="31">
        <f>_xlfn.XLOOKUP(AR[[#This Row],[Customer name]], Customer_master[Customer name], Customer_master[Terms days], 0)</f>
        <v>0</v>
      </c>
      <c r="L9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8" s="4"/>
      <c r="N908" s="46">
        <f>IF(AR[[#This Row],[Collection date - override (dd/mm/yyyy)]] &lt;&gt; "", AR[[#This Row],[Collection date - override (dd/mm/yyyy)]], AR[[#This Row],[Due date (dd/mm/yyyy)]])</f>
        <v>0</v>
      </c>
      <c r="O908" s="46">
        <f t="shared" si="14"/>
        <v>52</v>
      </c>
    </row>
    <row r="909" spans="3:15" x14ac:dyDescent="0.25">
      <c r="C909" s="28"/>
      <c r="D909" s="20"/>
      <c r="E909" s="4"/>
      <c r="F909" s="37"/>
      <c r="G909" s="24"/>
      <c r="H909" s="51">
        <f>Assumptions!$D$15</f>
        <v>0.1</v>
      </c>
      <c r="I909" s="45">
        <f>IF(AR[[#This Row],[GST applies?]] = "Yes", (AR[[#This Row],[Invoice value inc. VAT]] / 1 + AR[[#This Row],[GST %]]) * AR[[#This Row],[GST %]], 0)</f>
        <v>0</v>
      </c>
      <c r="J909" s="31">
        <f>_xlfn.XLOOKUP(AR[[#This Row],[Customer name]], Customer_master[Customer name], Customer_master[EOM or Net], 0)</f>
        <v>0</v>
      </c>
      <c r="K909" s="31">
        <f>_xlfn.XLOOKUP(AR[[#This Row],[Customer name]], Customer_master[Customer name], Customer_master[Terms days], 0)</f>
        <v>0</v>
      </c>
      <c r="L9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9" s="4"/>
      <c r="N909" s="46">
        <f>IF(AR[[#This Row],[Collection date - override (dd/mm/yyyy)]] &lt;&gt; "", AR[[#This Row],[Collection date - override (dd/mm/yyyy)]], AR[[#This Row],[Due date (dd/mm/yyyy)]])</f>
        <v>0</v>
      </c>
      <c r="O909" s="46">
        <f t="shared" si="14"/>
        <v>52</v>
      </c>
    </row>
    <row r="910" spans="3:15" x14ac:dyDescent="0.25">
      <c r="C910" s="28"/>
      <c r="D910" s="20"/>
      <c r="E910" s="4"/>
      <c r="F910" s="37"/>
      <c r="G910" s="24"/>
      <c r="H910" s="51">
        <f>Assumptions!$D$15</f>
        <v>0.1</v>
      </c>
      <c r="I910" s="45">
        <f>IF(AR[[#This Row],[GST applies?]] = "Yes", (AR[[#This Row],[Invoice value inc. VAT]] / 1 + AR[[#This Row],[GST %]]) * AR[[#This Row],[GST %]], 0)</f>
        <v>0</v>
      </c>
      <c r="J910" s="31">
        <f>_xlfn.XLOOKUP(AR[[#This Row],[Customer name]], Customer_master[Customer name], Customer_master[EOM or Net], 0)</f>
        <v>0</v>
      </c>
      <c r="K910" s="31">
        <f>_xlfn.XLOOKUP(AR[[#This Row],[Customer name]], Customer_master[Customer name], Customer_master[Terms days], 0)</f>
        <v>0</v>
      </c>
      <c r="L9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0" s="4"/>
      <c r="N910" s="46">
        <f>IF(AR[[#This Row],[Collection date - override (dd/mm/yyyy)]] &lt;&gt; "", AR[[#This Row],[Collection date - override (dd/mm/yyyy)]], AR[[#This Row],[Due date (dd/mm/yyyy)]])</f>
        <v>0</v>
      </c>
      <c r="O910" s="46">
        <f t="shared" si="14"/>
        <v>52</v>
      </c>
    </row>
    <row r="911" spans="3:15" x14ac:dyDescent="0.25">
      <c r="C911" s="28"/>
      <c r="D911" s="20"/>
      <c r="E911" s="4"/>
      <c r="F911" s="37"/>
      <c r="G911" s="24"/>
      <c r="H911" s="51">
        <f>Assumptions!$D$15</f>
        <v>0.1</v>
      </c>
      <c r="I911" s="45">
        <f>IF(AR[[#This Row],[GST applies?]] = "Yes", (AR[[#This Row],[Invoice value inc. VAT]] / 1 + AR[[#This Row],[GST %]]) * AR[[#This Row],[GST %]], 0)</f>
        <v>0</v>
      </c>
      <c r="J911" s="31">
        <f>_xlfn.XLOOKUP(AR[[#This Row],[Customer name]], Customer_master[Customer name], Customer_master[EOM or Net], 0)</f>
        <v>0</v>
      </c>
      <c r="K911" s="31">
        <f>_xlfn.XLOOKUP(AR[[#This Row],[Customer name]], Customer_master[Customer name], Customer_master[Terms days], 0)</f>
        <v>0</v>
      </c>
      <c r="L9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1" s="4"/>
      <c r="N911" s="46">
        <f>IF(AR[[#This Row],[Collection date - override (dd/mm/yyyy)]] &lt;&gt; "", AR[[#This Row],[Collection date - override (dd/mm/yyyy)]], AR[[#This Row],[Due date (dd/mm/yyyy)]])</f>
        <v>0</v>
      </c>
      <c r="O911" s="46">
        <f t="shared" si="14"/>
        <v>52</v>
      </c>
    </row>
    <row r="912" spans="3:15" x14ac:dyDescent="0.25">
      <c r="C912" s="28"/>
      <c r="D912" s="20"/>
      <c r="E912" s="4"/>
      <c r="F912" s="37"/>
      <c r="G912" s="24"/>
      <c r="H912" s="51">
        <f>Assumptions!$D$15</f>
        <v>0.1</v>
      </c>
      <c r="I912" s="45">
        <f>IF(AR[[#This Row],[GST applies?]] = "Yes", (AR[[#This Row],[Invoice value inc. VAT]] / 1 + AR[[#This Row],[GST %]]) * AR[[#This Row],[GST %]], 0)</f>
        <v>0</v>
      </c>
      <c r="J912" s="31">
        <f>_xlfn.XLOOKUP(AR[[#This Row],[Customer name]], Customer_master[Customer name], Customer_master[EOM or Net], 0)</f>
        <v>0</v>
      </c>
      <c r="K912" s="31">
        <f>_xlfn.XLOOKUP(AR[[#This Row],[Customer name]], Customer_master[Customer name], Customer_master[Terms days], 0)</f>
        <v>0</v>
      </c>
      <c r="L9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2" s="4"/>
      <c r="N912" s="46">
        <f>IF(AR[[#This Row],[Collection date - override (dd/mm/yyyy)]] &lt;&gt; "", AR[[#This Row],[Collection date - override (dd/mm/yyyy)]], AR[[#This Row],[Due date (dd/mm/yyyy)]])</f>
        <v>0</v>
      </c>
      <c r="O912" s="46">
        <f t="shared" si="14"/>
        <v>52</v>
      </c>
    </row>
    <row r="913" spans="3:15" x14ac:dyDescent="0.25">
      <c r="C913" s="28"/>
      <c r="D913" s="20"/>
      <c r="E913" s="4"/>
      <c r="F913" s="37"/>
      <c r="G913" s="24"/>
      <c r="H913" s="51">
        <f>Assumptions!$D$15</f>
        <v>0.1</v>
      </c>
      <c r="I913" s="45">
        <f>IF(AR[[#This Row],[GST applies?]] = "Yes", (AR[[#This Row],[Invoice value inc. VAT]] / 1 + AR[[#This Row],[GST %]]) * AR[[#This Row],[GST %]], 0)</f>
        <v>0</v>
      </c>
      <c r="J913" s="31">
        <f>_xlfn.XLOOKUP(AR[[#This Row],[Customer name]], Customer_master[Customer name], Customer_master[EOM or Net], 0)</f>
        <v>0</v>
      </c>
      <c r="K913" s="31">
        <f>_xlfn.XLOOKUP(AR[[#This Row],[Customer name]], Customer_master[Customer name], Customer_master[Terms days], 0)</f>
        <v>0</v>
      </c>
      <c r="L9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3" s="4"/>
      <c r="N913" s="46">
        <f>IF(AR[[#This Row],[Collection date - override (dd/mm/yyyy)]] &lt;&gt; "", AR[[#This Row],[Collection date - override (dd/mm/yyyy)]], AR[[#This Row],[Due date (dd/mm/yyyy)]])</f>
        <v>0</v>
      </c>
      <c r="O913" s="46">
        <f t="shared" si="14"/>
        <v>52</v>
      </c>
    </row>
    <row r="914" spans="3:15" x14ac:dyDescent="0.25">
      <c r="C914" s="28"/>
      <c r="D914" s="20"/>
      <c r="E914" s="4"/>
      <c r="F914" s="37"/>
      <c r="G914" s="24"/>
      <c r="H914" s="51">
        <f>Assumptions!$D$15</f>
        <v>0.1</v>
      </c>
      <c r="I914" s="45">
        <f>IF(AR[[#This Row],[GST applies?]] = "Yes", (AR[[#This Row],[Invoice value inc. VAT]] / 1 + AR[[#This Row],[GST %]]) * AR[[#This Row],[GST %]], 0)</f>
        <v>0</v>
      </c>
      <c r="J914" s="31">
        <f>_xlfn.XLOOKUP(AR[[#This Row],[Customer name]], Customer_master[Customer name], Customer_master[EOM or Net], 0)</f>
        <v>0</v>
      </c>
      <c r="K914" s="31">
        <f>_xlfn.XLOOKUP(AR[[#This Row],[Customer name]], Customer_master[Customer name], Customer_master[Terms days], 0)</f>
        <v>0</v>
      </c>
      <c r="L9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4" s="4"/>
      <c r="N914" s="46">
        <f>IF(AR[[#This Row],[Collection date - override (dd/mm/yyyy)]] &lt;&gt; "", AR[[#This Row],[Collection date - override (dd/mm/yyyy)]], AR[[#This Row],[Due date (dd/mm/yyyy)]])</f>
        <v>0</v>
      </c>
      <c r="O914" s="46">
        <f t="shared" si="14"/>
        <v>52</v>
      </c>
    </row>
    <row r="915" spans="3:15" x14ac:dyDescent="0.25">
      <c r="C915" s="28"/>
      <c r="D915" s="20"/>
      <c r="E915" s="4"/>
      <c r="F915" s="37"/>
      <c r="G915" s="24"/>
      <c r="H915" s="51">
        <f>Assumptions!$D$15</f>
        <v>0.1</v>
      </c>
      <c r="I915" s="45">
        <f>IF(AR[[#This Row],[GST applies?]] = "Yes", (AR[[#This Row],[Invoice value inc. VAT]] / 1 + AR[[#This Row],[GST %]]) * AR[[#This Row],[GST %]], 0)</f>
        <v>0</v>
      </c>
      <c r="J915" s="31">
        <f>_xlfn.XLOOKUP(AR[[#This Row],[Customer name]], Customer_master[Customer name], Customer_master[EOM or Net], 0)</f>
        <v>0</v>
      </c>
      <c r="K915" s="31">
        <f>_xlfn.XLOOKUP(AR[[#This Row],[Customer name]], Customer_master[Customer name], Customer_master[Terms days], 0)</f>
        <v>0</v>
      </c>
      <c r="L9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5" s="4"/>
      <c r="N915" s="46">
        <f>IF(AR[[#This Row],[Collection date - override (dd/mm/yyyy)]] &lt;&gt; "", AR[[#This Row],[Collection date - override (dd/mm/yyyy)]], AR[[#This Row],[Due date (dd/mm/yyyy)]])</f>
        <v>0</v>
      </c>
      <c r="O915" s="46">
        <f t="shared" si="14"/>
        <v>52</v>
      </c>
    </row>
    <row r="916" spans="3:15" x14ac:dyDescent="0.25">
      <c r="C916" s="28"/>
      <c r="D916" s="20"/>
      <c r="E916" s="4"/>
      <c r="F916" s="37"/>
      <c r="G916" s="24"/>
      <c r="H916" s="51">
        <f>Assumptions!$D$15</f>
        <v>0.1</v>
      </c>
      <c r="I916" s="45">
        <f>IF(AR[[#This Row],[GST applies?]] = "Yes", (AR[[#This Row],[Invoice value inc. VAT]] / 1 + AR[[#This Row],[GST %]]) * AR[[#This Row],[GST %]], 0)</f>
        <v>0</v>
      </c>
      <c r="J916" s="31">
        <f>_xlfn.XLOOKUP(AR[[#This Row],[Customer name]], Customer_master[Customer name], Customer_master[EOM or Net], 0)</f>
        <v>0</v>
      </c>
      <c r="K916" s="31">
        <f>_xlfn.XLOOKUP(AR[[#This Row],[Customer name]], Customer_master[Customer name], Customer_master[Terms days], 0)</f>
        <v>0</v>
      </c>
      <c r="L9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6" s="4"/>
      <c r="N916" s="46">
        <f>IF(AR[[#This Row],[Collection date - override (dd/mm/yyyy)]] &lt;&gt; "", AR[[#This Row],[Collection date - override (dd/mm/yyyy)]], AR[[#This Row],[Due date (dd/mm/yyyy)]])</f>
        <v>0</v>
      </c>
      <c r="O916" s="46">
        <f t="shared" si="14"/>
        <v>52</v>
      </c>
    </row>
    <row r="917" spans="3:15" x14ac:dyDescent="0.25">
      <c r="C917" s="28"/>
      <c r="D917" s="20"/>
      <c r="E917" s="4"/>
      <c r="F917" s="37"/>
      <c r="G917" s="24"/>
      <c r="H917" s="51">
        <f>Assumptions!$D$15</f>
        <v>0.1</v>
      </c>
      <c r="I917" s="45">
        <f>IF(AR[[#This Row],[GST applies?]] = "Yes", (AR[[#This Row],[Invoice value inc. VAT]] / 1 + AR[[#This Row],[GST %]]) * AR[[#This Row],[GST %]], 0)</f>
        <v>0</v>
      </c>
      <c r="J917" s="31">
        <f>_xlfn.XLOOKUP(AR[[#This Row],[Customer name]], Customer_master[Customer name], Customer_master[EOM or Net], 0)</f>
        <v>0</v>
      </c>
      <c r="K917" s="31">
        <f>_xlfn.XLOOKUP(AR[[#This Row],[Customer name]], Customer_master[Customer name], Customer_master[Terms days], 0)</f>
        <v>0</v>
      </c>
      <c r="L9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7" s="4"/>
      <c r="N917" s="46">
        <f>IF(AR[[#This Row],[Collection date - override (dd/mm/yyyy)]] &lt;&gt; "", AR[[#This Row],[Collection date - override (dd/mm/yyyy)]], AR[[#This Row],[Due date (dd/mm/yyyy)]])</f>
        <v>0</v>
      </c>
      <c r="O917" s="46">
        <f t="shared" si="14"/>
        <v>52</v>
      </c>
    </row>
    <row r="918" spans="3:15" x14ac:dyDescent="0.25">
      <c r="C918" s="28"/>
      <c r="D918" s="20"/>
      <c r="E918" s="4"/>
      <c r="F918" s="37"/>
      <c r="G918" s="24"/>
      <c r="H918" s="51">
        <f>Assumptions!$D$15</f>
        <v>0.1</v>
      </c>
      <c r="I918" s="45">
        <f>IF(AR[[#This Row],[GST applies?]] = "Yes", (AR[[#This Row],[Invoice value inc. VAT]] / 1 + AR[[#This Row],[GST %]]) * AR[[#This Row],[GST %]], 0)</f>
        <v>0</v>
      </c>
      <c r="J918" s="31">
        <f>_xlfn.XLOOKUP(AR[[#This Row],[Customer name]], Customer_master[Customer name], Customer_master[EOM or Net], 0)</f>
        <v>0</v>
      </c>
      <c r="K918" s="31">
        <f>_xlfn.XLOOKUP(AR[[#This Row],[Customer name]], Customer_master[Customer name], Customer_master[Terms days], 0)</f>
        <v>0</v>
      </c>
      <c r="L9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8" s="4"/>
      <c r="N918" s="46">
        <f>IF(AR[[#This Row],[Collection date - override (dd/mm/yyyy)]] &lt;&gt; "", AR[[#This Row],[Collection date - override (dd/mm/yyyy)]], AR[[#This Row],[Due date (dd/mm/yyyy)]])</f>
        <v>0</v>
      </c>
      <c r="O918" s="46">
        <f t="shared" si="14"/>
        <v>52</v>
      </c>
    </row>
    <row r="919" spans="3:15" x14ac:dyDescent="0.25">
      <c r="C919" s="28"/>
      <c r="D919" s="20"/>
      <c r="E919" s="4"/>
      <c r="F919" s="37"/>
      <c r="G919" s="24"/>
      <c r="H919" s="51">
        <f>Assumptions!$D$15</f>
        <v>0.1</v>
      </c>
      <c r="I919" s="45">
        <f>IF(AR[[#This Row],[GST applies?]] = "Yes", (AR[[#This Row],[Invoice value inc. VAT]] / 1 + AR[[#This Row],[GST %]]) * AR[[#This Row],[GST %]], 0)</f>
        <v>0</v>
      </c>
      <c r="J919" s="31">
        <f>_xlfn.XLOOKUP(AR[[#This Row],[Customer name]], Customer_master[Customer name], Customer_master[EOM or Net], 0)</f>
        <v>0</v>
      </c>
      <c r="K919" s="31">
        <f>_xlfn.XLOOKUP(AR[[#This Row],[Customer name]], Customer_master[Customer name], Customer_master[Terms days], 0)</f>
        <v>0</v>
      </c>
      <c r="L9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9" s="4"/>
      <c r="N919" s="46">
        <f>IF(AR[[#This Row],[Collection date - override (dd/mm/yyyy)]] &lt;&gt; "", AR[[#This Row],[Collection date - override (dd/mm/yyyy)]], AR[[#This Row],[Due date (dd/mm/yyyy)]])</f>
        <v>0</v>
      </c>
      <c r="O919" s="46">
        <f t="shared" si="14"/>
        <v>52</v>
      </c>
    </row>
    <row r="920" spans="3:15" x14ac:dyDescent="0.25">
      <c r="C920" s="28"/>
      <c r="D920" s="20"/>
      <c r="E920" s="4"/>
      <c r="F920" s="37"/>
      <c r="G920" s="24"/>
      <c r="H920" s="51">
        <f>Assumptions!$D$15</f>
        <v>0.1</v>
      </c>
      <c r="I920" s="45">
        <f>IF(AR[[#This Row],[GST applies?]] = "Yes", (AR[[#This Row],[Invoice value inc. VAT]] / 1 + AR[[#This Row],[GST %]]) * AR[[#This Row],[GST %]], 0)</f>
        <v>0</v>
      </c>
      <c r="J920" s="31">
        <f>_xlfn.XLOOKUP(AR[[#This Row],[Customer name]], Customer_master[Customer name], Customer_master[EOM or Net], 0)</f>
        <v>0</v>
      </c>
      <c r="K920" s="31">
        <f>_xlfn.XLOOKUP(AR[[#This Row],[Customer name]], Customer_master[Customer name], Customer_master[Terms days], 0)</f>
        <v>0</v>
      </c>
      <c r="L9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0" s="4"/>
      <c r="N920" s="46">
        <f>IF(AR[[#This Row],[Collection date - override (dd/mm/yyyy)]] &lt;&gt; "", AR[[#This Row],[Collection date - override (dd/mm/yyyy)]], AR[[#This Row],[Due date (dd/mm/yyyy)]])</f>
        <v>0</v>
      </c>
      <c r="O920" s="46">
        <f t="shared" si="14"/>
        <v>52</v>
      </c>
    </row>
    <row r="921" spans="3:15" x14ac:dyDescent="0.25">
      <c r="C921" s="28"/>
      <c r="D921" s="20"/>
      <c r="E921" s="4"/>
      <c r="F921" s="37"/>
      <c r="G921" s="24"/>
      <c r="H921" s="51">
        <f>Assumptions!$D$15</f>
        <v>0.1</v>
      </c>
      <c r="I921" s="45">
        <f>IF(AR[[#This Row],[GST applies?]] = "Yes", (AR[[#This Row],[Invoice value inc. VAT]] / 1 + AR[[#This Row],[GST %]]) * AR[[#This Row],[GST %]], 0)</f>
        <v>0</v>
      </c>
      <c r="J921" s="31">
        <f>_xlfn.XLOOKUP(AR[[#This Row],[Customer name]], Customer_master[Customer name], Customer_master[EOM or Net], 0)</f>
        <v>0</v>
      </c>
      <c r="K921" s="31">
        <f>_xlfn.XLOOKUP(AR[[#This Row],[Customer name]], Customer_master[Customer name], Customer_master[Terms days], 0)</f>
        <v>0</v>
      </c>
      <c r="L9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1" s="4"/>
      <c r="N921" s="46">
        <f>IF(AR[[#This Row],[Collection date - override (dd/mm/yyyy)]] &lt;&gt; "", AR[[#This Row],[Collection date - override (dd/mm/yyyy)]], AR[[#This Row],[Due date (dd/mm/yyyy)]])</f>
        <v>0</v>
      </c>
      <c r="O921" s="46">
        <f t="shared" si="14"/>
        <v>52</v>
      </c>
    </row>
    <row r="922" spans="3:15" x14ac:dyDescent="0.25">
      <c r="C922" s="28"/>
      <c r="D922" s="20"/>
      <c r="E922" s="4"/>
      <c r="F922" s="37"/>
      <c r="G922" s="24"/>
      <c r="H922" s="51">
        <f>Assumptions!$D$15</f>
        <v>0.1</v>
      </c>
      <c r="I922" s="45">
        <f>IF(AR[[#This Row],[GST applies?]] = "Yes", (AR[[#This Row],[Invoice value inc. VAT]] / 1 + AR[[#This Row],[GST %]]) * AR[[#This Row],[GST %]], 0)</f>
        <v>0</v>
      </c>
      <c r="J922" s="31">
        <f>_xlfn.XLOOKUP(AR[[#This Row],[Customer name]], Customer_master[Customer name], Customer_master[EOM or Net], 0)</f>
        <v>0</v>
      </c>
      <c r="K922" s="31">
        <f>_xlfn.XLOOKUP(AR[[#This Row],[Customer name]], Customer_master[Customer name], Customer_master[Terms days], 0)</f>
        <v>0</v>
      </c>
      <c r="L9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2" s="4"/>
      <c r="N922" s="46">
        <f>IF(AR[[#This Row],[Collection date - override (dd/mm/yyyy)]] &lt;&gt; "", AR[[#This Row],[Collection date - override (dd/mm/yyyy)]], AR[[#This Row],[Due date (dd/mm/yyyy)]])</f>
        <v>0</v>
      </c>
      <c r="O922" s="46">
        <f t="shared" si="14"/>
        <v>52</v>
      </c>
    </row>
    <row r="923" spans="3:15" x14ac:dyDescent="0.25">
      <c r="C923" s="28"/>
      <c r="D923" s="20"/>
      <c r="E923" s="4"/>
      <c r="F923" s="37"/>
      <c r="G923" s="24"/>
      <c r="H923" s="51">
        <f>Assumptions!$D$15</f>
        <v>0.1</v>
      </c>
      <c r="I923" s="45">
        <f>IF(AR[[#This Row],[GST applies?]] = "Yes", (AR[[#This Row],[Invoice value inc. VAT]] / 1 + AR[[#This Row],[GST %]]) * AR[[#This Row],[GST %]], 0)</f>
        <v>0</v>
      </c>
      <c r="J923" s="31">
        <f>_xlfn.XLOOKUP(AR[[#This Row],[Customer name]], Customer_master[Customer name], Customer_master[EOM or Net], 0)</f>
        <v>0</v>
      </c>
      <c r="K923" s="31">
        <f>_xlfn.XLOOKUP(AR[[#This Row],[Customer name]], Customer_master[Customer name], Customer_master[Terms days], 0)</f>
        <v>0</v>
      </c>
      <c r="L9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3" s="4"/>
      <c r="N923" s="46">
        <f>IF(AR[[#This Row],[Collection date - override (dd/mm/yyyy)]] &lt;&gt; "", AR[[#This Row],[Collection date - override (dd/mm/yyyy)]], AR[[#This Row],[Due date (dd/mm/yyyy)]])</f>
        <v>0</v>
      </c>
      <c r="O923" s="46">
        <f t="shared" si="14"/>
        <v>52</v>
      </c>
    </row>
    <row r="924" spans="3:15" x14ac:dyDescent="0.25">
      <c r="C924" s="28"/>
      <c r="D924" s="20"/>
      <c r="E924" s="4"/>
      <c r="F924" s="37"/>
      <c r="G924" s="24"/>
      <c r="H924" s="51">
        <f>Assumptions!$D$15</f>
        <v>0.1</v>
      </c>
      <c r="I924" s="45">
        <f>IF(AR[[#This Row],[GST applies?]] = "Yes", (AR[[#This Row],[Invoice value inc. VAT]] / 1 + AR[[#This Row],[GST %]]) * AR[[#This Row],[GST %]], 0)</f>
        <v>0</v>
      </c>
      <c r="J924" s="31">
        <f>_xlfn.XLOOKUP(AR[[#This Row],[Customer name]], Customer_master[Customer name], Customer_master[EOM or Net], 0)</f>
        <v>0</v>
      </c>
      <c r="K924" s="31">
        <f>_xlfn.XLOOKUP(AR[[#This Row],[Customer name]], Customer_master[Customer name], Customer_master[Terms days], 0)</f>
        <v>0</v>
      </c>
      <c r="L9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4" s="4"/>
      <c r="N924" s="46">
        <f>IF(AR[[#This Row],[Collection date - override (dd/mm/yyyy)]] &lt;&gt; "", AR[[#This Row],[Collection date - override (dd/mm/yyyy)]], AR[[#This Row],[Due date (dd/mm/yyyy)]])</f>
        <v>0</v>
      </c>
      <c r="O924" s="46">
        <f t="shared" si="14"/>
        <v>52</v>
      </c>
    </row>
    <row r="925" spans="3:15" x14ac:dyDescent="0.25">
      <c r="C925" s="28"/>
      <c r="D925" s="20"/>
      <c r="E925" s="4"/>
      <c r="F925" s="37"/>
      <c r="G925" s="24"/>
      <c r="H925" s="51">
        <f>Assumptions!$D$15</f>
        <v>0.1</v>
      </c>
      <c r="I925" s="45">
        <f>IF(AR[[#This Row],[GST applies?]] = "Yes", (AR[[#This Row],[Invoice value inc. VAT]] / 1 + AR[[#This Row],[GST %]]) * AR[[#This Row],[GST %]], 0)</f>
        <v>0</v>
      </c>
      <c r="J925" s="31">
        <f>_xlfn.XLOOKUP(AR[[#This Row],[Customer name]], Customer_master[Customer name], Customer_master[EOM or Net], 0)</f>
        <v>0</v>
      </c>
      <c r="K925" s="31">
        <f>_xlfn.XLOOKUP(AR[[#This Row],[Customer name]], Customer_master[Customer name], Customer_master[Terms days], 0)</f>
        <v>0</v>
      </c>
      <c r="L9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5" s="4"/>
      <c r="N925" s="46">
        <f>IF(AR[[#This Row],[Collection date - override (dd/mm/yyyy)]] &lt;&gt; "", AR[[#This Row],[Collection date - override (dd/mm/yyyy)]], AR[[#This Row],[Due date (dd/mm/yyyy)]])</f>
        <v>0</v>
      </c>
      <c r="O925" s="46">
        <f t="shared" si="14"/>
        <v>52</v>
      </c>
    </row>
    <row r="926" spans="3:15" x14ac:dyDescent="0.25">
      <c r="C926" s="28"/>
      <c r="D926" s="20"/>
      <c r="E926" s="4"/>
      <c r="F926" s="37"/>
      <c r="G926" s="24"/>
      <c r="H926" s="51">
        <f>Assumptions!$D$15</f>
        <v>0.1</v>
      </c>
      <c r="I926" s="45">
        <f>IF(AR[[#This Row],[GST applies?]] = "Yes", (AR[[#This Row],[Invoice value inc. VAT]] / 1 + AR[[#This Row],[GST %]]) * AR[[#This Row],[GST %]], 0)</f>
        <v>0</v>
      </c>
      <c r="J926" s="31">
        <f>_xlfn.XLOOKUP(AR[[#This Row],[Customer name]], Customer_master[Customer name], Customer_master[EOM or Net], 0)</f>
        <v>0</v>
      </c>
      <c r="K926" s="31">
        <f>_xlfn.XLOOKUP(AR[[#This Row],[Customer name]], Customer_master[Customer name], Customer_master[Terms days], 0)</f>
        <v>0</v>
      </c>
      <c r="L9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6" s="4"/>
      <c r="N926" s="46">
        <f>IF(AR[[#This Row],[Collection date - override (dd/mm/yyyy)]] &lt;&gt; "", AR[[#This Row],[Collection date - override (dd/mm/yyyy)]], AR[[#This Row],[Due date (dd/mm/yyyy)]])</f>
        <v>0</v>
      </c>
      <c r="O926" s="46">
        <f t="shared" si="14"/>
        <v>52</v>
      </c>
    </row>
    <row r="927" spans="3:15" x14ac:dyDescent="0.25">
      <c r="C927" s="28"/>
      <c r="D927" s="20"/>
      <c r="E927" s="4"/>
      <c r="F927" s="37"/>
      <c r="G927" s="24"/>
      <c r="H927" s="51">
        <f>Assumptions!$D$15</f>
        <v>0.1</v>
      </c>
      <c r="I927" s="45">
        <f>IF(AR[[#This Row],[GST applies?]] = "Yes", (AR[[#This Row],[Invoice value inc. VAT]] / 1 + AR[[#This Row],[GST %]]) * AR[[#This Row],[GST %]], 0)</f>
        <v>0</v>
      </c>
      <c r="J927" s="31">
        <f>_xlfn.XLOOKUP(AR[[#This Row],[Customer name]], Customer_master[Customer name], Customer_master[EOM or Net], 0)</f>
        <v>0</v>
      </c>
      <c r="K927" s="31">
        <f>_xlfn.XLOOKUP(AR[[#This Row],[Customer name]], Customer_master[Customer name], Customer_master[Terms days], 0)</f>
        <v>0</v>
      </c>
      <c r="L9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7" s="4"/>
      <c r="N927" s="46">
        <f>IF(AR[[#This Row],[Collection date - override (dd/mm/yyyy)]] &lt;&gt; "", AR[[#This Row],[Collection date - override (dd/mm/yyyy)]], AR[[#This Row],[Due date (dd/mm/yyyy)]])</f>
        <v>0</v>
      </c>
      <c r="O927" s="46">
        <f t="shared" si="14"/>
        <v>52</v>
      </c>
    </row>
    <row r="928" spans="3:15" x14ac:dyDescent="0.25">
      <c r="C928" s="28"/>
      <c r="D928" s="20"/>
      <c r="E928" s="4"/>
      <c r="F928" s="37"/>
      <c r="G928" s="24"/>
      <c r="H928" s="51">
        <f>Assumptions!$D$15</f>
        <v>0.1</v>
      </c>
      <c r="I928" s="45">
        <f>IF(AR[[#This Row],[GST applies?]] = "Yes", (AR[[#This Row],[Invoice value inc. VAT]] / 1 + AR[[#This Row],[GST %]]) * AR[[#This Row],[GST %]], 0)</f>
        <v>0</v>
      </c>
      <c r="J928" s="31">
        <f>_xlfn.XLOOKUP(AR[[#This Row],[Customer name]], Customer_master[Customer name], Customer_master[EOM or Net], 0)</f>
        <v>0</v>
      </c>
      <c r="K928" s="31">
        <f>_xlfn.XLOOKUP(AR[[#This Row],[Customer name]], Customer_master[Customer name], Customer_master[Terms days], 0)</f>
        <v>0</v>
      </c>
      <c r="L9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8" s="4"/>
      <c r="N928" s="46">
        <f>IF(AR[[#This Row],[Collection date - override (dd/mm/yyyy)]] &lt;&gt; "", AR[[#This Row],[Collection date - override (dd/mm/yyyy)]], AR[[#This Row],[Due date (dd/mm/yyyy)]])</f>
        <v>0</v>
      </c>
      <c r="O928" s="46">
        <f t="shared" si="14"/>
        <v>52</v>
      </c>
    </row>
    <row r="929" spans="3:15" x14ac:dyDescent="0.25">
      <c r="C929" s="28"/>
      <c r="D929" s="20"/>
      <c r="E929" s="4"/>
      <c r="F929" s="37"/>
      <c r="G929" s="24"/>
      <c r="H929" s="51">
        <f>Assumptions!$D$15</f>
        <v>0.1</v>
      </c>
      <c r="I929" s="45">
        <f>IF(AR[[#This Row],[GST applies?]] = "Yes", (AR[[#This Row],[Invoice value inc. VAT]] / 1 + AR[[#This Row],[GST %]]) * AR[[#This Row],[GST %]], 0)</f>
        <v>0</v>
      </c>
      <c r="J929" s="31">
        <f>_xlfn.XLOOKUP(AR[[#This Row],[Customer name]], Customer_master[Customer name], Customer_master[EOM or Net], 0)</f>
        <v>0</v>
      </c>
      <c r="K929" s="31">
        <f>_xlfn.XLOOKUP(AR[[#This Row],[Customer name]], Customer_master[Customer name], Customer_master[Terms days], 0)</f>
        <v>0</v>
      </c>
      <c r="L9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9" s="4"/>
      <c r="N929" s="46">
        <f>IF(AR[[#This Row],[Collection date - override (dd/mm/yyyy)]] &lt;&gt; "", AR[[#This Row],[Collection date - override (dd/mm/yyyy)]], AR[[#This Row],[Due date (dd/mm/yyyy)]])</f>
        <v>0</v>
      </c>
      <c r="O929" s="46">
        <f t="shared" si="14"/>
        <v>52</v>
      </c>
    </row>
    <row r="930" spans="3:15" x14ac:dyDescent="0.25">
      <c r="C930" s="28"/>
      <c r="D930" s="20"/>
      <c r="E930" s="4"/>
      <c r="F930" s="37"/>
      <c r="G930" s="24"/>
      <c r="H930" s="51">
        <f>Assumptions!$D$15</f>
        <v>0.1</v>
      </c>
      <c r="I930" s="45">
        <f>IF(AR[[#This Row],[GST applies?]] = "Yes", (AR[[#This Row],[Invoice value inc. VAT]] / 1 + AR[[#This Row],[GST %]]) * AR[[#This Row],[GST %]], 0)</f>
        <v>0</v>
      </c>
      <c r="J930" s="31">
        <f>_xlfn.XLOOKUP(AR[[#This Row],[Customer name]], Customer_master[Customer name], Customer_master[EOM or Net], 0)</f>
        <v>0</v>
      </c>
      <c r="K930" s="31">
        <f>_xlfn.XLOOKUP(AR[[#This Row],[Customer name]], Customer_master[Customer name], Customer_master[Terms days], 0)</f>
        <v>0</v>
      </c>
      <c r="L9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0" s="4"/>
      <c r="N930" s="46">
        <f>IF(AR[[#This Row],[Collection date - override (dd/mm/yyyy)]] &lt;&gt; "", AR[[#This Row],[Collection date - override (dd/mm/yyyy)]], AR[[#This Row],[Due date (dd/mm/yyyy)]])</f>
        <v>0</v>
      </c>
      <c r="O930" s="46">
        <f t="shared" si="14"/>
        <v>52</v>
      </c>
    </row>
    <row r="931" spans="3:15" x14ac:dyDescent="0.25">
      <c r="C931" s="28"/>
      <c r="D931" s="20"/>
      <c r="E931" s="4"/>
      <c r="F931" s="37"/>
      <c r="G931" s="24"/>
      <c r="H931" s="51">
        <f>Assumptions!$D$15</f>
        <v>0.1</v>
      </c>
      <c r="I931" s="45">
        <f>IF(AR[[#This Row],[GST applies?]] = "Yes", (AR[[#This Row],[Invoice value inc. VAT]] / 1 + AR[[#This Row],[GST %]]) * AR[[#This Row],[GST %]], 0)</f>
        <v>0</v>
      </c>
      <c r="J931" s="31">
        <f>_xlfn.XLOOKUP(AR[[#This Row],[Customer name]], Customer_master[Customer name], Customer_master[EOM or Net], 0)</f>
        <v>0</v>
      </c>
      <c r="K931" s="31">
        <f>_xlfn.XLOOKUP(AR[[#This Row],[Customer name]], Customer_master[Customer name], Customer_master[Terms days], 0)</f>
        <v>0</v>
      </c>
      <c r="L9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1" s="4"/>
      <c r="N931" s="46">
        <f>IF(AR[[#This Row],[Collection date - override (dd/mm/yyyy)]] &lt;&gt; "", AR[[#This Row],[Collection date - override (dd/mm/yyyy)]], AR[[#This Row],[Due date (dd/mm/yyyy)]])</f>
        <v>0</v>
      </c>
      <c r="O931" s="46">
        <f t="shared" si="14"/>
        <v>52</v>
      </c>
    </row>
    <row r="932" spans="3:15" x14ac:dyDescent="0.25">
      <c r="C932" s="28"/>
      <c r="D932" s="20"/>
      <c r="E932" s="4"/>
      <c r="F932" s="37"/>
      <c r="G932" s="24"/>
      <c r="H932" s="51">
        <f>Assumptions!$D$15</f>
        <v>0.1</v>
      </c>
      <c r="I932" s="45">
        <f>IF(AR[[#This Row],[GST applies?]] = "Yes", (AR[[#This Row],[Invoice value inc. VAT]] / 1 + AR[[#This Row],[GST %]]) * AR[[#This Row],[GST %]], 0)</f>
        <v>0</v>
      </c>
      <c r="J932" s="31">
        <f>_xlfn.XLOOKUP(AR[[#This Row],[Customer name]], Customer_master[Customer name], Customer_master[EOM or Net], 0)</f>
        <v>0</v>
      </c>
      <c r="K932" s="31">
        <f>_xlfn.XLOOKUP(AR[[#This Row],[Customer name]], Customer_master[Customer name], Customer_master[Terms days], 0)</f>
        <v>0</v>
      </c>
      <c r="L9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2" s="4"/>
      <c r="N932" s="46">
        <f>IF(AR[[#This Row],[Collection date - override (dd/mm/yyyy)]] &lt;&gt; "", AR[[#This Row],[Collection date - override (dd/mm/yyyy)]], AR[[#This Row],[Due date (dd/mm/yyyy)]])</f>
        <v>0</v>
      </c>
      <c r="O932" s="46">
        <f t="shared" si="14"/>
        <v>52</v>
      </c>
    </row>
    <row r="933" spans="3:15" x14ac:dyDescent="0.25">
      <c r="C933" s="28"/>
      <c r="D933" s="20"/>
      <c r="E933" s="4"/>
      <c r="F933" s="37"/>
      <c r="G933" s="24"/>
      <c r="H933" s="51">
        <f>Assumptions!$D$15</f>
        <v>0.1</v>
      </c>
      <c r="I933" s="45">
        <f>IF(AR[[#This Row],[GST applies?]] = "Yes", (AR[[#This Row],[Invoice value inc. VAT]] / 1 + AR[[#This Row],[GST %]]) * AR[[#This Row],[GST %]], 0)</f>
        <v>0</v>
      </c>
      <c r="J933" s="31">
        <f>_xlfn.XLOOKUP(AR[[#This Row],[Customer name]], Customer_master[Customer name], Customer_master[EOM or Net], 0)</f>
        <v>0</v>
      </c>
      <c r="K933" s="31">
        <f>_xlfn.XLOOKUP(AR[[#This Row],[Customer name]], Customer_master[Customer name], Customer_master[Terms days], 0)</f>
        <v>0</v>
      </c>
      <c r="L9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3" s="4"/>
      <c r="N933" s="46">
        <f>IF(AR[[#This Row],[Collection date - override (dd/mm/yyyy)]] &lt;&gt; "", AR[[#This Row],[Collection date - override (dd/mm/yyyy)]], AR[[#This Row],[Due date (dd/mm/yyyy)]])</f>
        <v>0</v>
      </c>
      <c r="O933" s="46">
        <f t="shared" si="14"/>
        <v>52</v>
      </c>
    </row>
    <row r="934" spans="3:15" x14ac:dyDescent="0.25">
      <c r="C934" s="28"/>
      <c r="D934" s="20"/>
      <c r="E934" s="4"/>
      <c r="F934" s="37"/>
      <c r="G934" s="24"/>
      <c r="H934" s="51">
        <f>Assumptions!$D$15</f>
        <v>0.1</v>
      </c>
      <c r="I934" s="45">
        <f>IF(AR[[#This Row],[GST applies?]] = "Yes", (AR[[#This Row],[Invoice value inc. VAT]] / 1 + AR[[#This Row],[GST %]]) * AR[[#This Row],[GST %]], 0)</f>
        <v>0</v>
      </c>
      <c r="J934" s="31">
        <f>_xlfn.XLOOKUP(AR[[#This Row],[Customer name]], Customer_master[Customer name], Customer_master[EOM or Net], 0)</f>
        <v>0</v>
      </c>
      <c r="K934" s="31">
        <f>_xlfn.XLOOKUP(AR[[#This Row],[Customer name]], Customer_master[Customer name], Customer_master[Terms days], 0)</f>
        <v>0</v>
      </c>
      <c r="L9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4" s="4"/>
      <c r="N934" s="46">
        <f>IF(AR[[#This Row],[Collection date - override (dd/mm/yyyy)]] &lt;&gt; "", AR[[#This Row],[Collection date - override (dd/mm/yyyy)]], AR[[#This Row],[Due date (dd/mm/yyyy)]])</f>
        <v>0</v>
      </c>
      <c r="O934" s="46">
        <f t="shared" si="14"/>
        <v>52</v>
      </c>
    </row>
    <row r="935" spans="3:15" x14ac:dyDescent="0.25">
      <c r="C935" s="28"/>
      <c r="D935" s="20"/>
      <c r="E935" s="4"/>
      <c r="F935" s="37"/>
      <c r="G935" s="24"/>
      <c r="H935" s="51">
        <f>Assumptions!$D$15</f>
        <v>0.1</v>
      </c>
      <c r="I935" s="45">
        <f>IF(AR[[#This Row],[GST applies?]] = "Yes", (AR[[#This Row],[Invoice value inc. VAT]] / 1 + AR[[#This Row],[GST %]]) * AR[[#This Row],[GST %]], 0)</f>
        <v>0</v>
      </c>
      <c r="J935" s="31">
        <f>_xlfn.XLOOKUP(AR[[#This Row],[Customer name]], Customer_master[Customer name], Customer_master[EOM or Net], 0)</f>
        <v>0</v>
      </c>
      <c r="K935" s="31">
        <f>_xlfn.XLOOKUP(AR[[#This Row],[Customer name]], Customer_master[Customer name], Customer_master[Terms days], 0)</f>
        <v>0</v>
      </c>
      <c r="L9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5" s="4"/>
      <c r="N935" s="46">
        <f>IF(AR[[#This Row],[Collection date - override (dd/mm/yyyy)]] &lt;&gt; "", AR[[#This Row],[Collection date - override (dd/mm/yyyy)]], AR[[#This Row],[Due date (dd/mm/yyyy)]])</f>
        <v>0</v>
      </c>
      <c r="O935" s="46">
        <f t="shared" si="14"/>
        <v>52</v>
      </c>
    </row>
    <row r="936" spans="3:15" x14ac:dyDescent="0.25">
      <c r="C936" s="28"/>
      <c r="D936" s="20"/>
      <c r="E936" s="4"/>
      <c r="F936" s="37"/>
      <c r="G936" s="24"/>
      <c r="H936" s="51">
        <f>Assumptions!$D$15</f>
        <v>0.1</v>
      </c>
      <c r="I936" s="45">
        <f>IF(AR[[#This Row],[GST applies?]] = "Yes", (AR[[#This Row],[Invoice value inc. VAT]] / 1 + AR[[#This Row],[GST %]]) * AR[[#This Row],[GST %]], 0)</f>
        <v>0</v>
      </c>
      <c r="J936" s="31">
        <f>_xlfn.XLOOKUP(AR[[#This Row],[Customer name]], Customer_master[Customer name], Customer_master[EOM or Net], 0)</f>
        <v>0</v>
      </c>
      <c r="K936" s="31">
        <f>_xlfn.XLOOKUP(AR[[#This Row],[Customer name]], Customer_master[Customer name], Customer_master[Terms days], 0)</f>
        <v>0</v>
      </c>
      <c r="L9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6" s="4"/>
      <c r="N936" s="46">
        <f>IF(AR[[#This Row],[Collection date - override (dd/mm/yyyy)]] &lt;&gt; "", AR[[#This Row],[Collection date - override (dd/mm/yyyy)]], AR[[#This Row],[Due date (dd/mm/yyyy)]])</f>
        <v>0</v>
      </c>
      <c r="O936" s="46">
        <f t="shared" si="14"/>
        <v>52</v>
      </c>
    </row>
    <row r="937" spans="3:15" x14ac:dyDescent="0.25">
      <c r="C937" s="28"/>
      <c r="D937" s="20"/>
      <c r="E937" s="4"/>
      <c r="F937" s="37"/>
      <c r="G937" s="24"/>
      <c r="H937" s="51">
        <f>Assumptions!$D$15</f>
        <v>0.1</v>
      </c>
      <c r="I937" s="45">
        <f>IF(AR[[#This Row],[GST applies?]] = "Yes", (AR[[#This Row],[Invoice value inc. VAT]] / 1 + AR[[#This Row],[GST %]]) * AR[[#This Row],[GST %]], 0)</f>
        <v>0</v>
      </c>
      <c r="J937" s="31">
        <f>_xlfn.XLOOKUP(AR[[#This Row],[Customer name]], Customer_master[Customer name], Customer_master[EOM or Net], 0)</f>
        <v>0</v>
      </c>
      <c r="K937" s="31">
        <f>_xlfn.XLOOKUP(AR[[#This Row],[Customer name]], Customer_master[Customer name], Customer_master[Terms days], 0)</f>
        <v>0</v>
      </c>
      <c r="L9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7" s="4"/>
      <c r="N937" s="46">
        <f>IF(AR[[#This Row],[Collection date - override (dd/mm/yyyy)]] &lt;&gt; "", AR[[#This Row],[Collection date - override (dd/mm/yyyy)]], AR[[#This Row],[Due date (dd/mm/yyyy)]])</f>
        <v>0</v>
      </c>
      <c r="O937" s="46">
        <f t="shared" si="14"/>
        <v>52</v>
      </c>
    </row>
    <row r="938" spans="3:15" x14ac:dyDescent="0.25">
      <c r="C938" s="28"/>
      <c r="D938" s="20"/>
      <c r="E938" s="4"/>
      <c r="F938" s="37"/>
      <c r="G938" s="24"/>
      <c r="H938" s="51">
        <f>Assumptions!$D$15</f>
        <v>0.1</v>
      </c>
      <c r="I938" s="45">
        <f>IF(AR[[#This Row],[GST applies?]] = "Yes", (AR[[#This Row],[Invoice value inc. VAT]] / 1 + AR[[#This Row],[GST %]]) * AR[[#This Row],[GST %]], 0)</f>
        <v>0</v>
      </c>
      <c r="J938" s="31">
        <f>_xlfn.XLOOKUP(AR[[#This Row],[Customer name]], Customer_master[Customer name], Customer_master[EOM or Net], 0)</f>
        <v>0</v>
      </c>
      <c r="K938" s="31">
        <f>_xlfn.XLOOKUP(AR[[#This Row],[Customer name]], Customer_master[Customer name], Customer_master[Terms days], 0)</f>
        <v>0</v>
      </c>
      <c r="L9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8" s="4"/>
      <c r="N938" s="46">
        <f>IF(AR[[#This Row],[Collection date - override (dd/mm/yyyy)]] &lt;&gt; "", AR[[#This Row],[Collection date - override (dd/mm/yyyy)]], AR[[#This Row],[Due date (dd/mm/yyyy)]])</f>
        <v>0</v>
      </c>
      <c r="O938" s="46">
        <f t="shared" si="14"/>
        <v>52</v>
      </c>
    </row>
    <row r="939" spans="3:15" x14ac:dyDescent="0.25">
      <c r="C939" s="28"/>
      <c r="D939" s="20"/>
      <c r="E939" s="4"/>
      <c r="F939" s="37"/>
      <c r="G939" s="24"/>
      <c r="H939" s="51">
        <f>Assumptions!$D$15</f>
        <v>0.1</v>
      </c>
      <c r="I939" s="45">
        <f>IF(AR[[#This Row],[GST applies?]] = "Yes", (AR[[#This Row],[Invoice value inc. VAT]] / 1 + AR[[#This Row],[GST %]]) * AR[[#This Row],[GST %]], 0)</f>
        <v>0</v>
      </c>
      <c r="J939" s="31">
        <f>_xlfn.XLOOKUP(AR[[#This Row],[Customer name]], Customer_master[Customer name], Customer_master[EOM or Net], 0)</f>
        <v>0</v>
      </c>
      <c r="K939" s="31">
        <f>_xlfn.XLOOKUP(AR[[#This Row],[Customer name]], Customer_master[Customer name], Customer_master[Terms days], 0)</f>
        <v>0</v>
      </c>
      <c r="L9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9" s="4"/>
      <c r="N939" s="46">
        <f>IF(AR[[#This Row],[Collection date - override (dd/mm/yyyy)]] &lt;&gt; "", AR[[#This Row],[Collection date - override (dd/mm/yyyy)]], AR[[#This Row],[Due date (dd/mm/yyyy)]])</f>
        <v>0</v>
      </c>
      <c r="O939" s="46">
        <f t="shared" si="14"/>
        <v>52</v>
      </c>
    </row>
    <row r="940" spans="3:15" x14ac:dyDescent="0.25">
      <c r="C940" s="28"/>
      <c r="D940" s="20"/>
      <c r="E940" s="4"/>
      <c r="F940" s="37"/>
      <c r="G940" s="24"/>
      <c r="H940" s="51">
        <f>Assumptions!$D$15</f>
        <v>0.1</v>
      </c>
      <c r="I940" s="45">
        <f>IF(AR[[#This Row],[GST applies?]] = "Yes", (AR[[#This Row],[Invoice value inc. VAT]] / 1 + AR[[#This Row],[GST %]]) * AR[[#This Row],[GST %]], 0)</f>
        <v>0</v>
      </c>
      <c r="J940" s="31">
        <f>_xlfn.XLOOKUP(AR[[#This Row],[Customer name]], Customer_master[Customer name], Customer_master[EOM or Net], 0)</f>
        <v>0</v>
      </c>
      <c r="K940" s="31">
        <f>_xlfn.XLOOKUP(AR[[#This Row],[Customer name]], Customer_master[Customer name], Customer_master[Terms days], 0)</f>
        <v>0</v>
      </c>
      <c r="L9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0" s="4"/>
      <c r="N940" s="46">
        <f>IF(AR[[#This Row],[Collection date - override (dd/mm/yyyy)]] &lt;&gt; "", AR[[#This Row],[Collection date - override (dd/mm/yyyy)]], AR[[#This Row],[Due date (dd/mm/yyyy)]])</f>
        <v>0</v>
      </c>
      <c r="O940" s="46">
        <f t="shared" si="14"/>
        <v>52</v>
      </c>
    </row>
    <row r="941" spans="3:15" x14ac:dyDescent="0.25">
      <c r="C941" s="28"/>
      <c r="D941" s="20"/>
      <c r="E941" s="4"/>
      <c r="F941" s="37"/>
      <c r="G941" s="24"/>
      <c r="H941" s="51">
        <f>Assumptions!$D$15</f>
        <v>0.1</v>
      </c>
      <c r="I941" s="45">
        <f>IF(AR[[#This Row],[GST applies?]] = "Yes", (AR[[#This Row],[Invoice value inc. VAT]] / 1 + AR[[#This Row],[GST %]]) * AR[[#This Row],[GST %]], 0)</f>
        <v>0</v>
      </c>
      <c r="J941" s="31">
        <f>_xlfn.XLOOKUP(AR[[#This Row],[Customer name]], Customer_master[Customer name], Customer_master[EOM or Net], 0)</f>
        <v>0</v>
      </c>
      <c r="K941" s="31">
        <f>_xlfn.XLOOKUP(AR[[#This Row],[Customer name]], Customer_master[Customer name], Customer_master[Terms days], 0)</f>
        <v>0</v>
      </c>
      <c r="L9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1" s="4"/>
      <c r="N941" s="46">
        <f>IF(AR[[#This Row],[Collection date - override (dd/mm/yyyy)]] &lt;&gt; "", AR[[#This Row],[Collection date - override (dd/mm/yyyy)]], AR[[#This Row],[Due date (dd/mm/yyyy)]])</f>
        <v>0</v>
      </c>
      <c r="O941" s="46">
        <f t="shared" si="14"/>
        <v>52</v>
      </c>
    </row>
    <row r="942" spans="3:15" x14ac:dyDescent="0.25">
      <c r="C942" s="28"/>
      <c r="D942" s="20"/>
      <c r="E942" s="4"/>
      <c r="F942" s="37"/>
      <c r="G942" s="24"/>
      <c r="H942" s="51">
        <f>Assumptions!$D$15</f>
        <v>0.1</v>
      </c>
      <c r="I942" s="45">
        <f>IF(AR[[#This Row],[GST applies?]] = "Yes", (AR[[#This Row],[Invoice value inc. VAT]] / 1 + AR[[#This Row],[GST %]]) * AR[[#This Row],[GST %]], 0)</f>
        <v>0</v>
      </c>
      <c r="J942" s="31">
        <f>_xlfn.XLOOKUP(AR[[#This Row],[Customer name]], Customer_master[Customer name], Customer_master[EOM or Net], 0)</f>
        <v>0</v>
      </c>
      <c r="K942" s="31">
        <f>_xlfn.XLOOKUP(AR[[#This Row],[Customer name]], Customer_master[Customer name], Customer_master[Terms days], 0)</f>
        <v>0</v>
      </c>
      <c r="L9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2" s="4"/>
      <c r="N942" s="46">
        <f>IF(AR[[#This Row],[Collection date - override (dd/mm/yyyy)]] &lt;&gt; "", AR[[#This Row],[Collection date - override (dd/mm/yyyy)]], AR[[#This Row],[Due date (dd/mm/yyyy)]])</f>
        <v>0</v>
      </c>
      <c r="O942" s="46">
        <f t="shared" si="14"/>
        <v>52</v>
      </c>
    </row>
    <row r="943" spans="3:15" x14ac:dyDescent="0.25">
      <c r="C943" s="28"/>
      <c r="D943" s="20"/>
      <c r="E943" s="4"/>
      <c r="F943" s="37"/>
      <c r="G943" s="24"/>
      <c r="H943" s="51">
        <f>Assumptions!$D$15</f>
        <v>0.1</v>
      </c>
      <c r="I943" s="45">
        <f>IF(AR[[#This Row],[GST applies?]] = "Yes", (AR[[#This Row],[Invoice value inc. VAT]] / 1 + AR[[#This Row],[GST %]]) * AR[[#This Row],[GST %]], 0)</f>
        <v>0</v>
      </c>
      <c r="J943" s="31">
        <f>_xlfn.XLOOKUP(AR[[#This Row],[Customer name]], Customer_master[Customer name], Customer_master[EOM or Net], 0)</f>
        <v>0</v>
      </c>
      <c r="K943" s="31">
        <f>_xlfn.XLOOKUP(AR[[#This Row],[Customer name]], Customer_master[Customer name], Customer_master[Terms days], 0)</f>
        <v>0</v>
      </c>
      <c r="L9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3" s="4"/>
      <c r="N943" s="46">
        <f>IF(AR[[#This Row],[Collection date - override (dd/mm/yyyy)]] &lt;&gt; "", AR[[#This Row],[Collection date - override (dd/mm/yyyy)]], AR[[#This Row],[Due date (dd/mm/yyyy)]])</f>
        <v>0</v>
      </c>
      <c r="O943" s="46">
        <f t="shared" si="14"/>
        <v>52</v>
      </c>
    </row>
    <row r="944" spans="3:15" x14ac:dyDescent="0.25">
      <c r="C944" s="28"/>
      <c r="D944" s="20"/>
      <c r="E944" s="4"/>
      <c r="F944" s="37"/>
      <c r="G944" s="24"/>
      <c r="H944" s="51">
        <f>Assumptions!$D$15</f>
        <v>0.1</v>
      </c>
      <c r="I944" s="45">
        <f>IF(AR[[#This Row],[GST applies?]] = "Yes", (AR[[#This Row],[Invoice value inc. VAT]] / 1 + AR[[#This Row],[GST %]]) * AR[[#This Row],[GST %]], 0)</f>
        <v>0</v>
      </c>
      <c r="J944" s="31">
        <f>_xlfn.XLOOKUP(AR[[#This Row],[Customer name]], Customer_master[Customer name], Customer_master[EOM or Net], 0)</f>
        <v>0</v>
      </c>
      <c r="K944" s="31">
        <f>_xlfn.XLOOKUP(AR[[#This Row],[Customer name]], Customer_master[Customer name], Customer_master[Terms days], 0)</f>
        <v>0</v>
      </c>
      <c r="L9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4" s="4"/>
      <c r="N944" s="46">
        <f>IF(AR[[#This Row],[Collection date - override (dd/mm/yyyy)]] &lt;&gt; "", AR[[#This Row],[Collection date - override (dd/mm/yyyy)]], AR[[#This Row],[Due date (dd/mm/yyyy)]])</f>
        <v>0</v>
      </c>
      <c r="O944" s="46">
        <f t="shared" si="14"/>
        <v>52</v>
      </c>
    </row>
    <row r="945" spans="3:15" x14ac:dyDescent="0.25">
      <c r="C945" s="28"/>
      <c r="D945" s="20"/>
      <c r="E945" s="4"/>
      <c r="F945" s="37"/>
      <c r="G945" s="24"/>
      <c r="H945" s="51">
        <f>Assumptions!$D$15</f>
        <v>0.1</v>
      </c>
      <c r="I945" s="45">
        <f>IF(AR[[#This Row],[GST applies?]] = "Yes", (AR[[#This Row],[Invoice value inc. VAT]] / 1 + AR[[#This Row],[GST %]]) * AR[[#This Row],[GST %]], 0)</f>
        <v>0</v>
      </c>
      <c r="J945" s="31">
        <f>_xlfn.XLOOKUP(AR[[#This Row],[Customer name]], Customer_master[Customer name], Customer_master[EOM or Net], 0)</f>
        <v>0</v>
      </c>
      <c r="K945" s="31">
        <f>_xlfn.XLOOKUP(AR[[#This Row],[Customer name]], Customer_master[Customer name], Customer_master[Terms days], 0)</f>
        <v>0</v>
      </c>
      <c r="L9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5" s="4"/>
      <c r="N945" s="46">
        <f>IF(AR[[#This Row],[Collection date - override (dd/mm/yyyy)]] &lt;&gt; "", AR[[#This Row],[Collection date - override (dd/mm/yyyy)]], AR[[#This Row],[Due date (dd/mm/yyyy)]])</f>
        <v>0</v>
      </c>
      <c r="O945" s="46">
        <f t="shared" si="14"/>
        <v>52</v>
      </c>
    </row>
    <row r="946" spans="3:15" x14ac:dyDescent="0.25">
      <c r="C946" s="28"/>
      <c r="D946" s="20"/>
      <c r="E946" s="4"/>
      <c r="F946" s="37"/>
      <c r="G946" s="24"/>
      <c r="H946" s="51">
        <f>Assumptions!$D$15</f>
        <v>0.1</v>
      </c>
      <c r="I946" s="45">
        <f>IF(AR[[#This Row],[GST applies?]] = "Yes", (AR[[#This Row],[Invoice value inc. VAT]] / 1 + AR[[#This Row],[GST %]]) * AR[[#This Row],[GST %]], 0)</f>
        <v>0</v>
      </c>
      <c r="J946" s="31">
        <f>_xlfn.XLOOKUP(AR[[#This Row],[Customer name]], Customer_master[Customer name], Customer_master[EOM or Net], 0)</f>
        <v>0</v>
      </c>
      <c r="K946" s="31">
        <f>_xlfn.XLOOKUP(AR[[#This Row],[Customer name]], Customer_master[Customer name], Customer_master[Terms days], 0)</f>
        <v>0</v>
      </c>
      <c r="L9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6" s="4"/>
      <c r="N946" s="46">
        <f>IF(AR[[#This Row],[Collection date - override (dd/mm/yyyy)]] &lt;&gt; "", AR[[#This Row],[Collection date - override (dd/mm/yyyy)]], AR[[#This Row],[Due date (dd/mm/yyyy)]])</f>
        <v>0</v>
      </c>
      <c r="O946" s="46">
        <f t="shared" si="14"/>
        <v>52</v>
      </c>
    </row>
    <row r="947" spans="3:15" x14ac:dyDescent="0.25">
      <c r="C947" s="28"/>
      <c r="D947" s="20"/>
      <c r="E947" s="4"/>
      <c r="F947" s="37"/>
      <c r="G947" s="24"/>
      <c r="H947" s="51">
        <f>Assumptions!$D$15</f>
        <v>0.1</v>
      </c>
      <c r="I947" s="45">
        <f>IF(AR[[#This Row],[GST applies?]] = "Yes", (AR[[#This Row],[Invoice value inc. VAT]] / 1 + AR[[#This Row],[GST %]]) * AR[[#This Row],[GST %]], 0)</f>
        <v>0</v>
      </c>
      <c r="J947" s="31">
        <f>_xlfn.XLOOKUP(AR[[#This Row],[Customer name]], Customer_master[Customer name], Customer_master[EOM or Net], 0)</f>
        <v>0</v>
      </c>
      <c r="K947" s="31">
        <f>_xlfn.XLOOKUP(AR[[#This Row],[Customer name]], Customer_master[Customer name], Customer_master[Terms days], 0)</f>
        <v>0</v>
      </c>
      <c r="L9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7" s="4"/>
      <c r="N947" s="46">
        <f>IF(AR[[#This Row],[Collection date - override (dd/mm/yyyy)]] &lt;&gt; "", AR[[#This Row],[Collection date - override (dd/mm/yyyy)]], AR[[#This Row],[Due date (dd/mm/yyyy)]])</f>
        <v>0</v>
      </c>
      <c r="O947" s="46">
        <f t="shared" si="14"/>
        <v>52</v>
      </c>
    </row>
    <row r="948" spans="3:15" x14ac:dyDescent="0.25">
      <c r="C948" s="28"/>
      <c r="D948" s="20"/>
      <c r="E948" s="4"/>
      <c r="F948" s="37"/>
      <c r="G948" s="24"/>
      <c r="H948" s="51">
        <f>Assumptions!$D$15</f>
        <v>0.1</v>
      </c>
      <c r="I948" s="45">
        <f>IF(AR[[#This Row],[GST applies?]] = "Yes", (AR[[#This Row],[Invoice value inc. VAT]] / 1 + AR[[#This Row],[GST %]]) * AR[[#This Row],[GST %]], 0)</f>
        <v>0</v>
      </c>
      <c r="J948" s="31">
        <f>_xlfn.XLOOKUP(AR[[#This Row],[Customer name]], Customer_master[Customer name], Customer_master[EOM or Net], 0)</f>
        <v>0</v>
      </c>
      <c r="K948" s="31">
        <f>_xlfn.XLOOKUP(AR[[#This Row],[Customer name]], Customer_master[Customer name], Customer_master[Terms days], 0)</f>
        <v>0</v>
      </c>
      <c r="L9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8" s="4"/>
      <c r="N948" s="46">
        <f>IF(AR[[#This Row],[Collection date - override (dd/mm/yyyy)]] &lt;&gt; "", AR[[#This Row],[Collection date - override (dd/mm/yyyy)]], AR[[#This Row],[Due date (dd/mm/yyyy)]])</f>
        <v>0</v>
      </c>
      <c r="O948" s="46">
        <f t="shared" si="14"/>
        <v>52</v>
      </c>
    </row>
    <row r="949" spans="3:15" x14ac:dyDescent="0.25">
      <c r="C949" s="28"/>
      <c r="D949" s="20"/>
      <c r="E949" s="4"/>
      <c r="F949" s="37"/>
      <c r="G949" s="24"/>
      <c r="H949" s="51">
        <f>Assumptions!$D$15</f>
        <v>0.1</v>
      </c>
      <c r="I949" s="45">
        <f>IF(AR[[#This Row],[GST applies?]] = "Yes", (AR[[#This Row],[Invoice value inc. VAT]] / 1 + AR[[#This Row],[GST %]]) * AR[[#This Row],[GST %]], 0)</f>
        <v>0</v>
      </c>
      <c r="J949" s="31">
        <f>_xlfn.XLOOKUP(AR[[#This Row],[Customer name]], Customer_master[Customer name], Customer_master[EOM or Net], 0)</f>
        <v>0</v>
      </c>
      <c r="K949" s="31">
        <f>_xlfn.XLOOKUP(AR[[#This Row],[Customer name]], Customer_master[Customer name], Customer_master[Terms days], 0)</f>
        <v>0</v>
      </c>
      <c r="L9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9" s="4"/>
      <c r="N949" s="46">
        <f>IF(AR[[#This Row],[Collection date - override (dd/mm/yyyy)]] &lt;&gt; "", AR[[#This Row],[Collection date - override (dd/mm/yyyy)]], AR[[#This Row],[Due date (dd/mm/yyyy)]])</f>
        <v>0</v>
      </c>
      <c r="O949" s="46">
        <f t="shared" si="14"/>
        <v>52</v>
      </c>
    </row>
    <row r="950" spans="3:15" x14ac:dyDescent="0.25">
      <c r="C950" s="28"/>
      <c r="D950" s="20"/>
      <c r="E950" s="4"/>
      <c r="F950" s="37"/>
      <c r="G950" s="24"/>
      <c r="H950" s="51">
        <f>Assumptions!$D$15</f>
        <v>0.1</v>
      </c>
      <c r="I950" s="45">
        <f>IF(AR[[#This Row],[GST applies?]] = "Yes", (AR[[#This Row],[Invoice value inc. VAT]] / 1 + AR[[#This Row],[GST %]]) * AR[[#This Row],[GST %]], 0)</f>
        <v>0</v>
      </c>
      <c r="J950" s="31">
        <f>_xlfn.XLOOKUP(AR[[#This Row],[Customer name]], Customer_master[Customer name], Customer_master[EOM or Net], 0)</f>
        <v>0</v>
      </c>
      <c r="K950" s="31">
        <f>_xlfn.XLOOKUP(AR[[#This Row],[Customer name]], Customer_master[Customer name], Customer_master[Terms days], 0)</f>
        <v>0</v>
      </c>
      <c r="L9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0" s="4"/>
      <c r="N950" s="46">
        <f>IF(AR[[#This Row],[Collection date - override (dd/mm/yyyy)]] &lt;&gt; "", AR[[#This Row],[Collection date - override (dd/mm/yyyy)]], AR[[#This Row],[Due date (dd/mm/yyyy)]])</f>
        <v>0</v>
      </c>
      <c r="O950" s="46">
        <f t="shared" si="14"/>
        <v>52</v>
      </c>
    </row>
    <row r="951" spans="3:15" x14ac:dyDescent="0.25">
      <c r="C951" s="28"/>
      <c r="D951" s="20"/>
      <c r="E951" s="4"/>
      <c r="F951" s="37"/>
      <c r="G951" s="24"/>
      <c r="H951" s="51">
        <f>Assumptions!$D$15</f>
        <v>0.1</v>
      </c>
      <c r="I951" s="45">
        <f>IF(AR[[#This Row],[GST applies?]] = "Yes", (AR[[#This Row],[Invoice value inc. VAT]] / 1 + AR[[#This Row],[GST %]]) * AR[[#This Row],[GST %]], 0)</f>
        <v>0</v>
      </c>
      <c r="J951" s="31">
        <f>_xlfn.XLOOKUP(AR[[#This Row],[Customer name]], Customer_master[Customer name], Customer_master[EOM or Net], 0)</f>
        <v>0</v>
      </c>
      <c r="K951" s="31">
        <f>_xlfn.XLOOKUP(AR[[#This Row],[Customer name]], Customer_master[Customer name], Customer_master[Terms days], 0)</f>
        <v>0</v>
      </c>
      <c r="L9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1" s="4"/>
      <c r="N951" s="46">
        <f>IF(AR[[#This Row],[Collection date - override (dd/mm/yyyy)]] &lt;&gt; "", AR[[#This Row],[Collection date - override (dd/mm/yyyy)]], AR[[#This Row],[Due date (dd/mm/yyyy)]])</f>
        <v>0</v>
      </c>
      <c r="O951" s="46">
        <f t="shared" si="14"/>
        <v>52</v>
      </c>
    </row>
    <row r="952" spans="3:15" x14ac:dyDescent="0.25">
      <c r="C952" s="28"/>
      <c r="D952" s="20"/>
      <c r="E952" s="4"/>
      <c r="F952" s="37"/>
      <c r="G952" s="24"/>
      <c r="H952" s="51">
        <f>Assumptions!$D$15</f>
        <v>0.1</v>
      </c>
      <c r="I952" s="45">
        <f>IF(AR[[#This Row],[GST applies?]] = "Yes", (AR[[#This Row],[Invoice value inc. VAT]] / 1 + AR[[#This Row],[GST %]]) * AR[[#This Row],[GST %]], 0)</f>
        <v>0</v>
      </c>
      <c r="J952" s="31">
        <f>_xlfn.XLOOKUP(AR[[#This Row],[Customer name]], Customer_master[Customer name], Customer_master[EOM or Net], 0)</f>
        <v>0</v>
      </c>
      <c r="K952" s="31">
        <f>_xlfn.XLOOKUP(AR[[#This Row],[Customer name]], Customer_master[Customer name], Customer_master[Terms days], 0)</f>
        <v>0</v>
      </c>
      <c r="L9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2" s="4"/>
      <c r="N952" s="46">
        <f>IF(AR[[#This Row],[Collection date - override (dd/mm/yyyy)]] &lt;&gt; "", AR[[#This Row],[Collection date - override (dd/mm/yyyy)]], AR[[#This Row],[Due date (dd/mm/yyyy)]])</f>
        <v>0</v>
      </c>
      <c r="O952" s="46">
        <f t="shared" si="14"/>
        <v>52</v>
      </c>
    </row>
    <row r="953" spans="3:15" x14ac:dyDescent="0.25">
      <c r="C953" s="28"/>
      <c r="D953" s="20"/>
      <c r="E953" s="4"/>
      <c r="F953" s="37"/>
      <c r="G953" s="24"/>
      <c r="H953" s="51">
        <f>Assumptions!$D$15</f>
        <v>0.1</v>
      </c>
      <c r="I953" s="45">
        <f>IF(AR[[#This Row],[GST applies?]] = "Yes", (AR[[#This Row],[Invoice value inc. VAT]] / 1 + AR[[#This Row],[GST %]]) * AR[[#This Row],[GST %]], 0)</f>
        <v>0</v>
      </c>
      <c r="J953" s="31">
        <f>_xlfn.XLOOKUP(AR[[#This Row],[Customer name]], Customer_master[Customer name], Customer_master[EOM or Net], 0)</f>
        <v>0</v>
      </c>
      <c r="K953" s="31">
        <f>_xlfn.XLOOKUP(AR[[#This Row],[Customer name]], Customer_master[Customer name], Customer_master[Terms days], 0)</f>
        <v>0</v>
      </c>
      <c r="L9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3" s="4"/>
      <c r="N953" s="46">
        <f>IF(AR[[#This Row],[Collection date - override (dd/mm/yyyy)]] &lt;&gt; "", AR[[#This Row],[Collection date - override (dd/mm/yyyy)]], AR[[#This Row],[Due date (dd/mm/yyyy)]])</f>
        <v>0</v>
      </c>
      <c r="O953" s="46">
        <f t="shared" si="14"/>
        <v>52</v>
      </c>
    </row>
    <row r="954" spans="3:15" x14ac:dyDescent="0.25">
      <c r="C954" s="28"/>
      <c r="D954" s="20"/>
      <c r="E954" s="4"/>
      <c r="F954" s="37"/>
      <c r="G954" s="24"/>
      <c r="H954" s="51">
        <f>Assumptions!$D$15</f>
        <v>0.1</v>
      </c>
      <c r="I954" s="45">
        <f>IF(AR[[#This Row],[GST applies?]] = "Yes", (AR[[#This Row],[Invoice value inc. VAT]] / 1 + AR[[#This Row],[GST %]]) * AR[[#This Row],[GST %]], 0)</f>
        <v>0</v>
      </c>
      <c r="J954" s="31">
        <f>_xlfn.XLOOKUP(AR[[#This Row],[Customer name]], Customer_master[Customer name], Customer_master[EOM or Net], 0)</f>
        <v>0</v>
      </c>
      <c r="K954" s="31">
        <f>_xlfn.XLOOKUP(AR[[#This Row],[Customer name]], Customer_master[Customer name], Customer_master[Terms days], 0)</f>
        <v>0</v>
      </c>
      <c r="L9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4" s="4"/>
      <c r="N954" s="46">
        <f>IF(AR[[#This Row],[Collection date - override (dd/mm/yyyy)]] &lt;&gt; "", AR[[#This Row],[Collection date - override (dd/mm/yyyy)]], AR[[#This Row],[Due date (dd/mm/yyyy)]])</f>
        <v>0</v>
      </c>
      <c r="O954" s="46">
        <f t="shared" si="14"/>
        <v>52</v>
      </c>
    </row>
    <row r="955" spans="3:15" x14ac:dyDescent="0.25">
      <c r="C955" s="28"/>
      <c r="D955" s="20"/>
      <c r="E955" s="4"/>
      <c r="F955" s="37"/>
      <c r="G955" s="24"/>
      <c r="H955" s="51">
        <f>Assumptions!$D$15</f>
        <v>0.1</v>
      </c>
      <c r="I955" s="45">
        <f>IF(AR[[#This Row],[GST applies?]] = "Yes", (AR[[#This Row],[Invoice value inc. VAT]] / 1 + AR[[#This Row],[GST %]]) * AR[[#This Row],[GST %]], 0)</f>
        <v>0</v>
      </c>
      <c r="J955" s="31">
        <f>_xlfn.XLOOKUP(AR[[#This Row],[Customer name]], Customer_master[Customer name], Customer_master[EOM or Net], 0)</f>
        <v>0</v>
      </c>
      <c r="K955" s="31">
        <f>_xlfn.XLOOKUP(AR[[#This Row],[Customer name]], Customer_master[Customer name], Customer_master[Terms days], 0)</f>
        <v>0</v>
      </c>
      <c r="L9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5" s="4"/>
      <c r="N955" s="46">
        <f>IF(AR[[#This Row],[Collection date - override (dd/mm/yyyy)]] &lt;&gt; "", AR[[#This Row],[Collection date - override (dd/mm/yyyy)]], AR[[#This Row],[Due date (dd/mm/yyyy)]])</f>
        <v>0</v>
      </c>
      <c r="O955" s="46">
        <f t="shared" si="14"/>
        <v>52</v>
      </c>
    </row>
    <row r="956" spans="3:15" x14ac:dyDescent="0.25">
      <c r="C956" s="28"/>
      <c r="D956" s="20"/>
      <c r="E956" s="4"/>
      <c r="F956" s="37"/>
      <c r="G956" s="24"/>
      <c r="H956" s="51">
        <f>Assumptions!$D$15</f>
        <v>0.1</v>
      </c>
      <c r="I956" s="45">
        <f>IF(AR[[#This Row],[GST applies?]] = "Yes", (AR[[#This Row],[Invoice value inc. VAT]] / 1 + AR[[#This Row],[GST %]]) * AR[[#This Row],[GST %]], 0)</f>
        <v>0</v>
      </c>
      <c r="J956" s="31">
        <f>_xlfn.XLOOKUP(AR[[#This Row],[Customer name]], Customer_master[Customer name], Customer_master[EOM or Net], 0)</f>
        <v>0</v>
      </c>
      <c r="K956" s="31">
        <f>_xlfn.XLOOKUP(AR[[#This Row],[Customer name]], Customer_master[Customer name], Customer_master[Terms days], 0)</f>
        <v>0</v>
      </c>
      <c r="L9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6" s="4"/>
      <c r="N956" s="46">
        <f>IF(AR[[#This Row],[Collection date - override (dd/mm/yyyy)]] &lt;&gt; "", AR[[#This Row],[Collection date - override (dd/mm/yyyy)]], AR[[#This Row],[Due date (dd/mm/yyyy)]])</f>
        <v>0</v>
      </c>
      <c r="O956" s="46">
        <f t="shared" si="14"/>
        <v>52</v>
      </c>
    </row>
    <row r="957" spans="3:15" x14ac:dyDescent="0.25">
      <c r="C957" s="28"/>
      <c r="D957" s="20"/>
      <c r="E957" s="4"/>
      <c r="F957" s="37"/>
      <c r="G957" s="24"/>
      <c r="H957" s="51">
        <f>Assumptions!$D$15</f>
        <v>0.1</v>
      </c>
      <c r="I957" s="45">
        <f>IF(AR[[#This Row],[GST applies?]] = "Yes", (AR[[#This Row],[Invoice value inc. VAT]] / 1 + AR[[#This Row],[GST %]]) * AR[[#This Row],[GST %]], 0)</f>
        <v>0</v>
      </c>
      <c r="J957" s="31">
        <f>_xlfn.XLOOKUP(AR[[#This Row],[Customer name]], Customer_master[Customer name], Customer_master[EOM or Net], 0)</f>
        <v>0</v>
      </c>
      <c r="K957" s="31">
        <f>_xlfn.XLOOKUP(AR[[#This Row],[Customer name]], Customer_master[Customer name], Customer_master[Terms days], 0)</f>
        <v>0</v>
      </c>
      <c r="L9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7" s="4"/>
      <c r="N957" s="46">
        <f>IF(AR[[#This Row],[Collection date - override (dd/mm/yyyy)]] &lt;&gt; "", AR[[#This Row],[Collection date - override (dd/mm/yyyy)]], AR[[#This Row],[Due date (dd/mm/yyyy)]])</f>
        <v>0</v>
      </c>
      <c r="O957" s="46">
        <f t="shared" si="14"/>
        <v>52</v>
      </c>
    </row>
    <row r="958" spans="3:15" x14ac:dyDescent="0.25">
      <c r="C958" s="28"/>
      <c r="D958" s="20"/>
      <c r="E958" s="4"/>
      <c r="F958" s="37"/>
      <c r="G958" s="24"/>
      <c r="H958" s="51">
        <f>Assumptions!$D$15</f>
        <v>0.1</v>
      </c>
      <c r="I958" s="45">
        <f>IF(AR[[#This Row],[GST applies?]] = "Yes", (AR[[#This Row],[Invoice value inc. VAT]] / 1 + AR[[#This Row],[GST %]]) * AR[[#This Row],[GST %]], 0)</f>
        <v>0</v>
      </c>
      <c r="J958" s="31">
        <f>_xlfn.XLOOKUP(AR[[#This Row],[Customer name]], Customer_master[Customer name], Customer_master[EOM or Net], 0)</f>
        <v>0</v>
      </c>
      <c r="K958" s="31">
        <f>_xlfn.XLOOKUP(AR[[#This Row],[Customer name]], Customer_master[Customer name], Customer_master[Terms days], 0)</f>
        <v>0</v>
      </c>
      <c r="L9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8" s="4"/>
      <c r="N958" s="46">
        <f>IF(AR[[#This Row],[Collection date - override (dd/mm/yyyy)]] &lt;&gt; "", AR[[#This Row],[Collection date - override (dd/mm/yyyy)]], AR[[#This Row],[Due date (dd/mm/yyyy)]])</f>
        <v>0</v>
      </c>
      <c r="O958" s="46">
        <f t="shared" si="14"/>
        <v>52</v>
      </c>
    </row>
    <row r="959" spans="3:15" x14ac:dyDescent="0.25">
      <c r="C959" s="28"/>
      <c r="D959" s="20"/>
      <c r="E959" s="4"/>
      <c r="F959" s="37"/>
      <c r="G959" s="24"/>
      <c r="H959" s="51">
        <f>Assumptions!$D$15</f>
        <v>0.1</v>
      </c>
      <c r="I959" s="45">
        <f>IF(AR[[#This Row],[GST applies?]] = "Yes", (AR[[#This Row],[Invoice value inc. VAT]] / 1 + AR[[#This Row],[GST %]]) * AR[[#This Row],[GST %]], 0)</f>
        <v>0</v>
      </c>
      <c r="J959" s="31">
        <f>_xlfn.XLOOKUP(AR[[#This Row],[Customer name]], Customer_master[Customer name], Customer_master[EOM or Net], 0)</f>
        <v>0</v>
      </c>
      <c r="K959" s="31">
        <f>_xlfn.XLOOKUP(AR[[#This Row],[Customer name]], Customer_master[Customer name], Customer_master[Terms days], 0)</f>
        <v>0</v>
      </c>
      <c r="L9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9" s="4"/>
      <c r="N959" s="46">
        <f>IF(AR[[#This Row],[Collection date - override (dd/mm/yyyy)]] &lt;&gt; "", AR[[#This Row],[Collection date - override (dd/mm/yyyy)]], AR[[#This Row],[Due date (dd/mm/yyyy)]])</f>
        <v>0</v>
      </c>
      <c r="O959" s="46">
        <f t="shared" si="14"/>
        <v>52</v>
      </c>
    </row>
    <row r="960" spans="3:15" x14ac:dyDescent="0.25">
      <c r="C960" s="28"/>
      <c r="D960" s="20"/>
      <c r="E960" s="4"/>
      <c r="F960" s="37"/>
      <c r="G960" s="24"/>
      <c r="H960" s="51">
        <f>Assumptions!$D$15</f>
        <v>0.1</v>
      </c>
      <c r="I960" s="45">
        <f>IF(AR[[#This Row],[GST applies?]] = "Yes", (AR[[#This Row],[Invoice value inc. VAT]] / 1 + AR[[#This Row],[GST %]]) * AR[[#This Row],[GST %]], 0)</f>
        <v>0</v>
      </c>
      <c r="J960" s="31">
        <f>_xlfn.XLOOKUP(AR[[#This Row],[Customer name]], Customer_master[Customer name], Customer_master[EOM or Net], 0)</f>
        <v>0</v>
      </c>
      <c r="K960" s="31">
        <f>_xlfn.XLOOKUP(AR[[#This Row],[Customer name]], Customer_master[Customer name], Customer_master[Terms days], 0)</f>
        <v>0</v>
      </c>
      <c r="L9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0" s="4"/>
      <c r="N960" s="46">
        <f>IF(AR[[#This Row],[Collection date - override (dd/mm/yyyy)]] &lt;&gt; "", AR[[#This Row],[Collection date - override (dd/mm/yyyy)]], AR[[#This Row],[Due date (dd/mm/yyyy)]])</f>
        <v>0</v>
      </c>
      <c r="O960" s="46">
        <f t="shared" si="14"/>
        <v>52</v>
      </c>
    </row>
    <row r="961" spans="3:15" x14ac:dyDescent="0.25">
      <c r="C961" s="28"/>
      <c r="D961" s="20"/>
      <c r="E961" s="4"/>
      <c r="F961" s="37"/>
      <c r="G961" s="24"/>
      <c r="H961" s="51">
        <f>Assumptions!$D$15</f>
        <v>0.1</v>
      </c>
      <c r="I961" s="45">
        <f>IF(AR[[#This Row],[GST applies?]] = "Yes", (AR[[#This Row],[Invoice value inc. VAT]] / 1 + AR[[#This Row],[GST %]]) * AR[[#This Row],[GST %]], 0)</f>
        <v>0</v>
      </c>
      <c r="J961" s="31">
        <f>_xlfn.XLOOKUP(AR[[#This Row],[Customer name]], Customer_master[Customer name], Customer_master[EOM or Net], 0)</f>
        <v>0</v>
      </c>
      <c r="K961" s="31">
        <f>_xlfn.XLOOKUP(AR[[#This Row],[Customer name]], Customer_master[Customer name], Customer_master[Terms days], 0)</f>
        <v>0</v>
      </c>
      <c r="L9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1" s="4"/>
      <c r="N961" s="46">
        <f>IF(AR[[#This Row],[Collection date - override (dd/mm/yyyy)]] &lt;&gt; "", AR[[#This Row],[Collection date - override (dd/mm/yyyy)]], AR[[#This Row],[Due date (dd/mm/yyyy)]])</f>
        <v>0</v>
      </c>
      <c r="O961" s="46">
        <f t="shared" si="14"/>
        <v>52</v>
      </c>
    </row>
    <row r="962" spans="3:15" x14ac:dyDescent="0.25">
      <c r="C962" s="28"/>
      <c r="D962" s="20"/>
      <c r="E962" s="4"/>
      <c r="F962" s="37"/>
      <c r="G962" s="24"/>
      <c r="H962" s="51">
        <f>Assumptions!$D$15</f>
        <v>0.1</v>
      </c>
      <c r="I962" s="45">
        <f>IF(AR[[#This Row],[GST applies?]] = "Yes", (AR[[#This Row],[Invoice value inc. VAT]] / 1 + AR[[#This Row],[GST %]]) * AR[[#This Row],[GST %]], 0)</f>
        <v>0</v>
      </c>
      <c r="J962" s="31">
        <f>_xlfn.XLOOKUP(AR[[#This Row],[Customer name]], Customer_master[Customer name], Customer_master[EOM or Net], 0)</f>
        <v>0</v>
      </c>
      <c r="K962" s="31">
        <f>_xlfn.XLOOKUP(AR[[#This Row],[Customer name]], Customer_master[Customer name], Customer_master[Terms days], 0)</f>
        <v>0</v>
      </c>
      <c r="L9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2" s="4"/>
      <c r="N962" s="46">
        <f>IF(AR[[#This Row],[Collection date - override (dd/mm/yyyy)]] &lt;&gt; "", AR[[#This Row],[Collection date - override (dd/mm/yyyy)]], AR[[#This Row],[Due date (dd/mm/yyyy)]])</f>
        <v>0</v>
      </c>
      <c r="O962" s="46">
        <f t="shared" si="14"/>
        <v>52</v>
      </c>
    </row>
    <row r="963" spans="3:15" x14ac:dyDescent="0.25">
      <c r="C963" s="28"/>
      <c r="D963" s="20"/>
      <c r="E963" s="4"/>
      <c r="F963" s="37"/>
      <c r="G963" s="24"/>
      <c r="H963" s="51">
        <f>Assumptions!$D$15</f>
        <v>0.1</v>
      </c>
      <c r="I963" s="45">
        <f>IF(AR[[#This Row],[GST applies?]] = "Yes", (AR[[#This Row],[Invoice value inc. VAT]] / 1 + AR[[#This Row],[GST %]]) * AR[[#This Row],[GST %]], 0)</f>
        <v>0</v>
      </c>
      <c r="J963" s="31">
        <f>_xlfn.XLOOKUP(AR[[#This Row],[Customer name]], Customer_master[Customer name], Customer_master[EOM or Net], 0)</f>
        <v>0</v>
      </c>
      <c r="K963" s="31">
        <f>_xlfn.XLOOKUP(AR[[#This Row],[Customer name]], Customer_master[Customer name], Customer_master[Terms days], 0)</f>
        <v>0</v>
      </c>
      <c r="L9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3" s="4"/>
      <c r="N963" s="46">
        <f>IF(AR[[#This Row],[Collection date - override (dd/mm/yyyy)]] &lt;&gt; "", AR[[#This Row],[Collection date - override (dd/mm/yyyy)]], AR[[#This Row],[Due date (dd/mm/yyyy)]])</f>
        <v>0</v>
      </c>
      <c r="O963" s="46">
        <f t="shared" si="14"/>
        <v>52</v>
      </c>
    </row>
    <row r="964" spans="3:15" x14ac:dyDescent="0.25">
      <c r="C964" s="28"/>
      <c r="D964" s="20"/>
      <c r="E964" s="4"/>
      <c r="F964" s="37"/>
      <c r="G964" s="24"/>
      <c r="H964" s="51">
        <f>Assumptions!$D$15</f>
        <v>0.1</v>
      </c>
      <c r="I964" s="45">
        <f>IF(AR[[#This Row],[GST applies?]] = "Yes", (AR[[#This Row],[Invoice value inc. VAT]] / 1 + AR[[#This Row],[GST %]]) * AR[[#This Row],[GST %]], 0)</f>
        <v>0</v>
      </c>
      <c r="J964" s="31">
        <f>_xlfn.XLOOKUP(AR[[#This Row],[Customer name]], Customer_master[Customer name], Customer_master[EOM or Net], 0)</f>
        <v>0</v>
      </c>
      <c r="K964" s="31">
        <f>_xlfn.XLOOKUP(AR[[#This Row],[Customer name]], Customer_master[Customer name], Customer_master[Terms days], 0)</f>
        <v>0</v>
      </c>
      <c r="L9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4" s="4"/>
      <c r="N964" s="46">
        <f>IF(AR[[#This Row],[Collection date - override (dd/mm/yyyy)]] &lt;&gt; "", AR[[#This Row],[Collection date - override (dd/mm/yyyy)]], AR[[#This Row],[Due date (dd/mm/yyyy)]])</f>
        <v>0</v>
      </c>
      <c r="O964" s="46">
        <f t="shared" si="14"/>
        <v>52</v>
      </c>
    </row>
    <row r="965" spans="3:15" x14ac:dyDescent="0.25">
      <c r="C965" s="28"/>
      <c r="D965" s="20"/>
      <c r="E965" s="4"/>
      <c r="F965" s="37"/>
      <c r="G965" s="24"/>
      <c r="H965" s="51">
        <f>Assumptions!$D$15</f>
        <v>0.1</v>
      </c>
      <c r="I965" s="45">
        <f>IF(AR[[#This Row],[GST applies?]] = "Yes", (AR[[#This Row],[Invoice value inc. VAT]] / 1 + AR[[#This Row],[GST %]]) * AR[[#This Row],[GST %]], 0)</f>
        <v>0</v>
      </c>
      <c r="J965" s="31">
        <f>_xlfn.XLOOKUP(AR[[#This Row],[Customer name]], Customer_master[Customer name], Customer_master[EOM or Net], 0)</f>
        <v>0</v>
      </c>
      <c r="K965" s="31">
        <f>_xlfn.XLOOKUP(AR[[#This Row],[Customer name]], Customer_master[Customer name], Customer_master[Terms days], 0)</f>
        <v>0</v>
      </c>
      <c r="L9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5" s="4"/>
      <c r="N965" s="46">
        <f>IF(AR[[#This Row],[Collection date - override (dd/mm/yyyy)]] &lt;&gt; "", AR[[#This Row],[Collection date - override (dd/mm/yyyy)]], AR[[#This Row],[Due date (dd/mm/yyyy)]])</f>
        <v>0</v>
      </c>
      <c r="O965" s="46">
        <f t="shared" si="14"/>
        <v>52</v>
      </c>
    </row>
    <row r="966" spans="3:15" x14ac:dyDescent="0.25">
      <c r="C966" s="28"/>
      <c r="D966" s="20"/>
      <c r="E966" s="4"/>
      <c r="F966" s="37"/>
      <c r="G966" s="24"/>
      <c r="H966" s="51">
        <f>Assumptions!$D$15</f>
        <v>0.1</v>
      </c>
      <c r="I966" s="45">
        <f>IF(AR[[#This Row],[GST applies?]] = "Yes", (AR[[#This Row],[Invoice value inc. VAT]] / 1 + AR[[#This Row],[GST %]]) * AR[[#This Row],[GST %]], 0)</f>
        <v>0</v>
      </c>
      <c r="J966" s="31">
        <f>_xlfn.XLOOKUP(AR[[#This Row],[Customer name]], Customer_master[Customer name], Customer_master[EOM or Net], 0)</f>
        <v>0</v>
      </c>
      <c r="K966" s="31">
        <f>_xlfn.XLOOKUP(AR[[#This Row],[Customer name]], Customer_master[Customer name], Customer_master[Terms days], 0)</f>
        <v>0</v>
      </c>
      <c r="L9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6" s="4"/>
      <c r="N966" s="46">
        <f>IF(AR[[#This Row],[Collection date - override (dd/mm/yyyy)]] &lt;&gt; "", AR[[#This Row],[Collection date - override (dd/mm/yyyy)]], AR[[#This Row],[Due date (dd/mm/yyyy)]])</f>
        <v>0</v>
      </c>
      <c r="O966" s="46">
        <f t="shared" si="14"/>
        <v>52</v>
      </c>
    </row>
    <row r="967" spans="3:15" x14ac:dyDescent="0.25">
      <c r="C967" s="28"/>
      <c r="D967" s="20"/>
      <c r="E967" s="4"/>
      <c r="F967" s="37"/>
      <c r="G967" s="24"/>
      <c r="H967" s="51">
        <f>Assumptions!$D$15</f>
        <v>0.1</v>
      </c>
      <c r="I967" s="45">
        <f>IF(AR[[#This Row],[GST applies?]] = "Yes", (AR[[#This Row],[Invoice value inc. VAT]] / 1 + AR[[#This Row],[GST %]]) * AR[[#This Row],[GST %]], 0)</f>
        <v>0</v>
      </c>
      <c r="J967" s="31">
        <f>_xlfn.XLOOKUP(AR[[#This Row],[Customer name]], Customer_master[Customer name], Customer_master[EOM or Net], 0)</f>
        <v>0</v>
      </c>
      <c r="K967" s="31">
        <f>_xlfn.XLOOKUP(AR[[#This Row],[Customer name]], Customer_master[Customer name], Customer_master[Terms days], 0)</f>
        <v>0</v>
      </c>
      <c r="L9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7" s="4"/>
      <c r="N967" s="46">
        <f>IF(AR[[#This Row],[Collection date - override (dd/mm/yyyy)]] &lt;&gt; "", AR[[#This Row],[Collection date - override (dd/mm/yyyy)]], AR[[#This Row],[Due date (dd/mm/yyyy)]])</f>
        <v>0</v>
      </c>
      <c r="O967" s="46">
        <f t="shared" si="14"/>
        <v>52</v>
      </c>
    </row>
    <row r="968" spans="3:15" x14ac:dyDescent="0.25">
      <c r="C968" s="28"/>
      <c r="D968" s="20"/>
      <c r="E968" s="4"/>
      <c r="F968" s="37"/>
      <c r="G968" s="24"/>
      <c r="H968" s="51">
        <f>Assumptions!$D$15</f>
        <v>0.1</v>
      </c>
      <c r="I968" s="45">
        <f>IF(AR[[#This Row],[GST applies?]] = "Yes", (AR[[#This Row],[Invoice value inc. VAT]] / 1 + AR[[#This Row],[GST %]]) * AR[[#This Row],[GST %]], 0)</f>
        <v>0</v>
      </c>
      <c r="J968" s="31">
        <f>_xlfn.XLOOKUP(AR[[#This Row],[Customer name]], Customer_master[Customer name], Customer_master[EOM or Net], 0)</f>
        <v>0</v>
      </c>
      <c r="K968" s="31">
        <f>_xlfn.XLOOKUP(AR[[#This Row],[Customer name]], Customer_master[Customer name], Customer_master[Terms days], 0)</f>
        <v>0</v>
      </c>
      <c r="L9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8" s="4"/>
      <c r="N968" s="46">
        <f>IF(AR[[#This Row],[Collection date - override (dd/mm/yyyy)]] &lt;&gt; "", AR[[#This Row],[Collection date - override (dd/mm/yyyy)]], AR[[#This Row],[Due date (dd/mm/yyyy)]])</f>
        <v>0</v>
      </c>
      <c r="O968" s="46">
        <f t="shared" si="14"/>
        <v>52</v>
      </c>
    </row>
    <row r="969" spans="3:15" x14ac:dyDescent="0.25">
      <c r="C969" s="28"/>
      <c r="D969" s="20"/>
      <c r="E969" s="4"/>
      <c r="F969" s="37"/>
      <c r="G969" s="24"/>
      <c r="H969" s="51">
        <f>Assumptions!$D$15</f>
        <v>0.1</v>
      </c>
      <c r="I969" s="45">
        <f>IF(AR[[#This Row],[GST applies?]] = "Yes", (AR[[#This Row],[Invoice value inc. VAT]] / 1 + AR[[#This Row],[GST %]]) * AR[[#This Row],[GST %]], 0)</f>
        <v>0</v>
      </c>
      <c r="J969" s="31">
        <f>_xlfn.XLOOKUP(AR[[#This Row],[Customer name]], Customer_master[Customer name], Customer_master[EOM or Net], 0)</f>
        <v>0</v>
      </c>
      <c r="K969" s="31">
        <f>_xlfn.XLOOKUP(AR[[#This Row],[Customer name]], Customer_master[Customer name], Customer_master[Terms days], 0)</f>
        <v>0</v>
      </c>
      <c r="L9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9" s="4"/>
      <c r="N969" s="46">
        <f>IF(AR[[#This Row],[Collection date - override (dd/mm/yyyy)]] &lt;&gt; "", AR[[#This Row],[Collection date - override (dd/mm/yyyy)]], AR[[#This Row],[Due date (dd/mm/yyyy)]])</f>
        <v>0</v>
      </c>
      <c r="O969" s="46">
        <f t="shared" ref="O969:O1000" si="15">IF(GST_Freq="Monthly",
    DATE(YEAR(E969), MONTH(E969) + 1, 21),
    IF(GST_Freq="Quarterly",
        IF(MOD(MONTH(E969) + 2 - MOD(MOD(MONTH(E969) - GST_First_Month, 12), 3), 12) = 0,
            DATE(YEAR(E969), MONTH(E969) + 4 - MOD(MOD(MONTH(E969) - GST_First_Month, 12), 3), 28),
            DATE(YEAR(E969), MONTH(E969) + 3 - MOD(MOD(MONTH(E969) - GST_First_Month, 12), 3), 28)
        ),
        "Invalid frequency"
    )
)</f>
        <v>52</v>
      </c>
    </row>
    <row r="970" spans="3:15" x14ac:dyDescent="0.25">
      <c r="C970" s="28"/>
      <c r="D970" s="20"/>
      <c r="E970" s="4"/>
      <c r="F970" s="37"/>
      <c r="G970" s="24"/>
      <c r="H970" s="51">
        <f>Assumptions!$D$15</f>
        <v>0.1</v>
      </c>
      <c r="I970" s="45">
        <f>IF(AR[[#This Row],[GST applies?]] = "Yes", (AR[[#This Row],[Invoice value inc. VAT]] / 1 + AR[[#This Row],[GST %]]) * AR[[#This Row],[GST %]], 0)</f>
        <v>0</v>
      </c>
      <c r="J970" s="31">
        <f>_xlfn.XLOOKUP(AR[[#This Row],[Customer name]], Customer_master[Customer name], Customer_master[EOM or Net], 0)</f>
        <v>0</v>
      </c>
      <c r="K970" s="31">
        <f>_xlfn.XLOOKUP(AR[[#This Row],[Customer name]], Customer_master[Customer name], Customer_master[Terms days], 0)</f>
        <v>0</v>
      </c>
      <c r="L9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0" s="4"/>
      <c r="N970" s="46">
        <f>IF(AR[[#This Row],[Collection date - override (dd/mm/yyyy)]] &lt;&gt; "", AR[[#This Row],[Collection date - override (dd/mm/yyyy)]], AR[[#This Row],[Due date (dd/mm/yyyy)]])</f>
        <v>0</v>
      </c>
      <c r="O970" s="46">
        <f t="shared" si="15"/>
        <v>52</v>
      </c>
    </row>
    <row r="971" spans="3:15" x14ac:dyDescent="0.25">
      <c r="C971" s="28"/>
      <c r="D971" s="20"/>
      <c r="E971" s="4"/>
      <c r="F971" s="37"/>
      <c r="G971" s="24"/>
      <c r="H971" s="51">
        <f>Assumptions!$D$15</f>
        <v>0.1</v>
      </c>
      <c r="I971" s="45">
        <f>IF(AR[[#This Row],[GST applies?]] = "Yes", (AR[[#This Row],[Invoice value inc. VAT]] / 1 + AR[[#This Row],[GST %]]) * AR[[#This Row],[GST %]], 0)</f>
        <v>0</v>
      </c>
      <c r="J971" s="31">
        <f>_xlfn.XLOOKUP(AR[[#This Row],[Customer name]], Customer_master[Customer name], Customer_master[EOM or Net], 0)</f>
        <v>0</v>
      </c>
      <c r="K971" s="31">
        <f>_xlfn.XLOOKUP(AR[[#This Row],[Customer name]], Customer_master[Customer name], Customer_master[Terms days], 0)</f>
        <v>0</v>
      </c>
      <c r="L9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1" s="4"/>
      <c r="N971" s="46">
        <f>IF(AR[[#This Row],[Collection date - override (dd/mm/yyyy)]] &lt;&gt; "", AR[[#This Row],[Collection date - override (dd/mm/yyyy)]], AR[[#This Row],[Due date (dd/mm/yyyy)]])</f>
        <v>0</v>
      </c>
      <c r="O971" s="46">
        <f t="shared" si="15"/>
        <v>52</v>
      </c>
    </row>
    <row r="972" spans="3:15" x14ac:dyDescent="0.25">
      <c r="C972" s="28"/>
      <c r="D972" s="20"/>
      <c r="E972" s="4"/>
      <c r="F972" s="37"/>
      <c r="G972" s="24"/>
      <c r="H972" s="51">
        <f>Assumptions!$D$15</f>
        <v>0.1</v>
      </c>
      <c r="I972" s="45">
        <f>IF(AR[[#This Row],[GST applies?]] = "Yes", (AR[[#This Row],[Invoice value inc. VAT]] / 1 + AR[[#This Row],[GST %]]) * AR[[#This Row],[GST %]], 0)</f>
        <v>0</v>
      </c>
      <c r="J972" s="31">
        <f>_xlfn.XLOOKUP(AR[[#This Row],[Customer name]], Customer_master[Customer name], Customer_master[EOM or Net], 0)</f>
        <v>0</v>
      </c>
      <c r="K972" s="31">
        <f>_xlfn.XLOOKUP(AR[[#This Row],[Customer name]], Customer_master[Customer name], Customer_master[Terms days], 0)</f>
        <v>0</v>
      </c>
      <c r="L9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2" s="4"/>
      <c r="N972" s="46">
        <f>IF(AR[[#This Row],[Collection date - override (dd/mm/yyyy)]] &lt;&gt; "", AR[[#This Row],[Collection date - override (dd/mm/yyyy)]], AR[[#This Row],[Due date (dd/mm/yyyy)]])</f>
        <v>0</v>
      </c>
      <c r="O972" s="46">
        <f t="shared" si="15"/>
        <v>52</v>
      </c>
    </row>
    <row r="973" spans="3:15" x14ac:dyDescent="0.25">
      <c r="C973" s="28"/>
      <c r="D973" s="20"/>
      <c r="E973" s="4"/>
      <c r="F973" s="37"/>
      <c r="G973" s="24"/>
      <c r="H973" s="51">
        <f>Assumptions!$D$15</f>
        <v>0.1</v>
      </c>
      <c r="I973" s="45">
        <f>IF(AR[[#This Row],[GST applies?]] = "Yes", (AR[[#This Row],[Invoice value inc. VAT]] / 1 + AR[[#This Row],[GST %]]) * AR[[#This Row],[GST %]], 0)</f>
        <v>0</v>
      </c>
      <c r="J973" s="31">
        <f>_xlfn.XLOOKUP(AR[[#This Row],[Customer name]], Customer_master[Customer name], Customer_master[EOM or Net], 0)</f>
        <v>0</v>
      </c>
      <c r="K973" s="31">
        <f>_xlfn.XLOOKUP(AR[[#This Row],[Customer name]], Customer_master[Customer name], Customer_master[Terms days], 0)</f>
        <v>0</v>
      </c>
      <c r="L9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3" s="4"/>
      <c r="N973" s="46">
        <f>IF(AR[[#This Row],[Collection date - override (dd/mm/yyyy)]] &lt;&gt; "", AR[[#This Row],[Collection date - override (dd/mm/yyyy)]], AR[[#This Row],[Due date (dd/mm/yyyy)]])</f>
        <v>0</v>
      </c>
      <c r="O973" s="46">
        <f t="shared" si="15"/>
        <v>52</v>
      </c>
    </row>
    <row r="974" spans="3:15" x14ac:dyDescent="0.25">
      <c r="C974" s="28"/>
      <c r="D974" s="20"/>
      <c r="E974" s="4"/>
      <c r="F974" s="37"/>
      <c r="G974" s="24"/>
      <c r="H974" s="51">
        <f>Assumptions!$D$15</f>
        <v>0.1</v>
      </c>
      <c r="I974" s="45">
        <f>IF(AR[[#This Row],[GST applies?]] = "Yes", (AR[[#This Row],[Invoice value inc. VAT]] / 1 + AR[[#This Row],[GST %]]) * AR[[#This Row],[GST %]], 0)</f>
        <v>0</v>
      </c>
      <c r="J974" s="31">
        <f>_xlfn.XLOOKUP(AR[[#This Row],[Customer name]], Customer_master[Customer name], Customer_master[EOM or Net], 0)</f>
        <v>0</v>
      </c>
      <c r="K974" s="31">
        <f>_xlfn.XLOOKUP(AR[[#This Row],[Customer name]], Customer_master[Customer name], Customer_master[Terms days], 0)</f>
        <v>0</v>
      </c>
      <c r="L9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4" s="4"/>
      <c r="N974" s="46">
        <f>IF(AR[[#This Row],[Collection date - override (dd/mm/yyyy)]] &lt;&gt; "", AR[[#This Row],[Collection date - override (dd/mm/yyyy)]], AR[[#This Row],[Due date (dd/mm/yyyy)]])</f>
        <v>0</v>
      </c>
      <c r="O974" s="46">
        <f t="shared" si="15"/>
        <v>52</v>
      </c>
    </row>
    <row r="975" spans="3:15" x14ac:dyDescent="0.25">
      <c r="C975" s="28"/>
      <c r="D975" s="20"/>
      <c r="E975" s="4"/>
      <c r="F975" s="37"/>
      <c r="G975" s="24"/>
      <c r="H975" s="51">
        <f>Assumptions!$D$15</f>
        <v>0.1</v>
      </c>
      <c r="I975" s="45">
        <f>IF(AR[[#This Row],[GST applies?]] = "Yes", (AR[[#This Row],[Invoice value inc. VAT]] / 1 + AR[[#This Row],[GST %]]) * AR[[#This Row],[GST %]], 0)</f>
        <v>0</v>
      </c>
      <c r="J975" s="31">
        <f>_xlfn.XLOOKUP(AR[[#This Row],[Customer name]], Customer_master[Customer name], Customer_master[EOM or Net], 0)</f>
        <v>0</v>
      </c>
      <c r="K975" s="31">
        <f>_xlfn.XLOOKUP(AR[[#This Row],[Customer name]], Customer_master[Customer name], Customer_master[Terms days], 0)</f>
        <v>0</v>
      </c>
      <c r="L9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5" s="4"/>
      <c r="N975" s="46">
        <f>IF(AR[[#This Row],[Collection date - override (dd/mm/yyyy)]] &lt;&gt; "", AR[[#This Row],[Collection date - override (dd/mm/yyyy)]], AR[[#This Row],[Due date (dd/mm/yyyy)]])</f>
        <v>0</v>
      </c>
      <c r="O975" s="46">
        <f t="shared" si="15"/>
        <v>52</v>
      </c>
    </row>
    <row r="976" spans="3:15" x14ac:dyDescent="0.25">
      <c r="C976" s="28"/>
      <c r="D976" s="20"/>
      <c r="E976" s="4"/>
      <c r="F976" s="37"/>
      <c r="G976" s="24"/>
      <c r="H976" s="51">
        <f>Assumptions!$D$15</f>
        <v>0.1</v>
      </c>
      <c r="I976" s="45">
        <f>IF(AR[[#This Row],[GST applies?]] = "Yes", (AR[[#This Row],[Invoice value inc. VAT]] / 1 + AR[[#This Row],[GST %]]) * AR[[#This Row],[GST %]], 0)</f>
        <v>0</v>
      </c>
      <c r="J976" s="31">
        <f>_xlfn.XLOOKUP(AR[[#This Row],[Customer name]], Customer_master[Customer name], Customer_master[EOM or Net], 0)</f>
        <v>0</v>
      </c>
      <c r="K976" s="31">
        <f>_xlfn.XLOOKUP(AR[[#This Row],[Customer name]], Customer_master[Customer name], Customer_master[Terms days], 0)</f>
        <v>0</v>
      </c>
      <c r="L9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6" s="4"/>
      <c r="N976" s="46">
        <f>IF(AR[[#This Row],[Collection date - override (dd/mm/yyyy)]] &lt;&gt; "", AR[[#This Row],[Collection date - override (dd/mm/yyyy)]], AR[[#This Row],[Due date (dd/mm/yyyy)]])</f>
        <v>0</v>
      </c>
      <c r="O976" s="46">
        <f t="shared" si="15"/>
        <v>52</v>
      </c>
    </row>
    <row r="977" spans="3:15" x14ac:dyDescent="0.25">
      <c r="C977" s="28"/>
      <c r="D977" s="20"/>
      <c r="E977" s="4"/>
      <c r="F977" s="37"/>
      <c r="G977" s="24"/>
      <c r="H977" s="51">
        <f>Assumptions!$D$15</f>
        <v>0.1</v>
      </c>
      <c r="I977" s="45">
        <f>IF(AR[[#This Row],[GST applies?]] = "Yes", (AR[[#This Row],[Invoice value inc. VAT]] / 1 + AR[[#This Row],[GST %]]) * AR[[#This Row],[GST %]], 0)</f>
        <v>0</v>
      </c>
      <c r="J977" s="31">
        <f>_xlfn.XLOOKUP(AR[[#This Row],[Customer name]], Customer_master[Customer name], Customer_master[EOM or Net], 0)</f>
        <v>0</v>
      </c>
      <c r="K977" s="31">
        <f>_xlfn.XLOOKUP(AR[[#This Row],[Customer name]], Customer_master[Customer name], Customer_master[Terms days], 0)</f>
        <v>0</v>
      </c>
      <c r="L9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7" s="4"/>
      <c r="N977" s="46">
        <f>IF(AR[[#This Row],[Collection date - override (dd/mm/yyyy)]] &lt;&gt; "", AR[[#This Row],[Collection date - override (dd/mm/yyyy)]], AR[[#This Row],[Due date (dd/mm/yyyy)]])</f>
        <v>0</v>
      </c>
      <c r="O977" s="46">
        <f t="shared" si="15"/>
        <v>52</v>
      </c>
    </row>
    <row r="978" spans="3:15" x14ac:dyDescent="0.25">
      <c r="C978" s="28"/>
      <c r="D978" s="20"/>
      <c r="E978" s="4"/>
      <c r="F978" s="37"/>
      <c r="G978" s="24"/>
      <c r="H978" s="51">
        <f>Assumptions!$D$15</f>
        <v>0.1</v>
      </c>
      <c r="I978" s="45">
        <f>IF(AR[[#This Row],[GST applies?]] = "Yes", (AR[[#This Row],[Invoice value inc. VAT]] / 1 + AR[[#This Row],[GST %]]) * AR[[#This Row],[GST %]], 0)</f>
        <v>0</v>
      </c>
      <c r="J978" s="31">
        <f>_xlfn.XLOOKUP(AR[[#This Row],[Customer name]], Customer_master[Customer name], Customer_master[EOM or Net], 0)</f>
        <v>0</v>
      </c>
      <c r="K978" s="31">
        <f>_xlfn.XLOOKUP(AR[[#This Row],[Customer name]], Customer_master[Customer name], Customer_master[Terms days], 0)</f>
        <v>0</v>
      </c>
      <c r="L9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8" s="4"/>
      <c r="N978" s="46">
        <f>IF(AR[[#This Row],[Collection date - override (dd/mm/yyyy)]] &lt;&gt; "", AR[[#This Row],[Collection date - override (dd/mm/yyyy)]], AR[[#This Row],[Due date (dd/mm/yyyy)]])</f>
        <v>0</v>
      </c>
      <c r="O978" s="46">
        <f t="shared" si="15"/>
        <v>52</v>
      </c>
    </row>
    <row r="979" spans="3:15" x14ac:dyDescent="0.25">
      <c r="C979" s="28"/>
      <c r="D979" s="20"/>
      <c r="E979" s="4"/>
      <c r="F979" s="37"/>
      <c r="G979" s="24"/>
      <c r="H979" s="51">
        <f>Assumptions!$D$15</f>
        <v>0.1</v>
      </c>
      <c r="I979" s="45">
        <f>IF(AR[[#This Row],[GST applies?]] = "Yes", (AR[[#This Row],[Invoice value inc. VAT]] / 1 + AR[[#This Row],[GST %]]) * AR[[#This Row],[GST %]], 0)</f>
        <v>0</v>
      </c>
      <c r="J979" s="31">
        <f>_xlfn.XLOOKUP(AR[[#This Row],[Customer name]], Customer_master[Customer name], Customer_master[EOM or Net], 0)</f>
        <v>0</v>
      </c>
      <c r="K979" s="31">
        <f>_xlfn.XLOOKUP(AR[[#This Row],[Customer name]], Customer_master[Customer name], Customer_master[Terms days], 0)</f>
        <v>0</v>
      </c>
      <c r="L9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9" s="4"/>
      <c r="N979" s="46">
        <f>IF(AR[[#This Row],[Collection date - override (dd/mm/yyyy)]] &lt;&gt; "", AR[[#This Row],[Collection date - override (dd/mm/yyyy)]], AR[[#This Row],[Due date (dd/mm/yyyy)]])</f>
        <v>0</v>
      </c>
      <c r="O979" s="46">
        <f t="shared" si="15"/>
        <v>52</v>
      </c>
    </row>
    <row r="980" spans="3:15" x14ac:dyDescent="0.25">
      <c r="C980" s="28"/>
      <c r="D980" s="20"/>
      <c r="E980" s="4"/>
      <c r="F980" s="37"/>
      <c r="G980" s="24"/>
      <c r="H980" s="51">
        <f>Assumptions!$D$15</f>
        <v>0.1</v>
      </c>
      <c r="I980" s="45">
        <f>IF(AR[[#This Row],[GST applies?]] = "Yes", (AR[[#This Row],[Invoice value inc. VAT]] / 1 + AR[[#This Row],[GST %]]) * AR[[#This Row],[GST %]], 0)</f>
        <v>0</v>
      </c>
      <c r="J980" s="31">
        <f>_xlfn.XLOOKUP(AR[[#This Row],[Customer name]], Customer_master[Customer name], Customer_master[EOM or Net], 0)</f>
        <v>0</v>
      </c>
      <c r="K980" s="31">
        <f>_xlfn.XLOOKUP(AR[[#This Row],[Customer name]], Customer_master[Customer name], Customer_master[Terms days], 0)</f>
        <v>0</v>
      </c>
      <c r="L9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0" s="4"/>
      <c r="N980" s="46">
        <f>IF(AR[[#This Row],[Collection date - override (dd/mm/yyyy)]] &lt;&gt; "", AR[[#This Row],[Collection date - override (dd/mm/yyyy)]], AR[[#This Row],[Due date (dd/mm/yyyy)]])</f>
        <v>0</v>
      </c>
      <c r="O980" s="46">
        <f t="shared" si="15"/>
        <v>52</v>
      </c>
    </row>
    <row r="981" spans="3:15" x14ac:dyDescent="0.25">
      <c r="C981" s="28"/>
      <c r="D981" s="20"/>
      <c r="E981" s="4"/>
      <c r="F981" s="37"/>
      <c r="G981" s="24"/>
      <c r="H981" s="51">
        <f>Assumptions!$D$15</f>
        <v>0.1</v>
      </c>
      <c r="I981" s="45">
        <f>IF(AR[[#This Row],[GST applies?]] = "Yes", (AR[[#This Row],[Invoice value inc. VAT]] / 1 + AR[[#This Row],[GST %]]) * AR[[#This Row],[GST %]], 0)</f>
        <v>0</v>
      </c>
      <c r="J981" s="31">
        <f>_xlfn.XLOOKUP(AR[[#This Row],[Customer name]], Customer_master[Customer name], Customer_master[EOM or Net], 0)</f>
        <v>0</v>
      </c>
      <c r="K981" s="31">
        <f>_xlfn.XLOOKUP(AR[[#This Row],[Customer name]], Customer_master[Customer name], Customer_master[Terms days], 0)</f>
        <v>0</v>
      </c>
      <c r="L9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1" s="4"/>
      <c r="N981" s="46">
        <f>IF(AR[[#This Row],[Collection date - override (dd/mm/yyyy)]] &lt;&gt; "", AR[[#This Row],[Collection date - override (dd/mm/yyyy)]], AR[[#This Row],[Due date (dd/mm/yyyy)]])</f>
        <v>0</v>
      </c>
      <c r="O981" s="46">
        <f t="shared" si="15"/>
        <v>52</v>
      </c>
    </row>
    <row r="982" spans="3:15" x14ac:dyDescent="0.25">
      <c r="C982" s="28"/>
      <c r="D982" s="20"/>
      <c r="E982" s="4"/>
      <c r="F982" s="37"/>
      <c r="G982" s="24"/>
      <c r="H982" s="51">
        <f>Assumptions!$D$15</f>
        <v>0.1</v>
      </c>
      <c r="I982" s="45">
        <f>IF(AR[[#This Row],[GST applies?]] = "Yes", (AR[[#This Row],[Invoice value inc. VAT]] / 1 + AR[[#This Row],[GST %]]) * AR[[#This Row],[GST %]], 0)</f>
        <v>0</v>
      </c>
      <c r="J982" s="31">
        <f>_xlfn.XLOOKUP(AR[[#This Row],[Customer name]], Customer_master[Customer name], Customer_master[EOM or Net], 0)</f>
        <v>0</v>
      </c>
      <c r="K982" s="31">
        <f>_xlfn.XLOOKUP(AR[[#This Row],[Customer name]], Customer_master[Customer name], Customer_master[Terms days], 0)</f>
        <v>0</v>
      </c>
      <c r="L9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2" s="4"/>
      <c r="N982" s="46">
        <f>IF(AR[[#This Row],[Collection date - override (dd/mm/yyyy)]] &lt;&gt; "", AR[[#This Row],[Collection date - override (dd/mm/yyyy)]], AR[[#This Row],[Due date (dd/mm/yyyy)]])</f>
        <v>0</v>
      </c>
      <c r="O982" s="46">
        <f t="shared" si="15"/>
        <v>52</v>
      </c>
    </row>
    <row r="983" spans="3:15" x14ac:dyDescent="0.25">
      <c r="C983" s="28"/>
      <c r="D983" s="20"/>
      <c r="E983" s="4"/>
      <c r="F983" s="37"/>
      <c r="G983" s="24"/>
      <c r="H983" s="51">
        <f>Assumptions!$D$15</f>
        <v>0.1</v>
      </c>
      <c r="I983" s="45">
        <f>IF(AR[[#This Row],[GST applies?]] = "Yes", (AR[[#This Row],[Invoice value inc. VAT]] / 1 + AR[[#This Row],[GST %]]) * AR[[#This Row],[GST %]], 0)</f>
        <v>0</v>
      </c>
      <c r="J983" s="31">
        <f>_xlfn.XLOOKUP(AR[[#This Row],[Customer name]], Customer_master[Customer name], Customer_master[EOM or Net], 0)</f>
        <v>0</v>
      </c>
      <c r="K983" s="31">
        <f>_xlfn.XLOOKUP(AR[[#This Row],[Customer name]], Customer_master[Customer name], Customer_master[Terms days], 0)</f>
        <v>0</v>
      </c>
      <c r="L9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3" s="4"/>
      <c r="N983" s="46">
        <f>IF(AR[[#This Row],[Collection date - override (dd/mm/yyyy)]] &lt;&gt; "", AR[[#This Row],[Collection date - override (dd/mm/yyyy)]], AR[[#This Row],[Due date (dd/mm/yyyy)]])</f>
        <v>0</v>
      </c>
      <c r="O983" s="46">
        <f t="shared" si="15"/>
        <v>52</v>
      </c>
    </row>
    <row r="984" spans="3:15" x14ac:dyDescent="0.25">
      <c r="C984" s="28"/>
      <c r="D984" s="20"/>
      <c r="E984" s="4"/>
      <c r="F984" s="37"/>
      <c r="G984" s="24"/>
      <c r="H984" s="51">
        <f>Assumptions!$D$15</f>
        <v>0.1</v>
      </c>
      <c r="I984" s="45">
        <f>IF(AR[[#This Row],[GST applies?]] = "Yes", (AR[[#This Row],[Invoice value inc. VAT]] / 1 + AR[[#This Row],[GST %]]) * AR[[#This Row],[GST %]], 0)</f>
        <v>0</v>
      </c>
      <c r="J984" s="31">
        <f>_xlfn.XLOOKUP(AR[[#This Row],[Customer name]], Customer_master[Customer name], Customer_master[EOM or Net], 0)</f>
        <v>0</v>
      </c>
      <c r="K984" s="31">
        <f>_xlfn.XLOOKUP(AR[[#This Row],[Customer name]], Customer_master[Customer name], Customer_master[Terms days], 0)</f>
        <v>0</v>
      </c>
      <c r="L9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4" s="4"/>
      <c r="N984" s="46">
        <f>IF(AR[[#This Row],[Collection date - override (dd/mm/yyyy)]] &lt;&gt; "", AR[[#This Row],[Collection date - override (dd/mm/yyyy)]], AR[[#This Row],[Due date (dd/mm/yyyy)]])</f>
        <v>0</v>
      </c>
      <c r="O984" s="46">
        <f t="shared" si="15"/>
        <v>52</v>
      </c>
    </row>
    <row r="985" spans="3:15" x14ac:dyDescent="0.25">
      <c r="C985" s="28"/>
      <c r="D985" s="20"/>
      <c r="E985" s="4"/>
      <c r="F985" s="37"/>
      <c r="G985" s="24"/>
      <c r="H985" s="51">
        <f>Assumptions!$D$15</f>
        <v>0.1</v>
      </c>
      <c r="I985" s="45">
        <f>IF(AR[[#This Row],[GST applies?]] = "Yes", (AR[[#This Row],[Invoice value inc. VAT]] / 1 + AR[[#This Row],[GST %]]) * AR[[#This Row],[GST %]], 0)</f>
        <v>0</v>
      </c>
      <c r="J985" s="31">
        <f>_xlfn.XLOOKUP(AR[[#This Row],[Customer name]], Customer_master[Customer name], Customer_master[EOM or Net], 0)</f>
        <v>0</v>
      </c>
      <c r="K985" s="31">
        <f>_xlfn.XLOOKUP(AR[[#This Row],[Customer name]], Customer_master[Customer name], Customer_master[Terms days], 0)</f>
        <v>0</v>
      </c>
      <c r="L9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5" s="4"/>
      <c r="N985" s="46">
        <f>IF(AR[[#This Row],[Collection date - override (dd/mm/yyyy)]] &lt;&gt; "", AR[[#This Row],[Collection date - override (dd/mm/yyyy)]], AR[[#This Row],[Due date (dd/mm/yyyy)]])</f>
        <v>0</v>
      </c>
      <c r="O985" s="46">
        <f t="shared" si="15"/>
        <v>52</v>
      </c>
    </row>
    <row r="986" spans="3:15" x14ac:dyDescent="0.25">
      <c r="C986" s="28"/>
      <c r="D986" s="20"/>
      <c r="E986" s="4"/>
      <c r="F986" s="37"/>
      <c r="G986" s="24"/>
      <c r="H986" s="51">
        <f>Assumptions!$D$15</f>
        <v>0.1</v>
      </c>
      <c r="I986" s="45">
        <f>IF(AR[[#This Row],[GST applies?]] = "Yes", (AR[[#This Row],[Invoice value inc. VAT]] / 1 + AR[[#This Row],[GST %]]) * AR[[#This Row],[GST %]], 0)</f>
        <v>0</v>
      </c>
      <c r="J986" s="31">
        <f>_xlfn.XLOOKUP(AR[[#This Row],[Customer name]], Customer_master[Customer name], Customer_master[EOM or Net], 0)</f>
        <v>0</v>
      </c>
      <c r="K986" s="31">
        <f>_xlfn.XLOOKUP(AR[[#This Row],[Customer name]], Customer_master[Customer name], Customer_master[Terms days], 0)</f>
        <v>0</v>
      </c>
      <c r="L9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6" s="4"/>
      <c r="N986" s="46">
        <f>IF(AR[[#This Row],[Collection date - override (dd/mm/yyyy)]] &lt;&gt; "", AR[[#This Row],[Collection date - override (dd/mm/yyyy)]], AR[[#This Row],[Due date (dd/mm/yyyy)]])</f>
        <v>0</v>
      </c>
      <c r="O986" s="46">
        <f t="shared" si="15"/>
        <v>52</v>
      </c>
    </row>
    <row r="987" spans="3:15" x14ac:dyDescent="0.25">
      <c r="C987" s="28"/>
      <c r="D987" s="20"/>
      <c r="E987" s="4"/>
      <c r="F987" s="37"/>
      <c r="G987" s="24"/>
      <c r="H987" s="51">
        <f>Assumptions!$D$15</f>
        <v>0.1</v>
      </c>
      <c r="I987" s="45">
        <f>IF(AR[[#This Row],[GST applies?]] = "Yes", (AR[[#This Row],[Invoice value inc. VAT]] / 1 + AR[[#This Row],[GST %]]) * AR[[#This Row],[GST %]], 0)</f>
        <v>0</v>
      </c>
      <c r="J987" s="31">
        <f>_xlfn.XLOOKUP(AR[[#This Row],[Customer name]], Customer_master[Customer name], Customer_master[EOM or Net], 0)</f>
        <v>0</v>
      </c>
      <c r="K987" s="31">
        <f>_xlfn.XLOOKUP(AR[[#This Row],[Customer name]], Customer_master[Customer name], Customer_master[Terms days], 0)</f>
        <v>0</v>
      </c>
      <c r="L9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7" s="4"/>
      <c r="N987" s="46">
        <f>IF(AR[[#This Row],[Collection date - override (dd/mm/yyyy)]] &lt;&gt; "", AR[[#This Row],[Collection date - override (dd/mm/yyyy)]], AR[[#This Row],[Due date (dd/mm/yyyy)]])</f>
        <v>0</v>
      </c>
      <c r="O987" s="46">
        <f t="shared" si="15"/>
        <v>52</v>
      </c>
    </row>
    <row r="988" spans="3:15" x14ac:dyDescent="0.25">
      <c r="C988" s="28"/>
      <c r="D988" s="20"/>
      <c r="E988" s="4"/>
      <c r="F988" s="37"/>
      <c r="G988" s="24"/>
      <c r="H988" s="51">
        <f>Assumptions!$D$15</f>
        <v>0.1</v>
      </c>
      <c r="I988" s="45">
        <f>IF(AR[[#This Row],[GST applies?]] = "Yes", (AR[[#This Row],[Invoice value inc. VAT]] / 1 + AR[[#This Row],[GST %]]) * AR[[#This Row],[GST %]], 0)</f>
        <v>0</v>
      </c>
      <c r="J988" s="31">
        <f>_xlfn.XLOOKUP(AR[[#This Row],[Customer name]], Customer_master[Customer name], Customer_master[EOM or Net], 0)</f>
        <v>0</v>
      </c>
      <c r="K988" s="31">
        <f>_xlfn.XLOOKUP(AR[[#This Row],[Customer name]], Customer_master[Customer name], Customer_master[Terms days], 0)</f>
        <v>0</v>
      </c>
      <c r="L9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8" s="4"/>
      <c r="N988" s="46">
        <f>IF(AR[[#This Row],[Collection date - override (dd/mm/yyyy)]] &lt;&gt; "", AR[[#This Row],[Collection date - override (dd/mm/yyyy)]], AR[[#This Row],[Due date (dd/mm/yyyy)]])</f>
        <v>0</v>
      </c>
      <c r="O988" s="46">
        <f t="shared" si="15"/>
        <v>52</v>
      </c>
    </row>
    <row r="989" spans="3:15" x14ac:dyDescent="0.25">
      <c r="C989" s="28"/>
      <c r="D989" s="20"/>
      <c r="E989" s="4"/>
      <c r="F989" s="37"/>
      <c r="G989" s="24"/>
      <c r="H989" s="51">
        <f>Assumptions!$D$15</f>
        <v>0.1</v>
      </c>
      <c r="I989" s="45">
        <f>IF(AR[[#This Row],[GST applies?]] = "Yes", (AR[[#This Row],[Invoice value inc. VAT]] / 1 + AR[[#This Row],[GST %]]) * AR[[#This Row],[GST %]], 0)</f>
        <v>0</v>
      </c>
      <c r="J989" s="31">
        <f>_xlfn.XLOOKUP(AR[[#This Row],[Customer name]], Customer_master[Customer name], Customer_master[EOM or Net], 0)</f>
        <v>0</v>
      </c>
      <c r="K989" s="31">
        <f>_xlfn.XLOOKUP(AR[[#This Row],[Customer name]], Customer_master[Customer name], Customer_master[Terms days], 0)</f>
        <v>0</v>
      </c>
      <c r="L9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9" s="4"/>
      <c r="N989" s="46">
        <f>IF(AR[[#This Row],[Collection date - override (dd/mm/yyyy)]] &lt;&gt; "", AR[[#This Row],[Collection date - override (dd/mm/yyyy)]], AR[[#This Row],[Due date (dd/mm/yyyy)]])</f>
        <v>0</v>
      </c>
      <c r="O989" s="46">
        <f t="shared" si="15"/>
        <v>52</v>
      </c>
    </row>
    <row r="990" spans="3:15" x14ac:dyDescent="0.25">
      <c r="C990" s="28"/>
      <c r="D990" s="20"/>
      <c r="E990" s="4"/>
      <c r="F990" s="37"/>
      <c r="G990" s="24"/>
      <c r="H990" s="51">
        <f>Assumptions!$D$15</f>
        <v>0.1</v>
      </c>
      <c r="I990" s="45">
        <f>IF(AR[[#This Row],[GST applies?]] = "Yes", (AR[[#This Row],[Invoice value inc. VAT]] / 1 + AR[[#This Row],[GST %]]) * AR[[#This Row],[GST %]], 0)</f>
        <v>0</v>
      </c>
      <c r="J990" s="31">
        <f>_xlfn.XLOOKUP(AR[[#This Row],[Customer name]], Customer_master[Customer name], Customer_master[EOM or Net], 0)</f>
        <v>0</v>
      </c>
      <c r="K990" s="31">
        <f>_xlfn.XLOOKUP(AR[[#This Row],[Customer name]], Customer_master[Customer name], Customer_master[Terms days], 0)</f>
        <v>0</v>
      </c>
      <c r="L9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0" s="4"/>
      <c r="N990" s="46">
        <f>IF(AR[[#This Row],[Collection date - override (dd/mm/yyyy)]] &lt;&gt; "", AR[[#This Row],[Collection date - override (dd/mm/yyyy)]], AR[[#This Row],[Due date (dd/mm/yyyy)]])</f>
        <v>0</v>
      </c>
      <c r="O990" s="46">
        <f t="shared" si="15"/>
        <v>52</v>
      </c>
    </row>
    <row r="991" spans="3:15" x14ac:dyDescent="0.25">
      <c r="C991" s="28"/>
      <c r="D991" s="20"/>
      <c r="E991" s="4"/>
      <c r="F991" s="37"/>
      <c r="G991" s="24"/>
      <c r="H991" s="51">
        <f>Assumptions!$D$15</f>
        <v>0.1</v>
      </c>
      <c r="I991" s="45">
        <f>IF(AR[[#This Row],[GST applies?]] = "Yes", (AR[[#This Row],[Invoice value inc. VAT]] / 1 + AR[[#This Row],[GST %]]) * AR[[#This Row],[GST %]], 0)</f>
        <v>0</v>
      </c>
      <c r="J991" s="31">
        <f>_xlfn.XLOOKUP(AR[[#This Row],[Customer name]], Customer_master[Customer name], Customer_master[EOM or Net], 0)</f>
        <v>0</v>
      </c>
      <c r="K991" s="31">
        <f>_xlfn.XLOOKUP(AR[[#This Row],[Customer name]], Customer_master[Customer name], Customer_master[Terms days], 0)</f>
        <v>0</v>
      </c>
      <c r="L9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1" s="4"/>
      <c r="N991" s="46">
        <f>IF(AR[[#This Row],[Collection date - override (dd/mm/yyyy)]] &lt;&gt; "", AR[[#This Row],[Collection date - override (dd/mm/yyyy)]], AR[[#This Row],[Due date (dd/mm/yyyy)]])</f>
        <v>0</v>
      </c>
      <c r="O991" s="46">
        <f t="shared" si="15"/>
        <v>52</v>
      </c>
    </row>
    <row r="992" spans="3:15" x14ac:dyDescent="0.25">
      <c r="C992" s="28"/>
      <c r="D992" s="20"/>
      <c r="E992" s="4"/>
      <c r="F992" s="37"/>
      <c r="G992" s="24"/>
      <c r="H992" s="51">
        <f>Assumptions!$D$15</f>
        <v>0.1</v>
      </c>
      <c r="I992" s="45">
        <f>IF(AR[[#This Row],[GST applies?]] = "Yes", (AR[[#This Row],[Invoice value inc. VAT]] / 1 + AR[[#This Row],[GST %]]) * AR[[#This Row],[GST %]], 0)</f>
        <v>0</v>
      </c>
      <c r="J992" s="31">
        <f>_xlfn.XLOOKUP(AR[[#This Row],[Customer name]], Customer_master[Customer name], Customer_master[EOM or Net], 0)</f>
        <v>0</v>
      </c>
      <c r="K992" s="31">
        <f>_xlfn.XLOOKUP(AR[[#This Row],[Customer name]], Customer_master[Customer name], Customer_master[Terms days], 0)</f>
        <v>0</v>
      </c>
      <c r="L9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2" s="4"/>
      <c r="N992" s="46">
        <f>IF(AR[[#This Row],[Collection date - override (dd/mm/yyyy)]] &lt;&gt; "", AR[[#This Row],[Collection date - override (dd/mm/yyyy)]], AR[[#This Row],[Due date (dd/mm/yyyy)]])</f>
        <v>0</v>
      </c>
      <c r="O992" s="46">
        <f t="shared" si="15"/>
        <v>52</v>
      </c>
    </row>
    <row r="993" spans="3:15" x14ac:dyDescent="0.25">
      <c r="C993" s="28"/>
      <c r="D993" s="20"/>
      <c r="E993" s="4"/>
      <c r="F993" s="37"/>
      <c r="G993" s="24"/>
      <c r="H993" s="51">
        <f>Assumptions!$D$15</f>
        <v>0.1</v>
      </c>
      <c r="I993" s="45">
        <f>IF(AR[[#This Row],[GST applies?]] = "Yes", (AR[[#This Row],[Invoice value inc. VAT]] / 1 + AR[[#This Row],[GST %]]) * AR[[#This Row],[GST %]], 0)</f>
        <v>0</v>
      </c>
      <c r="J993" s="31">
        <f>_xlfn.XLOOKUP(AR[[#This Row],[Customer name]], Customer_master[Customer name], Customer_master[EOM or Net], 0)</f>
        <v>0</v>
      </c>
      <c r="K993" s="31">
        <f>_xlfn.XLOOKUP(AR[[#This Row],[Customer name]], Customer_master[Customer name], Customer_master[Terms days], 0)</f>
        <v>0</v>
      </c>
      <c r="L9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3" s="4"/>
      <c r="N993" s="46">
        <f>IF(AR[[#This Row],[Collection date - override (dd/mm/yyyy)]] &lt;&gt; "", AR[[#This Row],[Collection date - override (dd/mm/yyyy)]], AR[[#This Row],[Due date (dd/mm/yyyy)]])</f>
        <v>0</v>
      </c>
      <c r="O993" s="46">
        <f t="shared" si="15"/>
        <v>52</v>
      </c>
    </row>
    <row r="994" spans="3:15" x14ac:dyDescent="0.25">
      <c r="C994" s="28"/>
      <c r="D994" s="20"/>
      <c r="E994" s="4"/>
      <c r="F994" s="37"/>
      <c r="G994" s="24"/>
      <c r="H994" s="51">
        <f>Assumptions!$D$15</f>
        <v>0.1</v>
      </c>
      <c r="I994" s="45">
        <f>IF(AR[[#This Row],[GST applies?]] = "Yes", (AR[[#This Row],[Invoice value inc. VAT]] / 1 + AR[[#This Row],[GST %]]) * AR[[#This Row],[GST %]], 0)</f>
        <v>0</v>
      </c>
      <c r="J994" s="31">
        <f>_xlfn.XLOOKUP(AR[[#This Row],[Customer name]], Customer_master[Customer name], Customer_master[EOM or Net], 0)</f>
        <v>0</v>
      </c>
      <c r="K994" s="31">
        <f>_xlfn.XLOOKUP(AR[[#This Row],[Customer name]], Customer_master[Customer name], Customer_master[Terms days], 0)</f>
        <v>0</v>
      </c>
      <c r="L9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4" s="4"/>
      <c r="N994" s="46">
        <f>IF(AR[[#This Row],[Collection date - override (dd/mm/yyyy)]] &lt;&gt; "", AR[[#This Row],[Collection date - override (dd/mm/yyyy)]], AR[[#This Row],[Due date (dd/mm/yyyy)]])</f>
        <v>0</v>
      </c>
      <c r="O994" s="46">
        <f t="shared" si="15"/>
        <v>52</v>
      </c>
    </row>
    <row r="995" spans="3:15" x14ac:dyDescent="0.25">
      <c r="C995" s="28"/>
      <c r="D995" s="20"/>
      <c r="E995" s="4"/>
      <c r="F995" s="37"/>
      <c r="G995" s="24"/>
      <c r="H995" s="51">
        <f>Assumptions!$D$15</f>
        <v>0.1</v>
      </c>
      <c r="I995" s="45">
        <f>IF(AR[[#This Row],[GST applies?]] = "Yes", (AR[[#This Row],[Invoice value inc. VAT]] / 1 + AR[[#This Row],[GST %]]) * AR[[#This Row],[GST %]], 0)</f>
        <v>0</v>
      </c>
      <c r="J995" s="31">
        <f>_xlfn.XLOOKUP(AR[[#This Row],[Customer name]], Customer_master[Customer name], Customer_master[EOM or Net], 0)</f>
        <v>0</v>
      </c>
      <c r="K995" s="31">
        <f>_xlfn.XLOOKUP(AR[[#This Row],[Customer name]], Customer_master[Customer name], Customer_master[Terms days], 0)</f>
        <v>0</v>
      </c>
      <c r="L9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5" s="4"/>
      <c r="N995" s="46">
        <f>IF(AR[[#This Row],[Collection date - override (dd/mm/yyyy)]] &lt;&gt; "", AR[[#This Row],[Collection date - override (dd/mm/yyyy)]], AR[[#This Row],[Due date (dd/mm/yyyy)]])</f>
        <v>0</v>
      </c>
      <c r="O995" s="46">
        <f t="shared" si="15"/>
        <v>52</v>
      </c>
    </row>
    <row r="996" spans="3:15" x14ac:dyDescent="0.25">
      <c r="C996" s="28"/>
      <c r="D996" s="20"/>
      <c r="E996" s="4"/>
      <c r="F996" s="37"/>
      <c r="G996" s="24"/>
      <c r="H996" s="51">
        <f>Assumptions!$D$15</f>
        <v>0.1</v>
      </c>
      <c r="I996" s="45">
        <f>IF(AR[[#This Row],[GST applies?]] = "Yes", (AR[[#This Row],[Invoice value inc. VAT]] / 1 + AR[[#This Row],[GST %]]) * AR[[#This Row],[GST %]], 0)</f>
        <v>0</v>
      </c>
      <c r="J996" s="31">
        <f>_xlfn.XLOOKUP(AR[[#This Row],[Customer name]], Customer_master[Customer name], Customer_master[EOM or Net], 0)</f>
        <v>0</v>
      </c>
      <c r="K996" s="31">
        <f>_xlfn.XLOOKUP(AR[[#This Row],[Customer name]], Customer_master[Customer name], Customer_master[Terms days], 0)</f>
        <v>0</v>
      </c>
      <c r="L9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6" s="4"/>
      <c r="N996" s="46">
        <f>IF(AR[[#This Row],[Collection date - override (dd/mm/yyyy)]] &lt;&gt; "", AR[[#This Row],[Collection date - override (dd/mm/yyyy)]], AR[[#This Row],[Due date (dd/mm/yyyy)]])</f>
        <v>0</v>
      </c>
      <c r="O996" s="46">
        <f t="shared" si="15"/>
        <v>52</v>
      </c>
    </row>
    <row r="997" spans="3:15" x14ac:dyDescent="0.25">
      <c r="C997" s="28"/>
      <c r="D997" s="20"/>
      <c r="E997" s="4"/>
      <c r="F997" s="37"/>
      <c r="G997" s="24"/>
      <c r="H997" s="51">
        <f>Assumptions!$D$15</f>
        <v>0.1</v>
      </c>
      <c r="I997" s="45">
        <f>IF(AR[[#This Row],[GST applies?]] = "Yes", (AR[[#This Row],[Invoice value inc. VAT]] / 1 + AR[[#This Row],[GST %]]) * AR[[#This Row],[GST %]], 0)</f>
        <v>0</v>
      </c>
      <c r="J997" s="31">
        <f>_xlfn.XLOOKUP(AR[[#This Row],[Customer name]], Customer_master[Customer name], Customer_master[EOM or Net], 0)</f>
        <v>0</v>
      </c>
      <c r="K997" s="31">
        <f>_xlfn.XLOOKUP(AR[[#This Row],[Customer name]], Customer_master[Customer name], Customer_master[Terms days], 0)</f>
        <v>0</v>
      </c>
      <c r="L9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7" s="4"/>
      <c r="N997" s="46">
        <f>IF(AR[[#This Row],[Collection date - override (dd/mm/yyyy)]] &lt;&gt; "", AR[[#This Row],[Collection date - override (dd/mm/yyyy)]], AR[[#This Row],[Due date (dd/mm/yyyy)]])</f>
        <v>0</v>
      </c>
      <c r="O997" s="46">
        <f t="shared" si="15"/>
        <v>52</v>
      </c>
    </row>
    <row r="998" spans="3:15" x14ac:dyDescent="0.25">
      <c r="C998" s="28"/>
      <c r="D998" s="20"/>
      <c r="E998" s="4"/>
      <c r="F998" s="37"/>
      <c r="G998" s="24"/>
      <c r="H998" s="51">
        <f>Assumptions!$D$15</f>
        <v>0.1</v>
      </c>
      <c r="I998" s="45">
        <f>IF(AR[[#This Row],[GST applies?]] = "Yes", (AR[[#This Row],[Invoice value inc. VAT]] / 1 + AR[[#This Row],[GST %]]) * AR[[#This Row],[GST %]], 0)</f>
        <v>0</v>
      </c>
      <c r="J998" s="31">
        <f>_xlfn.XLOOKUP(AR[[#This Row],[Customer name]], Customer_master[Customer name], Customer_master[EOM or Net], 0)</f>
        <v>0</v>
      </c>
      <c r="K998" s="31">
        <f>_xlfn.XLOOKUP(AR[[#This Row],[Customer name]], Customer_master[Customer name], Customer_master[Terms days], 0)</f>
        <v>0</v>
      </c>
      <c r="L9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8" s="4"/>
      <c r="N998" s="46">
        <f>IF(AR[[#This Row],[Collection date - override (dd/mm/yyyy)]] &lt;&gt; "", AR[[#This Row],[Collection date - override (dd/mm/yyyy)]], AR[[#This Row],[Due date (dd/mm/yyyy)]])</f>
        <v>0</v>
      </c>
      <c r="O998" s="46">
        <f t="shared" si="15"/>
        <v>52</v>
      </c>
    </row>
    <row r="999" spans="3:15" x14ac:dyDescent="0.25">
      <c r="C999" s="28"/>
      <c r="D999" s="20"/>
      <c r="E999" s="4"/>
      <c r="F999" s="37"/>
      <c r="G999" s="24"/>
      <c r="H999" s="51">
        <f>Assumptions!$D$15</f>
        <v>0.1</v>
      </c>
      <c r="I999" s="45">
        <f>IF(AR[[#This Row],[GST applies?]] = "Yes", (AR[[#This Row],[Invoice value inc. VAT]] / 1 + AR[[#This Row],[GST %]]) * AR[[#This Row],[GST %]], 0)</f>
        <v>0</v>
      </c>
      <c r="J999" s="31">
        <f>_xlfn.XLOOKUP(AR[[#This Row],[Customer name]], Customer_master[Customer name], Customer_master[EOM or Net], 0)</f>
        <v>0</v>
      </c>
      <c r="K999" s="31">
        <f>_xlfn.XLOOKUP(AR[[#This Row],[Customer name]], Customer_master[Customer name], Customer_master[Terms days], 0)</f>
        <v>0</v>
      </c>
      <c r="L9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9" s="4"/>
      <c r="N999" s="46">
        <f>IF(AR[[#This Row],[Collection date - override (dd/mm/yyyy)]] &lt;&gt; "", AR[[#This Row],[Collection date - override (dd/mm/yyyy)]], AR[[#This Row],[Due date (dd/mm/yyyy)]])</f>
        <v>0</v>
      </c>
      <c r="O999" s="46">
        <f t="shared" si="15"/>
        <v>52</v>
      </c>
    </row>
    <row r="1000" spans="3:15" x14ac:dyDescent="0.25">
      <c r="C1000" s="28"/>
      <c r="D1000" s="20"/>
      <c r="E1000" s="4"/>
      <c r="F1000" s="37"/>
      <c r="G1000" s="24"/>
      <c r="H1000" s="51">
        <f>Assumptions!$D$15</f>
        <v>0.1</v>
      </c>
      <c r="I1000" s="45">
        <f>IF(AR[[#This Row],[GST applies?]] = "Yes", (AR[[#This Row],[Invoice value inc. VAT]] / 1 + AR[[#This Row],[GST %]]) * AR[[#This Row],[GST %]], 0)</f>
        <v>0</v>
      </c>
      <c r="J1000" s="31">
        <f>_xlfn.XLOOKUP(AR[[#This Row],[Customer name]], Customer_master[Customer name], Customer_master[EOM or Net], 0)</f>
        <v>0</v>
      </c>
      <c r="K1000" s="31">
        <f>_xlfn.XLOOKUP(AR[[#This Row],[Customer name]], Customer_master[Customer name], Customer_master[Terms days], 0)</f>
        <v>0</v>
      </c>
      <c r="L10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00" s="4"/>
      <c r="N1000" s="46">
        <f>IF(AR[[#This Row],[Collection date - override (dd/mm/yyyy)]] &lt;&gt; "", AR[[#This Row],[Collection date - override (dd/mm/yyyy)]], AR[[#This Row],[Due date (dd/mm/yyyy)]])</f>
        <v>0</v>
      </c>
      <c r="O1000" s="46">
        <f t="shared" si="15"/>
        <v>52</v>
      </c>
    </row>
  </sheetData>
  <dataValidations disablePrompts="1" count="1">
    <dataValidation type="list" allowBlank="1" showInputMessage="1" showErrorMessage="1" sqref="G9:G1000" xr:uid="{9EABF7E3-D028-4D1E-A058-1DCD35F28FAD}">
      <formula1>"Yes, No"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C31D1E9F-D48F-4C37-9B75-723C53463241}">
          <x14:formula1>
            <xm:f>'Customer master data'!$B$9:$B$1000</xm:f>
          </x14:formula1>
          <xm:sqref>D9:D1000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6D0B-9CCF-4EFA-BDD5-0EC127CF94D1}">
  <sheetPr>
    <tabColor theme="9" tint="0.79998168889431442"/>
  </sheetPr>
  <dimension ref="A1:Z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4.140625" style="1" bestFit="1" customWidth="1"/>
    <col min="6" max="6" width="19.5703125" style="1" customWidth="1"/>
    <col min="7" max="7" width="12.85546875" style="1" customWidth="1"/>
    <col min="8" max="8" width="23" style="1" bestFit="1" customWidth="1"/>
    <col min="9" max="9" width="24.7109375" style="1" bestFit="1" customWidth="1"/>
    <col min="10" max="11" width="22.42578125" style="1" bestFit="1" customWidth="1"/>
    <col min="12" max="12" width="22.5703125" style="1" bestFit="1" customWidth="1"/>
    <col min="13" max="13" width="24.140625" style="1" bestFit="1" customWidth="1"/>
    <col min="14" max="14" width="9.140625" style="1" customWidth="1"/>
    <col min="15" max="15" width="10" style="1" bestFit="1" customWidth="1"/>
    <col min="16" max="16" width="20.5703125" style="1" bestFit="1" customWidth="1"/>
    <col min="17" max="17" width="15.5703125" style="1" bestFit="1" customWidth="1"/>
    <col min="18" max="18" width="18.140625" style="1" bestFit="1" customWidth="1"/>
    <col min="19" max="19" width="30.42578125" style="1" bestFit="1" customWidth="1"/>
    <col min="20" max="20" width="18.85546875" style="1" bestFit="1" customWidth="1"/>
    <col min="21" max="21" width="15.7109375" style="1" customWidth="1"/>
    <col min="22" max="22" width="1.7109375" style="1" customWidth="1"/>
    <col min="23" max="26" width="0" style="1" hidden="1" customWidth="1"/>
    <col min="27" max="16384" width="9.140625" style="1" hidden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x14ac:dyDescent="0.25">
      <c r="A3" s="2"/>
      <c r="B3" s="16" t="s">
        <v>112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7" spans="1:22" x14ac:dyDescent="0.25">
      <c r="C7" s="3" t="s">
        <v>33</v>
      </c>
      <c r="D7" s="3" t="s">
        <v>32</v>
      </c>
      <c r="E7" s="3" t="s">
        <v>32</v>
      </c>
      <c r="F7" s="3" t="s">
        <v>32</v>
      </c>
      <c r="G7" s="3" t="s">
        <v>32</v>
      </c>
      <c r="H7" s="3" t="s">
        <v>87</v>
      </c>
      <c r="I7" s="3" t="s">
        <v>87</v>
      </c>
      <c r="J7" s="3" t="s">
        <v>33</v>
      </c>
      <c r="K7" s="3" t="s">
        <v>33</v>
      </c>
      <c r="L7" s="3" t="s">
        <v>87</v>
      </c>
      <c r="M7" s="3" t="s">
        <v>87</v>
      </c>
      <c r="N7" s="3" t="s">
        <v>87</v>
      </c>
      <c r="O7" s="3" t="s">
        <v>87</v>
      </c>
      <c r="P7" s="3" t="s">
        <v>87</v>
      </c>
      <c r="Q7" s="3" t="s">
        <v>87</v>
      </c>
      <c r="R7" s="3" t="s">
        <v>87</v>
      </c>
      <c r="S7" s="3" t="s">
        <v>33</v>
      </c>
      <c r="T7" s="3" t="s">
        <v>87</v>
      </c>
      <c r="U7" s="3" t="s">
        <v>87</v>
      </c>
    </row>
    <row r="8" spans="1:22" x14ac:dyDescent="0.25">
      <c r="C8" s="25" t="s">
        <v>25</v>
      </c>
      <c r="D8" s="26" t="s">
        <v>35</v>
      </c>
      <c r="E8" s="39" t="s">
        <v>27</v>
      </c>
      <c r="F8" s="39" t="s">
        <v>229</v>
      </c>
      <c r="G8" s="40" t="s">
        <v>226</v>
      </c>
      <c r="H8" s="40" t="s">
        <v>115</v>
      </c>
      <c r="I8" s="40" t="s">
        <v>116</v>
      </c>
      <c r="J8" s="40" t="s">
        <v>117</v>
      </c>
      <c r="K8" s="40" t="s">
        <v>118</v>
      </c>
      <c r="L8" s="40" t="s">
        <v>119</v>
      </c>
      <c r="M8" s="40" t="s">
        <v>120</v>
      </c>
      <c r="N8" s="39" t="s">
        <v>224</v>
      </c>
      <c r="O8" s="39" t="s">
        <v>227</v>
      </c>
      <c r="P8" s="32" t="s">
        <v>82</v>
      </c>
      <c r="Q8" s="23" t="s">
        <v>83</v>
      </c>
      <c r="R8" s="23" t="s">
        <v>84</v>
      </c>
      <c r="S8" s="39" t="s">
        <v>113</v>
      </c>
      <c r="T8" s="39" t="s">
        <v>114</v>
      </c>
      <c r="U8" s="39" t="s">
        <v>230</v>
      </c>
    </row>
    <row r="9" spans="1:22" x14ac:dyDescent="0.25">
      <c r="C9" s="24"/>
      <c r="D9" s="20"/>
      <c r="E9" s="4"/>
      <c r="F9" s="37"/>
      <c r="G9" s="38"/>
      <c r="H9" s="31">
        <f>_xlfn.XLOOKUP(AP[[#This Row],[Supplier name]], Supplier_master[Supplier name], Supplier_master[Category L1], 0)</f>
        <v>0</v>
      </c>
      <c r="I9" s="31">
        <f>_xlfn.XLOOKUP(AP[[#This Row],[Supplier name]], Supplier_master[Supplier name], Supplier_master[Category L2], 0)</f>
        <v>0</v>
      </c>
      <c r="J9" s="55"/>
      <c r="K9" s="54"/>
      <c r="L9" s="56">
        <f>IF(AP[[#This Row],[Spend category L1 - Override]] &lt;&gt; "", AP[[#This Row],[Spend category L1 - Override]], AP[[#This Row],[Spend category L1]])</f>
        <v>0</v>
      </c>
      <c r="M9" s="56">
        <f>IF(AP[[#This Row],[Spend category L2 - Override]] &lt;&gt; "", AP[[#This Row],[Spend category L2 - Override]], AP[[#This Row],[Spend category L2]])</f>
        <v>0</v>
      </c>
      <c r="N9" s="44">
        <f>Assumptions!$D$15</f>
        <v>0.1</v>
      </c>
      <c r="O9" s="45">
        <f>IF(AP[[#This Row],[GST applies?]] = "Yes", (AP[[#This Row],[Invoice value inc. GST]] / 1 + AP[[#This Row],[GST %]]) * AP[[#This Row],[GST %]], 0)</f>
        <v>0</v>
      </c>
      <c r="P9" s="31">
        <f>_xlfn.XLOOKUP(AP[[#This Row],[Supplier name]], Supplier_master[Supplier name], Supplier_master[EOM or Net], 0)</f>
        <v>0</v>
      </c>
      <c r="Q9" s="31">
        <f>_xlfn.XLOOKUP(AP[[#This Row],[Supplier name]], Supplier_master[Supplier name], Supplier_master[Terms days], 0)</f>
        <v>0</v>
      </c>
      <c r="R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" s="4"/>
      <c r="T9" s="46">
        <f>IF(AP[[#This Row],[Payment date - override (dd/mm/yyyy)]] &lt;&gt; "", AP[[#This Row],[Payment date - override (dd/mm/yyyy)]], AP[[#This Row],[Due date (dd/mm/yyyy)]])</f>
        <v>0</v>
      </c>
      <c r="U9" s="46">
        <f t="shared" ref="U9:U72" si="0"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f>
        <v>52</v>
      </c>
    </row>
    <row r="10" spans="1:22" x14ac:dyDescent="0.25">
      <c r="C10" s="24"/>
      <c r="D10" s="20"/>
      <c r="E10" s="4"/>
      <c r="F10" s="37"/>
      <c r="G10" s="38"/>
      <c r="H10" s="31">
        <f>_xlfn.XLOOKUP(AP[[#This Row],[Supplier name]], Supplier_master[Supplier name], Supplier_master[Category L1], 0)</f>
        <v>0</v>
      </c>
      <c r="I10" s="31">
        <f>_xlfn.XLOOKUP(AP[[#This Row],[Supplier name]], Supplier_master[Supplier name], Supplier_master[Category L2], 0)</f>
        <v>0</v>
      </c>
      <c r="J10" s="55"/>
      <c r="K10" s="54"/>
      <c r="L10" s="56">
        <f>IF(AP[[#This Row],[Spend category L1 - Override]] &lt;&gt; "", AP[[#This Row],[Spend category L1 - Override]], AP[[#This Row],[Spend category L1]])</f>
        <v>0</v>
      </c>
      <c r="M10" s="56">
        <f>IF(AP[[#This Row],[Spend category L2 - Override]] &lt;&gt; "", AP[[#This Row],[Spend category L2 - Override]], AP[[#This Row],[Spend category L2]])</f>
        <v>0</v>
      </c>
      <c r="N10" s="44">
        <f>Assumptions!$D$15</f>
        <v>0.1</v>
      </c>
      <c r="O10" s="45">
        <f>IF(AP[[#This Row],[GST applies?]] = "Yes", (AP[[#This Row],[Invoice value inc. GST]] / 1 + AP[[#This Row],[GST %]]) * AP[[#This Row],[GST %]], 0)</f>
        <v>0</v>
      </c>
      <c r="P10" s="31">
        <f>_xlfn.XLOOKUP(AP[[#This Row],[Supplier name]], Supplier_master[Supplier name], Supplier_master[EOM or Net], 0)</f>
        <v>0</v>
      </c>
      <c r="Q10" s="31">
        <f>_xlfn.XLOOKUP(AP[[#This Row],[Supplier name]], Supplier_master[Supplier name], Supplier_master[Terms days], 0)</f>
        <v>0</v>
      </c>
      <c r="R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" s="4"/>
      <c r="T10" s="46">
        <f>IF(AP[[#This Row],[Payment date - override (dd/mm/yyyy)]] &lt;&gt; "", AP[[#This Row],[Payment date - override (dd/mm/yyyy)]], AP[[#This Row],[Due date (dd/mm/yyyy)]])</f>
        <v>0</v>
      </c>
      <c r="U10" s="46">
        <f t="shared" si="0"/>
        <v>52</v>
      </c>
    </row>
    <row r="11" spans="1:22" x14ac:dyDescent="0.25">
      <c r="C11" s="24"/>
      <c r="D11" s="20"/>
      <c r="E11" s="4"/>
      <c r="F11" s="37"/>
      <c r="G11" s="38"/>
      <c r="H11" s="31">
        <f>_xlfn.XLOOKUP(AP[[#This Row],[Supplier name]], Supplier_master[Supplier name], Supplier_master[Category L1], 0)</f>
        <v>0</v>
      </c>
      <c r="I11" s="31">
        <f>_xlfn.XLOOKUP(AP[[#This Row],[Supplier name]], Supplier_master[Supplier name], Supplier_master[Category L2], 0)</f>
        <v>0</v>
      </c>
      <c r="J11" s="55"/>
      <c r="K11" s="54"/>
      <c r="L11" s="56">
        <f>IF(AP[[#This Row],[Spend category L1 - Override]] &lt;&gt; "", AP[[#This Row],[Spend category L1 - Override]], AP[[#This Row],[Spend category L1]])</f>
        <v>0</v>
      </c>
      <c r="M11" s="56">
        <f>IF(AP[[#This Row],[Spend category L2 - Override]] &lt;&gt; "", AP[[#This Row],[Spend category L2 - Override]], AP[[#This Row],[Spend category L2]])</f>
        <v>0</v>
      </c>
      <c r="N11" s="44">
        <f>Assumptions!$D$15</f>
        <v>0.1</v>
      </c>
      <c r="O11" s="45">
        <f>IF(AP[[#This Row],[GST applies?]] = "Yes", (AP[[#This Row],[Invoice value inc. GST]] / 1 + AP[[#This Row],[GST %]]) * AP[[#This Row],[GST %]], 0)</f>
        <v>0</v>
      </c>
      <c r="P11" s="31">
        <f>_xlfn.XLOOKUP(AP[[#This Row],[Supplier name]], Supplier_master[Supplier name], Supplier_master[EOM or Net], 0)</f>
        <v>0</v>
      </c>
      <c r="Q11" s="31">
        <f>_xlfn.XLOOKUP(AP[[#This Row],[Supplier name]], Supplier_master[Supplier name], Supplier_master[Terms days], 0)</f>
        <v>0</v>
      </c>
      <c r="R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" s="4"/>
      <c r="T11" s="46">
        <f>IF(AP[[#This Row],[Payment date - override (dd/mm/yyyy)]] &lt;&gt; "", AP[[#This Row],[Payment date - override (dd/mm/yyyy)]], AP[[#This Row],[Due date (dd/mm/yyyy)]])</f>
        <v>0</v>
      </c>
      <c r="U11" s="46">
        <f t="shared" si="0"/>
        <v>52</v>
      </c>
    </row>
    <row r="12" spans="1:22" x14ac:dyDescent="0.25">
      <c r="C12" s="24"/>
      <c r="D12" s="20"/>
      <c r="E12" s="4"/>
      <c r="F12" s="37"/>
      <c r="G12" s="38"/>
      <c r="H12" s="31">
        <f>_xlfn.XLOOKUP(AP[[#This Row],[Supplier name]], Supplier_master[Supplier name], Supplier_master[Category L1], 0)</f>
        <v>0</v>
      </c>
      <c r="I12" s="31">
        <f>_xlfn.XLOOKUP(AP[[#This Row],[Supplier name]], Supplier_master[Supplier name], Supplier_master[Category L2], 0)</f>
        <v>0</v>
      </c>
      <c r="J12" s="55"/>
      <c r="K12" s="54"/>
      <c r="L12" s="56">
        <f>IF(AP[[#This Row],[Spend category L1 - Override]] &lt;&gt; "", AP[[#This Row],[Spend category L1 - Override]], AP[[#This Row],[Spend category L1]])</f>
        <v>0</v>
      </c>
      <c r="M12" s="56">
        <f>IF(AP[[#This Row],[Spend category L2 - Override]] &lt;&gt; "", AP[[#This Row],[Spend category L2 - Override]], AP[[#This Row],[Spend category L2]])</f>
        <v>0</v>
      </c>
      <c r="N12" s="44">
        <f>Assumptions!$D$15</f>
        <v>0.1</v>
      </c>
      <c r="O12" s="45">
        <f>IF(AP[[#This Row],[GST applies?]] = "Yes", (AP[[#This Row],[Invoice value inc. GST]] / 1 + AP[[#This Row],[GST %]]) * AP[[#This Row],[GST %]], 0)</f>
        <v>0</v>
      </c>
      <c r="P12" s="31">
        <f>_xlfn.XLOOKUP(AP[[#This Row],[Supplier name]], Supplier_master[Supplier name], Supplier_master[EOM or Net], 0)</f>
        <v>0</v>
      </c>
      <c r="Q12" s="31">
        <f>_xlfn.XLOOKUP(AP[[#This Row],[Supplier name]], Supplier_master[Supplier name], Supplier_master[Terms days], 0)</f>
        <v>0</v>
      </c>
      <c r="R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" s="4"/>
      <c r="T12" s="46">
        <f>IF(AP[[#This Row],[Payment date - override (dd/mm/yyyy)]] &lt;&gt; "", AP[[#This Row],[Payment date - override (dd/mm/yyyy)]], AP[[#This Row],[Due date (dd/mm/yyyy)]])</f>
        <v>0</v>
      </c>
      <c r="U12" s="46">
        <f t="shared" si="0"/>
        <v>52</v>
      </c>
    </row>
    <row r="13" spans="1:22" x14ac:dyDescent="0.25">
      <c r="C13" s="24"/>
      <c r="D13" s="20"/>
      <c r="E13" s="4"/>
      <c r="F13" s="37"/>
      <c r="G13" s="38"/>
      <c r="H13" s="31">
        <f>_xlfn.XLOOKUP(AP[[#This Row],[Supplier name]], Supplier_master[Supplier name], Supplier_master[Category L1], 0)</f>
        <v>0</v>
      </c>
      <c r="I13" s="31">
        <f>_xlfn.XLOOKUP(AP[[#This Row],[Supplier name]], Supplier_master[Supplier name], Supplier_master[Category L2], 0)</f>
        <v>0</v>
      </c>
      <c r="J13" s="55"/>
      <c r="K13" s="54"/>
      <c r="L13" s="56">
        <f>IF(AP[[#This Row],[Spend category L1 - Override]] &lt;&gt; "", AP[[#This Row],[Spend category L1 - Override]], AP[[#This Row],[Spend category L1]])</f>
        <v>0</v>
      </c>
      <c r="M13" s="56">
        <f>IF(AP[[#This Row],[Spend category L2 - Override]] &lt;&gt; "", AP[[#This Row],[Spend category L2 - Override]], AP[[#This Row],[Spend category L2]])</f>
        <v>0</v>
      </c>
      <c r="N13" s="44">
        <f>Assumptions!$D$15</f>
        <v>0.1</v>
      </c>
      <c r="O13" s="45">
        <f>IF(AP[[#This Row],[GST applies?]] = "Yes", (AP[[#This Row],[Invoice value inc. GST]] / 1 + AP[[#This Row],[GST %]]) * AP[[#This Row],[GST %]], 0)</f>
        <v>0</v>
      </c>
      <c r="P13" s="31">
        <f>_xlfn.XLOOKUP(AP[[#This Row],[Supplier name]], Supplier_master[Supplier name], Supplier_master[EOM or Net], 0)</f>
        <v>0</v>
      </c>
      <c r="Q13" s="31">
        <f>_xlfn.XLOOKUP(AP[[#This Row],[Supplier name]], Supplier_master[Supplier name], Supplier_master[Terms days], 0)</f>
        <v>0</v>
      </c>
      <c r="R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" s="4"/>
      <c r="T13" s="46">
        <f>IF(AP[[#This Row],[Payment date - override (dd/mm/yyyy)]] &lt;&gt; "", AP[[#This Row],[Payment date - override (dd/mm/yyyy)]], AP[[#This Row],[Due date (dd/mm/yyyy)]])</f>
        <v>0</v>
      </c>
      <c r="U13" s="46">
        <f t="shared" si="0"/>
        <v>52</v>
      </c>
    </row>
    <row r="14" spans="1:22" x14ac:dyDescent="0.25">
      <c r="C14" s="24"/>
      <c r="D14" s="20"/>
      <c r="E14" s="4"/>
      <c r="F14" s="37"/>
      <c r="G14" s="38"/>
      <c r="H14" s="31">
        <f>_xlfn.XLOOKUP(AP[[#This Row],[Supplier name]], Supplier_master[Supplier name], Supplier_master[Category L1], 0)</f>
        <v>0</v>
      </c>
      <c r="I14" s="31">
        <f>_xlfn.XLOOKUP(AP[[#This Row],[Supplier name]], Supplier_master[Supplier name], Supplier_master[Category L2], 0)</f>
        <v>0</v>
      </c>
      <c r="J14" s="55"/>
      <c r="K14" s="54"/>
      <c r="L14" s="56">
        <f>IF(AP[[#This Row],[Spend category L1 - Override]] &lt;&gt; "", AP[[#This Row],[Spend category L1 - Override]], AP[[#This Row],[Spend category L1]])</f>
        <v>0</v>
      </c>
      <c r="M14" s="56">
        <f>IF(AP[[#This Row],[Spend category L2 - Override]] &lt;&gt; "", AP[[#This Row],[Spend category L2 - Override]], AP[[#This Row],[Spend category L2]])</f>
        <v>0</v>
      </c>
      <c r="N14" s="44">
        <f>Assumptions!$D$15</f>
        <v>0.1</v>
      </c>
      <c r="O14" s="45">
        <f>IF(AP[[#This Row],[GST applies?]] = "Yes", (AP[[#This Row],[Invoice value inc. GST]] / 1 + AP[[#This Row],[GST %]]) * AP[[#This Row],[GST %]], 0)</f>
        <v>0</v>
      </c>
      <c r="P14" s="31">
        <f>_xlfn.XLOOKUP(AP[[#This Row],[Supplier name]], Supplier_master[Supplier name], Supplier_master[EOM or Net], 0)</f>
        <v>0</v>
      </c>
      <c r="Q14" s="31">
        <f>_xlfn.XLOOKUP(AP[[#This Row],[Supplier name]], Supplier_master[Supplier name], Supplier_master[Terms days], 0)</f>
        <v>0</v>
      </c>
      <c r="R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" s="4"/>
      <c r="T14" s="46">
        <f>IF(AP[[#This Row],[Payment date - override (dd/mm/yyyy)]] &lt;&gt; "", AP[[#This Row],[Payment date - override (dd/mm/yyyy)]], AP[[#This Row],[Due date (dd/mm/yyyy)]])</f>
        <v>0</v>
      </c>
      <c r="U14" s="46">
        <f t="shared" si="0"/>
        <v>52</v>
      </c>
    </row>
    <row r="15" spans="1:22" x14ac:dyDescent="0.25">
      <c r="C15" s="24"/>
      <c r="D15" s="20"/>
      <c r="E15" s="4"/>
      <c r="F15" s="37"/>
      <c r="G15" s="38"/>
      <c r="H15" s="31">
        <f>_xlfn.XLOOKUP(AP[[#This Row],[Supplier name]], Supplier_master[Supplier name], Supplier_master[Category L1], 0)</f>
        <v>0</v>
      </c>
      <c r="I15" s="31">
        <f>_xlfn.XLOOKUP(AP[[#This Row],[Supplier name]], Supplier_master[Supplier name], Supplier_master[Category L2], 0)</f>
        <v>0</v>
      </c>
      <c r="J15" s="55"/>
      <c r="K15" s="54"/>
      <c r="L15" s="56">
        <f>IF(AP[[#This Row],[Spend category L1 - Override]] &lt;&gt; "", AP[[#This Row],[Spend category L1 - Override]], AP[[#This Row],[Spend category L1]])</f>
        <v>0</v>
      </c>
      <c r="M15" s="56">
        <f>IF(AP[[#This Row],[Spend category L2 - Override]] &lt;&gt; "", AP[[#This Row],[Spend category L2 - Override]], AP[[#This Row],[Spend category L2]])</f>
        <v>0</v>
      </c>
      <c r="N15" s="44">
        <f>Assumptions!$D$15</f>
        <v>0.1</v>
      </c>
      <c r="O15" s="45">
        <f>IF(AP[[#This Row],[GST applies?]] = "Yes", (AP[[#This Row],[Invoice value inc. GST]] / 1 + AP[[#This Row],[GST %]]) * AP[[#This Row],[GST %]], 0)</f>
        <v>0</v>
      </c>
      <c r="P15" s="31">
        <f>_xlfn.XLOOKUP(AP[[#This Row],[Supplier name]], Supplier_master[Supplier name], Supplier_master[EOM or Net], 0)</f>
        <v>0</v>
      </c>
      <c r="Q15" s="31">
        <f>_xlfn.XLOOKUP(AP[[#This Row],[Supplier name]], Supplier_master[Supplier name], Supplier_master[Terms days], 0)</f>
        <v>0</v>
      </c>
      <c r="R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" s="4"/>
      <c r="T15" s="46">
        <f>IF(AP[[#This Row],[Payment date - override (dd/mm/yyyy)]] &lt;&gt; "", AP[[#This Row],[Payment date - override (dd/mm/yyyy)]], AP[[#This Row],[Due date (dd/mm/yyyy)]])</f>
        <v>0</v>
      </c>
      <c r="U15" s="46">
        <f t="shared" si="0"/>
        <v>52</v>
      </c>
    </row>
    <row r="16" spans="1:22" x14ac:dyDescent="0.25">
      <c r="C16" s="24"/>
      <c r="D16" s="20"/>
      <c r="E16" s="4"/>
      <c r="F16" s="37"/>
      <c r="G16" s="38"/>
      <c r="H16" s="31">
        <f>_xlfn.XLOOKUP(AP[[#This Row],[Supplier name]], Supplier_master[Supplier name], Supplier_master[Category L1], 0)</f>
        <v>0</v>
      </c>
      <c r="I16" s="31">
        <f>_xlfn.XLOOKUP(AP[[#This Row],[Supplier name]], Supplier_master[Supplier name], Supplier_master[Category L2], 0)</f>
        <v>0</v>
      </c>
      <c r="J16" s="55"/>
      <c r="K16" s="54"/>
      <c r="L16" s="56">
        <f>IF(AP[[#This Row],[Spend category L1 - Override]] &lt;&gt; "", AP[[#This Row],[Spend category L1 - Override]], AP[[#This Row],[Spend category L1]])</f>
        <v>0</v>
      </c>
      <c r="M16" s="56">
        <f>IF(AP[[#This Row],[Spend category L2 - Override]] &lt;&gt; "", AP[[#This Row],[Spend category L2 - Override]], AP[[#This Row],[Spend category L2]])</f>
        <v>0</v>
      </c>
      <c r="N16" s="44">
        <f>Assumptions!$D$15</f>
        <v>0.1</v>
      </c>
      <c r="O16" s="45">
        <f>IF(AP[[#This Row],[GST applies?]] = "Yes", (AP[[#This Row],[Invoice value inc. GST]] / 1 + AP[[#This Row],[GST %]]) * AP[[#This Row],[GST %]], 0)</f>
        <v>0</v>
      </c>
      <c r="P16" s="31">
        <f>_xlfn.XLOOKUP(AP[[#This Row],[Supplier name]], Supplier_master[Supplier name], Supplier_master[EOM or Net], 0)</f>
        <v>0</v>
      </c>
      <c r="Q16" s="31">
        <f>_xlfn.XLOOKUP(AP[[#This Row],[Supplier name]], Supplier_master[Supplier name], Supplier_master[Terms days], 0)</f>
        <v>0</v>
      </c>
      <c r="R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" s="4"/>
      <c r="T16" s="46">
        <f>IF(AP[[#This Row],[Payment date - override (dd/mm/yyyy)]] &lt;&gt; "", AP[[#This Row],[Payment date - override (dd/mm/yyyy)]], AP[[#This Row],[Due date (dd/mm/yyyy)]])</f>
        <v>0</v>
      </c>
      <c r="U16" s="46">
        <f t="shared" si="0"/>
        <v>52</v>
      </c>
    </row>
    <row r="17" spans="3:21" x14ac:dyDescent="0.25">
      <c r="C17" s="24"/>
      <c r="D17" s="20"/>
      <c r="E17" s="4"/>
      <c r="F17" s="37"/>
      <c r="G17" s="38"/>
      <c r="H17" s="31">
        <f>_xlfn.XLOOKUP(AP[[#This Row],[Supplier name]], Supplier_master[Supplier name], Supplier_master[Category L1], 0)</f>
        <v>0</v>
      </c>
      <c r="I17" s="31">
        <f>_xlfn.XLOOKUP(AP[[#This Row],[Supplier name]], Supplier_master[Supplier name], Supplier_master[Category L2], 0)</f>
        <v>0</v>
      </c>
      <c r="J17" s="55"/>
      <c r="K17" s="54"/>
      <c r="L17" s="56">
        <f>IF(AP[[#This Row],[Spend category L1 - Override]] &lt;&gt; "", AP[[#This Row],[Spend category L1 - Override]], AP[[#This Row],[Spend category L1]])</f>
        <v>0</v>
      </c>
      <c r="M17" s="56">
        <f>IF(AP[[#This Row],[Spend category L2 - Override]] &lt;&gt; "", AP[[#This Row],[Spend category L2 - Override]], AP[[#This Row],[Spend category L2]])</f>
        <v>0</v>
      </c>
      <c r="N17" s="44">
        <f>Assumptions!$D$15</f>
        <v>0.1</v>
      </c>
      <c r="O17" s="45">
        <f>IF(AP[[#This Row],[GST applies?]] = "Yes", (AP[[#This Row],[Invoice value inc. GST]] / 1 + AP[[#This Row],[GST %]]) * AP[[#This Row],[GST %]], 0)</f>
        <v>0</v>
      </c>
      <c r="P17" s="31">
        <f>_xlfn.XLOOKUP(AP[[#This Row],[Supplier name]], Supplier_master[Supplier name], Supplier_master[EOM or Net], 0)</f>
        <v>0</v>
      </c>
      <c r="Q17" s="31">
        <f>_xlfn.XLOOKUP(AP[[#This Row],[Supplier name]], Supplier_master[Supplier name], Supplier_master[Terms days], 0)</f>
        <v>0</v>
      </c>
      <c r="R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" s="4"/>
      <c r="T17" s="46">
        <f>IF(AP[[#This Row],[Payment date - override (dd/mm/yyyy)]] &lt;&gt; "", AP[[#This Row],[Payment date - override (dd/mm/yyyy)]], AP[[#This Row],[Due date (dd/mm/yyyy)]])</f>
        <v>0</v>
      </c>
      <c r="U17" s="46">
        <f t="shared" si="0"/>
        <v>52</v>
      </c>
    </row>
    <row r="18" spans="3:21" x14ac:dyDescent="0.25">
      <c r="C18" s="24"/>
      <c r="D18" s="20"/>
      <c r="E18" s="4"/>
      <c r="F18" s="37"/>
      <c r="G18" s="38"/>
      <c r="H18" s="31">
        <f>_xlfn.XLOOKUP(AP[[#This Row],[Supplier name]], Supplier_master[Supplier name], Supplier_master[Category L1], 0)</f>
        <v>0</v>
      </c>
      <c r="I18" s="31">
        <f>_xlfn.XLOOKUP(AP[[#This Row],[Supplier name]], Supplier_master[Supplier name], Supplier_master[Category L2], 0)</f>
        <v>0</v>
      </c>
      <c r="J18" s="55"/>
      <c r="K18" s="54"/>
      <c r="L18" s="56">
        <f>IF(AP[[#This Row],[Spend category L1 - Override]] &lt;&gt; "", AP[[#This Row],[Spend category L1 - Override]], AP[[#This Row],[Spend category L1]])</f>
        <v>0</v>
      </c>
      <c r="M18" s="56">
        <f>IF(AP[[#This Row],[Spend category L2 - Override]] &lt;&gt; "", AP[[#This Row],[Spend category L2 - Override]], AP[[#This Row],[Spend category L2]])</f>
        <v>0</v>
      </c>
      <c r="N18" s="44">
        <f>Assumptions!$D$15</f>
        <v>0.1</v>
      </c>
      <c r="O18" s="45">
        <f>IF(AP[[#This Row],[GST applies?]] = "Yes", (AP[[#This Row],[Invoice value inc. GST]] / 1 + AP[[#This Row],[GST %]]) * AP[[#This Row],[GST %]], 0)</f>
        <v>0</v>
      </c>
      <c r="P18" s="31">
        <f>_xlfn.XLOOKUP(AP[[#This Row],[Supplier name]], Supplier_master[Supplier name], Supplier_master[EOM or Net], 0)</f>
        <v>0</v>
      </c>
      <c r="Q18" s="31">
        <f>_xlfn.XLOOKUP(AP[[#This Row],[Supplier name]], Supplier_master[Supplier name], Supplier_master[Terms days], 0)</f>
        <v>0</v>
      </c>
      <c r="R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" s="4"/>
      <c r="T18" s="46">
        <f>IF(AP[[#This Row],[Payment date - override (dd/mm/yyyy)]] &lt;&gt; "", AP[[#This Row],[Payment date - override (dd/mm/yyyy)]], AP[[#This Row],[Due date (dd/mm/yyyy)]])</f>
        <v>0</v>
      </c>
      <c r="U18" s="46">
        <f t="shared" si="0"/>
        <v>52</v>
      </c>
    </row>
    <row r="19" spans="3:21" x14ac:dyDescent="0.25">
      <c r="C19" s="24"/>
      <c r="D19" s="20"/>
      <c r="E19" s="4"/>
      <c r="F19" s="37"/>
      <c r="G19" s="38"/>
      <c r="H19" s="31">
        <f>_xlfn.XLOOKUP(AP[[#This Row],[Supplier name]], Supplier_master[Supplier name], Supplier_master[Category L1], 0)</f>
        <v>0</v>
      </c>
      <c r="I19" s="31">
        <f>_xlfn.XLOOKUP(AP[[#This Row],[Supplier name]], Supplier_master[Supplier name], Supplier_master[Category L2], 0)</f>
        <v>0</v>
      </c>
      <c r="J19" s="55"/>
      <c r="K19" s="54"/>
      <c r="L19" s="56">
        <f>IF(AP[[#This Row],[Spend category L1 - Override]] &lt;&gt; "", AP[[#This Row],[Spend category L1 - Override]], AP[[#This Row],[Spend category L1]])</f>
        <v>0</v>
      </c>
      <c r="M19" s="56">
        <f>IF(AP[[#This Row],[Spend category L2 - Override]] &lt;&gt; "", AP[[#This Row],[Spend category L2 - Override]], AP[[#This Row],[Spend category L2]])</f>
        <v>0</v>
      </c>
      <c r="N19" s="44">
        <f>Assumptions!$D$15</f>
        <v>0.1</v>
      </c>
      <c r="O19" s="45">
        <f>IF(AP[[#This Row],[GST applies?]] = "Yes", (AP[[#This Row],[Invoice value inc. GST]] / 1 + AP[[#This Row],[GST %]]) * AP[[#This Row],[GST %]], 0)</f>
        <v>0</v>
      </c>
      <c r="P19" s="31">
        <f>_xlfn.XLOOKUP(AP[[#This Row],[Supplier name]], Supplier_master[Supplier name], Supplier_master[EOM or Net], 0)</f>
        <v>0</v>
      </c>
      <c r="Q19" s="31">
        <f>_xlfn.XLOOKUP(AP[[#This Row],[Supplier name]], Supplier_master[Supplier name], Supplier_master[Terms days], 0)</f>
        <v>0</v>
      </c>
      <c r="R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" s="4"/>
      <c r="T19" s="46">
        <f>IF(AP[[#This Row],[Payment date - override (dd/mm/yyyy)]] &lt;&gt; "", AP[[#This Row],[Payment date - override (dd/mm/yyyy)]], AP[[#This Row],[Due date (dd/mm/yyyy)]])</f>
        <v>0</v>
      </c>
      <c r="U19" s="46">
        <f t="shared" si="0"/>
        <v>52</v>
      </c>
    </row>
    <row r="20" spans="3:21" x14ac:dyDescent="0.25">
      <c r="C20" s="24"/>
      <c r="D20" s="20"/>
      <c r="E20" s="4"/>
      <c r="F20" s="37"/>
      <c r="G20" s="38"/>
      <c r="H20" s="31">
        <f>_xlfn.XLOOKUP(AP[[#This Row],[Supplier name]], Supplier_master[Supplier name], Supplier_master[Category L1], 0)</f>
        <v>0</v>
      </c>
      <c r="I20" s="31">
        <f>_xlfn.XLOOKUP(AP[[#This Row],[Supplier name]], Supplier_master[Supplier name], Supplier_master[Category L2], 0)</f>
        <v>0</v>
      </c>
      <c r="J20" s="55"/>
      <c r="K20" s="54"/>
      <c r="L20" s="56">
        <f>IF(AP[[#This Row],[Spend category L1 - Override]] &lt;&gt; "", AP[[#This Row],[Spend category L1 - Override]], AP[[#This Row],[Spend category L1]])</f>
        <v>0</v>
      </c>
      <c r="M20" s="56">
        <f>IF(AP[[#This Row],[Spend category L2 - Override]] &lt;&gt; "", AP[[#This Row],[Spend category L2 - Override]], AP[[#This Row],[Spend category L2]])</f>
        <v>0</v>
      </c>
      <c r="N20" s="44">
        <f>Assumptions!$D$15</f>
        <v>0.1</v>
      </c>
      <c r="O20" s="45">
        <f>IF(AP[[#This Row],[GST applies?]] = "Yes", (AP[[#This Row],[Invoice value inc. GST]] / 1 + AP[[#This Row],[GST %]]) * AP[[#This Row],[GST %]], 0)</f>
        <v>0</v>
      </c>
      <c r="P20" s="31">
        <f>_xlfn.XLOOKUP(AP[[#This Row],[Supplier name]], Supplier_master[Supplier name], Supplier_master[EOM or Net], 0)</f>
        <v>0</v>
      </c>
      <c r="Q20" s="31">
        <f>_xlfn.XLOOKUP(AP[[#This Row],[Supplier name]], Supplier_master[Supplier name], Supplier_master[Terms days], 0)</f>
        <v>0</v>
      </c>
      <c r="R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" s="4"/>
      <c r="T20" s="46">
        <f>IF(AP[[#This Row],[Payment date - override (dd/mm/yyyy)]] &lt;&gt; "", AP[[#This Row],[Payment date - override (dd/mm/yyyy)]], AP[[#This Row],[Due date (dd/mm/yyyy)]])</f>
        <v>0</v>
      </c>
      <c r="U20" s="46">
        <f t="shared" si="0"/>
        <v>52</v>
      </c>
    </row>
    <row r="21" spans="3:21" x14ac:dyDescent="0.25">
      <c r="C21" s="24"/>
      <c r="D21" s="20"/>
      <c r="E21" s="4"/>
      <c r="F21" s="37"/>
      <c r="G21" s="38"/>
      <c r="H21" s="31">
        <f>_xlfn.XLOOKUP(AP[[#This Row],[Supplier name]], Supplier_master[Supplier name], Supplier_master[Category L1], 0)</f>
        <v>0</v>
      </c>
      <c r="I21" s="31">
        <f>_xlfn.XLOOKUP(AP[[#This Row],[Supplier name]], Supplier_master[Supplier name], Supplier_master[Category L2], 0)</f>
        <v>0</v>
      </c>
      <c r="J21" s="55"/>
      <c r="K21" s="54"/>
      <c r="L21" s="56">
        <f>IF(AP[[#This Row],[Spend category L1 - Override]] &lt;&gt; "", AP[[#This Row],[Spend category L1 - Override]], AP[[#This Row],[Spend category L1]])</f>
        <v>0</v>
      </c>
      <c r="M21" s="56">
        <f>IF(AP[[#This Row],[Spend category L2 - Override]] &lt;&gt; "", AP[[#This Row],[Spend category L2 - Override]], AP[[#This Row],[Spend category L2]])</f>
        <v>0</v>
      </c>
      <c r="N21" s="44">
        <f>Assumptions!$D$15</f>
        <v>0.1</v>
      </c>
      <c r="O21" s="45">
        <f>IF(AP[[#This Row],[GST applies?]] = "Yes", (AP[[#This Row],[Invoice value inc. GST]] / 1 + AP[[#This Row],[GST %]]) * AP[[#This Row],[GST %]], 0)</f>
        <v>0</v>
      </c>
      <c r="P21" s="31">
        <f>_xlfn.XLOOKUP(AP[[#This Row],[Supplier name]], Supplier_master[Supplier name], Supplier_master[EOM or Net], 0)</f>
        <v>0</v>
      </c>
      <c r="Q21" s="31">
        <f>_xlfn.XLOOKUP(AP[[#This Row],[Supplier name]], Supplier_master[Supplier name], Supplier_master[Terms days], 0)</f>
        <v>0</v>
      </c>
      <c r="R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" s="4"/>
      <c r="T21" s="46">
        <f>IF(AP[[#This Row],[Payment date - override (dd/mm/yyyy)]] &lt;&gt; "", AP[[#This Row],[Payment date - override (dd/mm/yyyy)]], AP[[#This Row],[Due date (dd/mm/yyyy)]])</f>
        <v>0</v>
      </c>
      <c r="U21" s="46">
        <f t="shared" si="0"/>
        <v>52</v>
      </c>
    </row>
    <row r="22" spans="3:21" x14ac:dyDescent="0.25">
      <c r="C22" s="24"/>
      <c r="D22" s="20"/>
      <c r="E22" s="4"/>
      <c r="F22" s="37"/>
      <c r="G22" s="38"/>
      <c r="H22" s="31">
        <f>_xlfn.XLOOKUP(AP[[#This Row],[Supplier name]], Supplier_master[Supplier name], Supplier_master[Category L1], 0)</f>
        <v>0</v>
      </c>
      <c r="I22" s="31">
        <f>_xlfn.XLOOKUP(AP[[#This Row],[Supplier name]], Supplier_master[Supplier name], Supplier_master[Category L2], 0)</f>
        <v>0</v>
      </c>
      <c r="J22" s="55"/>
      <c r="K22" s="54"/>
      <c r="L22" s="56">
        <f>IF(AP[[#This Row],[Spend category L1 - Override]] &lt;&gt; "", AP[[#This Row],[Spend category L1 - Override]], AP[[#This Row],[Spend category L1]])</f>
        <v>0</v>
      </c>
      <c r="M22" s="56">
        <f>IF(AP[[#This Row],[Spend category L2 - Override]] &lt;&gt; "", AP[[#This Row],[Spend category L2 - Override]], AP[[#This Row],[Spend category L2]])</f>
        <v>0</v>
      </c>
      <c r="N22" s="44">
        <f>Assumptions!$D$15</f>
        <v>0.1</v>
      </c>
      <c r="O22" s="45">
        <f>IF(AP[[#This Row],[GST applies?]] = "Yes", (AP[[#This Row],[Invoice value inc. GST]] / 1 + AP[[#This Row],[GST %]]) * AP[[#This Row],[GST %]], 0)</f>
        <v>0</v>
      </c>
      <c r="P22" s="31">
        <f>_xlfn.XLOOKUP(AP[[#This Row],[Supplier name]], Supplier_master[Supplier name], Supplier_master[EOM or Net], 0)</f>
        <v>0</v>
      </c>
      <c r="Q22" s="31">
        <f>_xlfn.XLOOKUP(AP[[#This Row],[Supplier name]], Supplier_master[Supplier name], Supplier_master[Terms days], 0)</f>
        <v>0</v>
      </c>
      <c r="R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" s="4"/>
      <c r="T22" s="46">
        <f>IF(AP[[#This Row],[Payment date - override (dd/mm/yyyy)]] &lt;&gt; "", AP[[#This Row],[Payment date - override (dd/mm/yyyy)]], AP[[#This Row],[Due date (dd/mm/yyyy)]])</f>
        <v>0</v>
      </c>
      <c r="U22" s="46">
        <f t="shared" si="0"/>
        <v>52</v>
      </c>
    </row>
    <row r="23" spans="3:21" x14ac:dyDescent="0.25">
      <c r="C23" s="24"/>
      <c r="D23" s="20"/>
      <c r="E23" s="4"/>
      <c r="F23" s="37"/>
      <c r="G23" s="38"/>
      <c r="H23" s="31">
        <f>_xlfn.XLOOKUP(AP[[#This Row],[Supplier name]], Supplier_master[Supplier name], Supplier_master[Category L1], 0)</f>
        <v>0</v>
      </c>
      <c r="I23" s="31">
        <f>_xlfn.XLOOKUP(AP[[#This Row],[Supplier name]], Supplier_master[Supplier name], Supplier_master[Category L2], 0)</f>
        <v>0</v>
      </c>
      <c r="J23" s="55"/>
      <c r="K23" s="54"/>
      <c r="L23" s="56">
        <f>IF(AP[[#This Row],[Spend category L1 - Override]] &lt;&gt; "", AP[[#This Row],[Spend category L1 - Override]], AP[[#This Row],[Spend category L1]])</f>
        <v>0</v>
      </c>
      <c r="M23" s="56">
        <f>IF(AP[[#This Row],[Spend category L2 - Override]] &lt;&gt; "", AP[[#This Row],[Spend category L2 - Override]], AP[[#This Row],[Spend category L2]])</f>
        <v>0</v>
      </c>
      <c r="N23" s="44">
        <f>Assumptions!$D$15</f>
        <v>0.1</v>
      </c>
      <c r="O23" s="45">
        <f>IF(AP[[#This Row],[GST applies?]] = "Yes", (AP[[#This Row],[Invoice value inc. GST]] / 1 + AP[[#This Row],[GST %]]) * AP[[#This Row],[GST %]], 0)</f>
        <v>0</v>
      </c>
      <c r="P23" s="31">
        <f>_xlfn.XLOOKUP(AP[[#This Row],[Supplier name]], Supplier_master[Supplier name], Supplier_master[EOM or Net], 0)</f>
        <v>0</v>
      </c>
      <c r="Q23" s="31">
        <f>_xlfn.XLOOKUP(AP[[#This Row],[Supplier name]], Supplier_master[Supplier name], Supplier_master[Terms days], 0)</f>
        <v>0</v>
      </c>
      <c r="R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" s="4"/>
      <c r="T23" s="46">
        <f>IF(AP[[#This Row],[Payment date - override (dd/mm/yyyy)]] &lt;&gt; "", AP[[#This Row],[Payment date - override (dd/mm/yyyy)]], AP[[#This Row],[Due date (dd/mm/yyyy)]])</f>
        <v>0</v>
      </c>
      <c r="U23" s="46">
        <f t="shared" si="0"/>
        <v>52</v>
      </c>
    </row>
    <row r="24" spans="3:21" x14ac:dyDescent="0.25">
      <c r="C24" s="24"/>
      <c r="D24" s="20"/>
      <c r="E24" s="4"/>
      <c r="F24" s="37"/>
      <c r="G24" s="38"/>
      <c r="H24" s="31">
        <f>_xlfn.XLOOKUP(AP[[#This Row],[Supplier name]], Supplier_master[Supplier name], Supplier_master[Category L1], 0)</f>
        <v>0</v>
      </c>
      <c r="I24" s="31">
        <f>_xlfn.XLOOKUP(AP[[#This Row],[Supplier name]], Supplier_master[Supplier name], Supplier_master[Category L2], 0)</f>
        <v>0</v>
      </c>
      <c r="J24" s="55"/>
      <c r="K24" s="54"/>
      <c r="L24" s="56">
        <f>IF(AP[[#This Row],[Spend category L1 - Override]] &lt;&gt; "", AP[[#This Row],[Spend category L1 - Override]], AP[[#This Row],[Spend category L1]])</f>
        <v>0</v>
      </c>
      <c r="M24" s="56">
        <f>IF(AP[[#This Row],[Spend category L2 - Override]] &lt;&gt; "", AP[[#This Row],[Spend category L2 - Override]], AP[[#This Row],[Spend category L2]])</f>
        <v>0</v>
      </c>
      <c r="N24" s="44">
        <f>Assumptions!$D$15</f>
        <v>0.1</v>
      </c>
      <c r="O24" s="45">
        <f>IF(AP[[#This Row],[GST applies?]] = "Yes", (AP[[#This Row],[Invoice value inc. GST]] / 1 + AP[[#This Row],[GST %]]) * AP[[#This Row],[GST %]], 0)</f>
        <v>0</v>
      </c>
      <c r="P24" s="31">
        <f>_xlfn.XLOOKUP(AP[[#This Row],[Supplier name]], Supplier_master[Supplier name], Supplier_master[EOM or Net], 0)</f>
        <v>0</v>
      </c>
      <c r="Q24" s="31">
        <f>_xlfn.XLOOKUP(AP[[#This Row],[Supplier name]], Supplier_master[Supplier name], Supplier_master[Terms days], 0)</f>
        <v>0</v>
      </c>
      <c r="R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" s="4"/>
      <c r="T24" s="46">
        <f>IF(AP[[#This Row],[Payment date - override (dd/mm/yyyy)]] &lt;&gt; "", AP[[#This Row],[Payment date - override (dd/mm/yyyy)]], AP[[#This Row],[Due date (dd/mm/yyyy)]])</f>
        <v>0</v>
      </c>
      <c r="U24" s="46">
        <f t="shared" si="0"/>
        <v>52</v>
      </c>
    </row>
    <row r="25" spans="3:21" x14ac:dyDescent="0.25">
      <c r="C25" s="24"/>
      <c r="D25" s="20"/>
      <c r="E25" s="4"/>
      <c r="F25" s="37"/>
      <c r="G25" s="38"/>
      <c r="H25" s="31">
        <f>_xlfn.XLOOKUP(AP[[#This Row],[Supplier name]], Supplier_master[Supplier name], Supplier_master[Category L1], 0)</f>
        <v>0</v>
      </c>
      <c r="I25" s="31">
        <f>_xlfn.XLOOKUP(AP[[#This Row],[Supplier name]], Supplier_master[Supplier name], Supplier_master[Category L2], 0)</f>
        <v>0</v>
      </c>
      <c r="J25" s="55"/>
      <c r="K25" s="54"/>
      <c r="L25" s="56">
        <f>IF(AP[[#This Row],[Spend category L1 - Override]] &lt;&gt; "", AP[[#This Row],[Spend category L1 - Override]], AP[[#This Row],[Spend category L1]])</f>
        <v>0</v>
      </c>
      <c r="M25" s="56">
        <f>IF(AP[[#This Row],[Spend category L2 - Override]] &lt;&gt; "", AP[[#This Row],[Spend category L2 - Override]], AP[[#This Row],[Spend category L2]])</f>
        <v>0</v>
      </c>
      <c r="N25" s="44">
        <f>Assumptions!$D$15</f>
        <v>0.1</v>
      </c>
      <c r="O25" s="45">
        <f>IF(AP[[#This Row],[GST applies?]] = "Yes", (AP[[#This Row],[Invoice value inc. GST]] / 1 + AP[[#This Row],[GST %]]) * AP[[#This Row],[GST %]], 0)</f>
        <v>0</v>
      </c>
      <c r="P25" s="31">
        <f>_xlfn.XLOOKUP(AP[[#This Row],[Supplier name]], Supplier_master[Supplier name], Supplier_master[EOM or Net], 0)</f>
        <v>0</v>
      </c>
      <c r="Q25" s="31">
        <f>_xlfn.XLOOKUP(AP[[#This Row],[Supplier name]], Supplier_master[Supplier name], Supplier_master[Terms days], 0)</f>
        <v>0</v>
      </c>
      <c r="R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" s="4"/>
      <c r="T25" s="46">
        <f>IF(AP[[#This Row],[Payment date - override (dd/mm/yyyy)]] &lt;&gt; "", AP[[#This Row],[Payment date - override (dd/mm/yyyy)]], AP[[#This Row],[Due date (dd/mm/yyyy)]])</f>
        <v>0</v>
      </c>
      <c r="U25" s="46">
        <f t="shared" si="0"/>
        <v>52</v>
      </c>
    </row>
    <row r="26" spans="3:21" x14ac:dyDescent="0.25">
      <c r="C26" s="24"/>
      <c r="D26" s="20"/>
      <c r="E26" s="4"/>
      <c r="F26" s="37"/>
      <c r="G26" s="38"/>
      <c r="H26" s="31">
        <f>_xlfn.XLOOKUP(AP[[#This Row],[Supplier name]], Supplier_master[Supplier name], Supplier_master[Category L1], 0)</f>
        <v>0</v>
      </c>
      <c r="I26" s="31">
        <f>_xlfn.XLOOKUP(AP[[#This Row],[Supplier name]], Supplier_master[Supplier name], Supplier_master[Category L2], 0)</f>
        <v>0</v>
      </c>
      <c r="J26" s="55"/>
      <c r="K26" s="54"/>
      <c r="L26" s="56">
        <f>IF(AP[[#This Row],[Spend category L1 - Override]] &lt;&gt; "", AP[[#This Row],[Spend category L1 - Override]], AP[[#This Row],[Spend category L1]])</f>
        <v>0</v>
      </c>
      <c r="M26" s="56">
        <f>IF(AP[[#This Row],[Spend category L2 - Override]] &lt;&gt; "", AP[[#This Row],[Spend category L2 - Override]], AP[[#This Row],[Spend category L2]])</f>
        <v>0</v>
      </c>
      <c r="N26" s="44">
        <f>Assumptions!$D$15</f>
        <v>0.1</v>
      </c>
      <c r="O26" s="45">
        <f>IF(AP[[#This Row],[GST applies?]] = "Yes", (AP[[#This Row],[Invoice value inc. GST]] / 1 + AP[[#This Row],[GST %]]) * AP[[#This Row],[GST %]], 0)</f>
        <v>0</v>
      </c>
      <c r="P26" s="31">
        <f>_xlfn.XLOOKUP(AP[[#This Row],[Supplier name]], Supplier_master[Supplier name], Supplier_master[EOM or Net], 0)</f>
        <v>0</v>
      </c>
      <c r="Q26" s="31">
        <f>_xlfn.XLOOKUP(AP[[#This Row],[Supplier name]], Supplier_master[Supplier name], Supplier_master[Terms days], 0)</f>
        <v>0</v>
      </c>
      <c r="R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" s="4"/>
      <c r="T26" s="46">
        <f>IF(AP[[#This Row],[Payment date - override (dd/mm/yyyy)]] &lt;&gt; "", AP[[#This Row],[Payment date - override (dd/mm/yyyy)]], AP[[#This Row],[Due date (dd/mm/yyyy)]])</f>
        <v>0</v>
      </c>
      <c r="U26" s="46">
        <f t="shared" si="0"/>
        <v>52</v>
      </c>
    </row>
    <row r="27" spans="3:21" x14ac:dyDescent="0.25">
      <c r="C27" s="24"/>
      <c r="D27" s="20"/>
      <c r="E27" s="4"/>
      <c r="F27" s="37"/>
      <c r="G27" s="38"/>
      <c r="H27" s="31">
        <f>_xlfn.XLOOKUP(AP[[#This Row],[Supplier name]], Supplier_master[Supplier name], Supplier_master[Category L1], 0)</f>
        <v>0</v>
      </c>
      <c r="I27" s="31">
        <f>_xlfn.XLOOKUP(AP[[#This Row],[Supplier name]], Supplier_master[Supplier name], Supplier_master[Category L2], 0)</f>
        <v>0</v>
      </c>
      <c r="J27" s="55"/>
      <c r="K27" s="54"/>
      <c r="L27" s="56">
        <f>IF(AP[[#This Row],[Spend category L1 - Override]] &lt;&gt; "", AP[[#This Row],[Spend category L1 - Override]], AP[[#This Row],[Spend category L1]])</f>
        <v>0</v>
      </c>
      <c r="M27" s="56">
        <f>IF(AP[[#This Row],[Spend category L2 - Override]] &lt;&gt; "", AP[[#This Row],[Spend category L2 - Override]], AP[[#This Row],[Spend category L2]])</f>
        <v>0</v>
      </c>
      <c r="N27" s="44">
        <f>Assumptions!$D$15</f>
        <v>0.1</v>
      </c>
      <c r="O27" s="45">
        <f>IF(AP[[#This Row],[GST applies?]] = "Yes", (AP[[#This Row],[Invoice value inc. GST]] / 1 + AP[[#This Row],[GST %]]) * AP[[#This Row],[GST %]], 0)</f>
        <v>0</v>
      </c>
      <c r="P27" s="31">
        <f>_xlfn.XLOOKUP(AP[[#This Row],[Supplier name]], Supplier_master[Supplier name], Supplier_master[EOM or Net], 0)</f>
        <v>0</v>
      </c>
      <c r="Q27" s="31">
        <f>_xlfn.XLOOKUP(AP[[#This Row],[Supplier name]], Supplier_master[Supplier name], Supplier_master[Terms days], 0)</f>
        <v>0</v>
      </c>
      <c r="R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" s="4"/>
      <c r="T27" s="46">
        <f>IF(AP[[#This Row],[Payment date - override (dd/mm/yyyy)]] &lt;&gt; "", AP[[#This Row],[Payment date - override (dd/mm/yyyy)]], AP[[#This Row],[Due date (dd/mm/yyyy)]])</f>
        <v>0</v>
      </c>
      <c r="U27" s="46">
        <f t="shared" si="0"/>
        <v>52</v>
      </c>
    </row>
    <row r="28" spans="3:21" x14ac:dyDescent="0.25">
      <c r="C28" s="24"/>
      <c r="D28" s="20"/>
      <c r="E28" s="4"/>
      <c r="F28" s="37"/>
      <c r="G28" s="38"/>
      <c r="H28" s="31">
        <f>_xlfn.XLOOKUP(AP[[#This Row],[Supplier name]], Supplier_master[Supplier name], Supplier_master[Category L1], 0)</f>
        <v>0</v>
      </c>
      <c r="I28" s="31">
        <f>_xlfn.XLOOKUP(AP[[#This Row],[Supplier name]], Supplier_master[Supplier name], Supplier_master[Category L2], 0)</f>
        <v>0</v>
      </c>
      <c r="J28" s="55"/>
      <c r="K28" s="54"/>
      <c r="L28" s="56">
        <f>IF(AP[[#This Row],[Spend category L1 - Override]] &lt;&gt; "", AP[[#This Row],[Spend category L1 - Override]], AP[[#This Row],[Spend category L1]])</f>
        <v>0</v>
      </c>
      <c r="M28" s="56">
        <f>IF(AP[[#This Row],[Spend category L2 - Override]] &lt;&gt; "", AP[[#This Row],[Spend category L2 - Override]], AP[[#This Row],[Spend category L2]])</f>
        <v>0</v>
      </c>
      <c r="N28" s="44">
        <f>Assumptions!$D$15</f>
        <v>0.1</v>
      </c>
      <c r="O28" s="45">
        <f>IF(AP[[#This Row],[GST applies?]] = "Yes", (AP[[#This Row],[Invoice value inc. GST]] / 1 + AP[[#This Row],[GST %]]) * AP[[#This Row],[GST %]], 0)</f>
        <v>0</v>
      </c>
      <c r="P28" s="31">
        <f>_xlfn.XLOOKUP(AP[[#This Row],[Supplier name]], Supplier_master[Supplier name], Supplier_master[EOM or Net], 0)</f>
        <v>0</v>
      </c>
      <c r="Q28" s="31">
        <f>_xlfn.XLOOKUP(AP[[#This Row],[Supplier name]], Supplier_master[Supplier name], Supplier_master[Terms days], 0)</f>
        <v>0</v>
      </c>
      <c r="R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" s="4"/>
      <c r="T28" s="46">
        <f>IF(AP[[#This Row],[Payment date - override (dd/mm/yyyy)]] &lt;&gt; "", AP[[#This Row],[Payment date - override (dd/mm/yyyy)]], AP[[#This Row],[Due date (dd/mm/yyyy)]])</f>
        <v>0</v>
      </c>
      <c r="U28" s="46">
        <f t="shared" si="0"/>
        <v>52</v>
      </c>
    </row>
    <row r="29" spans="3:21" x14ac:dyDescent="0.25">
      <c r="C29" s="24"/>
      <c r="D29" s="20"/>
      <c r="E29" s="4"/>
      <c r="F29" s="37"/>
      <c r="G29" s="38"/>
      <c r="H29" s="31">
        <f>_xlfn.XLOOKUP(AP[[#This Row],[Supplier name]], Supplier_master[Supplier name], Supplier_master[Category L1], 0)</f>
        <v>0</v>
      </c>
      <c r="I29" s="31">
        <f>_xlfn.XLOOKUP(AP[[#This Row],[Supplier name]], Supplier_master[Supplier name], Supplier_master[Category L2], 0)</f>
        <v>0</v>
      </c>
      <c r="J29" s="55"/>
      <c r="K29" s="54"/>
      <c r="L29" s="56">
        <f>IF(AP[[#This Row],[Spend category L1 - Override]] &lt;&gt; "", AP[[#This Row],[Spend category L1 - Override]], AP[[#This Row],[Spend category L1]])</f>
        <v>0</v>
      </c>
      <c r="M29" s="56">
        <f>IF(AP[[#This Row],[Spend category L2 - Override]] &lt;&gt; "", AP[[#This Row],[Spend category L2 - Override]], AP[[#This Row],[Spend category L2]])</f>
        <v>0</v>
      </c>
      <c r="N29" s="44">
        <f>Assumptions!$D$15</f>
        <v>0.1</v>
      </c>
      <c r="O29" s="45">
        <f>IF(AP[[#This Row],[GST applies?]] = "Yes", (AP[[#This Row],[Invoice value inc. GST]] / 1 + AP[[#This Row],[GST %]]) * AP[[#This Row],[GST %]], 0)</f>
        <v>0</v>
      </c>
      <c r="P29" s="31">
        <f>_xlfn.XLOOKUP(AP[[#This Row],[Supplier name]], Supplier_master[Supplier name], Supplier_master[EOM or Net], 0)</f>
        <v>0</v>
      </c>
      <c r="Q29" s="31">
        <f>_xlfn.XLOOKUP(AP[[#This Row],[Supplier name]], Supplier_master[Supplier name], Supplier_master[Terms days], 0)</f>
        <v>0</v>
      </c>
      <c r="R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" s="4"/>
      <c r="T29" s="46">
        <f>IF(AP[[#This Row],[Payment date - override (dd/mm/yyyy)]] &lt;&gt; "", AP[[#This Row],[Payment date - override (dd/mm/yyyy)]], AP[[#This Row],[Due date (dd/mm/yyyy)]])</f>
        <v>0</v>
      </c>
      <c r="U29" s="46">
        <f t="shared" si="0"/>
        <v>52</v>
      </c>
    </row>
    <row r="30" spans="3:21" x14ac:dyDescent="0.25">
      <c r="C30" s="24"/>
      <c r="D30" s="20"/>
      <c r="E30" s="4"/>
      <c r="F30" s="37"/>
      <c r="G30" s="38"/>
      <c r="H30" s="31">
        <f>_xlfn.XLOOKUP(AP[[#This Row],[Supplier name]], Supplier_master[Supplier name], Supplier_master[Category L1], 0)</f>
        <v>0</v>
      </c>
      <c r="I30" s="31">
        <f>_xlfn.XLOOKUP(AP[[#This Row],[Supplier name]], Supplier_master[Supplier name], Supplier_master[Category L2], 0)</f>
        <v>0</v>
      </c>
      <c r="J30" s="55"/>
      <c r="K30" s="54"/>
      <c r="L30" s="56">
        <f>IF(AP[[#This Row],[Spend category L1 - Override]] &lt;&gt; "", AP[[#This Row],[Spend category L1 - Override]], AP[[#This Row],[Spend category L1]])</f>
        <v>0</v>
      </c>
      <c r="M30" s="56">
        <f>IF(AP[[#This Row],[Spend category L2 - Override]] &lt;&gt; "", AP[[#This Row],[Spend category L2 - Override]], AP[[#This Row],[Spend category L2]])</f>
        <v>0</v>
      </c>
      <c r="N30" s="44">
        <f>Assumptions!$D$15</f>
        <v>0.1</v>
      </c>
      <c r="O30" s="45">
        <f>IF(AP[[#This Row],[GST applies?]] = "Yes", (AP[[#This Row],[Invoice value inc. GST]] / 1 + AP[[#This Row],[GST %]]) * AP[[#This Row],[GST %]], 0)</f>
        <v>0</v>
      </c>
      <c r="P30" s="31">
        <f>_xlfn.XLOOKUP(AP[[#This Row],[Supplier name]], Supplier_master[Supplier name], Supplier_master[EOM or Net], 0)</f>
        <v>0</v>
      </c>
      <c r="Q30" s="31">
        <f>_xlfn.XLOOKUP(AP[[#This Row],[Supplier name]], Supplier_master[Supplier name], Supplier_master[Terms days], 0)</f>
        <v>0</v>
      </c>
      <c r="R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" s="4"/>
      <c r="T30" s="46">
        <f>IF(AP[[#This Row],[Payment date - override (dd/mm/yyyy)]] &lt;&gt; "", AP[[#This Row],[Payment date - override (dd/mm/yyyy)]], AP[[#This Row],[Due date (dd/mm/yyyy)]])</f>
        <v>0</v>
      </c>
      <c r="U30" s="46">
        <f t="shared" si="0"/>
        <v>52</v>
      </c>
    </row>
    <row r="31" spans="3:21" x14ac:dyDescent="0.25">
      <c r="C31" s="24"/>
      <c r="D31" s="20"/>
      <c r="E31" s="4"/>
      <c r="F31" s="37"/>
      <c r="G31" s="38"/>
      <c r="H31" s="31">
        <f>_xlfn.XLOOKUP(AP[[#This Row],[Supplier name]], Supplier_master[Supplier name], Supplier_master[Category L1], 0)</f>
        <v>0</v>
      </c>
      <c r="I31" s="31">
        <f>_xlfn.XLOOKUP(AP[[#This Row],[Supplier name]], Supplier_master[Supplier name], Supplier_master[Category L2], 0)</f>
        <v>0</v>
      </c>
      <c r="J31" s="55"/>
      <c r="K31" s="54"/>
      <c r="L31" s="56">
        <f>IF(AP[[#This Row],[Spend category L1 - Override]] &lt;&gt; "", AP[[#This Row],[Spend category L1 - Override]], AP[[#This Row],[Spend category L1]])</f>
        <v>0</v>
      </c>
      <c r="M31" s="56">
        <f>IF(AP[[#This Row],[Spend category L2 - Override]] &lt;&gt; "", AP[[#This Row],[Spend category L2 - Override]], AP[[#This Row],[Spend category L2]])</f>
        <v>0</v>
      </c>
      <c r="N31" s="44">
        <f>Assumptions!$D$15</f>
        <v>0.1</v>
      </c>
      <c r="O31" s="45">
        <f>IF(AP[[#This Row],[GST applies?]] = "Yes", (AP[[#This Row],[Invoice value inc. GST]] / 1 + AP[[#This Row],[GST %]]) * AP[[#This Row],[GST %]], 0)</f>
        <v>0</v>
      </c>
      <c r="P31" s="31">
        <f>_xlfn.XLOOKUP(AP[[#This Row],[Supplier name]], Supplier_master[Supplier name], Supplier_master[EOM or Net], 0)</f>
        <v>0</v>
      </c>
      <c r="Q31" s="31">
        <f>_xlfn.XLOOKUP(AP[[#This Row],[Supplier name]], Supplier_master[Supplier name], Supplier_master[Terms days], 0)</f>
        <v>0</v>
      </c>
      <c r="R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" s="4"/>
      <c r="T31" s="46">
        <f>IF(AP[[#This Row],[Payment date - override (dd/mm/yyyy)]] &lt;&gt; "", AP[[#This Row],[Payment date - override (dd/mm/yyyy)]], AP[[#This Row],[Due date (dd/mm/yyyy)]])</f>
        <v>0</v>
      </c>
      <c r="U31" s="46">
        <f t="shared" si="0"/>
        <v>52</v>
      </c>
    </row>
    <row r="32" spans="3:21" x14ac:dyDescent="0.25">
      <c r="C32" s="24"/>
      <c r="D32" s="20"/>
      <c r="E32" s="4"/>
      <c r="F32" s="37"/>
      <c r="G32" s="38"/>
      <c r="H32" s="31">
        <f>_xlfn.XLOOKUP(AP[[#This Row],[Supplier name]], Supplier_master[Supplier name], Supplier_master[Category L1], 0)</f>
        <v>0</v>
      </c>
      <c r="I32" s="31">
        <f>_xlfn.XLOOKUP(AP[[#This Row],[Supplier name]], Supplier_master[Supplier name], Supplier_master[Category L2], 0)</f>
        <v>0</v>
      </c>
      <c r="J32" s="55"/>
      <c r="K32" s="54"/>
      <c r="L32" s="56">
        <f>IF(AP[[#This Row],[Spend category L1 - Override]] &lt;&gt; "", AP[[#This Row],[Spend category L1 - Override]], AP[[#This Row],[Spend category L1]])</f>
        <v>0</v>
      </c>
      <c r="M32" s="56">
        <f>IF(AP[[#This Row],[Spend category L2 - Override]] &lt;&gt; "", AP[[#This Row],[Spend category L2 - Override]], AP[[#This Row],[Spend category L2]])</f>
        <v>0</v>
      </c>
      <c r="N32" s="44">
        <f>Assumptions!$D$15</f>
        <v>0.1</v>
      </c>
      <c r="O32" s="45">
        <f>IF(AP[[#This Row],[GST applies?]] = "Yes", (AP[[#This Row],[Invoice value inc. GST]] / 1 + AP[[#This Row],[GST %]]) * AP[[#This Row],[GST %]], 0)</f>
        <v>0</v>
      </c>
      <c r="P32" s="31">
        <f>_xlfn.XLOOKUP(AP[[#This Row],[Supplier name]], Supplier_master[Supplier name], Supplier_master[EOM or Net], 0)</f>
        <v>0</v>
      </c>
      <c r="Q32" s="31">
        <f>_xlfn.XLOOKUP(AP[[#This Row],[Supplier name]], Supplier_master[Supplier name], Supplier_master[Terms days], 0)</f>
        <v>0</v>
      </c>
      <c r="R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" s="4"/>
      <c r="T32" s="46">
        <f>IF(AP[[#This Row],[Payment date - override (dd/mm/yyyy)]] &lt;&gt; "", AP[[#This Row],[Payment date - override (dd/mm/yyyy)]], AP[[#This Row],[Due date (dd/mm/yyyy)]])</f>
        <v>0</v>
      </c>
      <c r="U32" s="46">
        <f t="shared" si="0"/>
        <v>52</v>
      </c>
    </row>
    <row r="33" spans="3:21" x14ac:dyDescent="0.25">
      <c r="C33" s="24"/>
      <c r="D33" s="20"/>
      <c r="E33" s="4"/>
      <c r="F33" s="37"/>
      <c r="G33" s="38"/>
      <c r="H33" s="31">
        <f>_xlfn.XLOOKUP(AP[[#This Row],[Supplier name]], Supplier_master[Supplier name], Supplier_master[Category L1], 0)</f>
        <v>0</v>
      </c>
      <c r="I33" s="31">
        <f>_xlfn.XLOOKUP(AP[[#This Row],[Supplier name]], Supplier_master[Supplier name], Supplier_master[Category L2], 0)</f>
        <v>0</v>
      </c>
      <c r="J33" s="55"/>
      <c r="K33" s="54"/>
      <c r="L33" s="56">
        <f>IF(AP[[#This Row],[Spend category L1 - Override]] &lt;&gt; "", AP[[#This Row],[Spend category L1 - Override]], AP[[#This Row],[Spend category L1]])</f>
        <v>0</v>
      </c>
      <c r="M33" s="56">
        <f>IF(AP[[#This Row],[Spend category L2 - Override]] &lt;&gt; "", AP[[#This Row],[Spend category L2 - Override]], AP[[#This Row],[Spend category L2]])</f>
        <v>0</v>
      </c>
      <c r="N33" s="44">
        <f>Assumptions!$D$15</f>
        <v>0.1</v>
      </c>
      <c r="O33" s="45">
        <f>IF(AP[[#This Row],[GST applies?]] = "Yes", (AP[[#This Row],[Invoice value inc. GST]] / 1 + AP[[#This Row],[GST %]]) * AP[[#This Row],[GST %]], 0)</f>
        <v>0</v>
      </c>
      <c r="P33" s="31">
        <f>_xlfn.XLOOKUP(AP[[#This Row],[Supplier name]], Supplier_master[Supplier name], Supplier_master[EOM or Net], 0)</f>
        <v>0</v>
      </c>
      <c r="Q33" s="31">
        <f>_xlfn.XLOOKUP(AP[[#This Row],[Supplier name]], Supplier_master[Supplier name], Supplier_master[Terms days], 0)</f>
        <v>0</v>
      </c>
      <c r="R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" s="4"/>
      <c r="T33" s="46">
        <f>IF(AP[[#This Row],[Payment date - override (dd/mm/yyyy)]] &lt;&gt; "", AP[[#This Row],[Payment date - override (dd/mm/yyyy)]], AP[[#This Row],[Due date (dd/mm/yyyy)]])</f>
        <v>0</v>
      </c>
      <c r="U33" s="46">
        <f t="shared" si="0"/>
        <v>52</v>
      </c>
    </row>
    <row r="34" spans="3:21" x14ac:dyDescent="0.25">
      <c r="C34" s="24"/>
      <c r="D34" s="20"/>
      <c r="E34" s="4"/>
      <c r="F34" s="37"/>
      <c r="G34" s="38"/>
      <c r="H34" s="31">
        <f>_xlfn.XLOOKUP(AP[[#This Row],[Supplier name]], Supplier_master[Supplier name], Supplier_master[Category L1], 0)</f>
        <v>0</v>
      </c>
      <c r="I34" s="31">
        <f>_xlfn.XLOOKUP(AP[[#This Row],[Supplier name]], Supplier_master[Supplier name], Supplier_master[Category L2], 0)</f>
        <v>0</v>
      </c>
      <c r="J34" s="55"/>
      <c r="K34" s="54"/>
      <c r="L34" s="56">
        <f>IF(AP[[#This Row],[Spend category L1 - Override]] &lt;&gt; "", AP[[#This Row],[Spend category L1 - Override]], AP[[#This Row],[Spend category L1]])</f>
        <v>0</v>
      </c>
      <c r="M34" s="56">
        <f>IF(AP[[#This Row],[Spend category L2 - Override]] &lt;&gt; "", AP[[#This Row],[Spend category L2 - Override]], AP[[#This Row],[Spend category L2]])</f>
        <v>0</v>
      </c>
      <c r="N34" s="44">
        <f>Assumptions!$D$15</f>
        <v>0.1</v>
      </c>
      <c r="O34" s="45">
        <f>IF(AP[[#This Row],[GST applies?]] = "Yes", (AP[[#This Row],[Invoice value inc. GST]] / 1 + AP[[#This Row],[GST %]]) * AP[[#This Row],[GST %]], 0)</f>
        <v>0</v>
      </c>
      <c r="P34" s="31">
        <f>_xlfn.XLOOKUP(AP[[#This Row],[Supplier name]], Supplier_master[Supplier name], Supplier_master[EOM or Net], 0)</f>
        <v>0</v>
      </c>
      <c r="Q34" s="31">
        <f>_xlfn.XLOOKUP(AP[[#This Row],[Supplier name]], Supplier_master[Supplier name], Supplier_master[Terms days], 0)</f>
        <v>0</v>
      </c>
      <c r="R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" s="4"/>
      <c r="T34" s="46">
        <f>IF(AP[[#This Row],[Payment date - override (dd/mm/yyyy)]] &lt;&gt; "", AP[[#This Row],[Payment date - override (dd/mm/yyyy)]], AP[[#This Row],[Due date (dd/mm/yyyy)]])</f>
        <v>0</v>
      </c>
      <c r="U34" s="46">
        <f t="shared" si="0"/>
        <v>52</v>
      </c>
    </row>
    <row r="35" spans="3:21" x14ac:dyDescent="0.25">
      <c r="C35" s="24"/>
      <c r="D35" s="20"/>
      <c r="E35" s="4"/>
      <c r="F35" s="37"/>
      <c r="G35" s="38"/>
      <c r="H35" s="31">
        <f>_xlfn.XLOOKUP(AP[[#This Row],[Supplier name]], Supplier_master[Supplier name], Supplier_master[Category L1], 0)</f>
        <v>0</v>
      </c>
      <c r="I35" s="31">
        <f>_xlfn.XLOOKUP(AP[[#This Row],[Supplier name]], Supplier_master[Supplier name], Supplier_master[Category L2], 0)</f>
        <v>0</v>
      </c>
      <c r="J35" s="55"/>
      <c r="K35" s="54"/>
      <c r="L35" s="56">
        <f>IF(AP[[#This Row],[Spend category L1 - Override]] &lt;&gt; "", AP[[#This Row],[Spend category L1 - Override]], AP[[#This Row],[Spend category L1]])</f>
        <v>0</v>
      </c>
      <c r="M35" s="56">
        <f>IF(AP[[#This Row],[Spend category L2 - Override]] &lt;&gt; "", AP[[#This Row],[Spend category L2 - Override]], AP[[#This Row],[Spend category L2]])</f>
        <v>0</v>
      </c>
      <c r="N35" s="44">
        <f>Assumptions!$D$15</f>
        <v>0.1</v>
      </c>
      <c r="O35" s="45">
        <f>IF(AP[[#This Row],[GST applies?]] = "Yes", (AP[[#This Row],[Invoice value inc. GST]] / 1 + AP[[#This Row],[GST %]]) * AP[[#This Row],[GST %]], 0)</f>
        <v>0</v>
      </c>
      <c r="P35" s="31">
        <f>_xlfn.XLOOKUP(AP[[#This Row],[Supplier name]], Supplier_master[Supplier name], Supplier_master[EOM or Net], 0)</f>
        <v>0</v>
      </c>
      <c r="Q35" s="31">
        <f>_xlfn.XLOOKUP(AP[[#This Row],[Supplier name]], Supplier_master[Supplier name], Supplier_master[Terms days], 0)</f>
        <v>0</v>
      </c>
      <c r="R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" s="4"/>
      <c r="T35" s="46">
        <f>IF(AP[[#This Row],[Payment date - override (dd/mm/yyyy)]] &lt;&gt; "", AP[[#This Row],[Payment date - override (dd/mm/yyyy)]], AP[[#This Row],[Due date (dd/mm/yyyy)]])</f>
        <v>0</v>
      </c>
      <c r="U35" s="46">
        <f t="shared" si="0"/>
        <v>52</v>
      </c>
    </row>
    <row r="36" spans="3:21" x14ac:dyDescent="0.25">
      <c r="C36" s="24"/>
      <c r="D36" s="20"/>
      <c r="E36" s="4"/>
      <c r="F36" s="37"/>
      <c r="G36" s="38"/>
      <c r="H36" s="31">
        <f>_xlfn.XLOOKUP(AP[[#This Row],[Supplier name]], Supplier_master[Supplier name], Supplier_master[Category L1], 0)</f>
        <v>0</v>
      </c>
      <c r="I36" s="31">
        <f>_xlfn.XLOOKUP(AP[[#This Row],[Supplier name]], Supplier_master[Supplier name], Supplier_master[Category L2], 0)</f>
        <v>0</v>
      </c>
      <c r="J36" s="55"/>
      <c r="K36" s="54"/>
      <c r="L36" s="56">
        <f>IF(AP[[#This Row],[Spend category L1 - Override]] &lt;&gt; "", AP[[#This Row],[Spend category L1 - Override]], AP[[#This Row],[Spend category L1]])</f>
        <v>0</v>
      </c>
      <c r="M36" s="56">
        <f>IF(AP[[#This Row],[Spend category L2 - Override]] &lt;&gt; "", AP[[#This Row],[Spend category L2 - Override]], AP[[#This Row],[Spend category L2]])</f>
        <v>0</v>
      </c>
      <c r="N36" s="44">
        <f>Assumptions!$D$15</f>
        <v>0.1</v>
      </c>
      <c r="O36" s="45">
        <f>IF(AP[[#This Row],[GST applies?]] = "Yes", (AP[[#This Row],[Invoice value inc. GST]] / 1 + AP[[#This Row],[GST %]]) * AP[[#This Row],[GST %]], 0)</f>
        <v>0</v>
      </c>
      <c r="P36" s="31">
        <f>_xlfn.XLOOKUP(AP[[#This Row],[Supplier name]], Supplier_master[Supplier name], Supplier_master[EOM or Net], 0)</f>
        <v>0</v>
      </c>
      <c r="Q36" s="31">
        <f>_xlfn.XLOOKUP(AP[[#This Row],[Supplier name]], Supplier_master[Supplier name], Supplier_master[Terms days], 0)</f>
        <v>0</v>
      </c>
      <c r="R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" s="4"/>
      <c r="T36" s="46">
        <f>IF(AP[[#This Row],[Payment date - override (dd/mm/yyyy)]] &lt;&gt; "", AP[[#This Row],[Payment date - override (dd/mm/yyyy)]], AP[[#This Row],[Due date (dd/mm/yyyy)]])</f>
        <v>0</v>
      </c>
      <c r="U36" s="46">
        <f t="shared" si="0"/>
        <v>52</v>
      </c>
    </row>
    <row r="37" spans="3:21" x14ac:dyDescent="0.25">
      <c r="C37" s="24"/>
      <c r="D37" s="20"/>
      <c r="E37" s="4"/>
      <c r="F37" s="37"/>
      <c r="G37" s="38"/>
      <c r="H37" s="31">
        <f>_xlfn.XLOOKUP(AP[[#This Row],[Supplier name]], Supplier_master[Supplier name], Supplier_master[Category L1], 0)</f>
        <v>0</v>
      </c>
      <c r="I37" s="31">
        <f>_xlfn.XLOOKUP(AP[[#This Row],[Supplier name]], Supplier_master[Supplier name], Supplier_master[Category L2], 0)</f>
        <v>0</v>
      </c>
      <c r="J37" s="55"/>
      <c r="K37" s="54"/>
      <c r="L37" s="56">
        <f>IF(AP[[#This Row],[Spend category L1 - Override]] &lt;&gt; "", AP[[#This Row],[Spend category L1 - Override]], AP[[#This Row],[Spend category L1]])</f>
        <v>0</v>
      </c>
      <c r="M37" s="56">
        <f>IF(AP[[#This Row],[Spend category L2 - Override]] &lt;&gt; "", AP[[#This Row],[Spend category L2 - Override]], AP[[#This Row],[Spend category L2]])</f>
        <v>0</v>
      </c>
      <c r="N37" s="44">
        <f>Assumptions!$D$15</f>
        <v>0.1</v>
      </c>
      <c r="O37" s="45">
        <f>IF(AP[[#This Row],[GST applies?]] = "Yes", (AP[[#This Row],[Invoice value inc. GST]] / 1 + AP[[#This Row],[GST %]]) * AP[[#This Row],[GST %]], 0)</f>
        <v>0</v>
      </c>
      <c r="P37" s="31">
        <f>_xlfn.XLOOKUP(AP[[#This Row],[Supplier name]], Supplier_master[Supplier name], Supplier_master[EOM or Net], 0)</f>
        <v>0</v>
      </c>
      <c r="Q37" s="31">
        <f>_xlfn.XLOOKUP(AP[[#This Row],[Supplier name]], Supplier_master[Supplier name], Supplier_master[Terms days], 0)</f>
        <v>0</v>
      </c>
      <c r="R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" s="4"/>
      <c r="T37" s="46">
        <f>IF(AP[[#This Row],[Payment date - override (dd/mm/yyyy)]] &lt;&gt; "", AP[[#This Row],[Payment date - override (dd/mm/yyyy)]], AP[[#This Row],[Due date (dd/mm/yyyy)]])</f>
        <v>0</v>
      </c>
      <c r="U37" s="46">
        <f t="shared" si="0"/>
        <v>52</v>
      </c>
    </row>
    <row r="38" spans="3:21" x14ac:dyDescent="0.25">
      <c r="C38" s="24"/>
      <c r="D38" s="20"/>
      <c r="E38" s="4"/>
      <c r="F38" s="37"/>
      <c r="G38" s="38"/>
      <c r="H38" s="31">
        <f>_xlfn.XLOOKUP(AP[[#This Row],[Supplier name]], Supplier_master[Supplier name], Supplier_master[Category L1], 0)</f>
        <v>0</v>
      </c>
      <c r="I38" s="31">
        <f>_xlfn.XLOOKUP(AP[[#This Row],[Supplier name]], Supplier_master[Supplier name], Supplier_master[Category L2], 0)</f>
        <v>0</v>
      </c>
      <c r="J38" s="55"/>
      <c r="K38" s="54"/>
      <c r="L38" s="56">
        <f>IF(AP[[#This Row],[Spend category L1 - Override]] &lt;&gt; "", AP[[#This Row],[Spend category L1 - Override]], AP[[#This Row],[Spend category L1]])</f>
        <v>0</v>
      </c>
      <c r="M38" s="56">
        <f>IF(AP[[#This Row],[Spend category L2 - Override]] &lt;&gt; "", AP[[#This Row],[Spend category L2 - Override]], AP[[#This Row],[Spend category L2]])</f>
        <v>0</v>
      </c>
      <c r="N38" s="44">
        <f>Assumptions!$D$15</f>
        <v>0.1</v>
      </c>
      <c r="O38" s="45">
        <f>IF(AP[[#This Row],[GST applies?]] = "Yes", (AP[[#This Row],[Invoice value inc. GST]] / 1 + AP[[#This Row],[GST %]]) * AP[[#This Row],[GST %]], 0)</f>
        <v>0</v>
      </c>
      <c r="P38" s="31">
        <f>_xlfn.XLOOKUP(AP[[#This Row],[Supplier name]], Supplier_master[Supplier name], Supplier_master[EOM or Net], 0)</f>
        <v>0</v>
      </c>
      <c r="Q38" s="31">
        <f>_xlfn.XLOOKUP(AP[[#This Row],[Supplier name]], Supplier_master[Supplier name], Supplier_master[Terms days], 0)</f>
        <v>0</v>
      </c>
      <c r="R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" s="4"/>
      <c r="T38" s="46">
        <f>IF(AP[[#This Row],[Payment date - override (dd/mm/yyyy)]] &lt;&gt; "", AP[[#This Row],[Payment date - override (dd/mm/yyyy)]], AP[[#This Row],[Due date (dd/mm/yyyy)]])</f>
        <v>0</v>
      </c>
      <c r="U38" s="46">
        <f t="shared" si="0"/>
        <v>52</v>
      </c>
    </row>
    <row r="39" spans="3:21" x14ac:dyDescent="0.25">
      <c r="C39" s="24"/>
      <c r="D39" s="20"/>
      <c r="E39" s="4"/>
      <c r="F39" s="37"/>
      <c r="G39" s="38"/>
      <c r="H39" s="31">
        <f>_xlfn.XLOOKUP(AP[[#This Row],[Supplier name]], Supplier_master[Supplier name], Supplier_master[Category L1], 0)</f>
        <v>0</v>
      </c>
      <c r="I39" s="31">
        <f>_xlfn.XLOOKUP(AP[[#This Row],[Supplier name]], Supplier_master[Supplier name], Supplier_master[Category L2], 0)</f>
        <v>0</v>
      </c>
      <c r="J39" s="55"/>
      <c r="K39" s="54"/>
      <c r="L39" s="56">
        <f>IF(AP[[#This Row],[Spend category L1 - Override]] &lt;&gt; "", AP[[#This Row],[Spend category L1 - Override]], AP[[#This Row],[Spend category L1]])</f>
        <v>0</v>
      </c>
      <c r="M39" s="56">
        <f>IF(AP[[#This Row],[Spend category L2 - Override]] &lt;&gt; "", AP[[#This Row],[Spend category L2 - Override]], AP[[#This Row],[Spend category L2]])</f>
        <v>0</v>
      </c>
      <c r="N39" s="44">
        <f>Assumptions!$D$15</f>
        <v>0.1</v>
      </c>
      <c r="O39" s="45">
        <f>IF(AP[[#This Row],[GST applies?]] = "Yes", (AP[[#This Row],[Invoice value inc. GST]] / 1 + AP[[#This Row],[GST %]]) * AP[[#This Row],[GST %]], 0)</f>
        <v>0</v>
      </c>
      <c r="P39" s="31">
        <f>_xlfn.XLOOKUP(AP[[#This Row],[Supplier name]], Supplier_master[Supplier name], Supplier_master[EOM or Net], 0)</f>
        <v>0</v>
      </c>
      <c r="Q39" s="31">
        <f>_xlfn.XLOOKUP(AP[[#This Row],[Supplier name]], Supplier_master[Supplier name], Supplier_master[Terms days], 0)</f>
        <v>0</v>
      </c>
      <c r="R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" s="4"/>
      <c r="T39" s="46">
        <f>IF(AP[[#This Row],[Payment date - override (dd/mm/yyyy)]] &lt;&gt; "", AP[[#This Row],[Payment date - override (dd/mm/yyyy)]], AP[[#This Row],[Due date (dd/mm/yyyy)]])</f>
        <v>0</v>
      </c>
      <c r="U39" s="46">
        <f t="shared" si="0"/>
        <v>52</v>
      </c>
    </row>
    <row r="40" spans="3:21" x14ac:dyDescent="0.25">
      <c r="C40" s="24"/>
      <c r="D40" s="20"/>
      <c r="E40" s="4"/>
      <c r="F40" s="37"/>
      <c r="G40" s="38"/>
      <c r="H40" s="31">
        <f>_xlfn.XLOOKUP(AP[[#This Row],[Supplier name]], Supplier_master[Supplier name], Supplier_master[Category L1], 0)</f>
        <v>0</v>
      </c>
      <c r="I40" s="31">
        <f>_xlfn.XLOOKUP(AP[[#This Row],[Supplier name]], Supplier_master[Supplier name], Supplier_master[Category L2], 0)</f>
        <v>0</v>
      </c>
      <c r="J40" s="55"/>
      <c r="K40" s="54"/>
      <c r="L40" s="56">
        <f>IF(AP[[#This Row],[Spend category L1 - Override]] &lt;&gt; "", AP[[#This Row],[Spend category L1 - Override]], AP[[#This Row],[Spend category L1]])</f>
        <v>0</v>
      </c>
      <c r="M40" s="56">
        <f>IF(AP[[#This Row],[Spend category L2 - Override]] &lt;&gt; "", AP[[#This Row],[Spend category L2 - Override]], AP[[#This Row],[Spend category L2]])</f>
        <v>0</v>
      </c>
      <c r="N40" s="44">
        <f>Assumptions!$D$15</f>
        <v>0.1</v>
      </c>
      <c r="O40" s="45">
        <f>IF(AP[[#This Row],[GST applies?]] = "Yes", (AP[[#This Row],[Invoice value inc. GST]] / 1 + AP[[#This Row],[GST %]]) * AP[[#This Row],[GST %]], 0)</f>
        <v>0</v>
      </c>
      <c r="P40" s="31">
        <f>_xlfn.XLOOKUP(AP[[#This Row],[Supplier name]], Supplier_master[Supplier name], Supplier_master[EOM or Net], 0)</f>
        <v>0</v>
      </c>
      <c r="Q40" s="31">
        <f>_xlfn.XLOOKUP(AP[[#This Row],[Supplier name]], Supplier_master[Supplier name], Supplier_master[Terms days], 0)</f>
        <v>0</v>
      </c>
      <c r="R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" s="4"/>
      <c r="T40" s="46">
        <f>IF(AP[[#This Row],[Payment date - override (dd/mm/yyyy)]] &lt;&gt; "", AP[[#This Row],[Payment date - override (dd/mm/yyyy)]], AP[[#This Row],[Due date (dd/mm/yyyy)]])</f>
        <v>0</v>
      </c>
      <c r="U40" s="46">
        <f t="shared" si="0"/>
        <v>52</v>
      </c>
    </row>
    <row r="41" spans="3:21" x14ac:dyDescent="0.25">
      <c r="C41" s="24"/>
      <c r="D41" s="20"/>
      <c r="E41" s="4"/>
      <c r="F41" s="37"/>
      <c r="G41" s="38"/>
      <c r="H41" s="31">
        <f>_xlfn.XLOOKUP(AP[[#This Row],[Supplier name]], Supplier_master[Supplier name], Supplier_master[Category L1], 0)</f>
        <v>0</v>
      </c>
      <c r="I41" s="31">
        <f>_xlfn.XLOOKUP(AP[[#This Row],[Supplier name]], Supplier_master[Supplier name], Supplier_master[Category L2], 0)</f>
        <v>0</v>
      </c>
      <c r="J41" s="55"/>
      <c r="K41" s="54"/>
      <c r="L41" s="56">
        <f>IF(AP[[#This Row],[Spend category L1 - Override]] &lt;&gt; "", AP[[#This Row],[Spend category L1 - Override]], AP[[#This Row],[Spend category L1]])</f>
        <v>0</v>
      </c>
      <c r="M41" s="56">
        <f>IF(AP[[#This Row],[Spend category L2 - Override]] &lt;&gt; "", AP[[#This Row],[Spend category L2 - Override]], AP[[#This Row],[Spend category L2]])</f>
        <v>0</v>
      </c>
      <c r="N41" s="44">
        <f>Assumptions!$D$15</f>
        <v>0.1</v>
      </c>
      <c r="O41" s="45">
        <f>IF(AP[[#This Row],[GST applies?]] = "Yes", (AP[[#This Row],[Invoice value inc. GST]] / 1 + AP[[#This Row],[GST %]]) * AP[[#This Row],[GST %]], 0)</f>
        <v>0</v>
      </c>
      <c r="P41" s="31">
        <f>_xlfn.XLOOKUP(AP[[#This Row],[Supplier name]], Supplier_master[Supplier name], Supplier_master[EOM or Net], 0)</f>
        <v>0</v>
      </c>
      <c r="Q41" s="31">
        <f>_xlfn.XLOOKUP(AP[[#This Row],[Supplier name]], Supplier_master[Supplier name], Supplier_master[Terms days], 0)</f>
        <v>0</v>
      </c>
      <c r="R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" s="4"/>
      <c r="T41" s="46">
        <f>IF(AP[[#This Row],[Payment date - override (dd/mm/yyyy)]] &lt;&gt; "", AP[[#This Row],[Payment date - override (dd/mm/yyyy)]], AP[[#This Row],[Due date (dd/mm/yyyy)]])</f>
        <v>0</v>
      </c>
      <c r="U41" s="46">
        <f t="shared" si="0"/>
        <v>52</v>
      </c>
    </row>
    <row r="42" spans="3:21" x14ac:dyDescent="0.25">
      <c r="C42" s="24"/>
      <c r="D42" s="20"/>
      <c r="E42" s="4"/>
      <c r="F42" s="37"/>
      <c r="G42" s="38"/>
      <c r="H42" s="31">
        <f>_xlfn.XLOOKUP(AP[[#This Row],[Supplier name]], Supplier_master[Supplier name], Supplier_master[Category L1], 0)</f>
        <v>0</v>
      </c>
      <c r="I42" s="31">
        <f>_xlfn.XLOOKUP(AP[[#This Row],[Supplier name]], Supplier_master[Supplier name], Supplier_master[Category L2], 0)</f>
        <v>0</v>
      </c>
      <c r="J42" s="55"/>
      <c r="K42" s="54"/>
      <c r="L42" s="56">
        <f>IF(AP[[#This Row],[Spend category L1 - Override]] &lt;&gt; "", AP[[#This Row],[Spend category L1 - Override]], AP[[#This Row],[Spend category L1]])</f>
        <v>0</v>
      </c>
      <c r="M42" s="56">
        <f>IF(AP[[#This Row],[Spend category L2 - Override]] &lt;&gt; "", AP[[#This Row],[Spend category L2 - Override]], AP[[#This Row],[Spend category L2]])</f>
        <v>0</v>
      </c>
      <c r="N42" s="44">
        <f>Assumptions!$D$15</f>
        <v>0.1</v>
      </c>
      <c r="O42" s="45">
        <f>IF(AP[[#This Row],[GST applies?]] = "Yes", (AP[[#This Row],[Invoice value inc. GST]] / 1 + AP[[#This Row],[GST %]]) * AP[[#This Row],[GST %]], 0)</f>
        <v>0</v>
      </c>
      <c r="P42" s="31">
        <f>_xlfn.XLOOKUP(AP[[#This Row],[Supplier name]], Supplier_master[Supplier name], Supplier_master[EOM or Net], 0)</f>
        <v>0</v>
      </c>
      <c r="Q42" s="31">
        <f>_xlfn.XLOOKUP(AP[[#This Row],[Supplier name]], Supplier_master[Supplier name], Supplier_master[Terms days], 0)</f>
        <v>0</v>
      </c>
      <c r="R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" s="4"/>
      <c r="T42" s="46">
        <f>IF(AP[[#This Row],[Payment date - override (dd/mm/yyyy)]] &lt;&gt; "", AP[[#This Row],[Payment date - override (dd/mm/yyyy)]], AP[[#This Row],[Due date (dd/mm/yyyy)]])</f>
        <v>0</v>
      </c>
      <c r="U42" s="46">
        <f t="shared" si="0"/>
        <v>52</v>
      </c>
    </row>
    <row r="43" spans="3:21" x14ac:dyDescent="0.25">
      <c r="C43" s="24"/>
      <c r="D43" s="20"/>
      <c r="E43" s="4"/>
      <c r="F43" s="37"/>
      <c r="G43" s="38"/>
      <c r="H43" s="31">
        <f>_xlfn.XLOOKUP(AP[[#This Row],[Supplier name]], Supplier_master[Supplier name], Supplier_master[Category L1], 0)</f>
        <v>0</v>
      </c>
      <c r="I43" s="31">
        <f>_xlfn.XLOOKUP(AP[[#This Row],[Supplier name]], Supplier_master[Supplier name], Supplier_master[Category L2], 0)</f>
        <v>0</v>
      </c>
      <c r="J43" s="55"/>
      <c r="K43" s="54"/>
      <c r="L43" s="56">
        <f>IF(AP[[#This Row],[Spend category L1 - Override]] &lt;&gt; "", AP[[#This Row],[Spend category L1 - Override]], AP[[#This Row],[Spend category L1]])</f>
        <v>0</v>
      </c>
      <c r="M43" s="56">
        <f>IF(AP[[#This Row],[Spend category L2 - Override]] &lt;&gt; "", AP[[#This Row],[Spend category L2 - Override]], AP[[#This Row],[Spend category L2]])</f>
        <v>0</v>
      </c>
      <c r="N43" s="44">
        <f>Assumptions!$D$15</f>
        <v>0.1</v>
      </c>
      <c r="O43" s="45">
        <f>IF(AP[[#This Row],[GST applies?]] = "Yes", (AP[[#This Row],[Invoice value inc. GST]] / 1 + AP[[#This Row],[GST %]]) * AP[[#This Row],[GST %]], 0)</f>
        <v>0</v>
      </c>
      <c r="P43" s="31">
        <f>_xlfn.XLOOKUP(AP[[#This Row],[Supplier name]], Supplier_master[Supplier name], Supplier_master[EOM or Net], 0)</f>
        <v>0</v>
      </c>
      <c r="Q43" s="31">
        <f>_xlfn.XLOOKUP(AP[[#This Row],[Supplier name]], Supplier_master[Supplier name], Supplier_master[Terms days], 0)</f>
        <v>0</v>
      </c>
      <c r="R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" s="4"/>
      <c r="T43" s="46">
        <f>IF(AP[[#This Row],[Payment date - override (dd/mm/yyyy)]] &lt;&gt; "", AP[[#This Row],[Payment date - override (dd/mm/yyyy)]], AP[[#This Row],[Due date (dd/mm/yyyy)]])</f>
        <v>0</v>
      </c>
      <c r="U43" s="46">
        <f t="shared" si="0"/>
        <v>52</v>
      </c>
    </row>
    <row r="44" spans="3:21" x14ac:dyDescent="0.25">
      <c r="C44" s="24"/>
      <c r="D44" s="20"/>
      <c r="E44" s="4"/>
      <c r="F44" s="37"/>
      <c r="G44" s="38"/>
      <c r="H44" s="31">
        <f>_xlfn.XLOOKUP(AP[[#This Row],[Supplier name]], Supplier_master[Supplier name], Supplier_master[Category L1], 0)</f>
        <v>0</v>
      </c>
      <c r="I44" s="31">
        <f>_xlfn.XLOOKUP(AP[[#This Row],[Supplier name]], Supplier_master[Supplier name], Supplier_master[Category L2], 0)</f>
        <v>0</v>
      </c>
      <c r="J44" s="55"/>
      <c r="K44" s="54"/>
      <c r="L44" s="56">
        <f>IF(AP[[#This Row],[Spend category L1 - Override]] &lt;&gt; "", AP[[#This Row],[Spend category L1 - Override]], AP[[#This Row],[Spend category L1]])</f>
        <v>0</v>
      </c>
      <c r="M44" s="56">
        <f>IF(AP[[#This Row],[Spend category L2 - Override]] &lt;&gt; "", AP[[#This Row],[Spend category L2 - Override]], AP[[#This Row],[Spend category L2]])</f>
        <v>0</v>
      </c>
      <c r="N44" s="44">
        <f>Assumptions!$D$15</f>
        <v>0.1</v>
      </c>
      <c r="O44" s="45">
        <f>IF(AP[[#This Row],[GST applies?]] = "Yes", (AP[[#This Row],[Invoice value inc. GST]] / 1 + AP[[#This Row],[GST %]]) * AP[[#This Row],[GST %]], 0)</f>
        <v>0</v>
      </c>
      <c r="P44" s="31">
        <f>_xlfn.XLOOKUP(AP[[#This Row],[Supplier name]], Supplier_master[Supplier name], Supplier_master[EOM or Net], 0)</f>
        <v>0</v>
      </c>
      <c r="Q44" s="31">
        <f>_xlfn.XLOOKUP(AP[[#This Row],[Supplier name]], Supplier_master[Supplier name], Supplier_master[Terms days], 0)</f>
        <v>0</v>
      </c>
      <c r="R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" s="4"/>
      <c r="T44" s="46">
        <f>IF(AP[[#This Row],[Payment date - override (dd/mm/yyyy)]] &lt;&gt; "", AP[[#This Row],[Payment date - override (dd/mm/yyyy)]], AP[[#This Row],[Due date (dd/mm/yyyy)]])</f>
        <v>0</v>
      </c>
      <c r="U44" s="46">
        <f t="shared" si="0"/>
        <v>52</v>
      </c>
    </row>
    <row r="45" spans="3:21" x14ac:dyDescent="0.25">
      <c r="C45" s="24"/>
      <c r="D45" s="20"/>
      <c r="E45" s="4"/>
      <c r="F45" s="37"/>
      <c r="G45" s="38"/>
      <c r="H45" s="31">
        <f>_xlfn.XLOOKUP(AP[[#This Row],[Supplier name]], Supplier_master[Supplier name], Supplier_master[Category L1], 0)</f>
        <v>0</v>
      </c>
      <c r="I45" s="31">
        <f>_xlfn.XLOOKUP(AP[[#This Row],[Supplier name]], Supplier_master[Supplier name], Supplier_master[Category L2], 0)</f>
        <v>0</v>
      </c>
      <c r="J45" s="55"/>
      <c r="K45" s="54"/>
      <c r="L45" s="56">
        <f>IF(AP[[#This Row],[Spend category L1 - Override]] &lt;&gt; "", AP[[#This Row],[Spend category L1 - Override]], AP[[#This Row],[Spend category L1]])</f>
        <v>0</v>
      </c>
      <c r="M45" s="56">
        <f>IF(AP[[#This Row],[Spend category L2 - Override]] &lt;&gt; "", AP[[#This Row],[Spend category L2 - Override]], AP[[#This Row],[Spend category L2]])</f>
        <v>0</v>
      </c>
      <c r="N45" s="44">
        <f>Assumptions!$D$15</f>
        <v>0.1</v>
      </c>
      <c r="O45" s="45">
        <f>IF(AP[[#This Row],[GST applies?]] = "Yes", (AP[[#This Row],[Invoice value inc. GST]] / 1 + AP[[#This Row],[GST %]]) * AP[[#This Row],[GST %]], 0)</f>
        <v>0</v>
      </c>
      <c r="P45" s="31">
        <f>_xlfn.XLOOKUP(AP[[#This Row],[Supplier name]], Supplier_master[Supplier name], Supplier_master[EOM or Net], 0)</f>
        <v>0</v>
      </c>
      <c r="Q45" s="31">
        <f>_xlfn.XLOOKUP(AP[[#This Row],[Supplier name]], Supplier_master[Supplier name], Supplier_master[Terms days], 0)</f>
        <v>0</v>
      </c>
      <c r="R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" s="4"/>
      <c r="T45" s="46">
        <f>IF(AP[[#This Row],[Payment date - override (dd/mm/yyyy)]] &lt;&gt; "", AP[[#This Row],[Payment date - override (dd/mm/yyyy)]], AP[[#This Row],[Due date (dd/mm/yyyy)]])</f>
        <v>0</v>
      </c>
      <c r="U45" s="46">
        <f t="shared" si="0"/>
        <v>52</v>
      </c>
    </row>
    <row r="46" spans="3:21" x14ac:dyDescent="0.25">
      <c r="C46" s="24"/>
      <c r="D46" s="20"/>
      <c r="E46" s="4"/>
      <c r="F46" s="37"/>
      <c r="G46" s="38"/>
      <c r="H46" s="31">
        <f>_xlfn.XLOOKUP(AP[[#This Row],[Supplier name]], Supplier_master[Supplier name], Supplier_master[Category L1], 0)</f>
        <v>0</v>
      </c>
      <c r="I46" s="31">
        <f>_xlfn.XLOOKUP(AP[[#This Row],[Supplier name]], Supplier_master[Supplier name], Supplier_master[Category L2], 0)</f>
        <v>0</v>
      </c>
      <c r="J46" s="55"/>
      <c r="K46" s="54"/>
      <c r="L46" s="56">
        <f>IF(AP[[#This Row],[Spend category L1 - Override]] &lt;&gt; "", AP[[#This Row],[Spend category L1 - Override]], AP[[#This Row],[Spend category L1]])</f>
        <v>0</v>
      </c>
      <c r="M46" s="56">
        <f>IF(AP[[#This Row],[Spend category L2 - Override]] &lt;&gt; "", AP[[#This Row],[Spend category L2 - Override]], AP[[#This Row],[Spend category L2]])</f>
        <v>0</v>
      </c>
      <c r="N46" s="44">
        <f>Assumptions!$D$15</f>
        <v>0.1</v>
      </c>
      <c r="O46" s="45">
        <f>IF(AP[[#This Row],[GST applies?]] = "Yes", (AP[[#This Row],[Invoice value inc. GST]] / 1 + AP[[#This Row],[GST %]]) * AP[[#This Row],[GST %]], 0)</f>
        <v>0</v>
      </c>
      <c r="P46" s="31">
        <f>_xlfn.XLOOKUP(AP[[#This Row],[Supplier name]], Supplier_master[Supplier name], Supplier_master[EOM or Net], 0)</f>
        <v>0</v>
      </c>
      <c r="Q46" s="31">
        <f>_xlfn.XLOOKUP(AP[[#This Row],[Supplier name]], Supplier_master[Supplier name], Supplier_master[Terms days], 0)</f>
        <v>0</v>
      </c>
      <c r="R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" s="4"/>
      <c r="T46" s="46">
        <f>IF(AP[[#This Row],[Payment date - override (dd/mm/yyyy)]] &lt;&gt; "", AP[[#This Row],[Payment date - override (dd/mm/yyyy)]], AP[[#This Row],[Due date (dd/mm/yyyy)]])</f>
        <v>0</v>
      </c>
      <c r="U46" s="46">
        <f t="shared" si="0"/>
        <v>52</v>
      </c>
    </row>
    <row r="47" spans="3:21" x14ac:dyDescent="0.25">
      <c r="C47" s="24"/>
      <c r="D47" s="20"/>
      <c r="E47" s="4"/>
      <c r="F47" s="37"/>
      <c r="G47" s="38"/>
      <c r="H47" s="31">
        <f>_xlfn.XLOOKUP(AP[[#This Row],[Supplier name]], Supplier_master[Supplier name], Supplier_master[Category L1], 0)</f>
        <v>0</v>
      </c>
      <c r="I47" s="31">
        <f>_xlfn.XLOOKUP(AP[[#This Row],[Supplier name]], Supplier_master[Supplier name], Supplier_master[Category L2], 0)</f>
        <v>0</v>
      </c>
      <c r="J47" s="55"/>
      <c r="K47" s="54"/>
      <c r="L47" s="56">
        <f>IF(AP[[#This Row],[Spend category L1 - Override]] &lt;&gt; "", AP[[#This Row],[Spend category L1 - Override]], AP[[#This Row],[Spend category L1]])</f>
        <v>0</v>
      </c>
      <c r="M47" s="56">
        <f>IF(AP[[#This Row],[Spend category L2 - Override]] &lt;&gt; "", AP[[#This Row],[Spend category L2 - Override]], AP[[#This Row],[Spend category L2]])</f>
        <v>0</v>
      </c>
      <c r="N47" s="44">
        <f>Assumptions!$D$15</f>
        <v>0.1</v>
      </c>
      <c r="O47" s="45">
        <f>IF(AP[[#This Row],[GST applies?]] = "Yes", (AP[[#This Row],[Invoice value inc. GST]] / 1 + AP[[#This Row],[GST %]]) * AP[[#This Row],[GST %]], 0)</f>
        <v>0</v>
      </c>
      <c r="P47" s="31">
        <f>_xlfn.XLOOKUP(AP[[#This Row],[Supplier name]], Supplier_master[Supplier name], Supplier_master[EOM or Net], 0)</f>
        <v>0</v>
      </c>
      <c r="Q47" s="31">
        <f>_xlfn.XLOOKUP(AP[[#This Row],[Supplier name]], Supplier_master[Supplier name], Supplier_master[Terms days], 0)</f>
        <v>0</v>
      </c>
      <c r="R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" s="4"/>
      <c r="T47" s="46">
        <f>IF(AP[[#This Row],[Payment date - override (dd/mm/yyyy)]] &lt;&gt; "", AP[[#This Row],[Payment date - override (dd/mm/yyyy)]], AP[[#This Row],[Due date (dd/mm/yyyy)]])</f>
        <v>0</v>
      </c>
      <c r="U47" s="46">
        <f t="shared" si="0"/>
        <v>52</v>
      </c>
    </row>
    <row r="48" spans="3:21" x14ac:dyDescent="0.25">
      <c r="C48" s="24"/>
      <c r="D48" s="20"/>
      <c r="E48" s="4"/>
      <c r="F48" s="37"/>
      <c r="G48" s="38"/>
      <c r="H48" s="31">
        <f>_xlfn.XLOOKUP(AP[[#This Row],[Supplier name]], Supplier_master[Supplier name], Supplier_master[Category L1], 0)</f>
        <v>0</v>
      </c>
      <c r="I48" s="31">
        <f>_xlfn.XLOOKUP(AP[[#This Row],[Supplier name]], Supplier_master[Supplier name], Supplier_master[Category L2], 0)</f>
        <v>0</v>
      </c>
      <c r="J48" s="55"/>
      <c r="K48" s="54"/>
      <c r="L48" s="56">
        <f>IF(AP[[#This Row],[Spend category L1 - Override]] &lt;&gt; "", AP[[#This Row],[Spend category L1 - Override]], AP[[#This Row],[Spend category L1]])</f>
        <v>0</v>
      </c>
      <c r="M48" s="56">
        <f>IF(AP[[#This Row],[Spend category L2 - Override]] &lt;&gt; "", AP[[#This Row],[Spend category L2 - Override]], AP[[#This Row],[Spend category L2]])</f>
        <v>0</v>
      </c>
      <c r="N48" s="44">
        <f>Assumptions!$D$15</f>
        <v>0.1</v>
      </c>
      <c r="O48" s="45">
        <f>IF(AP[[#This Row],[GST applies?]] = "Yes", (AP[[#This Row],[Invoice value inc. GST]] / 1 + AP[[#This Row],[GST %]]) * AP[[#This Row],[GST %]], 0)</f>
        <v>0</v>
      </c>
      <c r="P48" s="31">
        <f>_xlfn.XLOOKUP(AP[[#This Row],[Supplier name]], Supplier_master[Supplier name], Supplier_master[EOM or Net], 0)</f>
        <v>0</v>
      </c>
      <c r="Q48" s="31">
        <f>_xlfn.XLOOKUP(AP[[#This Row],[Supplier name]], Supplier_master[Supplier name], Supplier_master[Terms days], 0)</f>
        <v>0</v>
      </c>
      <c r="R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" s="4"/>
      <c r="T48" s="46">
        <f>IF(AP[[#This Row],[Payment date - override (dd/mm/yyyy)]] &lt;&gt; "", AP[[#This Row],[Payment date - override (dd/mm/yyyy)]], AP[[#This Row],[Due date (dd/mm/yyyy)]])</f>
        <v>0</v>
      </c>
      <c r="U48" s="46">
        <f t="shared" si="0"/>
        <v>52</v>
      </c>
    </row>
    <row r="49" spans="3:21" x14ac:dyDescent="0.25">
      <c r="C49" s="24"/>
      <c r="D49" s="20"/>
      <c r="E49" s="4"/>
      <c r="F49" s="37"/>
      <c r="G49" s="38"/>
      <c r="H49" s="31">
        <f>_xlfn.XLOOKUP(AP[[#This Row],[Supplier name]], Supplier_master[Supplier name], Supplier_master[Category L1], 0)</f>
        <v>0</v>
      </c>
      <c r="I49" s="31">
        <f>_xlfn.XLOOKUP(AP[[#This Row],[Supplier name]], Supplier_master[Supplier name], Supplier_master[Category L2], 0)</f>
        <v>0</v>
      </c>
      <c r="J49" s="55"/>
      <c r="K49" s="54"/>
      <c r="L49" s="56">
        <f>IF(AP[[#This Row],[Spend category L1 - Override]] &lt;&gt; "", AP[[#This Row],[Spend category L1 - Override]], AP[[#This Row],[Spend category L1]])</f>
        <v>0</v>
      </c>
      <c r="M49" s="56">
        <f>IF(AP[[#This Row],[Spend category L2 - Override]] &lt;&gt; "", AP[[#This Row],[Spend category L2 - Override]], AP[[#This Row],[Spend category L2]])</f>
        <v>0</v>
      </c>
      <c r="N49" s="44">
        <f>Assumptions!$D$15</f>
        <v>0.1</v>
      </c>
      <c r="O49" s="45">
        <f>IF(AP[[#This Row],[GST applies?]] = "Yes", (AP[[#This Row],[Invoice value inc. GST]] / 1 + AP[[#This Row],[GST %]]) * AP[[#This Row],[GST %]], 0)</f>
        <v>0</v>
      </c>
      <c r="P49" s="31">
        <f>_xlfn.XLOOKUP(AP[[#This Row],[Supplier name]], Supplier_master[Supplier name], Supplier_master[EOM or Net], 0)</f>
        <v>0</v>
      </c>
      <c r="Q49" s="31">
        <f>_xlfn.XLOOKUP(AP[[#This Row],[Supplier name]], Supplier_master[Supplier name], Supplier_master[Terms days], 0)</f>
        <v>0</v>
      </c>
      <c r="R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" s="4"/>
      <c r="T49" s="46">
        <f>IF(AP[[#This Row],[Payment date - override (dd/mm/yyyy)]] &lt;&gt; "", AP[[#This Row],[Payment date - override (dd/mm/yyyy)]], AP[[#This Row],[Due date (dd/mm/yyyy)]])</f>
        <v>0</v>
      </c>
      <c r="U49" s="46">
        <f t="shared" si="0"/>
        <v>52</v>
      </c>
    </row>
    <row r="50" spans="3:21" x14ac:dyDescent="0.25">
      <c r="C50" s="24"/>
      <c r="D50" s="20"/>
      <c r="E50" s="4"/>
      <c r="F50" s="37"/>
      <c r="G50" s="38"/>
      <c r="H50" s="31">
        <f>_xlfn.XLOOKUP(AP[[#This Row],[Supplier name]], Supplier_master[Supplier name], Supplier_master[Category L1], 0)</f>
        <v>0</v>
      </c>
      <c r="I50" s="31">
        <f>_xlfn.XLOOKUP(AP[[#This Row],[Supplier name]], Supplier_master[Supplier name], Supplier_master[Category L2], 0)</f>
        <v>0</v>
      </c>
      <c r="J50" s="55"/>
      <c r="K50" s="54"/>
      <c r="L50" s="56">
        <f>IF(AP[[#This Row],[Spend category L1 - Override]] &lt;&gt; "", AP[[#This Row],[Spend category L1 - Override]], AP[[#This Row],[Spend category L1]])</f>
        <v>0</v>
      </c>
      <c r="M50" s="56">
        <f>IF(AP[[#This Row],[Spend category L2 - Override]] &lt;&gt; "", AP[[#This Row],[Spend category L2 - Override]], AP[[#This Row],[Spend category L2]])</f>
        <v>0</v>
      </c>
      <c r="N50" s="44">
        <f>Assumptions!$D$15</f>
        <v>0.1</v>
      </c>
      <c r="O50" s="45">
        <f>IF(AP[[#This Row],[GST applies?]] = "Yes", (AP[[#This Row],[Invoice value inc. GST]] / 1 + AP[[#This Row],[GST %]]) * AP[[#This Row],[GST %]], 0)</f>
        <v>0</v>
      </c>
      <c r="P50" s="31">
        <f>_xlfn.XLOOKUP(AP[[#This Row],[Supplier name]], Supplier_master[Supplier name], Supplier_master[EOM or Net], 0)</f>
        <v>0</v>
      </c>
      <c r="Q50" s="31">
        <f>_xlfn.XLOOKUP(AP[[#This Row],[Supplier name]], Supplier_master[Supplier name], Supplier_master[Terms days], 0)</f>
        <v>0</v>
      </c>
      <c r="R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" s="4"/>
      <c r="T50" s="46">
        <f>IF(AP[[#This Row],[Payment date - override (dd/mm/yyyy)]] &lt;&gt; "", AP[[#This Row],[Payment date - override (dd/mm/yyyy)]], AP[[#This Row],[Due date (dd/mm/yyyy)]])</f>
        <v>0</v>
      </c>
      <c r="U50" s="46">
        <f t="shared" si="0"/>
        <v>52</v>
      </c>
    </row>
    <row r="51" spans="3:21" x14ac:dyDescent="0.25">
      <c r="C51" s="24"/>
      <c r="D51" s="20"/>
      <c r="E51" s="4"/>
      <c r="F51" s="37"/>
      <c r="G51" s="38"/>
      <c r="H51" s="31">
        <f>_xlfn.XLOOKUP(AP[[#This Row],[Supplier name]], Supplier_master[Supplier name], Supplier_master[Category L1], 0)</f>
        <v>0</v>
      </c>
      <c r="I51" s="31">
        <f>_xlfn.XLOOKUP(AP[[#This Row],[Supplier name]], Supplier_master[Supplier name], Supplier_master[Category L2], 0)</f>
        <v>0</v>
      </c>
      <c r="J51" s="55"/>
      <c r="K51" s="54"/>
      <c r="L51" s="56">
        <f>IF(AP[[#This Row],[Spend category L1 - Override]] &lt;&gt; "", AP[[#This Row],[Spend category L1 - Override]], AP[[#This Row],[Spend category L1]])</f>
        <v>0</v>
      </c>
      <c r="M51" s="56">
        <f>IF(AP[[#This Row],[Spend category L2 - Override]] &lt;&gt; "", AP[[#This Row],[Spend category L2 - Override]], AP[[#This Row],[Spend category L2]])</f>
        <v>0</v>
      </c>
      <c r="N51" s="44">
        <f>Assumptions!$D$15</f>
        <v>0.1</v>
      </c>
      <c r="O51" s="45">
        <f>IF(AP[[#This Row],[GST applies?]] = "Yes", (AP[[#This Row],[Invoice value inc. GST]] / 1 + AP[[#This Row],[GST %]]) * AP[[#This Row],[GST %]], 0)</f>
        <v>0</v>
      </c>
      <c r="P51" s="31">
        <f>_xlfn.XLOOKUP(AP[[#This Row],[Supplier name]], Supplier_master[Supplier name], Supplier_master[EOM or Net], 0)</f>
        <v>0</v>
      </c>
      <c r="Q51" s="31">
        <f>_xlfn.XLOOKUP(AP[[#This Row],[Supplier name]], Supplier_master[Supplier name], Supplier_master[Terms days], 0)</f>
        <v>0</v>
      </c>
      <c r="R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" s="4"/>
      <c r="T51" s="46">
        <f>IF(AP[[#This Row],[Payment date - override (dd/mm/yyyy)]] &lt;&gt; "", AP[[#This Row],[Payment date - override (dd/mm/yyyy)]], AP[[#This Row],[Due date (dd/mm/yyyy)]])</f>
        <v>0</v>
      </c>
      <c r="U51" s="46">
        <f t="shared" si="0"/>
        <v>52</v>
      </c>
    </row>
    <row r="52" spans="3:21" x14ac:dyDescent="0.25">
      <c r="C52" s="24"/>
      <c r="D52" s="20"/>
      <c r="E52" s="4"/>
      <c r="F52" s="37"/>
      <c r="G52" s="38"/>
      <c r="H52" s="31">
        <f>_xlfn.XLOOKUP(AP[[#This Row],[Supplier name]], Supplier_master[Supplier name], Supplier_master[Category L1], 0)</f>
        <v>0</v>
      </c>
      <c r="I52" s="31">
        <f>_xlfn.XLOOKUP(AP[[#This Row],[Supplier name]], Supplier_master[Supplier name], Supplier_master[Category L2], 0)</f>
        <v>0</v>
      </c>
      <c r="J52" s="55"/>
      <c r="K52" s="54"/>
      <c r="L52" s="56">
        <f>IF(AP[[#This Row],[Spend category L1 - Override]] &lt;&gt; "", AP[[#This Row],[Spend category L1 - Override]], AP[[#This Row],[Spend category L1]])</f>
        <v>0</v>
      </c>
      <c r="M52" s="56">
        <f>IF(AP[[#This Row],[Spend category L2 - Override]] &lt;&gt; "", AP[[#This Row],[Spend category L2 - Override]], AP[[#This Row],[Spend category L2]])</f>
        <v>0</v>
      </c>
      <c r="N52" s="44">
        <f>Assumptions!$D$15</f>
        <v>0.1</v>
      </c>
      <c r="O52" s="45">
        <f>IF(AP[[#This Row],[GST applies?]] = "Yes", (AP[[#This Row],[Invoice value inc. GST]] / 1 + AP[[#This Row],[GST %]]) * AP[[#This Row],[GST %]], 0)</f>
        <v>0</v>
      </c>
      <c r="P52" s="31">
        <f>_xlfn.XLOOKUP(AP[[#This Row],[Supplier name]], Supplier_master[Supplier name], Supplier_master[EOM or Net], 0)</f>
        <v>0</v>
      </c>
      <c r="Q52" s="31">
        <f>_xlfn.XLOOKUP(AP[[#This Row],[Supplier name]], Supplier_master[Supplier name], Supplier_master[Terms days], 0)</f>
        <v>0</v>
      </c>
      <c r="R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" s="4"/>
      <c r="T52" s="46">
        <f>IF(AP[[#This Row],[Payment date - override (dd/mm/yyyy)]] &lt;&gt; "", AP[[#This Row],[Payment date - override (dd/mm/yyyy)]], AP[[#This Row],[Due date (dd/mm/yyyy)]])</f>
        <v>0</v>
      </c>
      <c r="U52" s="46">
        <f t="shared" si="0"/>
        <v>52</v>
      </c>
    </row>
    <row r="53" spans="3:21" x14ac:dyDescent="0.25">
      <c r="C53" s="24"/>
      <c r="D53" s="20"/>
      <c r="E53" s="4"/>
      <c r="F53" s="37"/>
      <c r="G53" s="38"/>
      <c r="H53" s="31">
        <f>_xlfn.XLOOKUP(AP[[#This Row],[Supplier name]], Supplier_master[Supplier name], Supplier_master[Category L1], 0)</f>
        <v>0</v>
      </c>
      <c r="I53" s="31">
        <f>_xlfn.XLOOKUP(AP[[#This Row],[Supplier name]], Supplier_master[Supplier name], Supplier_master[Category L2], 0)</f>
        <v>0</v>
      </c>
      <c r="J53" s="55"/>
      <c r="K53" s="54"/>
      <c r="L53" s="56">
        <f>IF(AP[[#This Row],[Spend category L1 - Override]] &lt;&gt; "", AP[[#This Row],[Spend category L1 - Override]], AP[[#This Row],[Spend category L1]])</f>
        <v>0</v>
      </c>
      <c r="M53" s="56">
        <f>IF(AP[[#This Row],[Spend category L2 - Override]] &lt;&gt; "", AP[[#This Row],[Spend category L2 - Override]], AP[[#This Row],[Spend category L2]])</f>
        <v>0</v>
      </c>
      <c r="N53" s="44">
        <f>Assumptions!$D$15</f>
        <v>0.1</v>
      </c>
      <c r="O53" s="45">
        <f>IF(AP[[#This Row],[GST applies?]] = "Yes", (AP[[#This Row],[Invoice value inc. GST]] / 1 + AP[[#This Row],[GST %]]) * AP[[#This Row],[GST %]], 0)</f>
        <v>0</v>
      </c>
      <c r="P53" s="31">
        <f>_xlfn.XLOOKUP(AP[[#This Row],[Supplier name]], Supplier_master[Supplier name], Supplier_master[EOM or Net], 0)</f>
        <v>0</v>
      </c>
      <c r="Q53" s="31">
        <f>_xlfn.XLOOKUP(AP[[#This Row],[Supplier name]], Supplier_master[Supplier name], Supplier_master[Terms days], 0)</f>
        <v>0</v>
      </c>
      <c r="R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" s="4"/>
      <c r="T53" s="46">
        <f>IF(AP[[#This Row],[Payment date - override (dd/mm/yyyy)]] &lt;&gt; "", AP[[#This Row],[Payment date - override (dd/mm/yyyy)]], AP[[#This Row],[Due date (dd/mm/yyyy)]])</f>
        <v>0</v>
      </c>
      <c r="U53" s="46">
        <f t="shared" si="0"/>
        <v>52</v>
      </c>
    </row>
    <row r="54" spans="3:21" x14ac:dyDescent="0.25">
      <c r="C54" s="24"/>
      <c r="D54" s="20"/>
      <c r="E54" s="4"/>
      <c r="F54" s="37"/>
      <c r="G54" s="38"/>
      <c r="H54" s="31">
        <f>_xlfn.XLOOKUP(AP[[#This Row],[Supplier name]], Supplier_master[Supplier name], Supplier_master[Category L1], 0)</f>
        <v>0</v>
      </c>
      <c r="I54" s="31">
        <f>_xlfn.XLOOKUP(AP[[#This Row],[Supplier name]], Supplier_master[Supplier name], Supplier_master[Category L2], 0)</f>
        <v>0</v>
      </c>
      <c r="J54" s="55"/>
      <c r="K54" s="54"/>
      <c r="L54" s="56">
        <f>IF(AP[[#This Row],[Spend category L1 - Override]] &lt;&gt; "", AP[[#This Row],[Spend category L1 - Override]], AP[[#This Row],[Spend category L1]])</f>
        <v>0</v>
      </c>
      <c r="M54" s="56">
        <f>IF(AP[[#This Row],[Spend category L2 - Override]] &lt;&gt; "", AP[[#This Row],[Spend category L2 - Override]], AP[[#This Row],[Spend category L2]])</f>
        <v>0</v>
      </c>
      <c r="N54" s="44">
        <f>Assumptions!$D$15</f>
        <v>0.1</v>
      </c>
      <c r="O54" s="45">
        <f>IF(AP[[#This Row],[GST applies?]] = "Yes", (AP[[#This Row],[Invoice value inc. GST]] / 1 + AP[[#This Row],[GST %]]) * AP[[#This Row],[GST %]], 0)</f>
        <v>0</v>
      </c>
      <c r="P54" s="31">
        <f>_xlfn.XLOOKUP(AP[[#This Row],[Supplier name]], Supplier_master[Supplier name], Supplier_master[EOM or Net], 0)</f>
        <v>0</v>
      </c>
      <c r="Q54" s="31">
        <f>_xlfn.XLOOKUP(AP[[#This Row],[Supplier name]], Supplier_master[Supplier name], Supplier_master[Terms days], 0)</f>
        <v>0</v>
      </c>
      <c r="R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" s="4"/>
      <c r="T54" s="46">
        <f>IF(AP[[#This Row],[Payment date - override (dd/mm/yyyy)]] &lt;&gt; "", AP[[#This Row],[Payment date - override (dd/mm/yyyy)]], AP[[#This Row],[Due date (dd/mm/yyyy)]])</f>
        <v>0</v>
      </c>
      <c r="U54" s="46">
        <f t="shared" si="0"/>
        <v>52</v>
      </c>
    </row>
    <row r="55" spans="3:21" x14ac:dyDescent="0.25">
      <c r="C55" s="24"/>
      <c r="D55" s="20"/>
      <c r="E55" s="4"/>
      <c r="F55" s="37"/>
      <c r="G55" s="38"/>
      <c r="H55" s="31">
        <f>_xlfn.XLOOKUP(AP[[#This Row],[Supplier name]], Supplier_master[Supplier name], Supplier_master[Category L1], 0)</f>
        <v>0</v>
      </c>
      <c r="I55" s="31">
        <f>_xlfn.XLOOKUP(AP[[#This Row],[Supplier name]], Supplier_master[Supplier name], Supplier_master[Category L2], 0)</f>
        <v>0</v>
      </c>
      <c r="J55" s="55"/>
      <c r="K55" s="54"/>
      <c r="L55" s="56">
        <f>IF(AP[[#This Row],[Spend category L1 - Override]] &lt;&gt; "", AP[[#This Row],[Spend category L1 - Override]], AP[[#This Row],[Spend category L1]])</f>
        <v>0</v>
      </c>
      <c r="M55" s="56">
        <f>IF(AP[[#This Row],[Spend category L2 - Override]] &lt;&gt; "", AP[[#This Row],[Spend category L2 - Override]], AP[[#This Row],[Spend category L2]])</f>
        <v>0</v>
      </c>
      <c r="N55" s="44">
        <f>Assumptions!$D$15</f>
        <v>0.1</v>
      </c>
      <c r="O55" s="45">
        <f>IF(AP[[#This Row],[GST applies?]] = "Yes", (AP[[#This Row],[Invoice value inc. GST]] / 1 + AP[[#This Row],[GST %]]) * AP[[#This Row],[GST %]], 0)</f>
        <v>0</v>
      </c>
      <c r="P55" s="31">
        <f>_xlfn.XLOOKUP(AP[[#This Row],[Supplier name]], Supplier_master[Supplier name], Supplier_master[EOM or Net], 0)</f>
        <v>0</v>
      </c>
      <c r="Q55" s="31">
        <f>_xlfn.XLOOKUP(AP[[#This Row],[Supplier name]], Supplier_master[Supplier name], Supplier_master[Terms days], 0)</f>
        <v>0</v>
      </c>
      <c r="R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" s="4"/>
      <c r="T55" s="46">
        <f>IF(AP[[#This Row],[Payment date - override (dd/mm/yyyy)]] &lt;&gt; "", AP[[#This Row],[Payment date - override (dd/mm/yyyy)]], AP[[#This Row],[Due date (dd/mm/yyyy)]])</f>
        <v>0</v>
      </c>
      <c r="U55" s="46">
        <f t="shared" si="0"/>
        <v>52</v>
      </c>
    </row>
    <row r="56" spans="3:21" x14ac:dyDescent="0.25">
      <c r="C56" s="24"/>
      <c r="D56" s="20"/>
      <c r="E56" s="4"/>
      <c r="F56" s="37"/>
      <c r="G56" s="38"/>
      <c r="H56" s="31">
        <f>_xlfn.XLOOKUP(AP[[#This Row],[Supplier name]], Supplier_master[Supplier name], Supplier_master[Category L1], 0)</f>
        <v>0</v>
      </c>
      <c r="I56" s="31">
        <f>_xlfn.XLOOKUP(AP[[#This Row],[Supplier name]], Supplier_master[Supplier name], Supplier_master[Category L2], 0)</f>
        <v>0</v>
      </c>
      <c r="J56" s="55"/>
      <c r="K56" s="54"/>
      <c r="L56" s="56">
        <f>IF(AP[[#This Row],[Spend category L1 - Override]] &lt;&gt; "", AP[[#This Row],[Spend category L1 - Override]], AP[[#This Row],[Spend category L1]])</f>
        <v>0</v>
      </c>
      <c r="M56" s="56">
        <f>IF(AP[[#This Row],[Spend category L2 - Override]] &lt;&gt; "", AP[[#This Row],[Spend category L2 - Override]], AP[[#This Row],[Spend category L2]])</f>
        <v>0</v>
      </c>
      <c r="N56" s="44">
        <f>Assumptions!$D$15</f>
        <v>0.1</v>
      </c>
      <c r="O56" s="45">
        <f>IF(AP[[#This Row],[GST applies?]] = "Yes", (AP[[#This Row],[Invoice value inc. GST]] / 1 + AP[[#This Row],[GST %]]) * AP[[#This Row],[GST %]], 0)</f>
        <v>0</v>
      </c>
      <c r="P56" s="31">
        <f>_xlfn.XLOOKUP(AP[[#This Row],[Supplier name]], Supplier_master[Supplier name], Supplier_master[EOM or Net], 0)</f>
        <v>0</v>
      </c>
      <c r="Q56" s="31">
        <f>_xlfn.XLOOKUP(AP[[#This Row],[Supplier name]], Supplier_master[Supplier name], Supplier_master[Terms days], 0)</f>
        <v>0</v>
      </c>
      <c r="R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" s="4"/>
      <c r="T56" s="46">
        <f>IF(AP[[#This Row],[Payment date - override (dd/mm/yyyy)]] &lt;&gt; "", AP[[#This Row],[Payment date - override (dd/mm/yyyy)]], AP[[#This Row],[Due date (dd/mm/yyyy)]])</f>
        <v>0</v>
      </c>
      <c r="U56" s="46">
        <f t="shared" si="0"/>
        <v>52</v>
      </c>
    </row>
    <row r="57" spans="3:21" x14ac:dyDescent="0.25">
      <c r="C57" s="24"/>
      <c r="D57" s="20"/>
      <c r="E57" s="4"/>
      <c r="F57" s="37"/>
      <c r="G57" s="38"/>
      <c r="H57" s="31">
        <f>_xlfn.XLOOKUP(AP[[#This Row],[Supplier name]], Supplier_master[Supplier name], Supplier_master[Category L1], 0)</f>
        <v>0</v>
      </c>
      <c r="I57" s="31">
        <f>_xlfn.XLOOKUP(AP[[#This Row],[Supplier name]], Supplier_master[Supplier name], Supplier_master[Category L2], 0)</f>
        <v>0</v>
      </c>
      <c r="J57" s="55"/>
      <c r="K57" s="54"/>
      <c r="L57" s="56">
        <f>IF(AP[[#This Row],[Spend category L1 - Override]] &lt;&gt; "", AP[[#This Row],[Spend category L1 - Override]], AP[[#This Row],[Spend category L1]])</f>
        <v>0</v>
      </c>
      <c r="M57" s="56">
        <f>IF(AP[[#This Row],[Spend category L2 - Override]] &lt;&gt; "", AP[[#This Row],[Spend category L2 - Override]], AP[[#This Row],[Spend category L2]])</f>
        <v>0</v>
      </c>
      <c r="N57" s="44">
        <f>Assumptions!$D$15</f>
        <v>0.1</v>
      </c>
      <c r="O57" s="45">
        <f>IF(AP[[#This Row],[GST applies?]] = "Yes", (AP[[#This Row],[Invoice value inc. GST]] / 1 + AP[[#This Row],[GST %]]) * AP[[#This Row],[GST %]], 0)</f>
        <v>0</v>
      </c>
      <c r="P57" s="31">
        <f>_xlfn.XLOOKUP(AP[[#This Row],[Supplier name]], Supplier_master[Supplier name], Supplier_master[EOM or Net], 0)</f>
        <v>0</v>
      </c>
      <c r="Q57" s="31">
        <f>_xlfn.XLOOKUP(AP[[#This Row],[Supplier name]], Supplier_master[Supplier name], Supplier_master[Terms days], 0)</f>
        <v>0</v>
      </c>
      <c r="R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" s="4"/>
      <c r="T57" s="46">
        <f>IF(AP[[#This Row],[Payment date - override (dd/mm/yyyy)]] &lt;&gt; "", AP[[#This Row],[Payment date - override (dd/mm/yyyy)]], AP[[#This Row],[Due date (dd/mm/yyyy)]])</f>
        <v>0</v>
      </c>
      <c r="U57" s="46">
        <f t="shared" si="0"/>
        <v>52</v>
      </c>
    </row>
    <row r="58" spans="3:21" x14ac:dyDescent="0.25">
      <c r="C58" s="28"/>
      <c r="D58" s="20"/>
      <c r="E58" s="41"/>
      <c r="F58" s="42"/>
      <c r="G58" s="43"/>
      <c r="H58" s="31">
        <f>_xlfn.XLOOKUP(AP[[#This Row],[Supplier name]], Supplier_master[Supplier name], Supplier_master[Category L1], 0)</f>
        <v>0</v>
      </c>
      <c r="I58" s="31">
        <f>_xlfn.XLOOKUP(AP[[#This Row],[Supplier name]], Supplier_master[Supplier name], Supplier_master[Category L2], 0)</f>
        <v>0</v>
      </c>
      <c r="J58" s="55"/>
      <c r="K58" s="54"/>
      <c r="L58" s="56">
        <f>IF(AP[[#This Row],[Spend category L1 - Override]] &lt;&gt; "", AP[[#This Row],[Spend category L1 - Override]], AP[[#This Row],[Spend category L1]])</f>
        <v>0</v>
      </c>
      <c r="M58" s="56">
        <f>IF(AP[[#This Row],[Spend category L2 - Override]] &lt;&gt; "", AP[[#This Row],[Spend category L2 - Override]], AP[[#This Row],[Spend category L2]])</f>
        <v>0</v>
      </c>
      <c r="N58" s="44">
        <f>Assumptions!$D$15</f>
        <v>0.1</v>
      </c>
      <c r="O58" s="45">
        <f>IF(AP[[#This Row],[GST applies?]] = "Yes", (AP[[#This Row],[Invoice value inc. GST]] / 1 + AP[[#This Row],[GST %]]) * AP[[#This Row],[GST %]], 0)</f>
        <v>0</v>
      </c>
      <c r="P58" s="31">
        <f>_xlfn.XLOOKUP(AP[[#This Row],[Supplier name]], Supplier_master[Supplier name], Supplier_master[EOM or Net], 0)</f>
        <v>0</v>
      </c>
      <c r="Q58" s="31">
        <f>_xlfn.XLOOKUP(AP[[#This Row],[Supplier name]], Supplier_master[Supplier name], Supplier_master[Terms days], 0)</f>
        <v>0</v>
      </c>
      <c r="R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" s="4"/>
      <c r="T58" s="46">
        <f>IF(AP[[#This Row],[Payment date - override (dd/mm/yyyy)]] &lt;&gt; "", AP[[#This Row],[Payment date - override (dd/mm/yyyy)]], AP[[#This Row],[Due date (dd/mm/yyyy)]])</f>
        <v>0</v>
      </c>
      <c r="U58" s="46">
        <f t="shared" si="0"/>
        <v>52</v>
      </c>
    </row>
    <row r="59" spans="3:21" x14ac:dyDescent="0.25">
      <c r="C59" s="28"/>
      <c r="D59" s="20"/>
      <c r="E59" s="4"/>
      <c r="F59" s="37"/>
      <c r="G59" s="24"/>
      <c r="H59" s="31">
        <f>_xlfn.XLOOKUP(AP[[#This Row],[Supplier name]], Supplier_master[Supplier name], Supplier_master[Category L1], 0)</f>
        <v>0</v>
      </c>
      <c r="I59" s="64">
        <f>_xlfn.XLOOKUP(AP[[#This Row],[Supplier name]], Supplier_master[Supplier name], Supplier_master[Category L2], 0)</f>
        <v>0</v>
      </c>
      <c r="J59" s="55"/>
      <c r="K59" s="54"/>
      <c r="L59" s="57">
        <f>IF(AP[[#This Row],[Spend category L1 - Override]] &lt;&gt; "", AP[[#This Row],[Spend category L1 - Override]], AP[[#This Row],[Spend category L1]])</f>
        <v>0</v>
      </c>
      <c r="M59" s="57">
        <f>IF(AP[[#This Row],[Spend category L2 - Override]] &lt;&gt; "", AP[[#This Row],[Spend category L2 - Override]], AP[[#This Row],[Spend category L2]])</f>
        <v>0</v>
      </c>
      <c r="N59" s="51">
        <f>Assumptions!$D$15</f>
        <v>0.1</v>
      </c>
      <c r="O59" s="45">
        <f>IF(AP[[#This Row],[GST applies?]] = "Yes", (AP[[#This Row],[Invoice value inc. GST]] / 1 + AP[[#This Row],[GST %]]) * AP[[#This Row],[GST %]], 0)</f>
        <v>0</v>
      </c>
      <c r="P59" s="31">
        <f>_xlfn.XLOOKUP(AP[[#This Row],[Supplier name]], Supplier_master[Supplier name], Supplier_master[EOM or Net], 0)</f>
        <v>0</v>
      </c>
      <c r="Q59" s="31">
        <f>_xlfn.XLOOKUP(AP[[#This Row],[Supplier name]], Supplier_master[Supplier name], Supplier_master[Terms days], 0)</f>
        <v>0</v>
      </c>
      <c r="R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" s="4"/>
      <c r="T59" s="46">
        <f>IF(AP[[#This Row],[Payment date - override (dd/mm/yyyy)]] &lt;&gt; "", AP[[#This Row],[Payment date - override (dd/mm/yyyy)]], AP[[#This Row],[Due date (dd/mm/yyyy)]])</f>
        <v>0</v>
      </c>
      <c r="U59" s="46">
        <f t="shared" si="0"/>
        <v>52</v>
      </c>
    </row>
    <row r="60" spans="3:21" x14ac:dyDescent="0.25">
      <c r="C60" s="28"/>
      <c r="D60" s="20"/>
      <c r="E60" s="4"/>
      <c r="F60" s="37"/>
      <c r="G60" s="24"/>
      <c r="H60" s="31">
        <f>_xlfn.XLOOKUP(AP[[#This Row],[Supplier name]], Supplier_master[Supplier name], Supplier_master[Category L1], 0)</f>
        <v>0</v>
      </c>
      <c r="I60" s="64">
        <f>_xlfn.XLOOKUP(AP[[#This Row],[Supplier name]], Supplier_master[Supplier name], Supplier_master[Category L2], 0)</f>
        <v>0</v>
      </c>
      <c r="J60" s="55"/>
      <c r="K60" s="54"/>
      <c r="L60" s="57">
        <f>IF(AP[[#This Row],[Spend category L1 - Override]] &lt;&gt; "", AP[[#This Row],[Spend category L1 - Override]], AP[[#This Row],[Spend category L1]])</f>
        <v>0</v>
      </c>
      <c r="M60" s="57">
        <f>IF(AP[[#This Row],[Spend category L2 - Override]] &lt;&gt; "", AP[[#This Row],[Spend category L2 - Override]], AP[[#This Row],[Spend category L2]])</f>
        <v>0</v>
      </c>
      <c r="N60" s="51">
        <f>Assumptions!$D$15</f>
        <v>0.1</v>
      </c>
      <c r="O60" s="45">
        <f>IF(AP[[#This Row],[GST applies?]] = "Yes", (AP[[#This Row],[Invoice value inc. GST]] / 1 + AP[[#This Row],[GST %]]) * AP[[#This Row],[GST %]], 0)</f>
        <v>0</v>
      </c>
      <c r="P60" s="31">
        <f>_xlfn.XLOOKUP(AP[[#This Row],[Supplier name]], Supplier_master[Supplier name], Supplier_master[EOM or Net], 0)</f>
        <v>0</v>
      </c>
      <c r="Q60" s="31">
        <f>_xlfn.XLOOKUP(AP[[#This Row],[Supplier name]], Supplier_master[Supplier name], Supplier_master[Terms days], 0)</f>
        <v>0</v>
      </c>
      <c r="R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" s="4"/>
      <c r="T60" s="46">
        <f>IF(AP[[#This Row],[Payment date - override (dd/mm/yyyy)]] &lt;&gt; "", AP[[#This Row],[Payment date - override (dd/mm/yyyy)]], AP[[#This Row],[Due date (dd/mm/yyyy)]])</f>
        <v>0</v>
      </c>
      <c r="U60" s="46">
        <f t="shared" si="0"/>
        <v>52</v>
      </c>
    </row>
    <row r="61" spans="3:21" x14ac:dyDescent="0.25">
      <c r="C61" s="28"/>
      <c r="D61" s="20"/>
      <c r="E61" s="4"/>
      <c r="F61" s="37"/>
      <c r="G61" s="24"/>
      <c r="H61" s="31">
        <f>_xlfn.XLOOKUP(AP[[#This Row],[Supplier name]], Supplier_master[Supplier name], Supplier_master[Category L1], 0)</f>
        <v>0</v>
      </c>
      <c r="I61" s="64">
        <f>_xlfn.XLOOKUP(AP[[#This Row],[Supplier name]], Supplier_master[Supplier name], Supplier_master[Category L2], 0)</f>
        <v>0</v>
      </c>
      <c r="J61" s="55"/>
      <c r="K61" s="54"/>
      <c r="L61" s="57">
        <f>IF(AP[[#This Row],[Spend category L1 - Override]] &lt;&gt; "", AP[[#This Row],[Spend category L1 - Override]], AP[[#This Row],[Spend category L1]])</f>
        <v>0</v>
      </c>
      <c r="M61" s="57">
        <f>IF(AP[[#This Row],[Spend category L2 - Override]] &lt;&gt; "", AP[[#This Row],[Spend category L2 - Override]], AP[[#This Row],[Spend category L2]])</f>
        <v>0</v>
      </c>
      <c r="N61" s="51">
        <f>Assumptions!$D$15</f>
        <v>0.1</v>
      </c>
      <c r="O61" s="45">
        <f>IF(AP[[#This Row],[GST applies?]] = "Yes", (AP[[#This Row],[Invoice value inc. GST]] / 1 + AP[[#This Row],[GST %]]) * AP[[#This Row],[GST %]], 0)</f>
        <v>0</v>
      </c>
      <c r="P61" s="31">
        <f>_xlfn.XLOOKUP(AP[[#This Row],[Supplier name]], Supplier_master[Supplier name], Supplier_master[EOM or Net], 0)</f>
        <v>0</v>
      </c>
      <c r="Q61" s="31">
        <f>_xlfn.XLOOKUP(AP[[#This Row],[Supplier name]], Supplier_master[Supplier name], Supplier_master[Terms days], 0)</f>
        <v>0</v>
      </c>
      <c r="R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" s="4"/>
      <c r="T61" s="46">
        <f>IF(AP[[#This Row],[Payment date - override (dd/mm/yyyy)]] &lt;&gt; "", AP[[#This Row],[Payment date - override (dd/mm/yyyy)]], AP[[#This Row],[Due date (dd/mm/yyyy)]])</f>
        <v>0</v>
      </c>
      <c r="U61" s="46">
        <f t="shared" si="0"/>
        <v>52</v>
      </c>
    </row>
    <row r="62" spans="3:21" x14ac:dyDescent="0.25">
      <c r="C62" s="28"/>
      <c r="D62" s="20"/>
      <c r="E62" s="4"/>
      <c r="F62" s="37"/>
      <c r="G62" s="24"/>
      <c r="H62" s="31">
        <f>_xlfn.XLOOKUP(AP[[#This Row],[Supplier name]], Supplier_master[Supplier name], Supplier_master[Category L1], 0)</f>
        <v>0</v>
      </c>
      <c r="I62" s="64">
        <f>_xlfn.XLOOKUP(AP[[#This Row],[Supplier name]], Supplier_master[Supplier name], Supplier_master[Category L2], 0)</f>
        <v>0</v>
      </c>
      <c r="J62" s="55"/>
      <c r="K62" s="54"/>
      <c r="L62" s="57">
        <f>IF(AP[[#This Row],[Spend category L1 - Override]] &lt;&gt; "", AP[[#This Row],[Spend category L1 - Override]], AP[[#This Row],[Spend category L1]])</f>
        <v>0</v>
      </c>
      <c r="M62" s="57">
        <f>IF(AP[[#This Row],[Spend category L2 - Override]] &lt;&gt; "", AP[[#This Row],[Spend category L2 - Override]], AP[[#This Row],[Spend category L2]])</f>
        <v>0</v>
      </c>
      <c r="N62" s="51">
        <f>Assumptions!$D$15</f>
        <v>0.1</v>
      </c>
      <c r="O62" s="45">
        <f>IF(AP[[#This Row],[GST applies?]] = "Yes", (AP[[#This Row],[Invoice value inc. GST]] / 1 + AP[[#This Row],[GST %]]) * AP[[#This Row],[GST %]], 0)</f>
        <v>0</v>
      </c>
      <c r="P62" s="31">
        <f>_xlfn.XLOOKUP(AP[[#This Row],[Supplier name]], Supplier_master[Supplier name], Supplier_master[EOM or Net], 0)</f>
        <v>0</v>
      </c>
      <c r="Q62" s="31">
        <f>_xlfn.XLOOKUP(AP[[#This Row],[Supplier name]], Supplier_master[Supplier name], Supplier_master[Terms days], 0)</f>
        <v>0</v>
      </c>
      <c r="R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" s="4"/>
      <c r="T62" s="46">
        <f>IF(AP[[#This Row],[Payment date - override (dd/mm/yyyy)]] &lt;&gt; "", AP[[#This Row],[Payment date - override (dd/mm/yyyy)]], AP[[#This Row],[Due date (dd/mm/yyyy)]])</f>
        <v>0</v>
      </c>
      <c r="U62" s="46">
        <f t="shared" si="0"/>
        <v>52</v>
      </c>
    </row>
    <row r="63" spans="3:21" x14ac:dyDescent="0.25">
      <c r="C63" s="28"/>
      <c r="D63" s="20"/>
      <c r="E63" s="4"/>
      <c r="F63" s="37"/>
      <c r="G63" s="24"/>
      <c r="H63" s="31">
        <f>_xlfn.XLOOKUP(AP[[#This Row],[Supplier name]], Supplier_master[Supplier name], Supplier_master[Category L1], 0)</f>
        <v>0</v>
      </c>
      <c r="I63" s="64">
        <f>_xlfn.XLOOKUP(AP[[#This Row],[Supplier name]], Supplier_master[Supplier name], Supplier_master[Category L2], 0)</f>
        <v>0</v>
      </c>
      <c r="J63" s="55"/>
      <c r="K63" s="54"/>
      <c r="L63" s="57">
        <f>IF(AP[[#This Row],[Spend category L1 - Override]] &lt;&gt; "", AP[[#This Row],[Spend category L1 - Override]], AP[[#This Row],[Spend category L1]])</f>
        <v>0</v>
      </c>
      <c r="M63" s="57">
        <f>IF(AP[[#This Row],[Spend category L2 - Override]] &lt;&gt; "", AP[[#This Row],[Spend category L2 - Override]], AP[[#This Row],[Spend category L2]])</f>
        <v>0</v>
      </c>
      <c r="N63" s="51">
        <f>Assumptions!$D$15</f>
        <v>0.1</v>
      </c>
      <c r="O63" s="45">
        <f>IF(AP[[#This Row],[GST applies?]] = "Yes", (AP[[#This Row],[Invoice value inc. GST]] / 1 + AP[[#This Row],[GST %]]) * AP[[#This Row],[GST %]], 0)</f>
        <v>0</v>
      </c>
      <c r="P63" s="31">
        <f>_xlfn.XLOOKUP(AP[[#This Row],[Supplier name]], Supplier_master[Supplier name], Supplier_master[EOM or Net], 0)</f>
        <v>0</v>
      </c>
      <c r="Q63" s="31">
        <f>_xlfn.XLOOKUP(AP[[#This Row],[Supplier name]], Supplier_master[Supplier name], Supplier_master[Terms days], 0)</f>
        <v>0</v>
      </c>
      <c r="R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" s="4"/>
      <c r="T63" s="46">
        <f>IF(AP[[#This Row],[Payment date - override (dd/mm/yyyy)]] &lt;&gt; "", AP[[#This Row],[Payment date - override (dd/mm/yyyy)]], AP[[#This Row],[Due date (dd/mm/yyyy)]])</f>
        <v>0</v>
      </c>
      <c r="U63" s="46">
        <f t="shared" si="0"/>
        <v>52</v>
      </c>
    </row>
    <row r="64" spans="3:21" x14ac:dyDescent="0.25">
      <c r="C64" s="28"/>
      <c r="D64" s="20"/>
      <c r="E64" s="4"/>
      <c r="F64" s="37"/>
      <c r="G64" s="24"/>
      <c r="H64" s="31">
        <f>_xlfn.XLOOKUP(AP[[#This Row],[Supplier name]], Supplier_master[Supplier name], Supplier_master[Category L1], 0)</f>
        <v>0</v>
      </c>
      <c r="I64" s="64">
        <f>_xlfn.XLOOKUP(AP[[#This Row],[Supplier name]], Supplier_master[Supplier name], Supplier_master[Category L2], 0)</f>
        <v>0</v>
      </c>
      <c r="J64" s="55"/>
      <c r="K64" s="54"/>
      <c r="L64" s="57">
        <f>IF(AP[[#This Row],[Spend category L1 - Override]] &lt;&gt; "", AP[[#This Row],[Spend category L1 - Override]], AP[[#This Row],[Spend category L1]])</f>
        <v>0</v>
      </c>
      <c r="M64" s="57">
        <f>IF(AP[[#This Row],[Spend category L2 - Override]] &lt;&gt; "", AP[[#This Row],[Spend category L2 - Override]], AP[[#This Row],[Spend category L2]])</f>
        <v>0</v>
      </c>
      <c r="N64" s="51">
        <f>Assumptions!$D$15</f>
        <v>0.1</v>
      </c>
      <c r="O64" s="45">
        <f>IF(AP[[#This Row],[GST applies?]] = "Yes", (AP[[#This Row],[Invoice value inc. GST]] / 1 + AP[[#This Row],[GST %]]) * AP[[#This Row],[GST %]], 0)</f>
        <v>0</v>
      </c>
      <c r="P64" s="31">
        <f>_xlfn.XLOOKUP(AP[[#This Row],[Supplier name]], Supplier_master[Supplier name], Supplier_master[EOM or Net], 0)</f>
        <v>0</v>
      </c>
      <c r="Q64" s="31">
        <f>_xlfn.XLOOKUP(AP[[#This Row],[Supplier name]], Supplier_master[Supplier name], Supplier_master[Terms days], 0)</f>
        <v>0</v>
      </c>
      <c r="R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" s="4"/>
      <c r="T64" s="46">
        <f>IF(AP[[#This Row],[Payment date - override (dd/mm/yyyy)]] &lt;&gt; "", AP[[#This Row],[Payment date - override (dd/mm/yyyy)]], AP[[#This Row],[Due date (dd/mm/yyyy)]])</f>
        <v>0</v>
      </c>
      <c r="U64" s="46">
        <f t="shared" si="0"/>
        <v>52</v>
      </c>
    </row>
    <row r="65" spans="3:21" x14ac:dyDescent="0.25">
      <c r="C65" s="28"/>
      <c r="D65" s="20"/>
      <c r="E65" s="4"/>
      <c r="F65" s="37"/>
      <c r="G65" s="24"/>
      <c r="H65" s="31">
        <f>_xlfn.XLOOKUP(AP[[#This Row],[Supplier name]], Supplier_master[Supplier name], Supplier_master[Category L1], 0)</f>
        <v>0</v>
      </c>
      <c r="I65" s="64">
        <f>_xlfn.XLOOKUP(AP[[#This Row],[Supplier name]], Supplier_master[Supplier name], Supplier_master[Category L2], 0)</f>
        <v>0</v>
      </c>
      <c r="J65" s="55"/>
      <c r="K65" s="54"/>
      <c r="L65" s="57">
        <f>IF(AP[[#This Row],[Spend category L1 - Override]] &lt;&gt; "", AP[[#This Row],[Spend category L1 - Override]], AP[[#This Row],[Spend category L1]])</f>
        <v>0</v>
      </c>
      <c r="M65" s="57">
        <f>IF(AP[[#This Row],[Spend category L2 - Override]] &lt;&gt; "", AP[[#This Row],[Spend category L2 - Override]], AP[[#This Row],[Spend category L2]])</f>
        <v>0</v>
      </c>
      <c r="N65" s="51">
        <f>Assumptions!$D$15</f>
        <v>0.1</v>
      </c>
      <c r="O65" s="45">
        <f>IF(AP[[#This Row],[GST applies?]] = "Yes", (AP[[#This Row],[Invoice value inc. GST]] / 1 + AP[[#This Row],[GST %]]) * AP[[#This Row],[GST %]], 0)</f>
        <v>0</v>
      </c>
      <c r="P65" s="31">
        <f>_xlfn.XLOOKUP(AP[[#This Row],[Supplier name]], Supplier_master[Supplier name], Supplier_master[EOM or Net], 0)</f>
        <v>0</v>
      </c>
      <c r="Q65" s="31">
        <f>_xlfn.XLOOKUP(AP[[#This Row],[Supplier name]], Supplier_master[Supplier name], Supplier_master[Terms days], 0)</f>
        <v>0</v>
      </c>
      <c r="R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" s="4"/>
      <c r="T65" s="46">
        <f>IF(AP[[#This Row],[Payment date - override (dd/mm/yyyy)]] &lt;&gt; "", AP[[#This Row],[Payment date - override (dd/mm/yyyy)]], AP[[#This Row],[Due date (dd/mm/yyyy)]])</f>
        <v>0</v>
      </c>
      <c r="U65" s="46">
        <f t="shared" si="0"/>
        <v>52</v>
      </c>
    </row>
    <row r="66" spans="3:21" x14ac:dyDescent="0.25">
      <c r="C66" s="28"/>
      <c r="D66" s="20"/>
      <c r="E66" s="4"/>
      <c r="F66" s="37"/>
      <c r="G66" s="24"/>
      <c r="H66" s="31">
        <f>_xlfn.XLOOKUP(AP[[#This Row],[Supplier name]], Supplier_master[Supplier name], Supplier_master[Category L1], 0)</f>
        <v>0</v>
      </c>
      <c r="I66" s="64">
        <f>_xlfn.XLOOKUP(AP[[#This Row],[Supplier name]], Supplier_master[Supplier name], Supplier_master[Category L2], 0)</f>
        <v>0</v>
      </c>
      <c r="J66" s="55"/>
      <c r="K66" s="54"/>
      <c r="L66" s="57">
        <f>IF(AP[[#This Row],[Spend category L1 - Override]] &lt;&gt; "", AP[[#This Row],[Spend category L1 - Override]], AP[[#This Row],[Spend category L1]])</f>
        <v>0</v>
      </c>
      <c r="M66" s="57">
        <f>IF(AP[[#This Row],[Spend category L2 - Override]] &lt;&gt; "", AP[[#This Row],[Spend category L2 - Override]], AP[[#This Row],[Spend category L2]])</f>
        <v>0</v>
      </c>
      <c r="N66" s="51">
        <f>Assumptions!$D$15</f>
        <v>0.1</v>
      </c>
      <c r="O66" s="45">
        <f>IF(AP[[#This Row],[GST applies?]] = "Yes", (AP[[#This Row],[Invoice value inc. GST]] / 1 + AP[[#This Row],[GST %]]) * AP[[#This Row],[GST %]], 0)</f>
        <v>0</v>
      </c>
      <c r="P66" s="31">
        <f>_xlfn.XLOOKUP(AP[[#This Row],[Supplier name]], Supplier_master[Supplier name], Supplier_master[EOM or Net], 0)</f>
        <v>0</v>
      </c>
      <c r="Q66" s="31">
        <f>_xlfn.XLOOKUP(AP[[#This Row],[Supplier name]], Supplier_master[Supplier name], Supplier_master[Terms days], 0)</f>
        <v>0</v>
      </c>
      <c r="R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" s="4"/>
      <c r="T66" s="46">
        <f>IF(AP[[#This Row],[Payment date - override (dd/mm/yyyy)]] &lt;&gt; "", AP[[#This Row],[Payment date - override (dd/mm/yyyy)]], AP[[#This Row],[Due date (dd/mm/yyyy)]])</f>
        <v>0</v>
      </c>
      <c r="U66" s="46">
        <f t="shared" si="0"/>
        <v>52</v>
      </c>
    </row>
    <row r="67" spans="3:21" x14ac:dyDescent="0.25">
      <c r="C67" s="28"/>
      <c r="D67" s="20"/>
      <c r="E67" s="4"/>
      <c r="F67" s="37"/>
      <c r="G67" s="24"/>
      <c r="H67" s="31">
        <f>_xlfn.XLOOKUP(AP[[#This Row],[Supplier name]], Supplier_master[Supplier name], Supplier_master[Category L1], 0)</f>
        <v>0</v>
      </c>
      <c r="I67" s="64">
        <f>_xlfn.XLOOKUP(AP[[#This Row],[Supplier name]], Supplier_master[Supplier name], Supplier_master[Category L2], 0)</f>
        <v>0</v>
      </c>
      <c r="J67" s="55"/>
      <c r="K67" s="54"/>
      <c r="L67" s="57">
        <f>IF(AP[[#This Row],[Spend category L1 - Override]] &lt;&gt; "", AP[[#This Row],[Spend category L1 - Override]], AP[[#This Row],[Spend category L1]])</f>
        <v>0</v>
      </c>
      <c r="M67" s="57">
        <f>IF(AP[[#This Row],[Spend category L2 - Override]] &lt;&gt; "", AP[[#This Row],[Spend category L2 - Override]], AP[[#This Row],[Spend category L2]])</f>
        <v>0</v>
      </c>
      <c r="N67" s="51">
        <f>Assumptions!$D$15</f>
        <v>0.1</v>
      </c>
      <c r="O67" s="45">
        <f>IF(AP[[#This Row],[GST applies?]] = "Yes", (AP[[#This Row],[Invoice value inc. GST]] / 1 + AP[[#This Row],[GST %]]) * AP[[#This Row],[GST %]], 0)</f>
        <v>0</v>
      </c>
      <c r="P67" s="31">
        <f>_xlfn.XLOOKUP(AP[[#This Row],[Supplier name]], Supplier_master[Supplier name], Supplier_master[EOM or Net], 0)</f>
        <v>0</v>
      </c>
      <c r="Q67" s="31">
        <f>_xlfn.XLOOKUP(AP[[#This Row],[Supplier name]], Supplier_master[Supplier name], Supplier_master[Terms days], 0)</f>
        <v>0</v>
      </c>
      <c r="R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" s="4"/>
      <c r="T67" s="46">
        <f>IF(AP[[#This Row],[Payment date - override (dd/mm/yyyy)]] &lt;&gt; "", AP[[#This Row],[Payment date - override (dd/mm/yyyy)]], AP[[#This Row],[Due date (dd/mm/yyyy)]])</f>
        <v>0</v>
      </c>
      <c r="U67" s="46">
        <f t="shared" si="0"/>
        <v>52</v>
      </c>
    </row>
    <row r="68" spans="3:21" x14ac:dyDescent="0.25">
      <c r="C68" s="28"/>
      <c r="D68" s="20"/>
      <c r="E68" s="4"/>
      <c r="F68" s="37"/>
      <c r="G68" s="24"/>
      <c r="H68" s="31">
        <f>_xlfn.XLOOKUP(AP[[#This Row],[Supplier name]], Supplier_master[Supplier name], Supplier_master[Category L1], 0)</f>
        <v>0</v>
      </c>
      <c r="I68" s="64">
        <f>_xlfn.XLOOKUP(AP[[#This Row],[Supplier name]], Supplier_master[Supplier name], Supplier_master[Category L2], 0)</f>
        <v>0</v>
      </c>
      <c r="J68" s="55"/>
      <c r="K68" s="54"/>
      <c r="L68" s="57">
        <f>IF(AP[[#This Row],[Spend category L1 - Override]] &lt;&gt; "", AP[[#This Row],[Spend category L1 - Override]], AP[[#This Row],[Spend category L1]])</f>
        <v>0</v>
      </c>
      <c r="M68" s="57">
        <f>IF(AP[[#This Row],[Spend category L2 - Override]] &lt;&gt; "", AP[[#This Row],[Spend category L2 - Override]], AP[[#This Row],[Spend category L2]])</f>
        <v>0</v>
      </c>
      <c r="N68" s="51">
        <f>Assumptions!$D$15</f>
        <v>0.1</v>
      </c>
      <c r="O68" s="45">
        <f>IF(AP[[#This Row],[GST applies?]] = "Yes", (AP[[#This Row],[Invoice value inc. GST]] / 1 + AP[[#This Row],[GST %]]) * AP[[#This Row],[GST %]], 0)</f>
        <v>0</v>
      </c>
      <c r="P68" s="31">
        <f>_xlfn.XLOOKUP(AP[[#This Row],[Supplier name]], Supplier_master[Supplier name], Supplier_master[EOM or Net], 0)</f>
        <v>0</v>
      </c>
      <c r="Q68" s="31">
        <f>_xlfn.XLOOKUP(AP[[#This Row],[Supplier name]], Supplier_master[Supplier name], Supplier_master[Terms days], 0)</f>
        <v>0</v>
      </c>
      <c r="R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" s="4"/>
      <c r="T68" s="46">
        <f>IF(AP[[#This Row],[Payment date - override (dd/mm/yyyy)]] &lt;&gt; "", AP[[#This Row],[Payment date - override (dd/mm/yyyy)]], AP[[#This Row],[Due date (dd/mm/yyyy)]])</f>
        <v>0</v>
      </c>
      <c r="U68" s="46">
        <f t="shared" si="0"/>
        <v>52</v>
      </c>
    </row>
    <row r="69" spans="3:21" x14ac:dyDescent="0.25">
      <c r="C69" s="28"/>
      <c r="D69" s="20"/>
      <c r="E69" s="4"/>
      <c r="F69" s="37"/>
      <c r="G69" s="24"/>
      <c r="H69" s="31">
        <f>_xlfn.XLOOKUP(AP[[#This Row],[Supplier name]], Supplier_master[Supplier name], Supplier_master[Category L1], 0)</f>
        <v>0</v>
      </c>
      <c r="I69" s="64">
        <f>_xlfn.XLOOKUP(AP[[#This Row],[Supplier name]], Supplier_master[Supplier name], Supplier_master[Category L2], 0)</f>
        <v>0</v>
      </c>
      <c r="J69" s="55"/>
      <c r="K69" s="54"/>
      <c r="L69" s="57">
        <f>IF(AP[[#This Row],[Spend category L1 - Override]] &lt;&gt; "", AP[[#This Row],[Spend category L1 - Override]], AP[[#This Row],[Spend category L1]])</f>
        <v>0</v>
      </c>
      <c r="M69" s="57">
        <f>IF(AP[[#This Row],[Spend category L2 - Override]] &lt;&gt; "", AP[[#This Row],[Spend category L2 - Override]], AP[[#This Row],[Spend category L2]])</f>
        <v>0</v>
      </c>
      <c r="N69" s="51">
        <f>Assumptions!$D$15</f>
        <v>0.1</v>
      </c>
      <c r="O69" s="45">
        <f>IF(AP[[#This Row],[GST applies?]] = "Yes", (AP[[#This Row],[Invoice value inc. GST]] / 1 + AP[[#This Row],[GST %]]) * AP[[#This Row],[GST %]], 0)</f>
        <v>0</v>
      </c>
      <c r="P69" s="31">
        <f>_xlfn.XLOOKUP(AP[[#This Row],[Supplier name]], Supplier_master[Supplier name], Supplier_master[EOM or Net], 0)</f>
        <v>0</v>
      </c>
      <c r="Q69" s="31">
        <f>_xlfn.XLOOKUP(AP[[#This Row],[Supplier name]], Supplier_master[Supplier name], Supplier_master[Terms days], 0)</f>
        <v>0</v>
      </c>
      <c r="R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" s="4"/>
      <c r="T69" s="46">
        <f>IF(AP[[#This Row],[Payment date - override (dd/mm/yyyy)]] &lt;&gt; "", AP[[#This Row],[Payment date - override (dd/mm/yyyy)]], AP[[#This Row],[Due date (dd/mm/yyyy)]])</f>
        <v>0</v>
      </c>
      <c r="U69" s="46">
        <f t="shared" si="0"/>
        <v>52</v>
      </c>
    </row>
    <row r="70" spans="3:21" x14ac:dyDescent="0.25">
      <c r="C70" s="28"/>
      <c r="D70" s="20"/>
      <c r="E70" s="4"/>
      <c r="F70" s="37"/>
      <c r="G70" s="24"/>
      <c r="H70" s="31">
        <f>_xlfn.XLOOKUP(AP[[#This Row],[Supplier name]], Supplier_master[Supplier name], Supplier_master[Category L1], 0)</f>
        <v>0</v>
      </c>
      <c r="I70" s="64">
        <f>_xlfn.XLOOKUP(AP[[#This Row],[Supplier name]], Supplier_master[Supplier name], Supplier_master[Category L2], 0)</f>
        <v>0</v>
      </c>
      <c r="J70" s="55"/>
      <c r="K70" s="54"/>
      <c r="L70" s="57">
        <f>IF(AP[[#This Row],[Spend category L1 - Override]] &lt;&gt; "", AP[[#This Row],[Spend category L1 - Override]], AP[[#This Row],[Spend category L1]])</f>
        <v>0</v>
      </c>
      <c r="M70" s="57">
        <f>IF(AP[[#This Row],[Spend category L2 - Override]] &lt;&gt; "", AP[[#This Row],[Spend category L2 - Override]], AP[[#This Row],[Spend category L2]])</f>
        <v>0</v>
      </c>
      <c r="N70" s="51">
        <f>Assumptions!$D$15</f>
        <v>0.1</v>
      </c>
      <c r="O70" s="45">
        <f>IF(AP[[#This Row],[GST applies?]] = "Yes", (AP[[#This Row],[Invoice value inc. GST]] / 1 + AP[[#This Row],[GST %]]) * AP[[#This Row],[GST %]], 0)</f>
        <v>0</v>
      </c>
      <c r="P70" s="31">
        <f>_xlfn.XLOOKUP(AP[[#This Row],[Supplier name]], Supplier_master[Supplier name], Supplier_master[EOM or Net], 0)</f>
        <v>0</v>
      </c>
      <c r="Q70" s="31">
        <f>_xlfn.XLOOKUP(AP[[#This Row],[Supplier name]], Supplier_master[Supplier name], Supplier_master[Terms days], 0)</f>
        <v>0</v>
      </c>
      <c r="R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" s="4"/>
      <c r="T70" s="46">
        <f>IF(AP[[#This Row],[Payment date - override (dd/mm/yyyy)]] &lt;&gt; "", AP[[#This Row],[Payment date - override (dd/mm/yyyy)]], AP[[#This Row],[Due date (dd/mm/yyyy)]])</f>
        <v>0</v>
      </c>
      <c r="U70" s="46">
        <f t="shared" si="0"/>
        <v>52</v>
      </c>
    </row>
    <row r="71" spans="3:21" x14ac:dyDescent="0.25">
      <c r="C71" s="28"/>
      <c r="D71" s="20"/>
      <c r="E71" s="4"/>
      <c r="F71" s="37"/>
      <c r="G71" s="24"/>
      <c r="H71" s="31">
        <f>_xlfn.XLOOKUP(AP[[#This Row],[Supplier name]], Supplier_master[Supplier name], Supplier_master[Category L1], 0)</f>
        <v>0</v>
      </c>
      <c r="I71" s="64">
        <f>_xlfn.XLOOKUP(AP[[#This Row],[Supplier name]], Supplier_master[Supplier name], Supplier_master[Category L2], 0)</f>
        <v>0</v>
      </c>
      <c r="J71" s="55"/>
      <c r="K71" s="54"/>
      <c r="L71" s="57">
        <f>IF(AP[[#This Row],[Spend category L1 - Override]] &lt;&gt; "", AP[[#This Row],[Spend category L1 - Override]], AP[[#This Row],[Spend category L1]])</f>
        <v>0</v>
      </c>
      <c r="M71" s="57">
        <f>IF(AP[[#This Row],[Spend category L2 - Override]] &lt;&gt; "", AP[[#This Row],[Spend category L2 - Override]], AP[[#This Row],[Spend category L2]])</f>
        <v>0</v>
      </c>
      <c r="N71" s="51">
        <f>Assumptions!$D$15</f>
        <v>0.1</v>
      </c>
      <c r="O71" s="45">
        <f>IF(AP[[#This Row],[GST applies?]] = "Yes", (AP[[#This Row],[Invoice value inc. GST]] / 1 + AP[[#This Row],[GST %]]) * AP[[#This Row],[GST %]], 0)</f>
        <v>0</v>
      </c>
      <c r="P71" s="31">
        <f>_xlfn.XLOOKUP(AP[[#This Row],[Supplier name]], Supplier_master[Supplier name], Supplier_master[EOM or Net], 0)</f>
        <v>0</v>
      </c>
      <c r="Q71" s="31">
        <f>_xlfn.XLOOKUP(AP[[#This Row],[Supplier name]], Supplier_master[Supplier name], Supplier_master[Terms days], 0)</f>
        <v>0</v>
      </c>
      <c r="R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" s="4"/>
      <c r="T71" s="46">
        <f>IF(AP[[#This Row],[Payment date - override (dd/mm/yyyy)]] &lt;&gt; "", AP[[#This Row],[Payment date - override (dd/mm/yyyy)]], AP[[#This Row],[Due date (dd/mm/yyyy)]])</f>
        <v>0</v>
      </c>
      <c r="U71" s="46">
        <f t="shared" si="0"/>
        <v>52</v>
      </c>
    </row>
    <row r="72" spans="3:21" x14ac:dyDescent="0.25">
      <c r="C72" s="28"/>
      <c r="D72" s="20"/>
      <c r="E72" s="4"/>
      <c r="F72" s="37"/>
      <c r="G72" s="24"/>
      <c r="H72" s="31">
        <f>_xlfn.XLOOKUP(AP[[#This Row],[Supplier name]], Supplier_master[Supplier name], Supplier_master[Category L1], 0)</f>
        <v>0</v>
      </c>
      <c r="I72" s="64">
        <f>_xlfn.XLOOKUP(AP[[#This Row],[Supplier name]], Supplier_master[Supplier name], Supplier_master[Category L2], 0)</f>
        <v>0</v>
      </c>
      <c r="J72" s="55"/>
      <c r="K72" s="54"/>
      <c r="L72" s="57">
        <f>IF(AP[[#This Row],[Spend category L1 - Override]] &lt;&gt; "", AP[[#This Row],[Spend category L1 - Override]], AP[[#This Row],[Spend category L1]])</f>
        <v>0</v>
      </c>
      <c r="M72" s="57">
        <f>IF(AP[[#This Row],[Spend category L2 - Override]] &lt;&gt; "", AP[[#This Row],[Spend category L2 - Override]], AP[[#This Row],[Spend category L2]])</f>
        <v>0</v>
      </c>
      <c r="N72" s="51">
        <f>Assumptions!$D$15</f>
        <v>0.1</v>
      </c>
      <c r="O72" s="45">
        <f>IF(AP[[#This Row],[GST applies?]] = "Yes", (AP[[#This Row],[Invoice value inc. GST]] / 1 + AP[[#This Row],[GST %]]) * AP[[#This Row],[GST %]], 0)</f>
        <v>0</v>
      </c>
      <c r="P72" s="31">
        <f>_xlfn.XLOOKUP(AP[[#This Row],[Supplier name]], Supplier_master[Supplier name], Supplier_master[EOM or Net], 0)</f>
        <v>0</v>
      </c>
      <c r="Q72" s="31">
        <f>_xlfn.XLOOKUP(AP[[#This Row],[Supplier name]], Supplier_master[Supplier name], Supplier_master[Terms days], 0)</f>
        <v>0</v>
      </c>
      <c r="R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" s="4"/>
      <c r="T72" s="46">
        <f>IF(AP[[#This Row],[Payment date - override (dd/mm/yyyy)]] &lt;&gt; "", AP[[#This Row],[Payment date - override (dd/mm/yyyy)]], AP[[#This Row],[Due date (dd/mm/yyyy)]])</f>
        <v>0</v>
      </c>
      <c r="U72" s="46">
        <f t="shared" si="0"/>
        <v>52</v>
      </c>
    </row>
    <row r="73" spans="3:21" x14ac:dyDescent="0.25">
      <c r="C73" s="28"/>
      <c r="D73" s="20"/>
      <c r="E73" s="4"/>
      <c r="F73" s="37"/>
      <c r="G73" s="24"/>
      <c r="H73" s="31">
        <f>_xlfn.XLOOKUP(AP[[#This Row],[Supplier name]], Supplier_master[Supplier name], Supplier_master[Category L1], 0)</f>
        <v>0</v>
      </c>
      <c r="I73" s="64">
        <f>_xlfn.XLOOKUP(AP[[#This Row],[Supplier name]], Supplier_master[Supplier name], Supplier_master[Category L2], 0)</f>
        <v>0</v>
      </c>
      <c r="J73" s="55"/>
      <c r="K73" s="54"/>
      <c r="L73" s="57">
        <f>IF(AP[[#This Row],[Spend category L1 - Override]] &lt;&gt; "", AP[[#This Row],[Spend category L1 - Override]], AP[[#This Row],[Spend category L1]])</f>
        <v>0</v>
      </c>
      <c r="M73" s="57">
        <f>IF(AP[[#This Row],[Spend category L2 - Override]] &lt;&gt; "", AP[[#This Row],[Spend category L2 - Override]], AP[[#This Row],[Spend category L2]])</f>
        <v>0</v>
      </c>
      <c r="N73" s="51">
        <f>Assumptions!$D$15</f>
        <v>0.1</v>
      </c>
      <c r="O73" s="45">
        <f>IF(AP[[#This Row],[GST applies?]] = "Yes", (AP[[#This Row],[Invoice value inc. GST]] / 1 + AP[[#This Row],[GST %]]) * AP[[#This Row],[GST %]], 0)</f>
        <v>0</v>
      </c>
      <c r="P73" s="31">
        <f>_xlfn.XLOOKUP(AP[[#This Row],[Supplier name]], Supplier_master[Supplier name], Supplier_master[EOM or Net], 0)</f>
        <v>0</v>
      </c>
      <c r="Q73" s="31">
        <f>_xlfn.XLOOKUP(AP[[#This Row],[Supplier name]], Supplier_master[Supplier name], Supplier_master[Terms days], 0)</f>
        <v>0</v>
      </c>
      <c r="R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" s="4"/>
      <c r="T73" s="46">
        <f>IF(AP[[#This Row],[Payment date - override (dd/mm/yyyy)]] &lt;&gt; "", AP[[#This Row],[Payment date - override (dd/mm/yyyy)]], AP[[#This Row],[Due date (dd/mm/yyyy)]])</f>
        <v>0</v>
      </c>
      <c r="U73" s="46">
        <f t="shared" ref="U73:U136" si="1">IF(GST_Freq="Monthly",
    DATE(YEAR(E73), MONTH(E73) + 1, 21),
    IF(GST_Freq="Quarterly",
        IF(MOD(MONTH(E73) + 2 - MOD(MOD(MONTH(E73) - GST_First_Month, 12), 3), 12) = 0,
            DATE(YEAR(E73), MONTH(E73) + 4 - MOD(MOD(MONTH(E73) - GST_First_Month, 12), 3), 28),
            DATE(YEAR(E73), MONTH(E73) + 3 - MOD(MOD(MONTH(E73) - GST_First_Month, 12), 3), 28)
        ),
        "Invalid frequency"
    )
)</f>
        <v>52</v>
      </c>
    </row>
    <row r="74" spans="3:21" x14ac:dyDescent="0.25">
      <c r="C74" s="28"/>
      <c r="D74" s="20"/>
      <c r="E74" s="4"/>
      <c r="F74" s="37"/>
      <c r="G74" s="24"/>
      <c r="H74" s="31">
        <f>_xlfn.XLOOKUP(AP[[#This Row],[Supplier name]], Supplier_master[Supplier name], Supplier_master[Category L1], 0)</f>
        <v>0</v>
      </c>
      <c r="I74" s="64">
        <f>_xlfn.XLOOKUP(AP[[#This Row],[Supplier name]], Supplier_master[Supplier name], Supplier_master[Category L2], 0)</f>
        <v>0</v>
      </c>
      <c r="J74" s="55"/>
      <c r="K74" s="54"/>
      <c r="L74" s="57">
        <f>IF(AP[[#This Row],[Spend category L1 - Override]] &lt;&gt; "", AP[[#This Row],[Spend category L1 - Override]], AP[[#This Row],[Spend category L1]])</f>
        <v>0</v>
      </c>
      <c r="M74" s="57">
        <f>IF(AP[[#This Row],[Spend category L2 - Override]] &lt;&gt; "", AP[[#This Row],[Spend category L2 - Override]], AP[[#This Row],[Spend category L2]])</f>
        <v>0</v>
      </c>
      <c r="N74" s="51">
        <f>Assumptions!$D$15</f>
        <v>0.1</v>
      </c>
      <c r="O74" s="45">
        <f>IF(AP[[#This Row],[GST applies?]] = "Yes", (AP[[#This Row],[Invoice value inc. GST]] / 1 + AP[[#This Row],[GST %]]) * AP[[#This Row],[GST %]], 0)</f>
        <v>0</v>
      </c>
      <c r="P74" s="31">
        <f>_xlfn.XLOOKUP(AP[[#This Row],[Supplier name]], Supplier_master[Supplier name], Supplier_master[EOM or Net], 0)</f>
        <v>0</v>
      </c>
      <c r="Q74" s="31">
        <f>_xlfn.XLOOKUP(AP[[#This Row],[Supplier name]], Supplier_master[Supplier name], Supplier_master[Terms days], 0)</f>
        <v>0</v>
      </c>
      <c r="R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" s="4"/>
      <c r="T74" s="46">
        <f>IF(AP[[#This Row],[Payment date - override (dd/mm/yyyy)]] &lt;&gt; "", AP[[#This Row],[Payment date - override (dd/mm/yyyy)]], AP[[#This Row],[Due date (dd/mm/yyyy)]])</f>
        <v>0</v>
      </c>
      <c r="U74" s="46">
        <f t="shared" si="1"/>
        <v>52</v>
      </c>
    </row>
    <row r="75" spans="3:21" x14ac:dyDescent="0.25">
      <c r="C75" s="28"/>
      <c r="D75" s="20"/>
      <c r="E75" s="4"/>
      <c r="F75" s="37"/>
      <c r="G75" s="24"/>
      <c r="H75" s="31">
        <f>_xlfn.XLOOKUP(AP[[#This Row],[Supplier name]], Supplier_master[Supplier name], Supplier_master[Category L1], 0)</f>
        <v>0</v>
      </c>
      <c r="I75" s="64">
        <f>_xlfn.XLOOKUP(AP[[#This Row],[Supplier name]], Supplier_master[Supplier name], Supplier_master[Category L2], 0)</f>
        <v>0</v>
      </c>
      <c r="J75" s="55"/>
      <c r="K75" s="54"/>
      <c r="L75" s="57">
        <f>IF(AP[[#This Row],[Spend category L1 - Override]] &lt;&gt; "", AP[[#This Row],[Spend category L1 - Override]], AP[[#This Row],[Spend category L1]])</f>
        <v>0</v>
      </c>
      <c r="M75" s="57">
        <f>IF(AP[[#This Row],[Spend category L2 - Override]] &lt;&gt; "", AP[[#This Row],[Spend category L2 - Override]], AP[[#This Row],[Spend category L2]])</f>
        <v>0</v>
      </c>
      <c r="N75" s="51">
        <f>Assumptions!$D$15</f>
        <v>0.1</v>
      </c>
      <c r="O75" s="45">
        <f>IF(AP[[#This Row],[GST applies?]] = "Yes", (AP[[#This Row],[Invoice value inc. GST]] / 1 + AP[[#This Row],[GST %]]) * AP[[#This Row],[GST %]], 0)</f>
        <v>0</v>
      </c>
      <c r="P75" s="31">
        <f>_xlfn.XLOOKUP(AP[[#This Row],[Supplier name]], Supplier_master[Supplier name], Supplier_master[EOM or Net], 0)</f>
        <v>0</v>
      </c>
      <c r="Q75" s="31">
        <f>_xlfn.XLOOKUP(AP[[#This Row],[Supplier name]], Supplier_master[Supplier name], Supplier_master[Terms days], 0)</f>
        <v>0</v>
      </c>
      <c r="R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" s="4"/>
      <c r="T75" s="46">
        <f>IF(AP[[#This Row],[Payment date - override (dd/mm/yyyy)]] &lt;&gt; "", AP[[#This Row],[Payment date - override (dd/mm/yyyy)]], AP[[#This Row],[Due date (dd/mm/yyyy)]])</f>
        <v>0</v>
      </c>
      <c r="U75" s="46">
        <f t="shared" si="1"/>
        <v>52</v>
      </c>
    </row>
    <row r="76" spans="3:21" x14ac:dyDescent="0.25">
      <c r="C76" s="28"/>
      <c r="D76" s="20"/>
      <c r="E76" s="4"/>
      <c r="F76" s="37"/>
      <c r="G76" s="24"/>
      <c r="H76" s="31">
        <f>_xlfn.XLOOKUP(AP[[#This Row],[Supplier name]], Supplier_master[Supplier name], Supplier_master[Category L1], 0)</f>
        <v>0</v>
      </c>
      <c r="I76" s="64">
        <f>_xlfn.XLOOKUP(AP[[#This Row],[Supplier name]], Supplier_master[Supplier name], Supplier_master[Category L2], 0)</f>
        <v>0</v>
      </c>
      <c r="J76" s="55"/>
      <c r="K76" s="54"/>
      <c r="L76" s="57">
        <f>IF(AP[[#This Row],[Spend category L1 - Override]] &lt;&gt; "", AP[[#This Row],[Spend category L1 - Override]], AP[[#This Row],[Spend category L1]])</f>
        <v>0</v>
      </c>
      <c r="M76" s="57">
        <f>IF(AP[[#This Row],[Spend category L2 - Override]] &lt;&gt; "", AP[[#This Row],[Spend category L2 - Override]], AP[[#This Row],[Spend category L2]])</f>
        <v>0</v>
      </c>
      <c r="N76" s="51">
        <f>Assumptions!$D$15</f>
        <v>0.1</v>
      </c>
      <c r="O76" s="45">
        <f>IF(AP[[#This Row],[GST applies?]] = "Yes", (AP[[#This Row],[Invoice value inc. GST]] / 1 + AP[[#This Row],[GST %]]) * AP[[#This Row],[GST %]], 0)</f>
        <v>0</v>
      </c>
      <c r="P76" s="31">
        <f>_xlfn.XLOOKUP(AP[[#This Row],[Supplier name]], Supplier_master[Supplier name], Supplier_master[EOM or Net], 0)</f>
        <v>0</v>
      </c>
      <c r="Q76" s="31">
        <f>_xlfn.XLOOKUP(AP[[#This Row],[Supplier name]], Supplier_master[Supplier name], Supplier_master[Terms days], 0)</f>
        <v>0</v>
      </c>
      <c r="R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" s="4"/>
      <c r="T76" s="46">
        <f>IF(AP[[#This Row],[Payment date - override (dd/mm/yyyy)]] &lt;&gt; "", AP[[#This Row],[Payment date - override (dd/mm/yyyy)]], AP[[#This Row],[Due date (dd/mm/yyyy)]])</f>
        <v>0</v>
      </c>
      <c r="U76" s="46">
        <f t="shared" si="1"/>
        <v>52</v>
      </c>
    </row>
    <row r="77" spans="3:21" x14ac:dyDescent="0.25">
      <c r="C77" s="28"/>
      <c r="D77" s="20"/>
      <c r="E77" s="4"/>
      <c r="F77" s="37"/>
      <c r="G77" s="24"/>
      <c r="H77" s="31">
        <f>_xlfn.XLOOKUP(AP[[#This Row],[Supplier name]], Supplier_master[Supplier name], Supplier_master[Category L1], 0)</f>
        <v>0</v>
      </c>
      <c r="I77" s="64">
        <f>_xlfn.XLOOKUP(AP[[#This Row],[Supplier name]], Supplier_master[Supplier name], Supplier_master[Category L2], 0)</f>
        <v>0</v>
      </c>
      <c r="J77" s="55"/>
      <c r="K77" s="54"/>
      <c r="L77" s="57">
        <f>IF(AP[[#This Row],[Spend category L1 - Override]] &lt;&gt; "", AP[[#This Row],[Spend category L1 - Override]], AP[[#This Row],[Spend category L1]])</f>
        <v>0</v>
      </c>
      <c r="M77" s="57">
        <f>IF(AP[[#This Row],[Spend category L2 - Override]] &lt;&gt; "", AP[[#This Row],[Spend category L2 - Override]], AP[[#This Row],[Spend category L2]])</f>
        <v>0</v>
      </c>
      <c r="N77" s="51">
        <f>Assumptions!$D$15</f>
        <v>0.1</v>
      </c>
      <c r="O77" s="45">
        <f>IF(AP[[#This Row],[GST applies?]] = "Yes", (AP[[#This Row],[Invoice value inc. GST]] / 1 + AP[[#This Row],[GST %]]) * AP[[#This Row],[GST %]], 0)</f>
        <v>0</v>
      </c>
      <c r="P77" s="31">
        <f>_xlfn.XLOOKUP(AP[[#This Row],[Supplier name]], Supplier_master[Supplier name], Supplier_master[EOM or Net], 0)</f>
        <v>0</v>
      </c>
      <c r="Q77" s="31">
        <f>_xlfn.XLOOKUP(AP[[#This Row],[Supplier name]], Supplier_master[Supplier name], Supplier_master[Terms days], 0)</f>
        <v>0</v>
      </c>
      <c r="R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" s="4"/>
      <c r="T77" s="46">
        <f>IF(AP[[#This Row],[Payment date - override (dd/mm/yyyy)]] &lt;&gt; "", AP[[#This Row],[Payment date - override (dd/mm/yyyy)]], AP[[#This Row],[Due date (dd/mm/yyyy)]])</f>
        <v>0</v>
      </c>
      <c r="U77" s="46">
        <f t="shared" si="1"/>
        <v>52</v>
      </c>
    </row>
    <row r="78" spans="3:21" x14ac:dyDescent="0.25">
      <c r="C78" s="28"/>
      <c r="D78" s="20"/>
      <c r="E78" s="4"/>
      <c r="F78" s="37"/>
      <c r="G78" s="24"/>
      <c r="H78" s="31">
        <f>_xlfn.XLOOKUP(AP[[#This Row],[Supplier name]], Supplier_master[Supplier name], Supplier_master[Category L1], 0)</f>
        <v>0</v>
      </c>
      <c r="I78" s="64">
        <f>_xlfn.XLOOKUP(AP[[#This Row],[Supplier name]], Supplier_master[Supplier name], Supplier_master[Category L2], 0)</f>
        <v>0</v>
      </c>
      <c r="J78" s="55"/>
      <c r="K78" s="54"/>
      <c r="L78" s="57">
        <f>IF(AP[[#This Row],[Spend category L1 - Override]] &lt;&gt; "", AP[[#This Row],[Spend category L1 - Override]], AP[[#This Row],[Spend category L1]])</f>
        <v>0</v>
      </c>
      <c r="M78" s="57">
        <f>IF(AP[[#This Row],[Spend category L2 - Override]] &lt;&gt; "", AP[[#This Row],[Spend category L2 - Override]], AP[[#This Row],[Spend category L2]])</f>
        <v>0</v>
      </c>
      <c r="N78" s="51">
        <f>Assumptions!$D$15</f>
        <v>0.1</v>
      </c>
      <c r="O78" s="45">
        <f>IF(AP[[#This Row],[GST applies?]] = "Yes", (AP[[#This Row],[Invoice value inc. GST]] / 1 + AP[[#This Row],[GST %]]) * AP[[#This Row],[GST %]], 0)</f>
        <v>0</v>
      </c>
      <c r="P78" s="31">
        <f>_xlfn.XLOOKUP(AP[[#This Row],[Supplier name]], Supplier_master[Supplier name], Supplier_master[EOM or Net], 0)</f>
        <v>0</v>
      </c>
      <c r="Q78" s="31">
        <f>_xlfn.XLOOKUP(AP[[#This Row],[Supplier name]], Supplier_master[Supplier name], Supplier_master[Terms days], 0)</f>
        <v>0</v>
      </c>
      <c r="R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" s="4"/>
      <c r="T78" s="46">
        <f>IF(AP[[#This Row],[Payment date - override (dd/mm/yyyy)]] &lt;&gt; "", AP[[#This Row],[Payment date - override (dd/mm/yyyy)]], AP[[#This Row],[Due date (dd/mm/yyyy)]])</f>
        <v>0</v>
      </c>
      <c r="U78" s="46">
        <f t="shared" si="1"/>
        <v>52</v>
      </c>
    </row>
    <row r="79" spans="3:21" x14ac:dyDescent="0.25">
      <c r="C79" s="28"/>
      <c r="D79" s="20"/>
      <c r="E79" s="4"/>
      <c r="F79" s="37"/>
      <c r="G79" s="24"/>
      <c r="H79" s="31">
        <f>_xlfn.XLOOKUP(AP[[#This Row],[Supplier name]], Supplier_master[Supplier name], Supplier_master[Category L1], 0)</f>
        <v>0</v>
      </c>
      <c r="I79" s="64">
        <f>_xlfn.XLOOKUP(AP[[#This Row],[Supplier name]], Supplier_master[Supplier name], Supplier_master[Category L2], 0)</f>
        <v>0</v>
      </c>
      <c r="J79" s="55"/>
      <c r="K79" s="54"/>
      <c r="L79" s="57">
        <f>IF(AP[[#This Row],[Spend category L1 - Override]] &lt;&gt; "", AP[[#This Row],[Spend category L1 - Override]], AP[[#This Row],[Spend category L1]])</f>
        <v>0</v>
      </c>
      <c r="M79" s="57">
        <f>IF(AP[[#This Row],[Spend category L2 - Override]] &lt;&gt; "", AP[[#This Row],[Spend category L2 - Override]], AP[[#This Row],[Spend category L2]])</f>
        <v>0</v>
      </c>
      <c r="N79" s="51">
        <f>Assumptions!$D$15</f>
        <v>0.1</v>
      </c>
      <c r="O79" s="45">
        <f>IF(AP[[#This Row],[GST applies?]] = "Yes", (AP[[#This Row],[Invoice value inc. GST]] / 1 + AP[[#This Row],[GST %]]) * AP[[#This Row],[GST %]], 0)</f>
        <v>0</v>
      </c>
      <c r="P79" s="31">
        <f>_xlfn.XLOOKUP(AP[[#This Row],[Supplier name]], Supplier_master[Supplier name], Supplier_master[EOM or Net], 0)</f>
        <v>0</v>
      </c>
      <c r="Q79" s="31">
        <f>_xlfn.XLOOKUP(AP[[#This Row],[Supplier name]], Supplier_master[Supplier name], Supplier_master[Terms days], 0)</f>
        <v>0</v>
      </c>
      <c r="R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" s="4"/>
      <c r="T79" s="46">
        <f>IF(AP[[#This Row],[Payment date - override (dd/mm/yyyy)]] &lt;&gt; "", AP[[#This Row],[Payment date - override (dd/mm/yyyy)]], AP[[#This Row],[Due date (dd/mm/yyyy)]])</f>
        <v>0</v>
      </c>
      <c r="U79" s="46">
        <f t="shared" si="1"/>
        <v>52</v>
      </c>
    </row>
    <row r="80" spans="3:21" x14ac:dyDescent="0.25">
      <c r="C80" s="28"/>
      <c r="D80" s="20"/>
      <c r="E80" s="4"/>
      <c r="F80" s="37"/>
      <c r="G80" s="24"/>
      <c r="H80" s="31">
        <f>_xlfn.XLOOKUP(AP[[#This Row],[Supplier name]], Supplier_master[Supplier name], Supplier_master[Category L1], 0)</f>
        <v>0</v>
      </c>
      <c r="I80" s="64">
        <f>_xlfn.XLOOKUP(AP[[#This Row],[Supplier name]], Supplier_master[Supplier name], Supplier_master[Category L2], 0)</f>
        <v>0</v>
      </c>
      <c r="J80" s="55"/>
      <c r="K80" s="54"/>
      <c r="L80" s="57">
        <f>IF(AP[[#This Row],[Spend category L1 - Override]] &lt;&gt; "", AP[[#This Row],[Spend category L1 - Override]], AP[[#This Row],[Spend category L1]])</f>
        <v>0</v>
      </c>
      <c r="M80" s="57">
        <f>IF(AP[[#This Row],[Spend category L2 - Override]] &lt;&gt; "", AP[[#This Row],[Spend category L2 - Override]], AP[[#This Row],[Spend category L2]])</f>
        <v>0</v>
      </c>
      <c r="N80" s="51">
        <f>Assumptions!$D$15</f>
        <v>0.1</v>
      </c>
      <c r="O80" s="45">
        <f>IF(AP[[#This Row],[GST applies?]] = "Yes", (AP[[#This Row],[Invoice value inc. GST]] / 1 + AP[[#This Row],[GST %]]) * AP[[#This Row],[GST %]], 0)</f>
        <v>0</v>
      </c>
      <c r="P80" s="31">
        <f>_xlfn.XLOOKUP(AP[[#This Row],[Supplier name]], Supplier_master[Supplier name], Supplier_master[EOM or Net], 0)</f>
        <v>0</v>
      </c>
      <c r="Q80" s="31">
        <f>_xlfn.XLOOKUP(AP[[#This Row],[Supplier name]], Supplier_master[Supplier name], Supplier_master[Terms days], 0)</f>
        <v>0</v>
      </c>
      <c r="R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" s="4"/>
      <c r="T80" s="46">
        <f>IF(AP[[#This Row],[Payment date - override (dd/mm/yyyy)]] &lt;&gt; "", AP[[#This Row],[Payment date - override (dd/mm/yyyy)]], AP[[#This Row],[Due date (dd/mm/yyyy)]])</f>
        <v>0</v>
      </c>
      <c r="U80" s="46">
        <f t="shared" si="1"/>
        <v>52</v>
      </c>
    </row>
    <row r="81" spans="3:21" x14ac:dyDescent="0.25">
      <c r="C81" s="28"/>
      <c r="D81" s="20"/>
      <c r="E81" s="4"/>
      <c r="F81" s="37"/>
      <c r="G81" s="24"/>
      <c r="H81" s="31">
        <f>_xlfn.XLOOKUP(AP[[#This Row],[Supplier name]], Supplier_master[Supplier name], Supplier_master[Category L1], 0)</f>
        <v>0</v>
      </c>
      <c r="I81" s="64">
        <f>_xlfn.XLOOKUP(AP[[#This Row],[Supplier name]], Supplier_master[Supplier name], Supplier_master[Category L2], 0)</f>
        <v>0</v>
      </c>
      <c r="J81" s="55"/>
      <c r="K81" s="54"/>
      <c r="L81" s="57">
        <f>IF(AP[[#This Row],[Spend category L1 - Override]] &lt;&gt; "", AP[[#This Row],[Spend category L1 - Override]], AP[[#This Row],[Spend category L1]])</f>
        <v>0</v>
      </c>
      <c r="M81" s="57">
        <f>IF(AP[[#This Row],[Spend category L2 - Override]] &lt;&gt; "", AP[[#This Row],[Spend category L2 - Override]], AP[[#This Row],[Spend category L2]])</f>
        <v>0</v>
      </c>
      <c r="N81" s="51">
        <f>Assumptions!$D$15</f>
        <v>0.1</v>
      </c>
      <c r="O81" s="45">
        <f>IF(AP[[#This Row],[GST applies?]] = "Yes", (AP[[#This Row],[Invoice value inc. GST]] / 1 + AP[[#This Row],[GST %]]) * AP[[#This Row],[GST %]], 0)</f>
        <v>0</v>
      </c>
      <c r="P81" s="31">
        <f>_xlfn.XLOOKUP(AP[[#This Row],[Supplier name]], Supplier_master[Supplier name], Supplier_master[EOM or Net], 0)</f>
        <v>0</v>
      </c>
      <c r="Q81" s="31">
        <f>_xlfn.XLOOKUP(AP[[#This Row],[Supplier name]], Supplier_master[Supplier name], Supplier_master[Terms days], 0)</f>
        <v>0</v>
      </c>
      <c r="R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" s="4"/>
      <c r="T81" s="46">
        <f>IF(AP[[#This Row],[Payment date - override (dd/mm/yyyy)]] &lt;&gt; "", AP[[#This Row],[Payment date - override (dd/mm/yyyy)]], AP[[#This Row],[Due date (dd/mm/yyyy)]])</f>
        <v>0</v>
      </c>
      <c r="U81" s="46">
        <f t="shared" si="1"/>
        <v>52</v>
      </c>
    </row>
    <row r="82" spans="3:21" x14ac:dyDescent="0.25">
      <c r="C82" s="28"/>
      <c r="D82" s="20"/>
      <c r="E82" s="4"/>
      <c r="F82" s="37"/>
      <c r="G82" s="24"/>
      <c r="H82" s="31">
        <f>_xlfn.XLOOKUP(AP[[#This Row],[Supplier name]], Supplier_master[Supplier name], Supplier_master[Category L1], 0)</f>
        <v>0</v>
      </c>
      <c r="I82" s="64">
        <f>_xlfn.XLOOKUP(AP[[#This Row],[Supplier name]], Supplier_master[Supplier name], Supplier_master[Category L2], 0)</f>
        <v>0</v>
      </c>
      <c r="J82" s="55"/>
      <c r="K82" s="54"/>
      <c r="L82" s="57">
        <f>IF(AP[[#This Row],[Spend category L1 - Override]] &lt;&gt; "", AP[[#This Row],[Spend category L1 - Override]], AP[[#This Row],[Spend category L1]])</f>
        <v>0</v>
      </c>
      <c r="M82" s="57">
        <f>IF(AP[[#This Row],[Spend category L2 - Override]] &lt;&gt; "", AP[[#This Row],[Spend category L2 - Override]], AP[[#This Row],[Spend category L2]])</f>
        <v>0</v>
      </c>
      <c r="N82" s="51">
        <f>Assumptions!$D$15</f>
        <v>0.1</v>
      </c>
      <c r="O82" s="45">
        <f>IF(AP[[#This Row],[GST applies?]] = "Yes", (AP[[#This Row],[Invoice value inc. GST]] / 1 + AP[[#This Row],[GST %]]) * AP[[#This Row],[GST %]], 0)</f>
        <v>0</v>
      </c>
      <c r="P82" s="31">
        <f>_xlfn.XLOOKUP(AP[[#This Row],[Supplier name]], Supplier_master[Supplier name], Supplier_master[EOM or Net], 0)</f>
        <v>0</v>
      </c>
      <c r="Q82" s="31">
        <f>_xlfn.XLOOKUP(AP[[#This Row],[Supplier name]], Supplier_master[Supplier name], Supplier_master[Terms days], 0)</f>
        <v>0</v>
      </c>
      <c r="R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" s="4"/>
      <c r="T82" s="46">
        <f>IF(AP[[#This Row],[Payment date - override (dd/mm/yyyy)]] &lt;&gt; "", AP[[#This Row],[Payment date - override (dd/mm/yyyy)]], AP[[#This Row],[Due date (dd/mm/yyyy)]])</f>
        <v>0</v>
      </c>
      <c r="U82" s="46">
        <f t="shared" si="1"/>
        <v>52</v>
      </c>
    </row>
    <row r="83" spans="3:21" x14ac:dyDescent="0.25">
      <c r="C83" s="28"/>
      <c r="D83" s="20"/>
      <c r="E83" s="4"/>
      <c r="F83" s="37"/>
      <c r="G83" s="24"/>
      <c r="H83" s="31">
        <f>_xlfn.XLOOKUP(AP[[#This Row],[Supplier name]], Supplier_master[Supplier name], Supplier_master[Category L1], 0)</f>
        <v>0</v>
      </c>
      <c r="I83" s="64">
        <f>_xlfn.XLOOKUP(AP[[#This Row],[Supplier name]], Supplier_master[Supplier name], Supplier_master[Category L2], 0)</f>
        <v>0</v>
      </c>
      <c r="J83" s="55"/>
      <c r="K83" s="54"/>
      <c r="L83" s="57">
        <f>IF(AP[[#This Row],[Spend category L1 - Override]] &lt;&gt; "", AP[[#This Row],[Spend category L1 - Override]], AP[[#This Row],[Spend category L1]])</f>
        <v>0</v>
      </c>
      <c r="M83" s="57">
        <f>IF(AP[[#This Row],[Spend category L2 - Override]] &lt;&gt; "", AP[[#This Row],[Spend category L2 - Override]], AP[[#This Row],[Spend category L2]])</f>
        <v>0</v>
      </c>
      <c r="N83" s="51">
        <f>Assumptions!$D$15</f>
        <v>0.1</v>
      </c>
      <c r="O83" s="45">
        <f>IF(AP[[#This Row],[GST applies?]] = "Yes", (AP[[#This Row],[Invoice value inc. GST]] / 1 + AP[[#This Row],[GST %]]) * AP[[#This Row],[GST %]], 0)</f>
        <v>0</v>
      </c>
      <c r="P83" s="31">
        <f>_xlfn.XLOOKUP(AP[[#This Row],[Supplier name]], Supplier_master[Supplier name], Supplier_master[EOM or Net], 0)</f>
        <v>0</v>
      </c>
      <c r="Q83" s="31">
        <f>_xlfn.XLOOKUP(AP[[#This Row],[Supplier name]], Supplier_master[Supplier name], Supplier_master[Terms days], 0)</f>
        <v>0</v>
      </c>
      <c r="R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" s="4"/>
      <c r="T83" s="46">
        <f>IF(AP[[#This Row],[Payment date - override (dd/mm/yyyy)]] &lt;&gt; "", AP[[#This Row],[Payment date - override (dd/mm/yyyy)]], AP[[#This Row],[Due date (dd/mm/yyyy)]])</f>
        <v>0</v>
      </c>
      <c r="U83" s="46">
        <f t="shared" si="1"/>
        <v>52</v>
      </c>
    </row>
    <row r="84" spans="3:21" x14ac:dyDescent="0.25">
      <c r="C84" s="28"/>
      <c r="D84" s="20"/>
      <c r="E84" s="4"/>
      <c r="F84" s="37"/>
      <c r="G84" s="24"/>
      <c r="H84" s="31">
        <f>_xlfn.XLOOKUP(AP[[#This Row],[Supplier name]], Supplier_master[Supplier name], Supplier_master[Category L1], 0)</f>
        <v>0</v>
      </c>
      <c r="I84" s="64">
        <f>_xlfn.XLOOKUP(AP[[#This Row],[Supplier name]], Supplier_master[Supplier name], Supplier_master[Category L2], 0)</f>
        <v>0</v>
      </c>
      <c r="J84" s="55"/>
      <c r="K84" s="54"/>
      <c r="L84" s="57">
        <f>IF(AP[[#This Row],[Spend category L1 - Override]] &lt;&gt; "", AP[[#This Row],[Spend category L1 - Override]], AP[[#This Row],[Spend category L1]])</f>
        <v>0</v>
      </c>
      <c r="M84" s="57">
        <f>IF(AP[[#This Row],[Spend category L2 - Override]] &lt;&gt; "", AP[[#This Row],[Spend category L2 - Override]], AP[[#This Row],[Spend category L2]])</f>
        <v>0</v>
      </c>
      <c r="N84" s="51">
        <f>Assumptions!$D$15</f>
        <v>0.1</v>
      </c>
      <c r="O84" s="45">
        <f>IF(AP[[#This Row],[GST applies?]] = "Yes", (AP[[#This Row],[Invoice value inc. GST]] / 1 + AP[[#This Row],[GST %]]) * AP[[#This Row],[GST %]], 0)</f>
        <v>0</v>
      </c>
      <c r="P84" s="31">
        <f>_xlfn.XLOOKUP(AP[[#This Row],[Supplier name]], Supplier_master[Supplier name], Supplier_master[EOM or Net], 0)</f>
        <v>0</v>
      </c>
      <c r="Q84" s="31">
        <f>_xlfn.XLOOKUP(AP[[#This Row],[Supplier name]], Supplier_master[Supplier name], Supplier_master[Terms days], 0)</f>
        <v>0</v>
      </c>
      <c r="R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" s="4"/>
      <c r="T84" s="46">
        <f>IF(AP[[#This Row],[Payment date - override (dd/mm/yyyy)]] &lt;&gt; "", AP[[#This Row],[Payment date - override (dd/mm/yyyy)]], AP[[#This Row],[Due date (dd/mm/yyyy)]])</f>
        <v>0</v>
      </c>
      <c r="U84" s="46">
        <f t="shared" si="1"/>
        <v>52</v>
      </c>
    </row>
    <row r="85" spans="3:21" x14ac:dyDescent="0.25">
      <c r="C85" s="28"/>
      <c r="D85" s="20"/>
      <c r="E85" s="4"/>
      <c r="F85" s="37"/>
      <c r="G85" s="24"/>
      <c r="H85" s="31">
        <f>_xlfn.XLOOKUP(AP[[#This Row],[Supplier name]], Supplier_master[Supplier name], Supplier_master[Category L1], 0)</f>
        <v>0</v>
      </c>
      <c r="I85" s="64">
        <f>_xlfn.XLOOKUP(AP[[#This Row],[Supplier name]], Supplier_master[Supplier name], Supplier_master[Category L2], 0)</f>
        <v>0</v>
      </c>
      <c r="J85" s="55"/>
      <c r="K85" s="54"/>
      <c r="L85" s="57">
        <f>IF(AP[[#This Row],[Spend category L1 - Override]] &lt;&gt; "", AP[[#This Row],[Spend category L1 - Override]], AP[[#This Row],[Spend category L1]])</f>
        <v>0</v>
      </c>
      <c r="M85" s="57">
        <f>IF(AP[[#This Row],[Spend category L2 - Override]] &lt;&gt; "", AP[[#This Row],[Spend category L2 - Override]], AP[[#This Row],[Spend category L2]])</f>
        <v>0</v>
      </c>
      <c r="N85" s="51">
        <f>Assumptions!$D$15</f>
        <v>0.1</v>
      </c>
      <c r="O85" s="45">
        <f>IF(AP[[#This Row],[GST applies?]] = "Yes", (AP[[#This Row],[Invoice value inc. GST]] / 1 + AP[[#This Row],[GST %]]) * AP[[#This Row],[GST %]], 0)</f>
        <v>0</v>
      </c>
      <c r="P85" s="31">
        <f>_xlfn.XLOOKUP(AP[[#This Row],[Supplier name]], Supplier_master[Supplier name], Supplier_master[EOM or Net], 0)</f>
        <v>0</v>
      </c>
      <c r="Q85" s="31">
        <f>_xlfn.XLOOKUP(AP[[#This Row],[Supplier name]], Supplier_master[Supplier name], Supplier_master[Terms days], 0)</f>
        <v>0</v>
      </c>
      <c r="R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" s="4"/>
      <c r="T85" s="46">
        <f>IF(AP[[#This Row],[Payment date - override (dd/mm/yyyy)]] &lt;&gt; "", AP[[#This Row],[Payment date - override (dd/mm/yyyy)]], AP[[#This Row],[Due date (dd/mm/yyyy)]])</f>
        <v>0</v>
      </c>
      <c r="U85" s="46">
        <f t="shared" si="1"/>
        <v>52</v>
      </c>
    </row>
    <row r="86" spans="3:21" x14ac:dyDescent="0.25">
      <c r="C86" s="28"/>
      <c r="D86" s="20"/>
      <c r="E86" s="4"/>
      <c r="F86" s="37"/>
      <c r="G86" s="24"/>
      <c r="H86" s="31">
        <f>_xlfn.XLOOKUP(AP[[#This Row],[Supplier name]], Supplier_master[Supplier name], Supplier_master[Category L1], 0)</f>
        <v>0</v>
      </c>
      <c r="I86" s="64">
        <f>_xlfn.XLOOKUP(AP[[#This Row],[Supplier name]], Supplier_master[Supplier name], Supplier_master[Category L2], 0)</f>
        <v>0</v>
      </c>
      <c r="J86" s="55"/>
      <c r="K86" s="54"/>
      <c r="L86" s="57">
        <f>IF(AP[[#This Row],[Spend category L1 - Override]] &lt;&gt; "", AP[[#This Row],[Spend category L1 - Override]], AP[[#This Row],[Spend category L1]])</f>
        <v>0</v>
      </c>
      <c r="M86" s="57">
        <f>IF(AP[[#This Row],[Spend category L2 - Override]] &lt;&gt; "", AP[[#This Row],[Spend category L2 - Override]], AP[[#This Row],[Spend category L2]])</f>
        <v>0</v>
      </c>
      <c r="N86" s="51">
        <f>Assumptions!$D$15</f>
        <v>0.1</v>
      </c>
      <c r="O86" s="45">
        <f>IF(AP[[#This Row],[GST applies?]] = "Yes", (AP[[#This Row],[Invoice value inc. GST]] / 1 + AP[[#This Row],[GST %]]) * AP[[#This Row],[GST %]], 0)</f>
        <v>0</v>
      </c>
      <c r="P86" s="31">
        <f>_xlfn.XLOOKUP(AP[[#This Row],[Supplier name]], Supplier_master[Supplier name], Supplier_master[EOM or Net], 0)</f>
        <v>0</v>
      </c>
      <c r="Q86" s="31">
        <f>_xlfn.XLOOKUP(AP[[#This Row],[Supplier name]], Supplier_master[Supplier name], Supplier_master[Terms days], 0)</f>
        <v>0</v>
      </c>
      <c r="R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" s="4"/>
      <c r="T86" s="46">
        <f>IF(AP[[#This Row],[Payment date - override (dd/mm/yyyy)]] &lt;&gt; "", AP[[#This Row],[Payment date - override (dd/mm/yyyy)]], AP[[#This Row],[Due date (dd/mm/yyyy)]])</f>
        <v>0</v>
      </c>
      <c r="U86" s="46">
        <f t="shared" si="1"/>
        <v>52</v>
      </c>
    </row>
    <row r="87" spans="3:21" x14ac:dyDescent="0.25">
      <c r="C87" s="28"/>
      <c r="D87" s="20"/>
      <c r="E87" s="4"/>
      <c r="F87" s="37"/>
      <c r="G87" s="24"/>
      <c r="H87" s="31">
        <f>_xlfn.XLOOKUP(AP[[#This Row],[Supplier name]], Supplier_master[Supplier name], Supplier_master[Category L1], 0)</f>
        <v>0</v>
      </c>
      <c r="I87" s="64">
        <f>_xlfn.XLOOKUP(AP[[#This Row],[Supplier name]], Supplier_master[Supplier name], Supplier_master[Category L2], 0)</f>
        <v>0</v>
      </c>
      <c r="J87" s="55"/>
      <c r="K87" s="54"/>
      <c r="L87" s="57">
        <f>IF(AP[[#This Row],[Spend category L1 - Override]] &lt;&gt; "", AP[[#This Row],[Spend category L1 - Override]], AP[[#This Row],[Spend category L1]])</f>
        <v>0</v>
      </c>
      <c r="M87" s="57">
        <f>IF(AP[[#This Row],[Spend category L2 - Override]] &lt;&gt; "", AP[[#This Row],[Spend category L2 - Override]], AP[[#This Row],[Spend category L2]])</f>
        <v>0</v>
      </c>
      <c r="N87" s="51">
        <f>Assumptions!$D$15</f>
        <v>0.1</v>
      </c>
      <c r="O87" s="45">
        <f>IF(AP[[#This Row],[GST applies?]] = "Yes", (AP[[#This Row],[Invoice value inc. GST]] / 1 + AP[[#This Row],[GST %]]) * AP[[#This Row],[GST %]], 0)</f>
        <v>0</v>
      </c>
      <c r="P87" s="31">
        <f>_xlfn.XLOOKUP(AP[[#This Row],[Supplier name]], Supplier_master[Supplier name], Supplier_master[EOM or Net], 0)</f>
        <v>0</v>
      </c>
      <c r="Q87" s="31">
        <f>_xlfn.XLOOKUP(AP[[#This Row],[Supplier name]], Supplier_master[Supplier name], Supplier_master[Terms days], 0)</f>
        <v>0</v>
      </c>
      <c r="R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" s="4"/>
      <c r="T87" s="46">
        <f>IF(AP[[#This Row],[Payment date - override (dd/mm/yyyy)]] &lt;&gt; "", AP[[#This Row],[Payment date - override (dd/mm/yyyy)]], AP[[#This Row],[Due date (dd/mm/yyyy)]])</f>
        <v>0</v>
      </c>
      <c r="U87" s="46">
        <f t="shared" si="1"/>
        <v>52</v>
      </c>
    </row>
    <row r="88" spans="3:21" x14ac:dyDescent="0.25">
      <c r="C88" s="28"/>
      <c r="D88" s="20"/>
      <c r="E88" s="4"/>
      <c r="F88" s="37"/>
      <c r="G88" s="24"/>
      <c r="H88" s="31">
        <f>_xlfn.XLOOKUP(AP[[#This Row],[Supplier name]], Supplier_master[Supplier name], Supplier_master[Category L1], 0)</f>
        <v>0</v>
      </c>
      <c r="I88" s="64">
        <f>_xlfn.XLOOKUP(AP[[#This Row],[Supplier name]], Supplier_master[Supplier name], Supplier_master[Category L2], 0)</f>
        <v>0</v>
      </c>
      <c r="J88" s="55"/>
      <c r="K88" s="54"/>
      <c r="L88" s="57">
        <f>IF(AP[[#This Row],[Spend category L1 - Override]] &lt;&gt; "", AP[[#This Row],[Spend category L1 - Override]], AP[[#This Row],[Spend category L1]])</f>
        <v>0</v>
      </c>
      <c r="M88" s="57">
        <f>IF(AP[[#This Row],[Spend category L2 - Override]] &lt;&gt; "", AP[[#This Row],[Spend category L2 - Override]], AP[[#This Row],[Spend category L2]])</f>
        <v>0</v>
      </c>
      <c r="N88" s="51">
        <f>Assumptions!$D$15</f>
        <v>0.1</v>
      </c>
      <c r="O88" s="45">
        <f>IF(AP[[#This Row],[GST applies?]] = "Yes", (AP[[#This Row],[Invoice value inc. GST]] / 1 + AP[[#This Row],[GST %]]) * AP[[#This Row],[GST %]], 0)</f>
        <v>0</v>
      </c>
      <c r="P88" s="31">
        <f>_xlfn.XLOOKUP(AP[[#This Row],[Supplier name]], Supplier_master[Supplier name], Supplier_master[EOM or Net], 0)</f>
        <v>0</v>
      </c>
      <c r="Q88" s="31">
        <f>_xlfn.XLOOKUP(AP[[#This Row],[Supplier name]], Supplier_master[Supplier name], Supplier_master[Terms days], 0)</f>
        <v>0</v>
      </c>
      <c r="R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" s="4"/>
      <c r="T88" s="46">
        <f>IF(AP[[#This Row],[Payment date - override (dd/mm/yyyy)]] &lt;&gt; "", AP[[#This Row],[Payment date - override (dd/mm/yyyy)]], AP[[#This Row],[Due date (dd/mm/yyyy)]])</f>
        <v>0</v>
      </c>
      <c r="U88" s="46">
        <f t="shared" si="1"/>
        <v>52</v>
      </c>
    </row>
    <row r="89" spans="3:21" x14ac:dyDescent="0.25">
      <c r="C89" s="28"/>
      <c r="D89" s="20"/>
      <c r="E89" s="4"/>
      <c r="F89" s="37"/>
      <c r="G89" s="24"/>
      <c r="H89" s="31">
        <f>_xlfn.XLOOKUP(AP[[#This Row],[Supplier name]], Supplier_master[Supplier name], Supplier_master[Category L1], 0)</f>
        <v>0</v>
      </c>
      <c r="I89" s="64">
        <f>_xlfn.XLOOKUP(AP[[#This Row],[Supplier name]], Supplier_master[Supplier name], Supplier_master[Category L2], 0)</f>
        <v>0</v>
      </c>
      <c r="J89" s="55"/>
      <c r="K89" s="54"/>
      <c r="L89" s="57">
        <f>IF(AP[[#This Row],[Spend category L1 - Override]] &lt;&gt; "", AP[[#This Row],[Spend category L1 - Override]], AP[[#This Row],[Spend category L1]])</f>
        <v>0</v>
      </c>
      <c r="M89" s="57">
        <f>IF(AP[[#This Row],[Spend category L2 - Override]] &lt;&gt; "", AP[[#This Row],[Spend category L2 - Override]], AP[[#This Row],[Spend category L2]])</f>
        <v>0</v>
      </c>
      <c r="N89" s="51">
        <f>Assumptions!$D$15</f>
        <v>0.1</v>
      </c>
      <c r="O89" s="45">
        <f>IF(AP[[#This Row],[GST applies?]] = "Yes", (AP[[#This Row],[Invoice value inc. GST]] / 1 + AP[[#This Row],[GST %]]) * AP[[#This Row],[GST %]], 0)</f>
        <v>0</v>
      </c>
      <c r="P89" s="31">
        <f>_xlfn.XLOOKUP(AP[[#This Row],[Supplier name]], Supplier_master[Supplier name], Supplier_master[EOM or Net], 0)</f>
        <v>0</v>
      </c>
      <c r="Q89" s="31">
        <f>_xlfn.XLOOKUP(AP[[#This Row],[Supplier name]], Supplier_master[Supplier name], Supplier_master[Terms days], 0)</f>
        <v>0</v>
      </c>
      <c r="R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" s="4"/>
      <c r="T89" s="46">
        <f>IF(AP[[#This Row],[Payment date - override (dd/mm/yyyy)]] &lt;&gt; "", AP[[#This Row],[Payment date - override (dd/mm/yyyy)]], AP[[#This Row],[Due date (dd/mm/yyyy)]])</f>
        <v>0</v>
      </c>
      <c r="U89" s="46">
        <f t="shared" si="1"/>
        <v>52</v>
      </c>
    </row>
    <row r="90" spans="3:21" x14ac:dyDescent="0.25">
      <c r="C90" s="28"/>
      <c r="D90" s="20"/>
      <c r="E90" s="4"/>
      <c r="F90" s="37"/>
      <c r="G90" s="24"/>
      <c r="H90" s="31">
        <f>_xlfn.XLOOKUP(AP[[#This Row],[Supplier name]], Supplier_master[Supplier name], Supplier_master[Category L1], 0)</f>
        <v>0</v>
      </c>
      <c r="I90" s="64">
        <f>_xlfn.XLOOKUP(AP[[#This Row],[Supplier name]], Supplier_master[Supplier name], Supplier_master[Category L2], 0)</f>
        <v>0</v>
      </c>
      <c r="J90" s="55"/>
      <c r="K90" s="54"/>
      <c r="L90" s="57">
        <f>IF(AP[[#This Row],[Spend category L1 - Override]] &lt;&gt; "", AP[[#This Row],[Spend category L1 - Override]], AP[[#This Row],[Spend category L1]])</f>
        <v>0</v>
      </c>
      <c r="M90" s="57">
        <f>IF(AP[[#This Row],[Spend category L2 - Override]] &lt;&gt; "", AP[[#This Row],[Spend category L2 - Override]], AP[[#This Row],[Spend category L2]])</f>
        <v>0</v>
      </c>
      <c r="N90" s="51">
        <f>Assumptions!$D$15</f>
        <v>0.1</v>
      </c>
      <c r="O90" s="45">
        <f>IF(AP[[#This Row],[GST applies?]] = "Yes", (AP[[#This Row],[Invoice value inc. GST]] / 1 + AP[[#This Row],[GST %]]) * AP[[#This Row],[GST %]], 0)</f>
        <v>0</v>
      </c>
      <c r="P90" s="31">
        <f>_xlfn.XLOOKUP(AP[[#This Row],[Supplier name]], Supplier_master[Supplier name], Supplier_master[EOM or Net], 0)</f>
        <v>0</v>
      </c>
      <c r="Q90" s="31">
        <f>_xlfn.XLOOKUP(AP[[#This Row],[Supplier name]], Supplier_master[Supplier name], Supplier_master[Terms days], 0)</f>
        <v>0</v>
      </c>
      <c r="R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" s="4"/>
      <c r="T90" s="46">
        <f>IF(AP[[#This Row],[Payment date - override (dd/mm/yyyy)]] &lt;&gt; "", AP[[#This Row],[Payment date - override (dd/mm/yyyy)]], AP[[#This Row],[Due date (dd/mm/yyyy)]])</f>
        <v>0</v>
      </c>
      <c r="U90" s="46">
        <f t="shared" si="1"/>
        <v>52</v>
      </c>
    </row>
    <row r="91" spans="3:21" x14ac:dyDescent="0.25">
      <c r="C91" s="28"/>
      <c r="D91" s="20"/>
      <c r="E91" s="4"/>
      <c r="F91" s="37"/>
      <c r="G91" s="24"/>
      <c r="H91" s="31">
        <f>_xlfn.XLOOKUP(AP[[#This Row],[Supplier name]], Supplier_master[Supplier name], Supplier_master[Category L1], 0)</f>
        <v>0</v>
      </c>
      <c r="I91" s="64">
        <f>_xlfn.XLOOKUP(AP[[#This Row],[Supplier name]], Supplier_master[Supplier name], Supplier_master[Category L2], 0)</f>
        <v>0</v>
      </c>
      <c r="J91" s="55"/>
      <c r="K91" s="54"/>
      <c r="L91" s="57">
        <f>IF(AP[[#This Row],[Spend category L1 - Override]] &lt;&gt; "", AP[[#This Row],[Spend category L1 - Override]], AP[[#This Row],[Spend category L1]])</f>
        <v>0</v>
      </c>
      <c r="M91" s="57">
        <f>IF(AP[[#This Row],[Spend category L2 - Override]] &lt;&gt; "", AP[[#This Row],[Spend category L2 - Override]], AP[[#This Row],[Spend category L2]])</f>
        <v>0</v>
      </c>
      <c r="N91" s="51">
        <f>Assumptions!$D$15</f>
        <v>0.1</v>
      </c>
      <c r="O91" s="45">
        <f>IF(AP[[#This Row],[GST applies?]] = "Yes", (AP[[#This Row],[Invoice value inc. GST]] / 1 + AP[[#This Row],[GST %]]) * AP[[#This Row],[GST %]], 0)</f>
        <v>0</v>
      </c>
      <c r="P91" s="31">
        <f>_xlfn.XLOOKUP(AP[[#This Row],[Supplier name]], Supplier_master[Supplier name], Supplier_master[EOM or Net], 0)</f>
        <v>0</v>
      </c>
      <c r="Q91" s="31">
        <f>_xlfn.XLOOKUP(AP[[#This Row],[Supplier name]], Supplier_master[Supplier name], Supplier_master[Terms days], 0)</f>
        <v>0</v>
      </c>
      <c r="R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" s="4"/>
      <c r="T91" s="46">
        <f>IF(AP[[#This Row],[Payment date - override (dd/mm/yyyy)]] &lt;&gt; "", AP[[#This Row],[Payment date - override (dd/mm/yyyy)]], AP[[#This Row],[Due date (dd/mm/yyyy)]])</f>
        <v>0</v>
      </c>
      <c r="U91" s="46">
        <f t="shared" si="1"/>
        <v>52</v>
      </c>
    </row>
    <row r="92" spans="3:21" x14ac:dyDescent="0.25">
      <c r="C92" s="28"/>
      <c r="D92" s="20"/>
      <c r="E92" s="4"/>
      <c r="F92" s="37"/>
      <c r="G92" s="24"/>
      <c r="H92" s="31">
        <f>_xlfn.XLOOKUP(AP[[#This Row],[Supplier name]], Supplier_master[Supplier name], Supplier_master[Category L1], 0)</f>
        <v>0</v>
      </c>
      <c r="I92" s="64">
        <f>_xlfn.XLOOKUP(AP[[#This Row],[Supplier name]], Supplier_master[Supplier name], Supplier_master[Category L2], 0)</f>
        <v>0</v>
      </c>
      <c r="J92" s="55"/>
      <c r="K92" s="54"/>
      <c r="L92" s="57">
        <f>IF(AP[[#This Row],[Spend category L1 - Override]] &lt;&gt; "", AP[[#This Row],[Spend category L1 - Override]], AP[[#This Row],[Spend category L1]])</f>
        <v>0</v>
      </c>
      <c r="M92" s="57">
        <f>IF(AP[[#This Row],[Spend category L2 - Override]] &lt;&gt; "", AP[[#This Row],[Spend category L2 - Override]], AP[[#This Row],[Spend category L2]])</f>
        <v>0</v>
      </c>
      <c r="N92" s="51">
        <f>Assumptions!$D$15</f>
        <v>0.1</v>
      </c>
      <c r="O92" s="45">
        <f>IF(AP[[#This Row],[GST applies?]] = "Yes", (AP[[#This Row],[Invoice value inc. GST]] / 1 + AP[[#This Row],[GST %]]) * AP[[#This Row],[GST %]], 0)</f>
        <v>0</v>
      </c>
      <c r="P92" s="31">
        <f>_xlfn.XLOOKUP(AP[[#This Row],[Supplier name]], Supplier_master[Supplier name], Supplier_master[EOM or Net], 0)</f>
        <v>0</v>
      </c>
      <c r="Q92" s="31">
        <f>_xlfn.XLOOKUP(AP[[#This Row],[Supplier name]], Supplier_master[Supplier name], Supplier_master[Terms days], 0)</f>
        <v>0</v>
      </c>
      <c r="R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" s="4"/>
      <c r="T92" s="46">
        <f>IF(AP[[#This Row],[Payment date - override (dd/mm/yyyy)]] &lt;&gt; "", AP[[#This Row],[Payment date - override (dd/mm/yyyy)]], AP[[#This Row],[Due date (dd/mm/yyyy)]])</f>
        <v>0</v>
      </c>
      <c r="U92" s="46">
        <f t="shared" si="1"/>
        <v>52</v>
      </c>
    </row>
    <row r="93" spans="3:21" x14ac:dyDescent="0.25">
      <c r="C93" s="28"/>
      <c r="D93" s="20"/>
      <c r="E93" s="4"/>
      <c r="F93" s="37"/>
      <c r="G93" s="24"/>
      <c r="H93" s="31">
        <f>_xlfn.XLOOKUP(AP[[#This Row],[Supplier name]], Supplier_master[Supplier name], Supplier_master[Category L1], 0)</f>
        <v>0</v>
      </c>
      <c r="I93" s="64">
        <f>_xlfn.XLOOKUP(AP[[#This Row],[Supplier name]], Supplier_master[Supplier name], Supplier_master[Category L2], 0)</f>
        <v>0</v>
      </c>
      <c r="J93" s="55"/>
      <c r="K93" s="54"/>
      <c r="L93" s="57">
        <f>IF(AP[[#This Row],[Spend category L1 - Override]] &lt;&gt; "", AP[[#This Row],[Spend category L1 - Override]], AP[[#This Row],[Spend category L1]])</f>
        <v>0</v>
      </c>
      <c r="M93" s="57">
        <f>IF(AP[[#This Row],[Spend category L2 - Override]] &lt;&gt; "", AP[[#This Row],[Spend category L2 - Override]], AP[[#This Row],[Spend category L2]])</f>
        <v>0</v>
      </c>
      <c r="N93" s="51">
        <f>Assumptions!$D$15</f>
        <v>0.1</v>
      </c>
      <c r="O93" s="45">
        <f>IF(AP[[#This Row],[GST applies?]] = "Yes", (AP[[#This Row],[Invoice value inc. GST]] / 1 + AP[[#This Row],[GST %]]) * AP[[#This Row],[GST %]], 0)</f>
        <v>0</v>
      </c>
      <c r="P93" s="31">
        <f>_xlfn.XLOOKUP(AP[[#This Row],[Supplier name]], Supplier_master[Supplier name], Supplier_master[EOM or Net], 0)</f>
        <v>0</v>
      </c>
      <c r="Q93" s="31">
        <f>_xlfn.XLOOKUP(AP[[#This Row],[Supplier name]], Supplier_master[Supplier name], Supplier_master[Terms days], 0)</f>
        <v>0</v>
      </c>
      <c r="R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" s="4"/>
      <c r="T93" s="46">
        <f>IF(AP[[#This Row],[Payment date - override (dd/mm/yyyy)]] &lt;&gt; "", AP[[#This Row],[Payment date - override (dd/mm/yyyy)]], AP[[#This Row],[Due date (dd/mm/yyyy)]])</f>
        <v>0</v>
      </c>
      <c r="U93" s="46">
        <f t="shared" si="1"/>
        <v>52</v>
      </c>
    </row>
    <row r="94" spans="3:21" x14ac:dyDescent="0.25">
      <c r="C94" s="28"/>
      <c r="D94" s="20"/>
      <c r="E94" s="4"/>
      <c r="F94" s="37"/>
      <c r="G94" s="24"/>
      <c r="H94" s="31">
        <f>_xlfn.XLOOKUP(AP[[#This Row],[Supplier name]], Supplier_master[Supplier name], Supplier_master[Category L1], 0)</f>
        <v>0</v>
      </c>
      <c r="I94" s="64">
        <f>_xlfn.XLOOKUP(AP[[#This Row],[Supplier name]], Supplier_master[Supplier name], Supplier_master[Category L2], 0)</f>
        <v>0</v>
      </c>
      <c r="J94" s="55"/>
      <c r="K94" s="54"/>
      <c r="L94" s="57">
        <f>IF(AP[[#This Row],[Spend category L1 - Override]] &lt;&gt; "", AP[[#This Row],[Spend category L1 - Override]], AP[[#This Row],[Spend category L1]])</f>
        <v>0</v>
      </c>
      <c r="M94" s="57">
        <f>IF(AP[[#This Row],[Spend category L2 - Override]] &lt;&gt; "", AP[[#This Row],[Spend category L2 - Override]], AP[[#This Row],[Spend category L2]])</f>
        <v>0</v>
      </c>
      <c r="N94" s="51">
        <f>Assumptions!$D$15</f>
        <v>0.1</v>
      </c>
      <c r="O94" s="45">
        <f>IF(AP[[#This Row],[GST applies?]] = "Yes", (AP[[#This Row],[Invoice value inc. GST]] / 1 + AP[[#This Row],[GST %]]) * AP[[#This Row],[GST %]], 0)</f>
        <v>0</v>
      </c>
      <c r="P94" s="31">
        <f>_xlfn.XLOOKUP(AP[[#This Row],[Supplier name]], Supplier_master[Supplier name], Supplier_master[EOM or Net], 0)</f>
        <v>0</v>
      </c>
      <c r="Q94" s="31">
        <f>_xlfn.XLOOKUP(AP[[#This Row],[Supplier name]], Supplier_master[Supplier name], Supplier_master[Terms days], 0)</f>
        <v>0</v>
      </c>
      <c r="R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" s="4"/>
      <c r="T94" s="46">
        <f>IF(AP[[#This Row],[Payment date - override (dd/mm/yyyy)]] &lt;&gt; "", AP[[#This Row],[Payment date - override (dd/mm/yyyy)]], AP[[#This Row],[Due date (dd/mm/yyyy)]])</f>
        <v>0</v>
      </c>
      <c r="U94" s="46">
        <f t="shared" si="1"/>
        <v>52</v>
      </c>
    </row>
    <row r="95" spans="3:21" x14ac:dyDescent="0.25">
      <c r="C95" s="28"/>
      <c r="D95" s="20"/>
      <c r="E95" s="4"/>
      <c r="F95" s="37"/>
      <c r="G95" s="24"/>
      <c r="H95" s="31">
        <f>_xlfn.XLOOKUP(AP[[#This Row],[Supplier name]], Supplier_master[Supplier name], Supplier_master[Category L1], 0)</f>
        <v>0</v>
      </c>
      <c r="I95" s="64">
        <f>_xlfn.XLOOKUP(AP[[#This Row],[Supplier name]], Supplier_master[Supplier name], Supplier_master[Category L2], 0)</f>
        <v>0</v>
      </c>
      <c r="J95" s="55"/>
      <c r="K95" s="54"/>
      <c r="L95" s="57">
        <f>IF(AP[[#This Row],[Spend category L1 - Override]] &lt;&gt; "", AP[[#This Row],[Spend category L1 - Override]], AP[[#This Row],[Spend category L1]])</f>
        <v>0</v>
      </c>
      <c r="M95" s="57">
        <f>IF(AP[[#This Row],[Spend category L2 - Override]] &lt;&gt; "", AP[[#This Row],[Spend category L2 - Override]], AP[[#This Row],[Spend category L2]])</f>
        <v>0</v>
      </c>
      <c r="N95" s="51">
        <f>Assumptions!$D$15</f>
        <v>0.1</v>
      </c>
      <c r="O95" s="45">
        <f>IF(AP[[#This Row],[GST applies?]] = "Yes", (AP[[#This Row],[Invoice value inc. GST]] / 1 + AP[[#This Row],[GST %]]) * AP[[#This Row],[GST %]], 0)</f>
        <v>0</v>
      </c>
      <c r="P95" s="31">
        <f>_xlfn.XLOOKUP(AP[[#This Row],[Supplier name]], Supplier_master[Supplier name], Supplier_master[EOM or Net], 0)</f>
        <v>0</v>
      </c>
      <c r="Q95" s="31">
        <f>_xlfn.XLOOKUP(AP[[#This Row],[Supplier name]], Supplier_master[Supplier name], Supplier_master[Terms days], 0)</f>
        <v>0</v>
      </c>
      <c r="R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" s="4"/>
      <c r="T95" s="46">
        <f>IF(AP[[#This Row],[Payment date - override (dd/mm/yyyy)]] &lt;&gt; "", AP[[#This Row],[Payment date - override (dd/mm/yyyy)]], AP[[#This Row],[Due date (dd/mm/yyyy)]])</f>
        <v>0</v>
      </c>
      <c r="U95" s="46">
        <f t="shared" si="1"/>
        <v>52</v>
      </c>
    </row>
    <row r="96" spans="3:21" x14ac:dyDescent="0.25">
      <c r="C96" s="28"/>
      <c r="D96" s="20"/>
      <c r="E96" s="4"/>
      <c r="F96" s="37"/>
      <c r="G96" s="24"/>
      <c r="H96" s="31">
        <f>_xlfn.XLOOKUP(AP[[#This Row],[Supplier name]], Supplier_master[Supplier name], Supplier_master[Category L1], 0)</f>
        <v>0</v>
      </c>
      <c r="I96" s="64">
        <f>_xlfn.XLOOKUP(AP[[#This Row],[Supplier name]], Supplier_master[Supplier name], Supplier_master[Category L2], 0)</f>
        <v>0</v>
      </c>
      <c r="J96" s="55"/>
      <c r="K96" s="54"/>
      <c r="L96" s="57">
        <f>IF(AP[[#This Row],[Spend category L1 - Override]] &lt;&gt; "", AP[[#This Row],[Spend category L1 - Override]], AP[[#This Row],[Spend category L1]])</f>
        <v>0</v>
      </c>
      <c r="M96" s="57">
        <f>IF(AP[[#This Row],[Spend category L2 - Override]] &lt;&gt; "", AP[[#This Row],[Spend category L2 - Override]], AP[[#This Row],[Spend category L2]])</f>
        <v>0</v>
      </c>
      <c r="N96" s="51">
        <f>Assumptions!$D$15</f>
        <v>0.1</v>
      </c>
      <c r="O96" s="45">
        <f>IF(AP[[#This Row],[GST applies?]] = "Yes", (AP[[#This Row],[Invoice value inc. GST]] / 1 + AP[[#This Row],[GST %]]) * AP[[#This Row],[GST %]], 0)</f>
        <v>0</v>
      </c>
      <c r="P96" s="31">
        <f>_xlfn.XLOOKUP(AP[[#This Row],[Supplier name]], Supplier_master[Supplier name], Supplier_master[EOM or Net], 0)</f>
        <v>0</v>
      </c>
      <c r="Q96" s="31">
        <f>_xlfn.XLOOKUP(AP[[#This Row],[Supplier name]], Supplier_master[Supplier name], Supplier_master[Terms days], 0)</f>
        <v>0</v>
      </c>
      <c r="R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" s="4"/>
      <c r="T96" s="46">
        <f>IF(AP[[#This Row],[Payment date - override (dd/mm/yyyy)]] &lt;&gt; "", AP[[#This Row],[Payment date - override (dd/mm/yyyy)]], AP[[#This Row],[Due date (dd/mm/yyyy)]])</f>
        <v>0</v>
      </c>
      <c r="U96" s="46">
        <f t="shared" si="1"/>
        <v>52</v>
      </c>
    </row>
    <row r="97" spans="3:21" x14ac:dyDescent="0.25">
      <c r="C97" s="28"/>
      <c r="D97" s="20"/>
      <c r="E97" s="4"/>
      <c r="F97" s="37"/>
      <c r="G97" s="24"/>
      <c r="H97" s="31">
        <f>_xlfn.XLOOKUP(AP[[#This Row],[Supplier name]], Supplier_master[Supplier name], Supplier_master[Category L1], 0)</f>
        <v>0</v>
      </c>
      <c r="I97" s="64">
        <f>_xlfn.XLOOKUP(AP[[#This Row],[Supplier name]], Supplier_master[Supplier name], Supplier_master[Category L2], 0)</f>
        <v>0</v>
      </c>
      <c r="J97" s="55"/>
      <c r="K97" s="54"/>
      <c r="L97" s="57">
        <f>IF(AP[[#This Row],[Spend category L1 - Override]] &lt;&gt; "", AP[[#This Row],[Spend category L1 - Override]], AP[[#This Row],[Spend category L1]])</f>
        <v>0</v>
      </c>
      <c r="M97" s="57">
        <f>IF(AP[[#This Row],[Spend category L2 - Override]] &lt;&gt; "", AP[[#This Row],[Spend category L2 - Override]], AP[[#This Row],[Spend category L2]])</f>
        <v>0</v>
      </c>
      <c r="N97" s="51">
        <f>Assumptions!$D$15</f>
        <v>0.1</v>
      </c>
      <c r="O97" s="45">
        <f>IF(AP[[#This Row],[GST applies?]] = "Yes", (AP[[#This Row],[Invoice value inc. GST]] / 1 + AP[[#This Row],[GST %]]) * AP[[#This Row],[GST %]], 0)</f>
        <v>0</v>
      </c>
      <c r="P97" s="31">
        <f>_xlfn.XLOOKUP(AP[[#This Row],[Supplier name]], Supplier_master[Supplier name], Supplier_master[EOM or Net], 0)</f>
        <v>0</v>
      </c>
      <c r="Q97" s="31">
        <f>_xlfn.XLOOKUP(AP[[#This Row],[Supplier name]], Supplier_master[Supplier name], Supplier_master[Terms days], 0)</f>
        <v>0</v>
      </c>
      <c r="R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" s="4"/>
      <c r="T97" s="46">
        <f>IF(AP[[#This Row],[Payment date - override (dd/mm/yyyy)]] &lt;&gt; "", AP[[#This Row],[Payment date - override (dd/mm/yyyy)]], AP[[#This Row],[Due date (dd/mm/yyyy)]])</f>
        <v>0</v>
      </c>
      <c r="U97" s="46">
        <f t="shared" si="1"/>
        <v>52</v>
      </c>
    </row>
    <row r="98" spans="3:21" x14ac:dyDescent="0.25">
      <c r="C98" s="28"/>
      <c r="D98" s="20"/>
      <c r="E98" s="4"/>
      <c r="F98" s="37"/>
      <c r="G98" s="24"/>
      <c r="H98" s="31">
        <f>_xlfn.XLOOKUP(AP[[#This Row],[Supplier name]], Supplier_master[Supplier name], Supplier_master[Category L1], 0)</f>
        <v>0</v>
      </c>
      <c r="I98" s="64">
        <f>_xlfn.XLOOKUP(AP[[#This Row],[Supplier name]], Supplier_master[Supplier name], Supplier_master[Category L2], 0)</f>
        <v>0</v>
      </c>
      <c r="J98" s="55"/>
      <c r="K98" s="54"/>
      <c r="L98" s="57">
        <f>IF(AP[[#This Row],[Spend category L1 - Override]] &lt;&gt; "", AP[[#This Row],[Spend category L1 - Override]], AP[[#This Row],[Spend category L1]])</f>
        <v>0</v>
      </c>
      <c r="M98" s="57">
        <f>IF(AP[[#This Row],[Spend category L2 - Override]] &lt;&gt; "", AP[[#This Row],[Spend category L2 - Override]], AP[[#This Row],[Spend category L2]])</f>
        <v>0</v>
      </c>
      <c r="N98" s="51">
        <f>Assumptions!$D$15</f>
        <v>0.1</v>
      </c>
      <c r="O98" s="45">
        <f>IF(AP[[#This Row],[GST applies?]] = "Yes", (AP[[#This Row],[Invoice value inc. GST]] / 1 + AP[[#This Row],[GST %]]) * AP[[#This Row],[GST %]], 0)</f>
        <v>0</v>
      </c>
      <c r="P98" s="31">
        <f>_xlfn.XLOOKUP(AP[[#This Row],[Supplier name]], Supplier_master[Supplier name], Supplier_master[EOM or Net], 0)</f>
        <v>0</v>
      </c>
      <c r="Q98" s="31">
        <f>_xlfn.XLOOKUP(AP[[#This Row],[Supplier name]], Supplier_master[Supplier name], Supplier_master[Terms days], 0)</f>
        <v>0</v>
      </c>
      <c r="R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" s="4"/>
      <c r="T98" s="46">
        <f>IF(AP[[#This Row],[Payment date - override (dd/mm/yyyy)]] &lt;&gt; "", AP[[#This Row],[Payment date - override (dd/mm/yyyy)]], AP[[#This Row],[Due date (dd/mm/yyyy)]])</f>
        <v>0</v>
      </c>
      <c r="U98" s="46">
        <f t="shared" si="1"/>
        <v>52</v>
      </c>
    </row>
    <row r="99" spans="3:21" x14ac:dyDescent="0.25">
      <c r="C99" s="28"/>
      <c r="D99" s="20"/>
      <c r="E99" s="4"/>
      <c r="F99" s="37"/>
      <c r="G99" s="24"/>
      <c r="H99" s="31">
        <f>_xlfn.XLOOKUP(AP[[#This Row],[Supplier name]], Supplier_master[Supplier name], Supplier_master[Category L1], 0)</f>
        <v>0</v>
      </c>
      <c r="I99" s="64">
        <f>_xlfn.XLOOKUP(AP[[#This Row],[Supplier name]], Supplier_master[Supplier name], Supplier_master[Category L2], 0)</f>
        <v>0</v>
      </c>
      <c r="J99" s="55"/>
      <c r="K99" s="54"/>
      <c r="L99" s="57">
        <f>IF(AP[[#This Row],[Spend category L1 - Override]] &lt;&gt; "", AP[[#This Row],[Spend category L1 - Override]], AP[[#This Row],[Spend category L1]])</f>
        <v>0</v>
      </c>
      <c r="M99" s="57">
        <f>IF(AP[[#This Row],[Spend category L2 - Override]] &lt;&gt; "", AP[[#This Row],[Spend category L2 - Override]], AP[[#This Row],[Spend category L2]])</f>
        <v>0</v>
      </c>
      <c r="N99" s="51">
        <f>Assumptions!$D$15</f>
        <v>0.1</v>
      </c>
      <c r="O99" s="45">
        <f>IF(AP[[#This Row],[GST applies?]] = "Yes", (AP[[#This Row],[Invoice value inc. GST]] / 1 + AP[[#This Row],[GST %]]) * AP[[#This Row],[GST %]], 0)</f>
        <v>0</v>
      </c>
      <c r="P99" s="31">
        <f>_xlfn.XLOOKUP(AP[[#This Row],[Supplier name]], Supplier_master[Supplier name], Supplier_master[EOM or Net], 0)</f>
        <v>0</v>
      </c>
      <c r="Q99" s="31">
        <f>_xlfn.XLOOKUP(AP[[#This Row],[Supplier name]], Supplier_master[Supplier name], Supplier_master[Terms days], 0)</f>
        <v>0</v>
      </c>
      <c r="R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" s="4"/>
      <c r="T99" s="46">
        <f>IF(AP[[#This Row],[Payment date - override (dd/mm/yyyy)]] &lt;&gt; "", AP[[#This Row],[Payment date - override (dd/mm/yyyy)]], AP[[#This Row],[Due date (dd/mm/yyyy)]])</f>
        <v>0</v>
      </c>
      <c r="U99" s="46">
        <f t="shared" si="1"/>
        <v>52</v>
      </c>
    </row>
    <row r="100" spans="3:21" x14ac:dyDescent="0.25">
      <c r="C100" s="28"/>
      <c r="D100" s="20"/>
      <c r="E100" s="4"/>
      <c r="F100" s="37"/>
      <c r="G100" s="24"/>
      <c r="H100" s="31">
        <f>_xlfn.XLOOKUP(AP[[#This Row],[Supplier name]], Supplier_master[Supplier name], Supplier_master[Category L1], 0)</f>
        <v>0</v>
      </c>
      <c r="I100" s="64">
        <f>_xlfn.XLOOKUP(AP[[#This Row],[Supplier name]], Supplier_master[Supplier name], Supplier_master[Category L2], 0)</f>
        <v>0</v>
      </c>
      <c r="J100" s="55"/>
      <c r="K100" s="54"/>
      <c r="L100" s="57">
        <f>IF(AP[[#This Row],[Spend category L1 - Override]] &lt;&gt; "", AP[[#This Row],[Spend category L1 - Override]], AP[[#This Row],[Spend category L1]])</f>
        <v>0</v>
      </c>
      <c r="M100" s="57">
        <f>IF(AP[[#This Row],[Spend category L2 - Override]] &lt;&gt; "", AP[[#This Row],[Spend category L2 - Override]], AP[[#This Row],[Spend category L2]])</f>
        <v>0</v>
      </c>
      <c r="N100" s="51">
        <f>Assumptions!$D$15</f>
        <v>0.1</v>
      </c>
      <c r="O100" s="45">
        <f>IF(AP[[#This Row],[GST applies?]] = "Yes", (AP[[#This Row],[Invoice value inc. GST]] / 1 + AP[[#This Row],[GST %]]) * AP[[#This Row],[GST %]], 0)</f>
        <v>0</v>
      </c>
      <c r="P100" s="31">
        <f>_xlfn.XLOOKUP(AP[[#This Row],[Supplier name]], Supplier_master[Supplier name], Supplier_master[EOM or Net], 0)</f>
        <v>0</v>
      </c>
      <c r="Q100" s="31">
        <f>_xlfn.XLOOKUP(AP[[#This Row],[Supplier name]], Supplier_master[Supplier name], Supplier_master[Terms days], 0)</f>
        <v>0</v>
      </c>
      <c r="R1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0" s="4"/>
      <c r="T100" s="46">
        <f>IF(AP[[#This Row],[Payment date - override (dd/mm/yyyy)]] &lt;&gt; "", AP[[#This Row],[Payment date - override (dd/mm/yyyy)]], AP[[#This Row],[Due date (dd/mm/yyyy)]])</f>
        <v>0</v>
      </c>
      <c r="U100" s="46">
        <f t="shared" si="1"/>
        <v>52</v>
      </c>
    </row>
    <row r="101" spans="3:21" x14ac:dyDescent="0.25">
      <c r="C101" s="28"/>
      <c r="D101" s="20"/>
      <c r="E101" s="4"/>
      <c r="F101" s="37"/>
      <c r="G101" s="24"/>
      <c r="H101" s="31">
        <f>_xlfn.XLOOKUP(AP[[#This Row],[Supplier name]], Supplier_master[Supplier name], Supplier_master[Category L1], 0)</f>
        <v>0</v>
      </c>
      <c r="I101" s="64">
        <f>_xlfn.XLOOKUP(AP[[#This Row],[Supplier name]], Supplier_master[Supplier name], Supplier_master[Category L2], 0)</f>
        <v>0</v>
      </c>
      <c r="J101" s="55"/>
      <c r="K101" s="54"/>
      <c r="L101" s="57">
        <f>IF(AP[[#This Row],[Spend category L1 - Override]] &lt;&gt; "", AP[[#This Row],[Spend category L1 - Override]], AP[[#This Row],[Spend category L1]])</f>
        <v>0</v>
      </c>
      <c r="M101" s="57">
        <f>IF(AP[[#This Row],[Spend category L2 - Override]] &lt;&gt; "", AP[[#This Row],[Spend category L2 - Override]], AP[[#This Row],[Spend category L2]])</f>
        <v>0</v>
      </c>
      <c r="N101" s="51">
        <f>Assumptions!$D$15</f>
        <v>0.1</v>
      </c>
      <c r="O101" s="45">
        <f>IF(AP[[#This Row],[GST applies?]] = "Yes", (AP[[#This Row],[Invoice value inc. GST]] / 1 + AP[[#This Row],[GST %]]) * AP[[#This Row],[GST %]], 0)</f>
        <v>0</v>
      </c>
      <c r="P101" s="31">
        <f>_xlfn.XLOOKUP(AP[[#This Row],[Supplier name]], Supplier_master[Supplier name], Supplier_master[EOM or Net], 0)</f>
        <v>0</v>
      </c>
      <c r="Q101" s="31">
        <f>_xlfn.XLOOKUP(AP[[#This Row],[Supplier name]], Supplier_master[Supplier name], Supplier_master[Terms days], 0)</f>
        <v>0</v>
      </c>
      <c r="R1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1" s="4"/>
      <c r="T101" s="46">
        <f>IF(AP[[#This Row],[Payment date - override (dd/mm/yyyy)]] &lt;&gt; "", AP[[#This Row],[Payment date - override (dd/mm/yyyy)]], AP[[#This Row],[Due date (dd/mm/yyyy)]])</f>
        <v>0</v>
      </c>
      <c r="U101" s="46">
        <f t="shared" si="1"/>
        <v>52</v>
      </c>
    </row>
    <row r="102" spans="3:21" x14ac:dyDescent="0.25">
      <c r="C102" s="28"/>
      <c r="D102" s="20"/>
      <c r="E102" s="4"/>
      <c r="F102" s="37"/>
      <c r="G102" s="24"/>
      <c r="H102" s="31">
        <f>_xlfn.XLOOKUP(AP[[#This Row],[Supplier name]], Supplier_master[Supplier name], Supplier_master[Category L1], 0)</f>
        <v>0</v>
      </c>
      <c r="I102" s="64">
        <f>_xlfn.XLOOKUP(AP[[#This Row],[Supplier name]], Supplier_master[Supplier name], Supplier_master[Category L2], 0)</f>
        <v>0</v>
      </c>
      <c r="J102" s="55"/>
      <c r="K102" s="54"/>
      <c r="L102" s="57">
        <f>IF(AP[[#This Row],[Spend category L1 - Override]] &lt;&gt; "", AP[[#This Row],[Spend category L1 - Override]], AP[[#This Row],[Spend category L1]])</f>
        <v>0</v>
      </c>
      <c r="M102" s="57">
        <f>IF(AP[[#This Row],[Spend category L2 - Override]] &lt;&gt; "", AP[[#This Row],[Spend category L2 - Override]], AP[[#This Row],[Spend category L2]])</f>
        <v>0</v>
      </c>
      <c r="N102" s="51">
        <f>Assumptions!$D$15</f>
        <v>0.1</v>
      </c>
      <c r="O102" s="45">
        <f>IF(AP[[#This Row],[GST applies?]] = "Yes", (AP[[#This Row],[Invoice value inc. GST]] / 1 + AP[[#This Row],[GST %]]) * AP[[#This Row],[GST %]], 0)</f>
        <v>0</v>
      </c>
      <c r="P102" s="31">
        <f>_xlfn.XLOOKUP(AP[[#This Row],[Supplier name]], Supplier_master[Supplier name], Supplier_master[EOM or Net], 0)</f>
        <v>0</v>
      </c>
      <c r="Q102" s="31">
        <f>_xlfn.XLOOKUP(AP[[#This Row],[Supplier name]], Supplier_master[Supplier name], Supplier_master[Terms days], 0)</f>
        <v>0</v>
      </c>
      <c r="R1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2" s="4"/>
      <c r="T102" s="46">
        <f>IF(AP[[#This Row],[Payment date - override (dd/mm/yyyy)]] &lt;&gt; "", AP[[#This Row],[Payment date - override (dd/mm/yyyy)]], AP[[#This Row],[Due date (dd/mm/yyyy)]])</f>
        <v>0</v>
      </c>
      <c r="U102" s="46">
        <f t="shared" si="1"/>
        <v>52</v>
      </c>
    </row>
    <row r="103" spans="3:21" x14ac:dyDescent="0.25">
      <c r="C103" s="28"/>
      <c r="D103" s="20"/>
      <c r="E103" s="4"/>
      <c r="F103" s="37"/>
      <c r="G103" s="24"/>
      <c r="H103" s="31">
        <f>_xlfn.XLOOKUP(AP[[#This Row],[Supplier name]], Supplier_master[Supplier name], Supplier_master[Category L1], 0)</f>
        <v>0</v>
      </c>
      <c r="I103" s="64">
        <f>_xlfn.XLOOKUP(AP[[#This Row],[Supplier name]], Supplier_master[Supplier name], Supplier_master[Category L2], 0)</f>
        <v>0</v>
      </c>
      <c r="J103" s="55"/>
      <c r="K103" s="54"/>
      <c r="L103" s="57">
        <f>IF(AP[[#This Row],[Spend category L1 - Override]] &lt;&gt; "", AP[[#This Row],[Spend category L1 - Override]], AP[[#This Row],[Spend category L1]])</f>
        <v>0</v>
      </c>
      <c r="M103" s="57">
        <f>IF(AP[[#This Row],[Spend category L2 - Override]] &lt;&gt; "", AP[[#This Row],[Spend category L2 - Override]], AP[[#This Row],[Spend category L2]])</f>
        <v>0</v>
      </c>
      <c r="N103" s="51">
        <f>Assumptions!$D$15</f>
        <v>0.1</v>
      </c>
      <c r="O103" s="45">
        <f>IF(AP[[#This Row],[GST applies?]] = "Yes", (AP[[#This Row],[Invoice value inc. GST]] / 1 + AP[[#This Row],[GST %]]) * AP[[#This Row],[GST %]], 0)</f>
        <v>0</v>
      </c>
      <c r="P103" s="31">
        <f>_xlfn.XLOOKUP(AP[[#This Row],[Supplier name]], Supplier_master[Supplier name], Supplier_master[EOM or Net], 0)</f>
        <v>0</v>
      </c>
      <c r="Q103" s="31">
        <f>_xlfn.XLOOKUP(AP[[#This Row],[Supplier name]], Supplier_master[Supplier name], Supplier_master[Terms days], 0)</f>
        <v>0</v>
      </c>
      <c r="R1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3" s="4"/>
      <c r="T103" s="46">
        <f>IF(AP[[#This Row],[Payment date - override (dd/mm/yyyy)]] &lt;&gt; "", AP[[#This Row],[Payment date - override (dd/mm/yyyy)]], AP[[#This Row],[Due date (dd/mm/yyyy)]])</f>
        <v>0</v>
      </c>
      <c r="U103" s="46">
        <f t="shared" si="1"/>
        <v>52</v>
      </c>
    </row>
    <row r="104" spans="3:21" x14ac:dyDescent="0.25">
      <c r="C104" s="28"/>
      <c r="D104" s="20"/>
      <c r="E104" s="4"/>
      <c r="F104" s="37"/>
      <c r="G104" s="24"/>
      <c r="H104" s="31">
        <f>_xlfn.XLOOKUP(AP[[#This Row],[Supplier name]], Supplier_master[Supplier name], Supplier_master[Category L1], 0)</f>
        <v>0</v>
      </c>
      <c r="I104" s="64">
        <f>_xlfn.XLOOKUP(AP[[#This Row],[Supplier name]], Supplier_master[Supplier name], Supplier_master[Category L2], 0)</f>
        <v>0</v>
      </c>
      <c r="J104" s="55"/>
      <c r="K104" s="54"/>
      <c r="L104" s="57">
        <f>IF(AP[[#This Row],[Spend category L1 - Override]] &lt;&gt; "", AP[[#This Row],[Spend category L1 - Override]], AP[[#This Row],[Spend category L1]])</f>
        <v>0</v>
      </c>
      <c r="M104" s="57">
        <f>IF(AP[[#This Row],[Spend category L2 - Override]] &lt;&gt; "", AP[[#This Row],[Spend category L2 - Override]], AP[[#This Row],[Spend category L2]])</f>
        <v>0</v>
      </c>
      <c r="N104" s="51">
        <f>Assumptions!$D$15</f>
        <v>0.1</v>
      </c>
      <c r="O104" s="45">
        <f>IF(AP[[#This Row],[GST applies?]] = "Yes", (AP[[#This Row],[Invoice value inc. GST]] / 1 + AP[[#This Row],[GST %]]) * AP[[#This Row],[GST %]], 0)</f>
        <v>0</v>
      </c>
      <c r="P104" s="31">
        <f>_xlfn.XLOOKUP(AP[[#This Row],[Supplier name]], Supplier_master[Supplier name], Supplier_master[EOM or Net], 0)</f>
        <v>0</v>
      </c>
      <c r="Q104" s="31">
        <f>_xlfn.XLOOKUP(AP[[#This Row],[Supplier name]], Supplier_master[Supplier name], Supplier_master[Terms days], 0)</f>
        <v>0</v>
      </c>
      <c r="R1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4" s="4"/>
      <c r="T104" s="46">
        <f>IF(AP[[#This Row],[Payment date - override (dd/mm/yyyy)]] &lt;&gt; "", AP[[#This Row],[Payment date - override (dd/mm/yyyy)]], AP[[#This Row],[Due date (dd/mm/yyyy)]])</f>
        <v>0</v>
      </c>
      <c r="U104" s="46">
        <f t="shared" si="1"/>
        <v>52</v>
      </c>
    </row>
    <row r="105" spans="3:21" x14ac:dyDescent="0.25">
      <c r="C105" s="28"/>
      <c r="D105" s="20"/>
      <c r="E105" s="4"/>
      <c r="F105" s="37"/>
      <c r="G105" s="24"/>
      <c r="H105" s="31">
        <f>_xlfn.XLOOKUP(AP[[#This Row],[Supplier name]], Supplier_master[Supplier name], Supplier_master[Category L1], 0)</f>
        <v>0</v>
      </c>
      <c r="I105" s="64">
        <f>_xlfn.XLOOKUP(AP[[#This Row],[Supplier name]], Supplier_master[Supplier name], Supplier_master[Category L2], 0)</f>
        <v>0</v>
      </c>
      <c r="J105" s="55"/>
      <c r="K105" s="54"/>
      <c r="L105" s="57">
        <f>IF(AP[[#This Row],[Spend category L1 - Override]] &lt;&gt; "", AP[[#This Row],[Spend category L1 - Override]], AP[[#This Row],[Spend category L1]])</f>
        <v>0</v>
      </c>
      <c r="M105" s="57">
        <f>IF(AP[[#This Row],[Spend category L2 - Override]] &lt;&gt; "", AP[[#This Row],[Spend category L2 - Override]], AP[[#This Row],[Spend category L2]])</f>
        <v>0</v>
      </c>
      <c r="N105" s="51">
        <f>Assumptions!$D$15</f>
        <v>0.1</v>
      </c>
      <c r="O105" s="45">
        <f>IF(AP[[#This Row],[GST applies?]] = "Yes", (AP[[#This Row],[Invoice value inc. GST]] / 1 + AP[[#This Row],[GST %]]) * AP[[#This Row],[GST %]], 0)</f>
        <v>0</v>
      </c>
      <c r="P105" s="31">
        <f>_xlfn.XLOOKUP(AP[[#This Row],[Supplier name]], Supplier_master[Supplier name], Supplier_master[EOM or Net], 0)</f>
        <v>0</v>
      </c>
      <c r="Q105" s="31">
        <f>_xlfn.XLOOKUP(AP[[#This Row],[Supplier name]], Supplier_master[Supplier name], Supplier_master[Terms days], 0)</f>
        <v>0</v>
      </c>
      <c r="R1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5" s="4"/>
      <c r="T105" s="46">
        <f>IF(AP[[#This Row],[Payment date - override (dd/mm/yyyy)]] &lt;&gt; "", AP[[#This Row],[Payment date - override (dd/mm/yyyy)]], AP[[#This Row],[Due date (dd/mm/yyyy)]])</f>
        <v>0</v>
      </c>
      <c r="U105" s="46">
        <f t="shared" si="1"/>
        <v>52</v>
      </c>
    </row>
    <row r="106" spans="3:21" x14ac:dyDescent="0.25">
      <c r="C106" s="28"/>
      <c r="D106" s="20"/>
      <c r="E106" s="4"/>
      <c r="F106" s="37"/>
      <c r="G106" s="24"/>
      <c r="H106" s="31">
        <f>_xlfn.XLOOKUP(AP[[#This Row],[Supplier name]], Supplier_master[Supplier name], Supplier_master[Category L1], 0)</f>
        <v>0</v>
      </c>
      <c r="I106" s="64">
        <f>_xlfn.XLOOKUP(AP[[#This Row],[Supplier name]], Supplier_master[Supplier name], Supplier_master[Category L2], 0)</f>
        <v>0</v>
      </c>
      <c r="J106" s="55"/>
      <c r="K106" s="54"/>
      <c r="L106" s="57">
        <f>IF(AP[[#This Row],[Spend category L1 - Override]] &lt;&gt; "", AP[[#This Row],[Spend category L1 - Override]], AP[[#This Row],[Spend category L1]])</f>
        <v>0</v>
      </c>
      <c r="M106" s="57">
        <f>IF(AP[[#This Row],[Spend category L2 - Override]] &lt;&gt; "", AP[[#This Row],[Spend category L2 - Override]], AP[[#This Row],[Spend category L2]])</f>
        <v>0</v>
      </c>
      <c r="N106" s="51">
        <f>Assumptions!$D$15</f>
        <v>0.1</v>
      </c>
      <c r="O106" s="45">
        <f>IF(AP[[#This Row],[GST applies?]] = "Yes", (AP[[#This Row],[Invoice value inc. GST]] / 1 + AP[[#This Row],[GST %]]) * AP[[#This Row],[GST %]], 0)</f>
        <v>0</v>
      </c>
      <c r="P106" s="31">
        <f>_xlfn.XLOOKUP(AP[[#This Row],[Supplier name]], Supplier_master[Supplier name], Supplier_master[EOM or Net], 0)</f>
        <v>0</v>
      </c>
      <c r="Q106" s="31">
        <f>_xlfn.XLOOKUP(AP[[#This Row],[Supplier name]], Supplier_master[Supplier name], Supplier_master[Terms days], 0)</f>
        <v>0</v>
      </c>
      <c r="R1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6" s="4"/>
      <c r="T106" s="46">
        <f>IF(AP[[#This Row],[Payment date - override (dd/mm/yyyy)]] &lt;&gt; "", AP[[#This Row],[Payment date - override (dd/mm/yyyy)]], AP[[#This Row],[Due date (dd/mm/yyyy)]])</f>
        <v>0</v>
      </c>
      <c r="U106" s="46">
        <f t="shared" si="1"/>
        <v>52</v>
      </c>
    </row>
    <row r="107" spans="3:21" x14ac:dyDescent="0.25">
      <c r="C107" s="28"/>
      <c r="D107" s="20"/>
      <c r="E107" s="4"/>
      <c r="F107" s="37"/>
      <c r="G107" s="24"/>
      <c r="H107" s="31">
        <f>_xlfn.XLOOKUP(AP[[#This Row],[Supplier name]], Supplier_master[Supplier name], Supplier_master[Category L1], 0)</f>
        <v>0</v>
      </c>
      <c r="I107" s="64">
        <f>_xlfn.XLOOKUP(AP[[#This Row],[Supplier name]], Supplier_master[Supplier name], Supplier_master[Category L2], 0)</f>
        <v>0</v>
      </c>
      <c r="J107" s="55"/>
      <c r="K107" s="54"/>
      <c r="L107" s="57">
        <f>IF(AP[[#This Row],[Spend category L1 - Override]] &lt;&gt; "", AP[[#This Row],[Spend category L1 - Override]], AP[[#This Row],[Spend category L1]])</f>
        <v>0</v>
      </c>
      <c r="M107" s="57">
        <f>IF(AP[[#This Row],[Spend category L2 - Override]] &lt;&gt; "", AP[[#This Row],[Spend category L2 - Override]], AP[[#This Row],[Spend category L2]])</f>
        <v>0</v>
      </c>
      <c r="N107" s="51">
        <f>Assumptions!$D$15</f>
        <v>0.1</v>
      </c>
      <c r="O107" s="45">
        <f>IF(AP[[#This Row],[GST applies?]] = "Yes", (AP[[#This Row],[Invoice value inc. GST]] / 1 + AP[[#This Row],[GST %]]) * AP[[#This Row],[GST %]], 0)</f>
        <v>0</v>
      </c>
      <c r="P107" s="31">
        <f>_xlfn.XLOOKUP(AP[[#This Row],[Supplier name]], Supplier_master[Supplier name], Supplier_master[EOM or Net], 0)</f>
        <v>0</v>
      </c>
      <c r="Q107" s="31">
        <f>_xlfn.XLOOKUP(AP[[#This Row],[Supplier name]], Supplier_master[Supplier name], Supplier_master[Terms days], 0)</f>
        <v>0</v>
      </c>
      <c r="R1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7" s="4"/>
      <c r="T107" s="46">
        <f>IF(AP[[#This Row],[Payment date - override (dd/mm/yyyy)]] &lt;&gt; "", AP[[#This Row],[Payment date - override (dd/mm/yyyy)]], AP[[#This Row],[Due date (dd/mm/yyyy)]])</f>
        <v>0</v>
      </c>
      <c r="U107" s="46">
        <f t="shared" si="1"/>
        <v>52</v>
      </c>
    </row>
    <row r="108" spans="3:21" x14ac:dyDescent="0.25">
      <c r="C108" s="28"/>
      <c r="D108" s="20"/>
      <c r="E108" s="4"/>
      <c r="F108" s="37"/>
      <c r="G108" s="24"/>
      <c r="H108" s="31">
        <f>_xlfn.XLOOKUP(AP[[#This Row],[Supplier name]], Supplier_master[Supplier name], Supplier_master[Category L1], 0)</f>
        <v>0</v>
      </c>
      <c r="I108" s="64">
        <f>_xlfn.XLOOKUP(AP[[#This Row],[Supplier name]], Supplier_master[Supplier name], Supplier_master[Category L2], 0)</f>
        <v>0</v>
      </c>
      <c r="J108" s="55"/>
      <c r="K108" s="54"/>
      <c r="L108" s="57">
        <f>IF(AP[[#This Row],[Spend category L1 - Override]] &lt;&gt; "", AP[[#This Row],[Spend category L1 - Override]], AP[[#This Row],[Spend category L1]])</f>
        <v>0</v>
      </c>
      <c r="M108" s="57">
        <f>IF(AP[[#This Row],[Spend category L2 - Override]] &lt;&gt; "", AP[[#This Row],[Spend category L2 - Override]], AP[[#This Row],[Spend category L2]])</f>
        <v>0</v>
      </c>
      <c r="N108" s="51">
        <f>Assumptions!$D$15</f>
        <v>0.1</v>
      </c>
      <c r="O108" s="45">
        <f>IF(AP[[#This Row],[GST applies?]] = "Yes", (AP[[#This Row],[Invoice value inc. GST]] / 1 + AP[[#This Row],[GST %]]) * AP[[#This Row],[GST %]], 0)</f>
        <v>0</v>
      </c>
      <c r="P108" s="31">
        <f>_xlfn.XLOOKUP(AP[[#This Row],[Supplier name]], Supplier_master[Supplier name], Supplier_master[EOM or Net], 0)</f>
        <v>0</v>
      </c>
      <c r="Q108" s="31">
        <f>_xlfn.XLOOKUP(AP[[#This Row],[Supplier name]], Supplier_master[Supplier name], Supplier_master[Terms days], 0)</f>
        <v>0</v>
      </c>
      <c r="R1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8" s="4"/>
      <c r="T108" s="46">
        <f>IF(AP[[#This Row],[Payment date - override (dd/mm/yyyy)]] &lt;&gt; "", AP[[#This Row],[Payment date - override (dd/mm/yyyy)]], AP[[#This Row],[Due date (dd/mm/yyyy)]])</f>
        <v>0</v>
      </c>
      <c r="U108" s="46">
        <f t="shared" si="1"/>
        <v>52</v>
      </c>
    </row>
    <row r="109" spans="3:21" x14ac:dyDescent="0.25">
      <c r="C109" s="28"/>
      <c r="D109" s="20"/>
      <c r="E109" s="4"/>
      <c r="F109" s="37"/>
      <c r="G109" s="24"/>
      <c r="H109" s="31">
        <f>_xlfn.XLOOKUP(AP[[#This Row],[Supplier name]], Supplier_master[Supplier name], Supplier_master[Category L1], 0)</f>
        <v>0</v>
      </c>
      <c r="I109" s="64">
        <f>_xlfn.XLOOKUP(AP[[#This Row],[Supplier name]], Supplier_master[Supplier name], Supplier_master[Category L2], 0)</f>
        <v>0</v>
      </c>
      <c r="J109" s="55"/>
      <c r="K109" s="54"/>
      <c r="L109" s="57">
        <f>IF(AP[[#This Row],[Spend category L1 - Override]] &lt;&gt; "", AP[[#This Row],[Spend category L1 - Override]], AP[[#This Row],[Spend category L1]])</f>
        <v>0</v>
      </c>
      <c r="M109" s="57">
        <f>IF(AP[[#This Row],[Spend category L2 - Override]] &lt;&gt; "", AP[[#This Row],[Spend category L2 - Override]], AP[[#This Row],[Spend category L2]])</f>
        <v>0</v>
      </c>
      <c r="N109" s="51">
        <f>Assumptions!$D$15</f>
        <v>0.1</v>
      </c>
      <c r="O109" s="45">
        <f>IF(AP[[#This Row],[GST applies?]] = "Yes", (AP[[#This Row],[Invoice value inc. GST]] / 1 + AP[[#This Row],[GST %]]) * AP[[#This Row],[GST %]], 0)</f>
        <v>0</v>
      </c>
      <c r="P109" s="31">
        <f>_xlfn.XLOOKUP(AP[[#This Row],[Supplier name]], Supplier_master[Supplier name], Supplier_master[EOM or Net], 0)</f>
        <v>0</v>
      </c>
      <c r="Q109" s="31">
        <f>_xlfn.XLOOKUP(AP[[#This Row],[Supplier name]], Supplier_master[Supplier name], Supplier_master[Terms days], 0)</f>
        <v>0</v>
      </c>
      <c r="R1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9" s="4"/>
      <c r="T109" s="46">
        <f>IF(AP[[#This Row],[Payment date - override (dd/mm/yyyy)]] &lt;&gt; "", AP[[#This Row],[Payment date - override (dd/mm/yyyy)]], AP[[#This Row],[Due date (dd/mm/yyyy)]])</f>
        <v>0</v>
      </c>
      <c r="U109" s="46">
        <f t="shared" si="1"/>
        <v>52</v>
      </c>
    </row>
    <row r="110" spans="3:21" x14ac:dyDescent="0.25">
      <c r="C110" s="28"/>
      <c r="D110" s="20"/>
      <c r="E110" s="4"/>
      <c r="F110" s="37"/>
      <c r="G110" s="24"/>
      <c r="H110" s="31">
        <f>_xlfn.XLOOKUP(AP[[#This Row],[Supplier name]], Supplier_master[Supplier name], Supplier_master[Category L1], 0)</f>
        <v>0</v>
      </c>
      <c r="I110" s="64">
        <f>_xlfn.XLOOKUP(AP[[#This Row],[Supplier name]], Supplier_master[Supplier name], Supplier_master[Category L2], 0)</f>
        <v>0</v>
      </c>
      <c r="J110" s="55"/>
      <c r="K110" s="54"/>
      <c r="L110" s="57">
        <f>IF(AP[[#This Row],[Spend category L1 - Override]] &lt;&gt; "", AP[[#This Row],[Spend category L1 - Override]], AP[[#This Row],[Spend category L1]])</f>
        <v>0</v>
      </c>
      <c r="M110" s="57">
        <f>IF(AP[[#This Row],[Spend category L2 - Override]] &lt;&gt; "", AP[[#This Row],[Spend category L2 - Override]], AP[[#This Row],[Spend category L2]])</f>
        <v>0</v>
      </c>
      <c r="N110" s="51">
        <f>Assumptions!$D$15</f>
        <v>0.1</v>
      </c>
      <c r="O110" s="45">
        <f>IF(AP[[#This Row],[GST applies?]] = "Yes", (AP[[#This Row],[Invoice value inc. GST]] / 1 + AP[[#This Row],[GST %]]) * AP[[#This Row],[GST %]], 0)</f>
        <v>0</v>
      </c>
      <c r="P110" s="31">
        <f>_xlfn.XLOOKUP(AP[[#This Row],[Supplier name]], Supplier_master[Supplier name], Supplier_master[EOM or Net], 0)</f>
        <v>0</v>
      </c>
      <c r="Q110" s="31">
        <f>_xlfn.XLOOKUP(AP[[#This Row],[Supplier name]], Supplier_master[Supplier name], Supplier_master[Terms days], 0)</f>
        <v>0</v>
      </c>
      <c r="R1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0" s="4"/>
      <c r="T110" s="46">
        <f>IF(AP[[#This Row],[Payment date - override (dd/mm/yyyy)]] &lt;&gt; "", AP[[#This Row],[Payment date - override (dd/mm/yyyy)]], AP[[#This Row],[Due date (dd/mm/yyyy)]])</f>
        <v>0</v>
      </c>
      <c r="U110" s="46">
        <f t="shared" si="1"/>
        <v>52</v>
      </c>
    </row>
    <row r="111" spans="3:21" x14ac:dyDescent="0.25">
      <c r="C111" s="28"/>
      <c r="D111" s="20"/>
      <c r="E111" s="4"/>
      <c r="F111" s="37"/>
      <c r="G111" s="24"/>
      <c r="H111" s="31">
        <f>_xlfn.XLOOKUP(AP[[#This Row],[Supplier name]], Supplier_master[Supplier name], Supplier_master[Category L1], 0)</f>
        <v>0</v>
      </c>
      <c r="I111" s="64">
        <f>_xlfn.XLOOKUP(AP[[#This Row],[Supplier name]], Supplier_master[Supplier name], Supplier_master[Category L2], 0)</f>
        <v>0</v>
      </c>
      <c r="J111" s="55"/>
      <c r="K111" s="54"/>
      <c r="L111" s="57">
        <f>IF(AP[[#This Row],[Spend category L1 - Override]] &lt;&gt; "", AP[[#This Row],[Spend category L1 - Override]], AP[[#This Row],[Spend category L1]])</f>
        <v>0</v>
      </c>
      <c r="M111" s="57">
        <f>IF(AP[[#This Row],[Spend category L2 - Override]] &lt;&gt; "", AP[[#This Row],[Spend category L2 - Override]], AP[[#This Row],[Spend category L2]])</f>
        <v>0</v>
      </c>
      <c r="N111" s="51">
        <f>Assumptions!$D$15</f>
        <v>0.1</v>
      </c>
      <c r="O111" s="45">
        <f>IF(AP[[#This Row],[GST applies?]] = "Yes", (AP[[#This Row],[Invoice value inc. GST]] / 1 + AP[[#This Row],[GST %]]) * AP[[#This Row],[GST %]], 0)</f>
        <v>0</v>
      </c>
      <c r="P111" s="31">
        <f>_xlfn.XLOOKUP(AP[[#This Row],[Supplier name]], Supplier_master[Supplier name], Supplier_master[EOM or Net], 0)</f>
        <v>0</v>
      </c>
      <c r="Q111" s="31">
        <f>_xlfn.XLOOKUP(AP[[#This Row],[Supplier name]], Supplier_master[Supplier name], Supplier_master[Terms days], 0)</f>
        <v>0</v>
      </c>
      <c r="R1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1" s="4"/>
      <c r="T111" s="46">
        <f>IF(AP[[#This Row],[Payment date - override (dd/mm/yyyy)]] &lt;&gt; "", AP[[#This Row],[Payment date - override (dd/mm/yyyy)]], AP[[#This Row],[Due date (dd/mm/yyyy)]])</f>
        <v>0</v>
      </c>
      <c r="U111" s="46">
        <f t="shared" si="1"/>
        <v>52</v>
      </c>
    </row>
    <row r="112" spans="3:21" x14ac:dyDescent="0.25">
      <c r="C112" s="28"/>
      <c r="D112" s="20"/>
      <c r="E112" s="4"/>
      <c r="F112" s="37"/>
      <c r="G112" s="24"/>
      <c r="H112" s="31">
        <f>_xlfn.XLOOKUP(AP[[#This Row],[Supplier name]], Supplier_master[Supplier name], Supplier_master[Category L1], 0)</f>
        <v>0</v>
      </c>
      <c r="I112" s="64">
        <f>_xlfn.XLOOKUP(AP[[#This Row],[Supplier name]], Supplier_master[Supplier name], Supplier_master[Category L2], 0)</f>
        <v>0</v>
      </c>
      <c r="J112" s="55"/>
      <c r="K112" s="54"/>
      <c r="L112" s="57">
        <f>IF(AP[[#This Row],[Spend category L1 - Override]] &lt;&gt; "", AP[[#This Row],[Spend category L1 - Override]], AP[[#This Row],[Spend category L1]])</f>
        <v>0</v>
      </c>
      <c r="M112" s="57">
        <f>IF(AP[[#This Row],[Spend category L2 - Override]] &lt;&gt; "", AP[[#This Row],[Spend category L2 - Override]], AP[[#This Row],[Spend category L2]])</f>
        <v>0</v>
      </c>
      <c r="N112" s="51">
        <f>Assumptions!$D$15</f>
        <v>0.1</v>
      </c>
      <c r="O112" s="45">
        <f>IF(AP[[#This Row],[GST applies?]] = "Yes", (AP[[#This Row],[Invoice value inc. GST]] / 1 + AP[[#This Row],[GST %]]) * AP[[#This Row],[GST %]], 0)</f>
        <v>0</v>
      </c>
      <c r="P112" s="31">
        <f>_xlfn.XLOOKUP(AP[[#This Row],[Supplier name]], Supplier_master[Supplier name], Supplier_master[EOM or Net], 0)</f>
        <v>0</v>
      </c>
      <c r="Q112" s="31">
        <f>_xlfn.XLOOKUP(AP[[#This Row],[Supplier name]], Supplier_master[Supplier name], Supplier_master[Terms days], 0)</f>
        <v>0</v>
      </c>
      <c r="R1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2" s="4"/>
      <c r="T112" s="46">
        <f>IF(AP[[#This Row],[Payment date - override (dd/mm/yyyy)]] &lt;&gt; "", AP[[#This Row],[Payment date - override (dd/mm/yyyy)]], AP[[#This Row],[Due date (dd/mm/yyyy)]])</f>
        <v>0</v>
      </c>
      <c r="U112" s="46">
        <f t="shared" si="1"/>
        <v>52</v>
      </c>
    </row>
    <row r="113" spans="3:21" x14ac:dyDescent="0.25">
      <c r="C113" s="28"/>
      <c r="D113" s="20"/>
      <c r="E113" s="4"/>
      <c r="F113" s="37"/>
      <c r="G113" s="24"/>
      <c r="H113" s="31">
        <f>_xlfn.XLOOKUP(AP[[#This Row],[Supplier name]], Supplier_master[Supplier name], Supplier_master[Category L1], 0)</f>
        <v>0</v>
      </c>
      <c r="I113" s="64">
        <f>_xlfn.XLOOKUP(AP[[#This Row],[Supplier name]], Supplier_master[Supplier name], Supplier_master[Category L2], 0)</f>
        <v>0</v>
      </c>
      <c r="J113" s="55"/>
      <c r="K113" s="54"/>
      <c r="L113" s="57">
        <f>IF(AP[[#This Row],[Spend category L1 - Override]] &lt;&gt; "", AP[[#This Row],[Spend category L1 - Override]], AP[[#This Row],[Spend category L1]])</f>
        <v>0</v>
      </c>
      <c r="M113" s="57">
        <f>IF(AP[[#This Row],[Spend category L2 - Override]] &lt;&gt; "", AP[[#This Row],[Spend category L2 - Override]], AP[[#This Row],[Spend category L2]])</f>
        <v>0</v>
      </c>
      <c r="N113" s="51">
        <f>Assumptions!$D$15</f>
        <v>0.1</v>
      </c>
      <c r="O113" s="45">
        <f>IF(AP[[#This Row],[GST applies?]] = "Yes", (AP[[#This Row],[Invoice value inc. GST]] / 1 + AP[[#This Row],[GST %]]) * AP[[#This Row],[GST %]], 0)</f>
        <v>0</v>
      </c>
      <c r="P113" s="31">
        <f>_xlfn.XLOOKUP(AP[[#This Row],[Supplier name]], Supplier_master[Supplier name], Supplier_master[EOM or Net], 0)</f>
        <v>0</v>
      </c>
      <c r="Q113" s="31">
        <f>_xlfn.XLOOKUP(AP[[#This Row],[Supplier name]], Supplier_master[Supplier name], Supplier_master[Terms days], 0)</f>
        <v>0</v>
      </c>
      <c r="R1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3" s="4"/>
      <c r="T113" s="46">
        <f>IF(AP[[#This Row],[Payment date - override (dd/mm/yyyy)]] &lt;&gt; "", AP[[#This Row],[Payment date - override (dd/mm/yyyy)]], AP[[#This Row],[Due date (dd/mm/yyyy)]])</f>
        <v>0</v>
      </c>
      <c r="U113" s="46">
        <f t="shared" si="1"/>
        <v>52</v>
      </c>
    </row>
    <row r="114" spans="3:21" x14ac:dyDescent="0.25">
      <c r="C114" s="28"/>
      <c r="D114" s="20"/>
      <c r="E114" s="4"/>
      <c r="F114" s="37"/>
      <c r="G114" s="24"/>
      <c r="H114" s="31">
        <f>_xlfn.XLOOKUP(AP[[#This Row],[Supplier name]], Supplier_master[Supplier name], Supplier_master[Category L1], 0)</f>
        <v>0</v>
      </c>
      <c r="I114" s="64">
        <f>_xlfn.XLOOKUP(AP[[#This Row],[Supplier name]], Supplier_master[Supplier name], Supplier_master[Category L2], 0)</f>
        <v>0</v>
      </c>
      <c r="J114" s="55"/>
      <c r="K114" s="54"/>
      <c r="L114" s="57">
        <f>IF(AP[[#This Row],[Spend category L1 - Override]] &lt;&gt; "", AP[[#This Row],[Spend category L1 - Override]], AP[[#This Row],[Spend category L1]])</f>
        <v>0</v>
      </c>
      <c r="M114" s="57">
        <f>IF(AP[[#This Row],[Spend category L2 - Override]] &lt;&gt; "", AP[[#This Row],[Spend category L2 - Override]], AP[[#This Row],[Spend category L2]])</f>
        <v>0</v>
      </c>
      <c r="N114" s="51">
        <f>Assumptions!$D$15</f>
        <v>0.1</v>
      </c>
      <c r="O114" s="45">
        <f>IF(AP[[#This Row],[GST applies?]] = "Yes", (AP[[#This Row],[Invoice value inc. GST]] / 1 + AP[[#This Row],[GST %]]) * AP[[#This Row],[GST %]], 0)</f>
        <v>0</v>
      </c>
      <c r="P114" s="31">
        <f>_xlfn.XLOOKUP(AP[[#This Row],[Supplier name]], Supplier_master[Supplier name], Supplier_master[EOM or Net], 0)</f>
        <v>0</v>
      </c>
      <c r="Q114" s="31">
        <f>_xlfn.XLOOKUP(AP[[#This Row],[Supplier name]], Supplier_master[Supplier name], Supplier_master[Terms days], 0)</f>
        <v>0</v>
      </c>
      <c r="R1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4" s="4"/>
      <c r="T114" s="46">
        <f>IF(AP[[#This Row],[Payment date - override (dd/mm/yyyy)]] &lt;&gt; "", AP[[#This Row],[Payment date - override (dd/mm/yyyy)]], AP[[#This Row],[Due date (dd/mm/yyyy)]])</f>
        <v>0</v>
      </c>
      <c r="U114" s="46">
        <f t="shared" si="1"/>
        <v>52</v>
      </c>
    </row>
    <row r="115" spans="3:21" x14ac:dyDescent="0.25">
      <c r="C115" s="28"/>
      <c r="D115" s="20"/>
      <c r="E115" s="4"/>
      <c r="F115" s="37"/>
      <c r="G115" s="24"/>
      <c r="H115" s="31">
        <f>_xlfn.XLOOKUP(AP[[#This Row],[Supplier name]], Supplier_master[Supplier name], Supplier_master[Category L1], 0)</f>
        <v>0</v>
      </c>
      <c r="I115" s="64">
        <f>_xlfn.XLOOKUP(AP[[#This Row],[Supplier name]], Supplier_master[Supplier name], Supplier_master[Category L2], 0)</f>
        <v>0</v>
      </c>
      <c r="J115" s="55"/>
      <c r="K115" s="54"/>
      <c r="L115" s="57">
        <f>IF(AP[[#This Row],[Spend category L1 - Override]] &lt;&gt; "", AP[[#This Row],[Spend category L1 - Override]], AP[[#This Row],[Spend category L1]])</f>
        <v>0</v>
      </c>
      <c r="M115" s="57">
        <f>IF(AP[[#This Row],[Spend category L2 - Override]] &lt;&gt; "", AP[[#This Row],[Spend category L2 - Override]], AP[[#This Row],[Spend category L2]])</f>
        <v>0</v>
      </c>
      <c r="N115" s="51">
        <f>Assumptions!$D$15</f>
        <v>0.1</v>
      </c>
      <c r="O115" s="45">
        <f>IF(AP[[#This Row],[GST applies?]] = "Yes", (AP[[#This Row],[Invoice value inc. GST]] / 1 + AP[[#This Row],[GST %]]) * AP[[#This Row],[GST %]], 0)</f>
        <v>0</v>
      </c>
      <c r="P115" s="31">
        <f>_xlfn.XLOOKUP(AP[[#This Row],[Supplier name]], Supplier_master[Supplier name], Supplier_master[EOM or Net], 0)</f>
        <v>0</v>
      </c>
      <c r="Q115" s="31">
        <f>_xlfn.XLOOKUP(AP[[#This Row],[Supplier name]], Supplier_master[Supplier name], Supplier_master[Terms days], 0)</f>
        <v>0</v>
      </c>
      <c r="R1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5" s="4"/>
      <c r="T115" s="46">
        <f>IF(AP[[#This Row],[Payment date - override (dd/mm/yyyy)]] &lt;&gt; "", AP[[#This Row],[Payment date - override (dd/mm/yyyy)]], AP[[#This Row],[Due date (dd/mm/yyyy)]])</f>
        <v>0</v>
      </c>
      <c r="U115" s="46">
        <f t="shared" si="1"/>
        <v>52</v>
      </c>
    </row>
    <row r="116" spans="3:21" x14ac:dyDescent="0.25">
      <c r="C116" s="28"/>
      <c r="D116" s="20"/>
      <c r="E116" s="4"/>
      <c r="F116" s="37"/>
      <c r="G116" s="24"/>
      <c r="H116" s="31">
        <f>_xlfn.XLOOKUP(AP[[#This Row],[Supplier name]], Supplier_master[Supplier name], Supplier_master[Category L1], 0)</f>
        <v>0</v>
      </c>
      <c r="I116" s="64">
        <f>_xlfn.XLOOKUP(AP[[#This Row],[Supplier name]], Supplier_master[Supplier name], Supplier_master[Category L2], 0)</f>
        <v>0</v>
      </c>
      <c r="J116" s="55"/>
      <c r="K116" s="54"/>
      <c r="L116" s="57">
        <f>IF(AP[[#This Row],[Spend category L1 - Override]] &lt;&gt; "", AP[[#This Row],[Spend category L1 - Override]], AP[[#This Row],[Spend category L1]])</f>
        <v>0</v>
      </c>
      <c r="M116" s="57">
        <f>IF(AP[[#This Row],[Spend category L2 - Override]] &lt;&gt; "", AP[[#This Row],[Spend category L2 - Override]], AP[[#This Row],[Spend category L2]])</f>
        <v>0</v>
      </c>
      <c r="N116" s="51">
        <f>Assumptions!$D$15</f>
        <v>0.1</v>
      </c>
      <c r="O116" s="45">
        <f>IF(AP[[#This Row],[GST applies?]] = "Yes", (AP[[#This Row],[Invoice value inc. GST]] / 1 + AP[[#This Row],[GST %]]) * AP[[#This Row],[GST %]], 0)</f>
        <v>0</v>
      </c>
      <c r="P116" s="31">
        <f>_xlfn.XLOOKUP(AP[[#This Row],[Supplier name]], Supplier_master[Supplier name], Supplier_master[EOM or Net], 0)</f>
        <v>0</v>
      </c>
      <c r="Q116" s="31">
        <f>_xlfn.XLOOKUP(AP[[#This Row],[Supplier name]], Supplier_master[Supplier name], Supplier_master[Terms days], 0)</f>
        <v>0</v>
      </c>
      <c r="R1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6" s="4"/>
      <c r="T116" s="46">
        <f>IF(AP[[#This Row],[Payment date - override (dd/mm/yyyy)]] &lt;&gt; "", AP[[#This Row],[Payment date - override (dd/mm/yyyy)]], AP[[#This Row],[Due date (dd/mm/yyyy)]])</f>
        <v>0</v>
      </c>
      <c r="U116" s="46">
        <f t="shared" si="1"/>
        <v>52</v>
      </c>
    </row>
    <row r="117" spans="3:21" x14ac:dyDescent="0.25">
      <c r="C117" s="28"/>
      <c r="D117" s="20"/>
      <c r="E117" s="4"/>
      <c r="F117" s="37"/>
      <c r="G117" s="24"/>
      <c r="H117" s="31">
        <f>_xlfn.XLOOKUP(AP[[#This Row],[Supplier name]], Supplier_master[Supplier name], Supplier_master[Category L1], 0)</f>
        <v>0</v>
      </c>
      <c r="I117" s="64">
        <f>_xlfn.XLOOKUP(AP[[#This Row],[Supplier name]], Supplier_master[Supplier name], Supplier_master[Category L2], 0)</f>
        <v>0</v>
      </c>
      <c r="J117" s="55"/>
      <c r="K117" s="54"/>
      <c r="L117" s="57">
        <f>IF(AP[[#This Row],[Spend category L1 - Override]] &lt;&gt; "", AP[[#This Row],[Spend category L1 - Override]], AP[[#This Row],[Spend category L1]])</f>
        <v>0</v>
      </c>
      <c r="M117" s="57">
        <f>IF(AP[[#This Row],[Spend category L2 - Override]] &lt;&gt; "", AP[[#This Row],[Spend category L2 - Override]], AP[[#This Row],[Spend category L2]])</f>
        <v>0</v>
      </c>
      <c r="N117" s="51">
        <f>Assumptions!$D$15</f>
        <v>0.1</v>
      </c>
      <c r="O117" s="45">
        <f>IF(AP[[#This Row],[GST applies?]] = "Yes", (AP[[#This Row],[Invoice value inc. GST]] / 1 + AP[[#This Row],[GST %]]) * AP[[#This Row],[GST %]], 0)</f>
        <v>0</v>
      </c>
      <c r="P117" s="31">
        <f>_xlfn.XLOOKUP(AP[[#This Row],[Supplier name]], Supplier_master[Supplier name], Supplier_master[EOM or Net], 0)</f>
        <v>0</v>
      </c>
      <c r="Q117" s="31">
        <f>_xlfn.XLOOKUP(AP[[#This Row],[Supplier name]], Supplier_master[Supplier name], Supplier_master[Terms days], 0)</f>
        <v>0</v>
      </c>
      <c r="R1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7" s="4"/>
      <c r="T117" s="46">
        <f>IF(AP[[#This Row],[Payment date - override (dd/mm/yyyy)]] &lt;&gt; "", AP[[#This Row],[Payment date - override (dd/mm/yyyy)]], AP[[#This Row],[Due date (dd/mm/yyyy)]])</f>
        <v>0</v>
      </c>
      <c r="U117" s="46">
        <f t="shared" si="1"/>
        <v>52</v>
      </c>
    </row>
    <row r="118" spans="3:21" x14ac:dyDescent="0.25">
      <c r="C118" s="28"/>
      <c r="D118" s="20"/>
      <c r="E118" s="4"/>
      <c r="F118" s="37"/>
      <c r="G118" s="24"/>
      <c r="H118" s="31">
        <f>_xlfn.XLOOKUP(AP[[#This Row],[Supplier name]], Supplier_master[Supplier name], Supplier_master[Category L1], 0)</f>
        <v>0</v>
      </c>
      <c r="I118" s="64">
        <f>_xlfn.XLOOKUP(AP[[#This Row],[Supplier name]], Supplier_master[Supplier name], Supplier_master[Category L2], 0)</f>
        <v>0</v>
      </c>
      <c r="J118" s="55"/>
      <c r="K118" s="54"/>
      <c r="L118" s="57">
        <f>IF(AP[[#This Row],[Spend category L1 - Override]] &lt;&gt; "", AP[[#This Row],[Spend category L1 - Override]], AP[[#This Row],[Spend category L1]])</f>
        <v>0</v>
      </c>
      <c r="M118" s="57">
        <f>IF(AP[[#This Row],[Spend category L2 - Override]] &lt;&gt; "", AP[[#This Row],[Spend category L2 - Override]], AP[[#This Row],[Spend category L2]])</f>
        <v>0</v>
      </c>
      <c r="N118" s="51">
        <f>Assumptions!$D$15</f>
        <v>0.1</v>
      </c>
      <c r="O118" s="45">
        <f>IF(AP[[#This Row],[GST applies?]] = "Yes", (AP[[#This Row],[Invoice value inc. GST]] / 1 + AP[[#This Row],[GST %]]) * AP[[#This Row],[GST %]], 0)</f>
        <v>0</v>
      </c>
      <c r="P118" s="31">
        <f>_xlfn.XLOOKUP(AP[[#This Row],[Supplier name]], Supplier_master[Supplier name], Supplier_master[EOM or Net], 0)</f>
        <v>0</v>
      </c>
      <c r="Q118" s="31">
        <f>_xlfn.XLOOKUP(AP[[#This Row],[Supplier name]], Supplier_master[Supplier name], Supplier_master[Terms days], 0)</f>
        <v>0</v>
      </c>
      <c r="R1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8" s="4"/>
      <c r="T118" s="46">
        <f>IF(AP[[#This Row],[Payment date - override (dd/mm/yyyy)]] &lt;&gt; "", AP[[#This Row],[Payment date - override (dd/mm/yyyy)]], AP[[#This Row],[Due date (dd/mm/yyyy)]])</f>
        <v>0</v>
      </c>
      <c r="U118" s="46">
        <f t="shared" si="1"/>
        <v>52</v>
      </c>
    </row>
    <row r="119" spans="3:21" x14ac:dyDescent="0.25">
      <c r="C119" s="28"/>
      <c r="D119" s="20"/>
      <c r="E119" s="4"/>
      <c r="F119" s="37"/>
      <c r="G119" s="24"/>
      <c r="H119" s="31">
        <f>_xlfn.XLOOKUP(AP[[#This Row],[Supplier name]], Supplier_master[Supplier name], Supplier_master[Category L1], 0)</f>
        <v>0</v>
      </c>
      <c r="I119" s="64">
        <f>_xlfn.XLOOKUP(AP[[#This Row],[Supplier name]], Supplier_master[Supplier name], Supplier_master[Category L2], 0)</f>
        <v>0</v>
      </c>
      <c r="J119" s="55"/>
      <c r="K119" s="54"/>
      <c r="L119" s="57">
        <f>IF(AP[[#This Row],[Spend category L1 - Override]] &lt;&gt; "", AP[[#This Row],[Spend category L1 - Override]], AP[[#This Row],[Spend category L1]])</f>
        <v>0</v>
      </c>
      <c r="M119" s="57">
        <f>IF(AP[[#This Row],[Spend category L2 - Override]] &lt;&gt; "", AP[[#This Row],[Spend category L2 - Override]], AP[[#This Row],[Spend category L2]])</f>
        <v>0</v>
      </c>
      <c r="N119" s="51">
        <f>Assumptions!$D$15</f>
        <v>0.1</v>
      </c>
      <c r="O119" s="45">
        <f>IF(AP[[#This Row],[GST applies?]] = "Yes", (AP[[#This Row],[Invoice value inc. GST]] / 1 + AP[[#This Row],[GST %]]) * AP[[#This Row],[GST %]], 0)</f>
        <v>0</v>
      </c>
      <c r="P119" s="31">
        <f>_xlfn.XLOOKUP(AP[[#This Row],[Supplier name]], Supplier_master[Supplier name], Supplier_master[EOM or Net], 0)</f>
        <v>0</v>
      </c>
      <c r="Q119" s="31">
        <f>_xlfn.XLOOKUP(AP[[#This Row],[Supplier name]], Supplier_master[Supplier name], Supplier_master[Terms days], 0)</f>
        <v>0</v>
      </c>
      <c r="R1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9" s="4"/>
      <c r="T119" s="46">
        <f>IF(AP[[#This Row],[Payment date - override (dd/mm/yyyy)]] &lt;&gt; "", AP[[#This Row],[Payment date - override (dd/mm/yyyy)]], AP[[#This Row],[Due date (dd/mm/yyyy)]])</f>
        <v>0</v>
      </c>
      <c r="U119" s="46">
        <f t="shared" si="1"/>
        <v>52</v>
      </c>
    </row>
    <row r="120" spans="3:21" x14ac:dyDescent="0.25">
      <c r="C120" s="28"/>
      <c r="D120" s="20"/>
      <c r="E120" s="4"/>
      <c r="F120" s="37"/>
      <c r="G120" s="24"/>
      <c r="H120" s="31">
        <f>_xlfn.XLOOKUP(AP[[#This Row],[Supplier name]], Supplier_master[Supplier name], Supplier_master[Category L1], 0)</f>
        <v>0</v>
      </c>
      <c r="I120" s="64">
        <f>_xlfn.XLOOKUP(AP[[#This Row],[Supplier name]], Supplier_master[Supplier name], Supplier_master[Category L2], 0)</f>
        <v>0</v>
      </c>
      <c r="J120" s="55"/>
      <c r="K120" s="54"/>
      <c r="L120" s="57">
        <f>IF(AP[[#This Row],[Spend category L1 - Override]] &lt;&gt; "", AP[[#This Row],[Spend category L1 - Override]], AP[[#This Row],[Spend category L1]])</f>
        <v>0</v>
      </c>
      <c r="M120" s="57">
        <f>IF(AP[[#This Row],[Spend category L2 - Override]] &lt;&gt; "", AP[[#This Row],[Spend category L2 - Override]], AP[[#This Row],[Spend category L2]])</f>
        <v>0</v>
      </c>
      <c r="N120" s="51">
        <f>Assumptions!$D$15</f>
        <v>0.1</v>
      </c>
      <c r="O120" s="45">
        <f>IF(AP[[#This Row],[GST applies?]] = "Yes", (AP[[#This Row],[Invoice value inc. GST]] / 1 + AP[[#This Row],[GST %]]) * AP[[#This Row],[GST %]], 0)</f>
        <v>0</v>
      </c>
      <c r="P120" s="31">
        <f>_xlfn.XLOOKUP(AP[[#This Row],[Supplier name]], Supplier_master[Supplier name], Supplier_master[EOM or Net], 0)</f>
        <v>0</v>
      </c>
      <c r="Q120" s="31">
        <f>_xlfn.XLOOKUP(AP[[#This Row],[Supplier name]], Supplier_master[Supplier name], Supplier_master[Terms days], 0)</f>
        <v>0</v>
      </c>
      <c r="R1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0" s="4"/>
      <c r="T120" s="46">
        <f>IF(AP[[#This Row],[Payment date - override (dd/mm/yyyy)]] &lt;&gt; "", AP[[#This Row],[Payment date - override (dd/mm/yyyy)]], AP[[#This Row],[Due date (dd/mm/yyyy)]])</f>
        <v>0</v>
      </c>
      <c r="U120" s="46">
        <f t="shared" si="1"/>
        <v>52</v>
      </c>
    </row>
    <row r="121" spans="3:21" x14ac:dyDescent="0.25">
      <c r="C121" s="28"/>
      <c r="D121" s="20"/>
      <c r="E121" s="4"/>
      <c r="F121" s="37"/>
      <c r="G121" s="24"/>
      <c r="H121" s="31">
        <f>_xlfn.XLOOKUP(AP[[#This Row],[Supplier name]], Supplier_master[Supplier name], Supplier_master[Category L1], 0)</f>
        <v>0</v>
      </c>
      <c r="I121" s="64">
        <f>_xlfn.XLOOKUP(AP[[#This Row],[Supplier name]], Supplier_master[Supplier name], Supplier_master[Category L2], 0)</f>
        <v>0</v>
      </c>
      <c r="J121" s="55"/>
      <c r="K121" s="54"/>
      <c r="L121" s="57">
        <f>IF(AP[[#This Row],[Spend category L1 - Override]] &lt;&gt; "", AP[[#This Row],[Spend category L1 - Override]], AP[[#This Row],[Spend category L1]])</f>
        <v>0</v>
      </c>
      <c r="M121" s="57">
        <f>IF(AP[[#This Row],[Spend category L2 - Override]] &lt;&gt; "", AP[[#This Row],[Spend category L2 - Override]], AP[[#This Row],[Spend category L2]])</f>
        <v>0</v>
      </c>
      <c r="N121" s="51">
        <f>Assumptions!$D$15</f>
        <v>0.1</v>
      </c>
      <c r="O121" s="45">
        <f>IF(AP[[#This Row],[GST applies?]] = "Yes", (AP[[#This Row],[Invoice value inc. GST]] / 1 + AP[[#This Row],[GST %]]) * AP[[#This Row],[GST %]], 0)</f>
        <v>0</v>
      </c>
      <c r="P121" s="31">
        <f>_xlfn.XLOOKUP(AP[[#This Row],[Supplier name]], Supplier_master[Supplier name], Supplier_master[EOM or Net], 0)</f>
        <v>0</v>
      </c>
      <c r="Q121" s="31">
        <f>_xlfn.XLOOKUP(AP[[#This Row],[Supplier name]], Supplier_master[Supplier name], Supplier_master[Terms days], 0)</f>
        <v>0</v>
      </c>
      <c r="R1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1" s="4"/>
      <c r="T121" s="46">
        <f>IF(AP[[#This Row],[Payment date - override (dd/mm/yyyy)]] &lt;&gt; "", AP[[#This Row],[Payment date - override (dd/mm/yyyy)]], AP[[#This Row],[Due date (dd/mm/yyyy)]])</f>
        <v>0</v>
      </c>
      <c r="U121" s="46">
        <f t="shared" si="1"/>
        <v>52</v>
      </c>
    </row>
    <row r="122" spans="3:21" x14ac:dyDescent="0.25">
      <c r="C122" s="28"/>
      <c r="D122" s="20"/>
      <c r="E122" s="4"/>
      <c r="F122" s="37"/>
      <c r="G122" s="24"/>
      <c r="H122" s="31">
        <f>_xlfn.XLOOKUP(AP[[#This Row],[Supplier name]], Supplier_master[Supplier name], Supplier_master[Category L1], 0)</f>
        <v>0</v>
      </c>
      <c r="I122" s="64">
        <f>_xlfn.XLOOKUP(AP[[#This Row],[Supplier name]], Supplier_master[Supplier name], Supplier_master[Category L2], 0)</f>
        <v>0</v>
      </c>
      <c r="J122" s="55"/>
      <c r="K122" s="54"/>
      <c r="L122" s="57">
        <f>IF(AP[[#This Row],[Spend category L1 - Override]] &lt;&gt; "", AP[[#This Row],[Spend category L1 - Override]], AP[[#This Row],[Spend category L1]])</f>
        <v>0</v>
      </c>
      <c r="M122" s="57">
        <f>IF(AP[[#This Row],[Spend category L2 - Override]] &lt;&gt; "", AP[[#This Row],[Spend category L2 - Override]], AP[[#This Row],[Spend category L2]])</f>
        <v>0</v>
      </c>
      <c r="N122" s="51">
        <f>Assumptions!$D$15</f>
        <v>0.1</v>
      </c>
      <c r="O122" s="45">
        <f>IF(AP[[#This Row],[GST applies?]] = "Yes", (AP[[#This Row],[Invoice value inc. GST]] / 1 + AP[[#This Row],[GST %]]) * AP[[#This Row],[GST %]], 0)</f>
        <v>0</v>
      </c>
      <c r="P122" s="31">
        <f>_xlfn.XLOOKUP(AP[[#This Row],[Supplier name]], Supplier_master[Supplier name], Supplier_master[EOM or Net], 0)</f>
        <v>0</v>
      </c>
      <c r="Q122" s="31">
        <f>_xlfn.XLOOKUP(AP[[#This Row],[Supplier name]], Supplier_master[Supplier name], Supplier_master[Terms days], 0)</f>
        <v>0</v>
      </c>
      <c r="R1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2" s="4"/>
      <c r="T122" s="46">
        <f>IF(AP[[#This Row],[Payment date - override (dd/mm/yyyy)]] &lt;&gt; "", AP[[#This Row],[Payment date - override (dd/mm/yyyy)]], AP[[#This Row],[Due date (dd/mm/yyyy)]])</f>
        <v>0</v>
      </c>
      <c r="U122" s="46">
        <f t="shared" si="1"/>
        <v>52</v>
      </c>
    </row>
    <row r="123" spans="3:21" x14ac:dyDescent="0.25">
      <c r="C123" s="28"/>
      <c r="D123" s="20"/>
      <c r="E123" s="4"/>
      <c r="F123" s="37"/>
      <c r="G123" s="24"/>
      <c r="H123" s="31">
        <f>_xlfn.XLOOKUP(AP[[#This Row],[Supplier name]], Supplier_master[Supplier name], Supplier_master[Category L1], 0)</f>
        <v>0</v>
      </c>
      <c r="I123" s="64">
        <f>_xlfn.XLOOKUP(AP[[#This Row],[Supplier name]], Supplier_master[Supplier name], Supplier_master[Category L2], 0)</f>
        <v>0</v>
      </c>
      <c r="J123" s="55"/>
      <c r="K123" s="54"/>
      <c r="L123" s="57">
        <f>IF(AP[[#This Row],[Spend category L1 - Override]] &lt;&gt; "", AP[[#This Row],[Spend category L1 - Override]], AP[[#This Row],[Spend category L1]])</f>
        <v>0</v>
      </c>
      <c r="M123" s="57">
        <f>IF(AP[[#This Row],[Spend category L2 - Override]] &lt;&gt; "", AP[[#This Row],[Spend category L2 - Override]], AP[[#This Row],[Spend category L2]])</f>
        <v>0</v>
      </c>
      <c r="N123" s="51">
        <f>Assumptions!$D$15</f>
        <v>0.1</v>
      </c>
      <c r="O123" s="45">
        <f>IF(AP[[#This Row],[GST applies?]] = "Yes", (AP[[#This Row],[Invoice value inc. GST]] / 1 + AP[[#This Row],[GST %]]) * AP[[#This Row],[GST %]], 0)</f>
        <v>0</v>
      </c>
      <c r="P123" s="31">
        <f>_xlfn.XLOOKUP(AP[[#This Row],[Supplier name]], Supplier_master[Supplier name], Supplier_master[EOM or Net], 0)</f>
        <v>0</v>
      </c>
      <c r="Q123" s="31">
        <f>_xlfn.XLOOKUP(AP[[#This Row],[Supplier name]], Supplier_master[Supplier name], Supplier_master[Terms days], 0)</f>
        <v>0</v>
      </c>
      <c r="R1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3" s="4"/>
      <c r="T123" s="46">
        <f>IF(AP[[#This Row],[Payment date - override (dd/mm/yyyy)]] &lt;&gt; "", AP[[#This Row],[Payment date - override (dd/mm/yyyy)]], AP[[#This Row],[Due date (dd/mm/yyyy)]])</f>
        <v>0</v>
      </c>
      <c r="U123" s="46">
        <f t="shared" si="1"/>
        <v>52</v>
      </c>
    </row>
    <row r="124" spans="3:21" x14ac:dyDescent="0.25">
      <c r="C124" s="28"/>
      <c r="D124" s="20"/>
      <c r="E124" s="4"/>
      <c r="F124" s="37"/>
      <c r="G124" s="24"/>
      <c r="H124" s="31">
        <f>_xlfn.XLOOKUP(AP[[#This Row],[Supplier name]], Supplier_master[Supplier name], Supplier_master[Category L1], 0)</f>
        <v>0</v>
      </c>
      <c r="I124" s="64">
        <f>_xlfn.XLOOKUP(AP[[#This Row],[Supplier name]], Supplier_master[Supplier name], Supplier_master[Category L2], 0)</f>
        <v>0</v>
      </c>
      <c r="J124" s="55"/>
      <c r="K124" s="54"/>
      <c r="L124" s="57">
        <f>IF(AP[[#This Row],[Spend category L1 - Override]] &lt;&gt; "", AP[[#This Row],[Spend category L1 - Override]], AP[[#This Row],[Spend category L1]])</f>
        <v>0</v>
      </c>
      <c r="M124" s="57">
        <f>IF(AP[[#This Row],[Spend category L2 - Override]] &lt;&gt; "", AP[[#This Row],[Spend category L2 - Override]], AP[[#This Row],[Spend category L2]])</f>
        <v>0</v>
      </c>
      <c r="N124" s="51">
        <f>Assumptions!$D$15</f>
        <v>0.1</v>
      </c>
      <c r="O124" s="45">
        <f>IF(AP[[#This Row],[GST applies?]] = "Yes", (AP[[#This Row],[Invoice value inc. GST]] / 1 + AP[[#This Row],[GST %]]) * AP[[#This Row],[GST %]], 0)</f>
        <v>0</v>
      </c>
      <c r="P124" s="31">
        <f>_xlfn.XLOOKUP(AP[[#This Row],[Supplier name]], Supplier_master[Supplier name], Supplier_master[EOM or Net], 0)</f>
        <v>0</v>
      </c>
      <c r="Q124" s="31">
        <f>_xlfn.XLOOKUP(AP[[#This Row],[Supplier name]], Supplier_master[Supplier name], Supplier_master[Terms days], 0)</f>
        <v>0</v>
      </c>
      <c r="R1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4" s="4"/>
      <c r="T124" s="46">
        <f>IF(AP[[#This Row],[Payment date - override (dd/mm/yyyy)]] &lt;&gt; "", AP[[#This Row],[Payment date - override (dd/mm/yyyy)]], AP[[#This Row],[Due date (dd/mm/yyyy)]])</f>
        <v>0</v>
      </c>
      <c r="U124" s="46">
        <f t="shared" si="1"/>
        <v>52</v>
      </c>
    </row>
    <row r="125" spans="3:21" x14ac:dyDescent="0.25">
      <c r="C125" s="28"/>
      <c r="D125" s="20"/>
      <c r="E125" s="4"/>
      <c r="F125" s="37"/>
      <c r="G125" s="24"/>
      <c r="H125" s="31">
        <f>_xlfn.XLOOKUP(AP[[#This Row],[Supplier name]], Supplier_master[Supplier name], Supplier_master[Category L1], 0)</f>
        <v>0</v>
      </c>
      <c r="I125" s="64">
        <f>_xlfn.XLOOKUP(AP[[#This Row],[Supplier name]], Supplier_master[Supplier name], Supplier_master[Category L2], 0)</f>
        <v>0</v>
      </c>
      <c r="J125" s="55"/>
      <c r="K125" s="54"/>
      <c r="L125" s="57">
        <f>IF(AP[[#This Row],[Spend category L1 - Override]] &lt;&gt; "", AP[[#This Row],[Spend category L1 - Override]], AP[[#This Row],[Spend category L1]])</f>
        <v>0</v>
      </c>
      <c r="M125" s="57">
        <f>IF(AP[[#This Row],[Spend category L2 - Override]] &lt;&gt; "", AP[[#This Row],[Spend category L2 - Override]], AP[[#This Row],[Spend category L2]])</f>
        <v>0</v>
      </c>
      <c r="N125" s="51">
        <f>Assumptions!$D$15</f>
        <v>0.1</v>
      </c>
      <c r="O125" s="45">
        <f>IF(AP[[#This Row],[GST applies?]] = "Yes", (AP[[#This Row],[Invoice value inc. GST]] / 1 + AP[[#This Row],[GST %]]) * AP[[#This Row],[GST %]], 0)</f>
        <v>0</v>
      </c>
      <c r="P125" s="31">
        <f>_xlfn.XLOOKUP(AP[[#This Row],[Supplier name]], Supplier_master[Supplier name], Supplier_master[EOM or Net], 0)</f>
        <v>0</v>
      </c>
      <c r="Q125" s="31">
        <f>_xlfn.XLOOKUP(AP[[#This Row],[Supplier name]], Supplier_master[Supplier name], Supplier_master[Terms days], 0)</f>
        <v>0</v>
      </c>
      <c r="R1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5" s="4"/>
      <c r="T125" s="46">
        <f>IF(AP[[#This Row],[Payment date - override (dd/mm/yyyy)]] &lt;&gt; "", AP[[#This Row],[Payment date - override (dd/mm/yyyy)]], AP[[#This Row],[Due date (dd/mm/yyyy)]])</f>
        <v>0</v>
      </c>
      <c r="U125" s="46">
        <f t="shared" si="1"/>
        <v>52</v>
      </c>
    </row>
    <row r="126" spans="3:21" x14ac:dyDescent="0.25">
      <c r="C126" s="28"/>
      <c r="D126" s="20"/>
      <c r="E126" s="4"/>
      <c r="F126" s="37"/>
      <c r="G126" s="24"/>
      <c r="H126" s="31">
        <f>_xlfn.XLOOKUP(AP[[#This Row],[Supplier name]], Supplier_master[Supplier name], Supplier_master[Category L1], 0)</f>
        <v>0</v>
      </c>
      <c r="I126" s="64">
        <f>_xlfn.XLOOKUP(AP[[#This Row],[Supplier name]], Supplier_master[Supplier name], Supplier_master[Category L2], 0)</f>
        <v>0</v>
      </c>
      <c r="J126" s="55"/>
      <c r="K126" s="54"/>
      <c r="L126" s="57">
        <f>IF(AP[[#This Row],[Spend category L1 - Override]] &lt;&gt; "", AP[[#This Row],[Spend category L1 - Override]], AP[[#This Row],[Spend category L1]])</f>
        <v>0</v>
      </c>
      <c r="M126" s="57">
        <f>IF(AP[[#This Row],[Spend category L2 - Override]] &lt;&gt; "", AP[[#This Row],[Spend category L2 - Override]], AP[[#This Row],[Spend category L2]])</f>
        <v>0</v>
      </c>
      <c r="N126" s="51">
        <f>Assumptions!$D$15</f>
        <v>0.1</v>
      </c>
      <c r="O126" s="45">
        <f>IF(AP[[#This Row],[GST applies?]] = "Yes", (AP[[#This Row],[Invoice value inc. GST]] / 1 + AP[[#This Row],[GST %]]) * AP[[#This Row],[GST %]], 0)</f>
        <v>0</v>
      </c>
      <c r="P126" s="31">
        <f>_xlfn.XLOOKUP(AP[[#This Row],[Supplier name]], Supplier_master[Supplier name], Supplier_master[EOM or Net], 0)</f>
        <v>0</v>
      </c>
      <c r="Q126" s="31">
        <f>_xlfn.XLOOKUP(AP[[#This Row],[Supplier name]], Supplier_master[Supplier name], Supplier_master[Terms days], 0)</f>
        <v>0</v>
      </c>
      <c r="R1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6" s="4"/>
      <c r="T126" s="46">
        <f>IF(AP[[#This Row],[Payment date - override (dd/mm/yyyy)]] &lt;&gt; "", AP[[#This Row],[Payment date - override (dd/mm/yyyy)]], AP[[#This Row],[Due date (dd/mm/yyyy)]])</f>
        <v>0</v>
      </c>
      <c r="U126" s="46">
        <f t="shared" si="1"/>
        <v>52</v>
      </c>
    </row>
    <row r="127" spans="3:21" x14ac:dyDescent="0.25">
      <c r="C127" s="28"/>
      <c r="D127" s="20"/>
      <c r="E127" s="4"/>
      <c r="F127" s="37"/>
      <c r="G127" s="24"/>
      <c r="H127" s="31">
        <f>_xlfn.XLOOKUP(AP[[#This Row],[Supplier name]], Supplier_master[Supplier name], Supplier_master[Category L1], 0)</f>
        <v>0</v>
      </c>
      <c r="I127" s="64">
        <f>_xlfn.XLOOKUP(AP[[#This Row],[Supplier name]], Supplier_master[Supplier name], Supplier_master[Category L2], 0)</f>
        <v>0</v>
      </c>
      <c r="J127" s="55"/>
      <c r="K127" s="54"/>
      <c r="L127" s="57">
        <f>IF(AP[[#This Row],[Spend category L1 - Override]] &lt;&gt; "", AP[[#This Row],[Spend category L1 - Override]], AP[[#This Row],[Spend category L1]])</f>
        <v>0</v>
      </c>
      <c r="M127" s="57">
        <f>IF(AP[[#This Row],[Spend category L2 - Override]] &lt;&gt; "", AP[[#This Row],[Spend category L2 - Override]], AP[[#This Row],[Spend category L2]])</f>
        <v>0</v>
      </c>
      <c r="N127" s="51">
        <f>Assumptions!$D$15</f>
        <v>0.1</v>
      </c>
      <c r="O127" s="45">
        <f>IF(AP[[#This Row],[GST applies?]] = "Yes", (AP[[#This Row],[Invoice value inc. GST]] / 1 + AP[[#This Row],[GST %]]) * AP[[#This Row],[GST %]], 0)</f>
        <v>0</v>
      </c>
      <c r="P127" s="31">
        <f>_xlfn.XLOOKUP(AP[[#This Row],[Supplier name]], Supplier_master[Supplier name], Supplier_master[EOM or Net], 0)</f>
        <v>0</v>
      </c>
      <c r="Q127" s="31">
        <f>_xlfn.XLOOKUP(AP[[#This Row],[Supplier name]], Supplier_master[Supplier name], Supplier_master[Terms days], 0)</f>
        <v>0</v>
      </c>
      <c r="R1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7" s="4"/>
      <c r="T127" s="46">
        <f>IF(AP[[#This Row],[Payment date - override (dd/mm/yyyy)]] &lt;&gt; "", AP[[#This Row],[Payment date - override (dd/mm/yyyy)]], AP[[#This Row],[Due date (dd/mm/yyyy)]])</f>
        <v>0</v>
      </c>
      <c r="U127" s="46">
        <f t="shared" si="1"/>
        <v>52</v>
      </c>
    </row>
    <row r="128" spans="3:21" x14ac:dyDescent="0.25">
      <c r="C128" s="28"/>
      <c r="D128" s="20"/>
      <c r="E128" s="4"/>
      <c r="F128" s="37"/>
      <c r="G128" s="24"/>
      <c r="H128" s="31">
        <f>_xlfn.XLOOKUP(AP[[#This Row],[Supplier name]], Supplier_master[Supplier name], Supplier_master[Category L1], 0)</f>
        <v>0</v>
      </c>
      <c r="I128" s="64">
        <f>_xlfn.XLOOKUP(AP[[#This Row],[Supplier name]], Supplier_master[Supplier name], Supplier_master[Category L2], 0)</f>
        <v>0</v>
      </c>
      <c r="J128" s="55"/>
      <c r="K128" s="54"/>
      <c r="L128" s="57">
        <f>IF(AP[[#This Row],[Spend category L1 - Override]] &lt;&gt; "", AP[[#This Row],[Spend category L1 - Override]], AP[[#This Row],[Spend category L1]])</f>
        <v>0</v>
      </c>
      <c r="M128" s="57">
        <f>IF(AP[[#This Row],[Spend category L2 - Override]] &lt;&gt; "", AP[[#This Row],[Spend category L2 - Override]], AP[[#This Row],[Spend category L2]])</f>
        <v>0</v>
      </c>
      <c r="N128" s="51">
        <f>Assumptions!$D$15</f>
        <v>0.1</v>
      </c>
      <c r="O128" s="45">
        <f>IF(AP[[#This Row],[GST applies?]] = "Yes", (AP[[#This Row],[Invoice value inc. GST]] / 1 + AP[[#This Row],[GST %]]) * AP[[#This Row],[GST %]], 0)</f>
        <v>0</v>
      </c>
      <c r="P128" s="31">
        <f>_xlfn.XLOOKUP(AP[[#This Row],[Supplier name]], Supplier_master[Supplier name], Supplier_master[EOM or Net], 0)</f>
        <v>0</v>
      </c>
      <c r="Q128" s="31">
        <f>_xlfn.XLOOKUP(AP[[#This Row],[Supplier name]], Supplier_master[Supplier name], Supplier_master[Terms days], 0)</f>
        <v>0</v>
      </c>
      <c r="R1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8" s="4"/>
      <c r="T128" s="46">
        <f>IF(AP[[#This Row],[Payment date - override (dd/mm/yyyy)]] &lt;&gt; "", AP[[#This Row],[Payment date - override (dd/mm/yyyy)]], AP[[#This Row],[Due date (dd/mm/yyyy)]])</f>
        <v>0</v>
      </c>
      <c r="U128" s="46">
        <f t="shared" si="1"/>
        <v>52</v>
      </c>
    </row>
    <row r="129" spans="3:21" x14ac:dyDescent="0.25">
      <c r="C129" s="28"/>
      <c r="D129" s="20"/>
      <c r="E129" s="4"/>
      <c r="F129" s="37"/>
      <c r="G129" s="24"/>
      <c r="H129" s="31">
        <f>_xlfn.XLOOKUP(AP[[#This Row],[Supplier name]], Supplier_master[Supplier name], Supplier_master[Category L1], 0)</f>
        <v>0</v>
      </c>
      <c r="I129" s="64">
        <f>_xlfn.XLOOKUP(AP[[#This Row],[Supplier name]], Supplier_master[Supplier name], Supplier_master[Category L2], 0)</f>
        <v>0</v>
      </c>
      <c r="J129" s="55"/>
      <c r="K129" s="54"/>
      <c r="L129" s="57">
        <f>IF(AP[[#This Row],[Spend category L1 - Override]] &lt;&gt; "", AP[[#This Row],[Spend category L1 - Override]], AP[[#This Row],[Spend category L1]])</f>
        <v>0</v>
      </c>
      <c r="M129" s="57">
        <f>IF(AP[[#This Row],[Spend category L2 - Override]] &lt;&gt; "", AP[[#This Row],[Spend category L2 - Override]], AP[[#This Row],[Spend category L2]])</f>
        <v>0</v>
      </c>
      <c r="N129" s="51">
        <f>Assumptions!$D$15</f>
        <v>0.1</v>
      </c>
      <c r="O129" s="45">
        <f>IF(AP[[#This Row],[GST applies?]] = "Yes", (AP[[#This Row],[Invoice value inc. GST]] / 1 + AP[[#This Row],[GST %]]) * AP[[#This Row],[GST %]], 0)</f>
        <v>0</v>
      </c>
      <c r="P129" s="31">
        <f>_xlfn.XLOOKUP(AP[[#This Row],[Supplier name]], Supplier_master[Supplier name], Supplier_master[EOM or Net], 0)</f>
        <v>0</v>
      </c>
      <c r="Q129" s="31">
        <f>_xlfn.XLOOKUP(AP[[#This Row],[Supplier name]], Supplier_master[Supplier name], Supplier_master[Terms days], 0)</f>
        <v>0</v>
      </c>
      <c r="R1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9" s="4"/>
      <c r="T129" s="46">
        <f>IF(AP[[#This Row],[Payment date - override (dd/mm/yyyy)]] &lt;&gt; "", AP[[#This Row],[Payment date - override (dd/mm/yyyy)]], AP[[#This Row],[Due date (dd/mm/yyyy)]])</f>
        <v>0</v>
      </c>
      <c r="U129" s="46">
        <f t="shared" si="1"/>
        <v>52</v>
      </c>
    </row>
    <row r="130" spans="3:21" x14ac:dyDescent="0.25">
      <c r="C130" s="28"/>
      <c r="D130" s="20"/>
      <c r="E130" s="4"/>
      <c r="F130" s="37"/>
      <c r="G130" s="24"/>
      <c r="H130" s="31">
        <f>_xlfn.XLOOKUP(AP[[#This Row],[Supplier name]], Supplier_master[Supplier name], Supplier_master[Category L1], 0)</f>
        <v>0</v>
      </c>
      <c r="I130" s="64">
        <f>_xlfn.XLOOKUP(AP[[#This Row],[Supplier name]], Supplier_master[Supplier name], Supplier_master[Category L2], 0)</f>
        <v>0</v>
      </c>
      <c r="J130" s="55"/>
      <c r="K130" s="54"/>
      <c r="L130" s="57">
        <f>IF(AP[[#This Row],[Spend category L1 - Override]] &lt;&gt; "", AP[[#This Row],[Spend category L1 - Override]], AP[[#This Row],[Spend category L1]])</f>
        <v>0</v>
      </c>
      <c r="M130" s="57">
        <f>IF(AP[[#This Row],[Spend category L2 - Override]] &lt;&gt; "", AP[[#This Row],[Spend category L2 - Override]], AP[[#This Row],[Spend category L2]])</f>
        <v>0</v>
      </c>
      <c r="N130" s="51">
        <f>Assumptions!$D$15</f>
        <v>0.1</v>
      </c>
      <c r="O130" s="45">
        <f>IF(AP[[#This Row],[GST applies?]] = "Yes", (AP[[#This Row],[Invoice value inc. GST]] / 1 + AP[[#This Row],[GST %]]) * AP[[#This Row],[GST %]], 0)</f>
        <v>0</v>
      </c>
      <c r="P130" s="31">
        <f>_xlfn.XLOOKUP(AP[[#This Row],[Supplier name]], Supplier_master[Supplier name], Supplier_master[EOM or Net], 0)</f>
        <v>0</v>
      </c>
      <c r="Q130" s="31">
        <f>_xlfn.XLOOKUP(AP[[#This Row],[Supplier name]], Supplier_master[Supplier name], Supplier_master[Terms days], 0)</f>
        <v>0</v>
      </c>
      <c r="R1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0" s="4"/>
      <c r="T130" s="46">
        <f>IF(AP[[#This Row],[Payment date - override (dd/mm/yyyy)]] &lt;&gt; "", AP[[#This Row],[Payment date - override (dd/mm/yyyy)]], AP[[#This Row],[Due date (dd/mm/yyyy)]])</f>
        <v>0</v>
      </c>
      <c r="U130" s="46">
        <f t="shared" si="1"/>
        <v>52</v>
      </c>
    </row>
    <row r="131" spans="3:21" x14ac:dyDescent="0.25">
      <c r="C131" s="28"/>
      <c r="D131" s="20"/>
      <c r="E131" s="4"/>
      <c r="F131" s="37"/>
      <c r="G131" s="24"/>
      <c r="H131" s="31">
        <f>_xlfn.XLOOKUP(AP[[#This Row],[Supplier name]], Supplier_master[Supplier name], Supplier_master[Category L1], 0)</f>
        <v>0</v>
      </c>
      <c r="I131" s="64">
        <f>_xlfn.XLOOKUP(AP[[#This Row],[Supplier name]], Supplier_master[Supplier name], Supplier_master[Category L2], 0)</f>
        <v>0</v>
      </c>
      <c r="J131" s="55"/>
      <c r="K131" s="54"/>
      <c r="L131" s="57">
        <f>IF(AP[[#This Row],[Spend category L1 - Override]] &lt;&gt; "", AP[[#This Row],[Spend category L1 - Override]], AP[[#This Row],[Spend category L1]])</f>
        <v>0</v>
      </c>
      <c r="M131" s="57">
        <f>IF(AP[[#This Row],[Spend category L2 - Override]] &lt;&gt; "", AP[[#This Row],[Spend category L2 - Override]], AP[[#This Row],[Spend category L2]])</f>
        <v>0</v>
      </c>
      <c r="N131" s="51">
        <f>Assumptions!$D$15</f>
        <v>0.1</v>
      </c>
      <c r="O131" s="45">
        <f>IF(AP[[#This Row],[GST applies?]] = "Yes", (AP[[#This Row],[Invoice value inc. GST]] / 1 + AP[[#This Row],[GST %]]) * AP[[#This Row],[GST %]], 0)</f>
        <v>0</v>
      </c>
      <c r="P131" s="31">
        <f>_xlfn.XLOOKUP(AP[[#This Row],[Supplier name]], Supplier_master[Supplier name], Supplier_master[EOM or Net], 0)</f>
        <v>0</v>
      </c>
      <c r="Q131" s="31">
        <f>_xlfn.XLOOKUP(AP[[#This Row],[Supplier name]], Supplier_master[Supplier name], Supplier_master[Terms days], 0)</f>
        <v>0</v>
      </c>
      <c r="R1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1" s="4"/>
      <c r="T131" s="46">
        <f>IF(AP[[#This Row],[Payment date - override (dd/mm/yyyy)]] &lt;&gt; "", AP[[#This Row],[Payment date - override (dd/mm/yyyy)]], AP[[#This Row],[Due date (dd/mm/yyyy)]])</f>
        <v>0</v>
      </c>
      <c r="U131" s="46">
        <f t="shared" si="1"/>
        <v>52</v>
      </c>
    </row>
    <row r="132" spans="3:21" x14ac:dyDescent="0.25">
      <c r="C132" s="28"/>
      <c r="D132" s="20"/>
      <c r="E132" s="4"/>
      <c r="F132" s="37"/>
      <c r="G132" s="24"/>
      <c r="H132" s="31">
        <f>_xlfn.XLOOKUP(AP[[#This Row],[Supplier name]], Supplier_master[Supplier name], Supplier_master[Category L1], 0)</f>
        <v>0</v>
      </c>
      <c r="I132" s="64">
        <f>_xlfn.XLOOKUP(AP[[#This Row],[Supplier name]], Supplier_master[Supplier name], Supplier_master[Category L2], 0)</f>
        <v>0</v>
      </c>
      <c r="J132" s="55"/>
      <c r="K132" s="54"/>
      <c r="L132" s="57">
        <f>IF(AP[[#This Row],[Spend category L1 - Override]] &lt;&gt; "", AP[[#This Row],[Spend category L1 - Override]], AP[[#This Row],[Spend category L1]])</f>
        <v>0</v>
      </c>
      <c r="M132" s="57">
        <f>IF(AP[[#This Row],[Spend category L2 - Override]] &lt;&gt; "", AP[[#This Row],[Spend category L2 - Override]], AP[[#This Row],[Spend category L2]])</f>
        <v>0</v>
      </c>
      <c r="N132" s="51">
        <f>Assumptions!$D$15</f>
        <v>0.1</v>
      </c>
      <c r="O132" s="45">
        <f>IF(AP[[#This Row],[GST applies?]] = "Yes", (AP[[#This Row],[Invoice value inc. GST]] / 1 + AP[[#This Row],[GST %]]) * AP[[#This Row],[GST %]], 0)</f>
        <v>0</v>
      </c>
      <c r="P132" s="31">
        <f>_xlfn.XLOOKUP(AP[[#This Row],[Supplier name]], Supplier_master[Supplier name], Supplier_master[EOM or Net], 0)</f>
        <v>0</v>
      </c>
      <c r="Q132" s="31">
        <f>_xlfn.XLOOKUP(AP[[#This Row],[Supplier name]], Supplier_master[Supplier name], Supplier_master[Terms days], 0)</f>
        <v>0</v>
      </c>
      <c r="R1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2" s="4"/>
      <c r="T132" s="46">
        <f>IF(AP[[#This Row],[Payment date - override (dd/mm/yyyy)]] &lt;&gt; "", AP[[#This Row],[Payment date - override (dd/mm/yyyy)]], AP[[#This Row],[Due date (dd/mm/yyyy)]])</f>
        <v>0</v>
      </c>
      <c r="U132" s="46">
        <f t="shared" si="1"/>
        <v>52</v>
      </c>
    </row>
    <row r="133" spans="3:21" x14ac:dyDescent="0.25">
      <c r="C133" s="28"/>
      <c r="D133" s="20"/>
      <c r="E133" s="4"/>
      <c r="F133" s="37"/>
      <c r="G133" s="24"/>
      <c r="H133" s="31">
        <f>_xlfn.XLOOKUP(AP[[#This Row],[Supplier name]], Supplier_master[Supplier name], Supplier_master[Category L1], 0)</f>
        <v>0</v>
      </c>
      <c r="I133" s="64">
        <f>_xlfn.XLOOKUP(AP[[#This Row],[Supplier name]], Supplier_master[Supplier name], Supplier_master[Category L2], 0)</f>
        <v>0</v>
      </c>
      <c r="J133" s="55"/>
      <c r="K133" s="54"/>
      <c r="L133" s="57">
        <f>IF(AP[[#This Row],[Spend category L1 - Override]] &lt;&gt; "", AP[[#This Row],[Spend category L1 - Override]], AP[[#This Row],[Spend category L1]])</f>
        <v>0</v>
      </c>
      <c r="M133" s="57">
        <f>IF(AP[[#This Row],[Spend category L2 - Override]] &lt;&gt; "", AP[[#This Row],[Spend category L2 - Override]], AP[[#This Row],[Spend category L2]])</f>
        <v>0</v>
      </c>
      <c r="N133" s="51">
        <f>Assumptions!$D$15</f>
        <v>0.1</v>
      </c>
      <c r="O133" s="45">
        <f>IF(AP[[#This Row],[GST applies?]] = "Yes", (AP[[#This Row],[Invoice value inc. GST]] / 1 + AP[[#This Row],[GST %]]) * AP[[#This Row],[GST %]], 0)</f>
        <v>0</v>
      </c>
      <c r="P133" s="31">
        <f>_xlfn.XLOOKUP(AP[[#This Row],[Supplier name]], Supplier_master[Supplier name], Supplier_master[EOM or Net], 0)</f>
        <v>0</v>
      </c>
      <c r="Q133" s="31">
        <f>_xlfn.XLOOKUP(AP[[#This Row],[Supplier name]], Supplier_master[Supplier name], Supplier_master[Terms days], 0)</f>
        <v>0</v>
      </c>
      <c r="R1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3" s="4"/>
      <c r="T133" s="46">
        <f>IF(AP[[#This Row],[Payment date - override (dd/mm/yyyy)]] &lt;&gt; "", AP[[#This Row],[Payment date - override (dd/mm/yyyy)]], AP[[#This Row],[Due date (dd/mm/yyyy)]])</f>
        <v>0</v>
      </c>
      <c r="U133" s="46">
        <f t="shared" si="1"/>
        <v>52</v>
      </c>
    </row>
    <row r="134" spans="3:21" x14ac:dyDescent="0.25">
      <c r="C134" s="28"/>
      <c r="D134" s="20"/>
      <c r="E134" s="4"/>
      <c r="F134" s="37"/>
      <c r="G134" s="24"/>
      <c r="H134" s="31">
        <f>_xlfn.XLOOKUP(AP[[#This Row],[Supplier name]], Supplier_master[Supplier name], Supplier_master[Category L1], 0)</f>
        <v>0</v>
      </c>
      <c r="I134" s="64">
        <f>_xlfn.XLOOKUP(AP[[#This Row],[Supplier name]], Supplier_master[Supplier name], Supplier_master[Category L2], 0)</f>
        <v>0</v>
      </c>
      <c r="J134" s="55"/>
      <c r="K134" s="54"/>
      <c r="L134" s="57">
        <f>IF(AP[[#This Row],[Spend category L1 - Override]] &lt;&gt; "", AP[[#This Row],[Spend category L1 - Override]], AP[[#This Row],[Spend category L1]])</f>
        <v>0</v>
      </c>
      <c r="M134" s="57">
        <f>IF(AP[[#This Row],[Spend category L2 - Override]] &lt;&gt; "", AP[[#This Row],[Spend category L2 - Override]], AP[[#This Row],[Spend category L2]])</f>
        <v>0</v>
      </c>
      <c r="N134" s="51">
        <f>Assumptions!$D$15</f>
        <v>0.1</v>
      </c>
      <c r="O134" s="45">
        <f>IF(AP[[#This Row],[GST applies?]] = "Yes", (AP[[#This Row],[Invoice value inc. GST]] / 1 + AP[[#This Row],[GST %]]) * AP[[#This Row],[GST %]], 0)</f>
        <v>0</v>
      </c>
      <c r="P134" s="31">
        <f>_xlfn.XLOOKUP(AP[[#This Row],[Supplier name]], Supplier_master[Supplier name], Supplier_master[EOM or Net], 0)</f>
        <v>0</v>
      </c>
      <c r="Q134" s="31">
        <f>_xlfn.XLOOKUP(AP[[#This Row],[Supplier name]], Supplier_master[Supplier name], Supplier_master[Terms days], 0)</f>
        <v>0</v>
      </c>
      <c r="R1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4" s="4"/>
      <c r="T134" s="46">
        <f>IF(AP[[#This Row],[Payment date - override (dd/mm/yyyy)]] &lt;&gt; "", AP[[#This Row],[Payment date - override (dd/mm/yyyy)]], AP[[#This Row],[Due date (dd/mm/yyyy)]])</f>
        <v>0</v>
      </c>
      <c r="U134" s="46">
        <f t="shared" si="1"/>
        <v>52</v>
      </c>
    </row>
    <row r="135" spans="3:21" x14ac:dyDescent="0.25">
      <c r="C135" s="28"/>
      <c r="D135" s="20"/>
      <c r="E135" s="4"/>
      <c r="F135" s="37"/>
      <c r="G135" s="24"/>
      <c r="H135" s="31">
        <f>_xlfn.XLOOKUP(AP[[#This Row],[Supplier name]], Supplier_master[Supplier name], Supplier_master[Category L1], 0)</f>
        <v>0</v>
      </c>
      <c r="I135" s="64">
        <f>_xlfn.XLOOKUP(AP[[#This Row],[Supplier name]], Supplier_master[Supplier name], Supplier_master[Category L2], 0)</f>
        <v>0</v>
      </c>
      <c r="J135" s="55"/>
      <c r="K135" s="54"/>
      <c r="L135" s="57">
        <f>IF(AP[[#This Row],[Spend category L1 - Override]] &lt;&gt; "", AP[[#This Row],[Spend category L1 - Override]], AP[[#This Row],[Spend category L1]])</f>
        <v>0</v>
      </c>
      <c r="M135" s="57">
        <f>IF(AP[[#This Row],[Spend category L2 - Override]] &lt;&gt; "", AP[[#This Row],[Spend category L2 - Override]], AP[[#This Row],[Spend category L2]])</f>
        <v>0</v>
      </c>
      <c r="N135" s="51">
        <f>Assumptions!$D$15</f>
        <v>0.1</v>
      </c>
      <c r="O135" s="45">
        <f>IF(AP[[#This Row],[GST applies?]] = "Yes", (AP[[#This Row],[Invoice value inc. GST]] / 1 + AP[[#This Row],[GST %]]) * AP[[#This Row],[GST %]], 0)</f>
        <v>0</v>
      </c>
      <c r="P135" s="31">
        <f>_xlfn.XLOOKUP(AP[[#This Row],[Supplier name]], Supplier_master[Supplier name], Supplier_master[EOM or Net], 0)</f>
        <v>0</v>
      </c>
      <c r="Q135" s="31">
        <f>_xlfn.XLOOKUP(AP[[#This Row],[Supplier name]], Supplier_master[Supplier name], Supplier_master[Terms days], 0)</f>
        <v>0</v>
      </c>
      <c r="R1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5" s="4"/>
      <c r="T135" s="46">
        <f>IF(AP[[#This Row],[Payment date - override (dd/mm/yyyy)]] &lt;&gt; "", AP[[#This Row],[Payment date - override (dd/mm/yyyy)]], AP[[#This Row],[Due date (dd/mm/yyyy)]])</f>
        <v>0</v>
      </c>
      <c r="U135" s="46">
        <f t="shared" si="1"/>
        <v>52</v>
      </c>
    </row>
    <row r="136" spans="3:21" x14ac:dyDescent="0.25">
      <c r="C136" s="28"/>
      <c r="D136" s="20"/>
      <c r="E136" s="4"/>
      <c r="F136" s="37"/>
      <c r="G136" s="24"/>
      <c r="H136" s="31">
        <f>_xlfn.XLOOKUP(AP[[#This Row],[Supplier name]], Supplier_master[Supplier name], Supplier_master[Category L1], 0)</f>
        <v>0</v>
      </c>
      <c r="I136" s="64">
        <f>_xlfn.XLOOKUP(AP[[#This Row],[Supplier name]], Supplier_master[Supplier name], Supplier_master[Category L2], 0)</f>
        <v>0</v>
      </c>
      <c r="J136" s="55"/>
      <c r="K136" s="54"/>
      <c r="L136" s="57">
        <f>IF(AP[[#This Row],[Spend category L1 - Override]] &lt;&gt; "", AP[[#This Row],[Spend category L1 - Override]], AP[[#This Row],[Spend category L1]])</f>
        <v>0</v>
      </c>
      <c r="M136" s="57">
        <f>IF(AP[[#This Row],[Spend category L2 - Override]] &lt;&gt; "", AP[[#This Row],[Spend category L2 - Override]], AP[[#This Row],[Spend category L2]])</f>
        <v>0</v>
      </c>
      <c r="N136" s="51">
        <f>Assumptions!$D$15</f>
        <v>0.1</v>
      </c>
      <c r="O136" s="45">
        <f>IF(AP[[#This Row],[GST applies?]] = "Yes", (AP[[#This Row],[Invoice value inc. GST]] / 1 + AP[[#This Row],[GST %]]) * AP[[#This Row],[GST %]], 0)</f>
        <v>0</v>
      </c>
      <c r="P136" s="31">
        <f>_xlfn.XLOOKUP(AP[[#This Row],[Supplier name]], Supplier_master[Supplier name], Supplier_master[EOM or Net], 0)</f>
        <v>0</v>
      </c>
      <c r="Q136" s="31">
        <f>_xlfn.XLOOKUP(AP[[#This Row],[Supplier name]], Supplier_master[Supplier name], Supplier_master[Terms days], 0)</f>
        <v>0</v>
      </c>
      <c r="R1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6" s="4"/>
      <c r="T136" s="46">
        <f>IF(AP[[#This Row],[Payment date - override (dd/mm/yyyy)]] &lt;&gt; "", AP[[#This Row],[Payment date - override (dd/mm/yyyy)]], AP[[#This Row],[Due date (dd/mm/yyyy)]])</f>
        <v>0</v>
      </c>
      <c r="U136" s="46">
        <f t="shared" si="1"/>
        <v>52</v>
      </c>
    </row>
    <row r="137" spans="3:21" x14ac:dyDescent="0.25">
      <c r="C137" s="28"/>
      <c r="D137" s="20"/>
      <c r="E137" s="4"/>
      <c r="F137" s="37"/>
      <c r="G137" s="24"/>
      <c r="H137" s="31">
        <f>_xlfn.XLOOKUP(AP[[#This Row],[Supplier name]], Supplier_master[Supplier name], Supplier_master[Category L1], 0)</f>
        <v>0</v>
      </c>
      <c r="I137" s="64">
        <f>_xlfn.XLOOKUP(AP[[#This Row],[Supplier name]], Supplier_master[Supplier name], Supplier_master[Category L2], 0)</f>
        <v>0</v>
      </c>
      <c r="J137" s="55"/>
      <c r="K137" s="54"/>
      <c r="L137" s="57">
        <f>IF(AP[[#This Row],[Spend category L1 - Override]] &lt;&gt; "", AP[[#This Row],[Spend category L1 - Override]], AP[[#This Row],[Spend category L1]])</f>
        <v>0</v>
      </c>
      <c r="M137" s="57">
        <f>IF(AP[[#This Row],[Spend category L2 - Override]] &lt;&gt; "", AP[[#This Row],[Spend category L2 - Override]], AP[[#This Row],[Spend category L2]])</f>
        <v>0</v>
      </c>
      <c r="N137" s="51">
        <f>Assumptions!$D$15</f>
        <v>0.1</v>
      </c>
      <c r="O137" s="45">
        <f>IF(AP[[#This Row],[GST applies?]] = "Yes", (AP[[#This Row],[Invoice value inc. GST]] / 1 + AP[[#This Row],[GST %]]) * AP[[#This Row],[GST %]], 0)</f>
        <v>0</v>
      </c>
      <c r="P137" s="31">
        <f>_xlfn.XLOOKUP(AP[[#This Row],[Supplier name]], Supplier_master[Supplier name], Supplier_master[EOM or Net], 0)</f>
        <v>0</v>
      </c>
      <c r="Q137" s="31">
        <f>_xlfn.XLOOKUP(AP[[#This Row],[Supplier name]], Supplier_master[Supplier name], Supplier_master[Terms days], 0)</f>
        <v>0</v>
      </c>
      <c r="R1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7" s="4"/>
      <c r="T137" s="46">
        <f>IF(AP[[#This Row],[Payment date - override (dd/mm/yyyy)]] &lt;&gt; "", AP[[#This Row],[Payment date - override (dd/mm/yyyy)]], AP[[#This Row],[Due date (dd/mm/yyyy)]])</f>
        <v>0</v>
      </c>
      <c r="U137" s="46">
        <f t="shared" ref="U137:U200" si="2">IF(GST_Freq="Monthly",
    DATE(YEAR(E137), MONTH(E137) + 1, 21),
    IF(GST_Freq="Quarterly",
        IF(MOD(MONTH(E137) + 2 - MOD(MOD(MONTH(E137) - GST_First_Month, 12), 3), 12) = 0,
            DATE(YEAR(E137), MONTH(E137) + 4 - MOD(MOD(MONTH(E137) - GST_First_Month, 12), 3), 28),
            DATE(YEAR(E137), MONTH(E137) + 3 - MOD(MOD(MONTH(E137) - GST_First_Month, 12), 3), 28)
        ),
        "Invalid frequency"
    )
)</f>
        <v>52</v>
      </c>
    </row>
    <row r="138" spans="3:21" x14ac:dyDescent="0.25">
      <c r="C138" s="28"/>
      <c r="D138" s="20"/>
      <c r="E138" s="4"/>
      <c r="F138" s="37"/>
      <c r="G138" s="24"/>
      <c r="H138" s="31">
        <f>_xlfn.XLOOKUP(AP[[#This Row],[Supplier name]], Supplier_master[Supplier name], Supplier_master[Category L1], 0)</f>
        <v>0</v>
      </c>
      <c r="I138" s="64">
        <f>_xlfn.XLOOKUP(AP[[#This Row],[Supplier name]], Supplier_master[Supplier name], Supplier_master[Category L2], 0)</f>
        <v>0</v>
      </c>
      <c r="J138" s="55"/>
      <c r="K138" s="54"/>
      <c r="L138" s="57">
        <f>IF(AP[[#This Row],[Spend category L1 - Override]] &lt;&gt; "", AP[[#This Row],[Spend category L1 - Override]], AP[[#This Row],[Spend category L1]])</f>
        <v>0</v>
      </c>
      <c r="M138" s="57">
        <f>IF(AP[[#This Row],[Spend category L2 - Override]] &lt;&gt; "", AP[[#This Row],[Spend category L2 - Override]], AP[[#This Row],[Spend category L2]])</f>
        <v>0</v>
      </c>
      <c r="N138" s="51">
        <f>Assumptions!$D$15</f>
        <v>0.1</v>
      </c>
      <c r="O138" s="45">
        <f>IF(AP[[#This Row],[GST applies?]] = "Yes", (AP[[#This Row],[Invoice value inc. GST]] / 1 + AP[[#This Row],[GST %]]) * AP[[#This Row],[GST %]], 0)</f>
        <v>0</v>
      </c>
      <c r="P138" s="31">
        <f>_xlfn.XLOOKUP(AP[[#This Row],[Supplier name]], Supplier_master[Supplier name], Supplier_master[EOM or Net], 0)</f>
        <v>0</v>
      </c>
      <c r="Q138" s="31">
        <f>_xlfn.XLOOKUP(AP[[#This Row],[Supplier name]], Supplier_master[Supplier name], Supplier_master[Terms days], 0)</f>
        <v>0</v>
      </c>
      <c r="R1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8" s="4"/>
      <c r="T138" s="46">
        <f>IF(AP[[#This Row],[Payment date - override (dd/mm/yyyy)]] &lt;&gt; "", AP[[#This Row],[Payment date - override (dd/mm/yyyy)]], AP[[#This Row],[Due date (dd/mm/yyyy)]])</f>
        <v>0</v>
      </c>
      <c r="U138" s="46">
        <f t="shared" si="2"/>
        <v>52</v>
      </c>
    </row>
    <row r="139" spans="3:21" x14ac:dyDescent="0.25">
      <c r="C139" s="28"/>
      <c r="D139" s="20"/>
      <c r="E139" s="4"/>
      <c r="F139" s="37"/>
      <c r="G139" s="24"/>
      <c r="H139" s="31">
        <f>_xlfn.XLOOKUP(AP[[#This Row],[Supplier name]], Supplier_master[Supplier name], Supplier_master[Category L1], 0)</f>
        <v>0</v>
      </c>
      <c r="I139" s="64">
        <f>_xlfn.XLOOKUP(AP[[#This Row],[Supplier name]], Supplier_master[Supplier name], Supplier_master[Category L2], 0)</f>
        <v>0</v>
      </c>
      <c r="J139" s="55"/>
      <c r="K139" s="54"/>
      <c r="L139" s="57">
        <f>IF(AP[[#This Row],[Spend category L1 - Override]] &lt;&gt; "", AP[[#This Row],[Spend category L1 - Override]], AP[[#This Row],[Spend category L1]])</f>
        <v>0</v>
      </c>
      <c r="M139" s="57">
        <f>IF(AP[[#This Row],[Spend category L2 - Override]] &lt;&gt; "", AP[[#This Row],[Spend category L2 - Override]], AP[[#This Row],[Spend category L2]])</f>
        <v>0</v>
      </c>
      <c r="N139" s="51">
        <f>Assumptions!$D$15</f>
        <v>0.1</v>
      </c>
      <c r="O139" s="45">
        <f>IF(AP[[#This Row],[GST applies?]] = "Yes", (AP[[#This Row],[Invoice value inc. GST]] / 1 + AP[[#This Row],[GST %]]) * AP[[#This Row],[GST %]], 0)</f>
        <v>0</v>
      </c>
      <c r="P139" s="31">
        <f>_xlfn.XLOOKUP(AP[[#This Row],[Supplier name]], Supplier_master[Supplier name], Supplier_master[EOM or Net], 0)</f>
        <v>0</v>
      </c>
      <c r="Q139" s="31">
        <f>_xlfn.XLOOKUP(AP[[#This Row],[Supplier name]], Supplier_master[Supplier name], Supplier_master[Terms days], 0)</f>
        <v>0</v>
      </c>
      <c r="R1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9" s="4"/>
      <c r="T139" s="46">
        <f>IF(AP[[#This Row],[Payment date - override (dd/mm/yyyy)]] &lt;&gt; "", AP[[#This Row],[Payment date - override (dd/mm/yyyy)]], AP[[#This Row],[Due date (dd/mm/yyyy)]])</f>
        <v>0</v>
      </c>
      <c r="U139" s="46">
        <f t="shared" si="2"/>
        <v>52</v>
      </c>
    </row>
    <row r="140" spans="3:21" x14ac:dyDescent="0.25">
      <c r="C140" s="28"/>
      <c r="D140" s="20"/>
      <c r="E140" s="4"/>
      <c r="F140" s="37"/>
      <c r="G140" s="24"/>
      <c r="H140" s="31">
        <f>_xlfn.XLOOKUP(AP[[#This Row],[Supplier name]], Supplier_master[Supplier name], Supplier_master[Category L1], 0)</f>
        <v>0</v>
      </c>
      <c r="I140" s="64">
        <f>_xlfn.XLOOKUP(AP[[#This Row],[Supplier name]], Supplier_master[Supplier name], Supplier_master[Category L2], 0)</f>
        <v>0</v>
      </c>
      <c r="J140" s="55"/>
      <c r="K140" s="54"/>
      <c r="L140" s="57">
        <f>IF(AP[[#This Row],[Spend category L1 - Override]] &lt;&gt; "", AP[[#This Row],[Spend category L1 - Override]], AP[[#This Row],[Spend category L1]])</f>
        <v>0</v>
      </c>
      <c r="M140" s="57">
        <f>IF(AP[[#This Row],[Spend category L2 - Override]] &lt;&gt; "", AP[[#This Row],[Spend category L2 - Override]], AP[[#This Row],[Spend category L2]])</f>
        <v>0</v>
      </c>
      <c r="N140" s="51">
        <f>Assumptions!$D$15</f>
        <v>0.1</v>
      </c>
      <c r="O140" s="45">
        <f>IF(AP[[#This Row],[GST applies?]] = "Yes", (AP[[#This Row],[Invoice value inc. GST]] / 1 + AP[[#This Row],[GST %]]) * AP[[#This Row],[GST %]], 0)</f>
        <v>0</v>
      </c>
      <c r="P140" s="31">
        <f>_xlfn.XLOOKUP(AP[[#This Row],[Supplier name]], Supplier_master[Supplier name], Supplier_master[EOM or Net], 0)</f>
        <v>0</v>
      </c>
      <c r="Q140" s="31">
        <f>_xlfn.XLOOKUP(AP[[#This Row],[Supplier name]], Supplier_master[Supplier name], Supplier_master[Terms days], 0)</f>
        <v>0</v>
      </c>
      <c r="R1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0" s="4"/>
      <c r="T140" s="46">
        <f>IF(AP[[#This Row],[Payment date - override (dd/mm/yyyy)]] &lt;&gt; "", AP[[#This Row],[Payment date - override (dd/mm/yyyy)]], AP[[#This Row],[Due date (dd/mm/yyyy)]])</f>
        <v>0</v>
      </c>
      <c r="U140" s="46">
        <f t="shared" si="2"/>
        <v>52</v>
      </c>
    </row>
    <row r="141" spans="3:21" x14ac:dyDescent="0.25">
      <c r="C141" s="28"/>
      <c r="D141" s="20"/>
      <c r="E141" s="4"/>
      <c r="F141" s="37"/>
      <c r="G141" s="24"/>
      <c r="H141" s="31">
        <f>_xlfn.XLOOKUP(AP[[#This Row],[Supplier name]], Supplier_master[Supplier name], Supplier_master[Category L1], 0)</f>
        <v>0</v>
      </c>
      <c r="I141" s="64">
        <f>_xlfn.XLOOKUP(AP[[#This Row],[Supplier name]], Supplier_master[Supplier name], Supplier_master[Category L2], 0)</f>
        <v>0</v>
      </c>
      <c r="J141" s="55"/>
      <c r="K141" s="54"/>
      <c r="L141" s="57">
        <f>IF(AP[[#This Row],[Spend category L1 - Override]] &lt;&gt; "", AP[[#This Row],[Spend category L1 - Override]], AP[[#This Row],[Spend category L1]])</f>
        <v>0</v>
      </c>
      <c r="M141" s="57">
        <f>IF(AP[[#This Row],[Spend category L2 - Override]] &lt;&gt; "", AP[[#This Row],[Spend category L2 - Override]], AP[[#This Row],[Spend category L2]])</f>
        <v>0</v>
      </c>
      <c r="N141" s="51">
        <f>Assumptions!$D$15</f>
        <v>0.1</v>
      </c>
      <c r="O141" s="45">
        <f>IF(AP[[#This Row],[GST applies?]] = "Yes", (AP[[#This Row],[Invoice value inc. GST]] / 1 + AP[[#This Row],[GST %]]) * AP[[#This Row],[GST %]], 0)</f>
        <v>0</v>
      </c>
      <c r="P141" s="31">
        <f>_xlfn.XLOOKUP(AP[[#This Row],[Supplier name]], Supplier_master[Supplier name], Supplier_master[EOM or Net], 0)</f>
        <v>0</v>
      </c>
      <c r="Q141" s="31">
        <f>_xlfn.XLOOKUP(AP[[#This Row],[Supplier name]], Supplier_master[Supplier name], Supplier_master[Terms days], 0)</f>
        <v>0</v>
      </c>
      <c r="R1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1" s="4"/>
      <c r="T141" s="46">
        <f>IF(AP[[#This Row],[Payment date - override (dd/mm/yyyy)]] &lt;&gt; "", AP[[#This Row],[Payment date - override (dd/mm/yyyy)]], AP[[#This Row],[Due date (dd/mm/yyyy)]])</f>
        <v>0</v>
      </c>
      <c r="U141" s="46">
        <f t="shared" si="2"/>
        <v>52</v>
      </c>
    </row>
    <row r="142" spans="3:21" x14ac:dyDescent="0.25">
      <c r="C142" s="28"/>
      <c r="D142" s="20"/>
      <c r="E142" s="4"/>
      <c r="F142" s="37"/>
      <c r="G142" s="24"/>
      <c r="H142" s="31">
        <f>_xlfn.XLOOKUP(AP[[#This Row],[Supplier name]], Supplier_master[Supplier name], Supplier_master[Category L1], 0)</f>
        <v>0</v>
      </c>
      <c r="I142" s="64">
        <f>_xlfn.XLOOKUP(AP[[#This Row],[Supplier name]], Supplier_master[Supplier name], Supplier_master[Category L2], 0)</f>
        <v>0</v>
      </c>
      <c r="J142" s="55"/>
      <c r="K142" s="54"/>
      <c r="L142" s="57">
        <f>IF(AP[[#This Row],[Spend category L1 - Override]] &lt;&gt; "", AP[[#This Row],[Spend category L1 - Override]], AP[[#This Row],[Spend category L1]])</f>
        <v>0</v>
      </c>
      <c r="M142" s="57">
        <f>IF(AP[[#This Row],[Spend category L2 - Override]] &lt;&gt; "", AP[[#This Row],[Spend category L2 - Override]], AP[[#This Row],[Spend category L2]])</f>
        <v>0</v>
      </c>
      <c r="N142" s="51">
        <f>Assumptions!$D$15</f>
        <v>0.1</v>
      </c>
      <c r="O142" s="45">
        <f>IF(AP[[#This Row],[GST applies?]] = "Yes", (AP[[#This Row],[Invoice value inc. GST]] / 1 + AP[[#This Row],[GST %]]) * AP[[#This Row],[GST %]], 0)</f>
        <v>0</v>
      </c>
      <c r="P142" s="31">
        <f>_xlfn.XLOOKUP(AP[[#This Row],[Supplier name]], Supplier_master[Supplier name], Supplier_master[EOM or Net], 0)</f>
        <v>0</v>
      </c>
      <c r="Q142" s="31">
        <f>_xlfn.XLOOKUP(AP[[#This Row],[Supplier name]], Supplier_master[Supplier name], Supplier_master[Terms days], 0)</f>
        <v>0</v>
      </c>
      <c r="R1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2" s="4"/>
      <c r="T142" s="46">
        <f>IF(AP[[#This Row],[Payment date - override (dd/mm/yyyy)]] &lt;&gt; "", AP[[#This Row],[Payment date - override (dd/mm/yyyy)]], AP[[#This Row],[Due date (dd/mm/yyyy)]])</f>
        <v>0</v>
      </c>
      <c r="U142" s="46">
        <f t="shared" si="2"/>
        <v>52</v>
      </c>
    </row>
    <row r="143" spans="3:21" x14ac:dyDescent="0.25">
      <c r="C143" s="28"/>
      <c r="D143" s="20"/>
      <c r="E143" s="4"/>
      <c r="F143" s="37"/>
      <c r="G143" s="24"/>
      <c r="H143" s="31">
        <f>_xlfn.XLOOKUP(AP[[#This Row],[Supplier name]], Supplier_master[Supplier name], Supplier_master[Category L1], 0)</f>
        <v>0</v>
      </c>
      <c r="I143" s="64">
        <f>_xlfn.XLOOKUP(AP[[#This Row],[Supplier name]], Supplier_master[Supplier name], Supplier_master[Category L2], 0)</f>
        <v>0</v>
      </c>
      <c r="J143" s="55"/>
      <c r="K143" s="54"/>
      <c r="L143" s="57">
        <f>IF(AP[[#This Row],[Spend category L1 - Override]] &lt;&gt; "", AP[[#This Row],[Spend category L1 - Override]], AP[[#This Row],[Spend category L1]])</f>
        <v>0</v>
      </c>
      <c r="M143" s="57">
        <f>IF(AP[[#This Row],[Spend category L2 - Override]] &lt;&gt; "", AP[[#This Row],[Spend category L2 - Override]], AP[[#This Row],[Spend category L2]])</f>
        <v>0</v>
      </c>
      <c r="N143" s="51">
        <f>Assumptions!$D$15</f>
        <v>0.1</v>
      </c>
      <c r="O143" s="45">
        <f>IF(AP[[#This Row],[GST applies?]] = "Yes", (AP[[#This Row],[Invoice value inc. GST]] / 1 + AP[[#This Row],[GST %]]) * AP[[#This Row],[GST %]], 0)</f>
        <v>0</v>
      </c>
      <c r="P143" s="31">
        <f>_xlfn.XLOOKUP(AP[[#This Row],[Supplier name]], Supplier_master[Supplier name], Supplier_master[EOM or Net], 0)</f>
        <v>0</v>
      </c>
      <c r="Q143" s="31">
        <f>_xlfn.XLOOKUP(AP[[#This Row],[Supplier name]], Supplier_master[Supplier name], Supplier_master[Terms days], 0)</f>
        <v>0</v>
      </c>
      <c r="R1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3" s="4"/>
      <c r="T143" s="46">
        <f>IF(AP[[#This Row],[Payment date - override (dd/mm/yyyy)]] &lt;&gt; "", AP[[#This Row],[Payment date - override (dd/mm/yyyy)]], AP[[#This Row],[Due date (dd/mm/yyyy)]])</f>
        <v>0</v>
      </c>
      <c r="U143" s="46">
        <f t="shared" si="2"/>
        <v>52</v>
      </c>
    </row>
    <row r="144" spans="3:21" x14ac:dyDescent="0.25">
      <c r="C144" s="28"/>
      <c r="D144" s="20"/>
      <c r="E144" s="4"/>
      <c r="F144" s="37"/>
      <c r="G144" s="24"/>
      <c r="H144" s="31">
        <f>_xlfn.XLOOKUP(AP[[#This Row],[Supplier name]], Supplier_master[Supplier name], Supplier_master[Category L1], 0)</f>
        <v>0</v>
      </c>
      <c r="I144" s="64">
        <f>_xlfn.XLOOKUP(AP[[#This Row],[Supplier name]], Supplier_master[Supplier name], Supplier_master[Category L2], 0)</f>
        <v>0</v>
      </c>
      <c r="J144" s="55"/>
      <c r="K144" s="54"/>
      <c r="L144" s="57">
        <f>IF(AP[[#This Row],[Spend category L1 - Override]] &lt;&gt; "", AP[[#This Row],[Spend category L1 - Override]], AP[[#This Row],[Spend category L1]])</f>
        <v>0</v>
      </c>
      <c r="M144" s="57">
        <f>IF(AP[[#This Row],[Spend category L2 - Override]] &lt;&gt; "", AP[[#This Row],[Spend category L2 - Override]], AP[[#This Row],[Spend category L2]])</f>
        <v>0</v>
      </c>
      <c r="N144" s="51">
        <f>Assumptions!$D$15</f>
        <v>0.1</v>
      </c>
      <c r="O144" s="45">
        <f>IF(AP[[#This Row],[GST applies?]] = "Yes", (AP[[#This Row],[Invoice value inc. GST]] / 1 + AP[[#This Row],[GST %]]) * AP[[#This Row],[GST %]], 0)</f>
        <v>0</v>
      </c>
      <c r="P144" s="31">
        <f>_xlfn.XLOOKUP(AP[[#This Row],[Supplier name]], Supplier_master[Supplier name], Supplier_master[EOM or Net], 0)</f>
        <v>0</v>
      </c>
      <c r="Q144" s="31">
        <f>_xlfn.XLOOKUP(AP[[#This Row],[Supplier name]], Supplier_master[Supplier name], Supplier_master[Terms days], 0)</f>
        <v>0</v>
      </c>
      <c r="R1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4" s="4"/>
      <c r="T144" s="46">
        <f>IF(AP[[#This Row],[Payment date - override (dd/mm/yyyy)]] &lt;&gt; "", AP[[#This Row],[Payment date - override (dd/mm/yyyy)]], AP[[#This Row],[Due date (dd/mm/yyyy)]])</f>
        <v>0</v>
      </c>
      <c r="U144" s="46">
        <f t="shared" si="2"/>
        <v>52</v>
      </c>
    </row>
    <row r="145" spans="3:21" x14ac:dyDescent="0.25">
      <c r="C145" s="28"/>
      <c r="D145" s="20"/>
      <c r="E145" s="4"/>
      <c r="F145" s="37"/>
      <c r="G145" s="24"/>
      <c r="H145" s="31">
        <f>_xlfn.XLOOKUP(AP[[#This Row],[Supplier name]], Supplier_master[Supplier name], Supplier_master[Category L1], 0)</f>
        <v>0</v>
      </c>
      <c r="I145" s="64">
        <f>_xlfn.XLOOKUP(AP[[#This Row],[Supplier name]], Supplier_master[Supplier name], Supplier_master[Category L2], 0)</f>
        <v>0</v>
      </c>
      <c r="J145" s="55"/>
      <c r="K145" s="54"/>
      <c r="L145" s="57">
        <f>IF(AP[[#This Row],[Spend category L1 - Override]] &lt;&gt; "", AP[[#This Row],[Spend category L1 - Override]], AP[[#This Row],[Spend category L1]])</f>
        <v>0</v>
      </c>
      <c r="M145" s="57">
        <f>IF(AP[[#This Row],[Spend category L2 - Override]] &lt;&gt; "", AP[[#This Row],[Spend category L2 - Override]], AP[[#This Row],[Spend category L2]])</f>
        <v>0</v>
      </c>
      <c r="N145" s="51">
        <f>Assumptions!$D$15</f>
        <v>0.1</v>
      </c>
      <c r="O145" s="45">
        <f>IF(AP[[#This Row],[GST applies?]] = "Yes", (AP[[#This Row],[Invoice value inc. GST]] / 1 + AP[[#This Row],[GST %]]) * AP[[#This Row],[GST %]], 0)</f>
        <v>0</v>
      </c>
      <c r="P145" s="31">
        <f>_xlfn.XLOOKUP(AP[[#This Row],[Supplier name]], Supplier_master[Supplier name], Supplier_master[EOM or Net], 0)</f>
        <v>0</v>
      </c>
      <c r="Q145" s="31">
        <f>_xlfn.XLOOKUP(AP[[#This Row],[Supplier name]], Supplier_master[Supplier name], Supplier_master[Terms days], 0)</f>
        <v>0</v>
      </c>
      <c r="R1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5" s="4"/>
      <c r="T145" s="46">
        <f>IF(AP[[#This Row],[Payment date - override (dd/mm/yyyy)]] &lt;&gt; "", AP[[#This Row],[Payment date - override (dd/mm/yyyy)]], AP[[#This Row],[Due date (dd/mm/yyyy)]])</f>
        <v>0</v>
      </c>
      <c r="U145" s="46">
        <f t="shared" si="2"/>
        <v>52</v>
      </c>
    </row>
    <row r="146" spans="3:21" x14ac:dyDescent="0.25">
      <c r="C146" s="28"/>
      <c r="D146" s="20"/>
      <c r="E146" s="4"/>
      <c r="F146" s="37"/>
      <c r="G146" s="24"/>
      <c r="H146" s="31">
        <f>_xlfn.XLOOKUP(AP[[#This Row],[Supplier name]], Supplier_master[Supplier name], Supplier_master[Category L1], 0)</f>
        <v>0</v>
      </c>
      <c r="I146" s="64">
        <f>_xlfn.XLOOKUP(AP[[#This Row],[Supplier name]], Supplier_master[Supplier name], Supplier_master[Category L2], 0)</f>
        <v>0</v>
      </c>
      <c r="J146" s="55"/>
      <c r="K146" s="54"/>
      <c r="L146" s="57">
        <f>IF(AP[[#This Row],[Spend category L1 - Override]] &lt;&gt; "", AP[[#This Row],[Spend category L1 - Override]], AP[[#This Row],[Spend category L1]])</f>
        <v>0</v>
      </c>
      <c r="M146" s="57">
        <f>IF(AP[[#This Row],[Spend category L2 - Override]] &lt;&gt; "", AP[[#This Row],[Spend category L2 - Override]], AP[[#This Row],[Spend category L2]])</f>
        <v>0</v>
      </c>
      <c r="N146" s="51">
        <f>Assumptions!$D$15</f>
        <v>0.1</v>
      </c>
      <c r="O146" s="45">
        <f>IF(AP[[#This Row],[GST applies?]] = "Yes", (AP[[#This Row],[Invoice value inc. GST]] / 1 + AP[[#This Row],[GST %]]) * AP[[#This Row],[GST %]], 0)</f>
        <v>0</v>
      </c>
      <c r="P146" s="31">
        <f>_xlfn.XLOOKUP(AP[[#This Row],[Supplier name]], Supplier_master[Supplier name], Supplier_master[EOM or Net], 0)</f>
        <v>0</v>
      </c>
      <c r="Q146" s="31">
        <f>_xlfn.XLOOKUP(AP[[#This Row],[Supplier name]], Supplier_master[Supplier name], Supplier_master[Terms days], 0)</f>
        <v>0</v>
      </c>
      <c r="R1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6" s="4"/>
      <c r="T146" s="46">
        <f>IF(AP[[#This Row],[Payment date - override (dd/mm/yyyy)]] &lt;&gt; "", AP[[#This Row],[Payment date - override (dd/mm/yyyy)]], AP[[#This Row],[Due date (dd/mm/yyyy)]])</f>
        <v>0</v>
      </c>
      <c r="U146" s="46">
        <f t="shared" si="2"/>
        <v>52</v>
      </c>
    </row>
    <row r="147" spans="3:21" x14ac:dyDescent="0.25">
      <c r="C147" s="28"/>
      <c r="D147" s="20"/>
      <c r="E147" s="4"/>
      <c r="F147" s="37"/>
      <c r="G147" s="24"/>
      <c r="H147" s="31">
        <f>_xlfn.XLOOKUP(AP[[#This Row],[Supplier name]], Supplier_master[Supplier name], Supplier_master[Category L1], 0)</f>
        <v>0</v>
      </c>
      <c r="I147" s="64">
        <f>_xlfn.XLOOKUP(AP[[#This Row],[Supplier name]], Supplier_master[Supplier name], Supplier_master[Category L2], 0)</f>
        <v>0</v>
      </c>
      <c r="J147" s="55"/>
      <c r="K147" s="54"/>
      <c r="L147" s="57">
        <f>IF(AP[[#This Row],[Spend category L1 - Override]] &lt;&gt; "", AP[[#This Row],[Spend category L1 - Override]], AP[[#This Row],[Spend category L1]])</f>
        <v>0</v>
      </c>
      <c r="M147" s="57">
        <f>IF(AP[[#This Row],[Spend category L2 - Override]] &lt;&gt; "", AP[[#This Row],[Spend category L2 - Override]], AP[[#This Row],[Spend category L2]])</f>
        <v>0</v>
      </c>
      <c r="N147" s="51">
        <f>Assumptions!$D$15</f>
        <v>0.1</v>
      </c>
      <c r="O147" s="45">
        <f>IF(AP[[#This Row],[GST applies?]] = "Yes", (AP[[#This Row],[Invoice value inc. GST]] / 1 + AP[[#This Row],[GST %]]) * AP[[#This Row],[GST %]], 0)</f>
        <v>0</v>
      </c>
      <c r="P147" s="31">
        <f>_xlfn.XLOOKUP(AP[[#This Row],[Supplier name]], Supplier_master[Supplier name], Supplier_master[EOM or Net], 0)</f>
        <v>0</v>
      </c>
      <c r="Q147" s="31">
        <f>_xlfn.XLOOKUP(AP[[#This Row],[Supplier name]], Supplier_master[Supplier name], Supplier_master[Terms days], 0)</f>
        <v>0</v>
      </c>
      <c r="R1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7" s="4"/>
      <c r="T147" s="46">
        <f>IF(AP[[#This Row],[Payment date - override (dd/mm/yyyy)]] &lt;&gt; "", AP[[#This Row],[Payment date - override (dd/mm/yyyy)]], AP[[#This Row],[Due date (dd/mm/yyyy)]])</f>
        <v>0</v>
      </c>
      <c r="U147" s="46">
        <f t="shared" si="2"/>
        <v>52</v>
      </c>
    </row>
    <row r="148" spans="3:21" x14ac:dyDescent="0.25">
      <c r="C148" s="28"/>
      <c r="D148" s="20"/>
      <c r="E148" s="4"/>
      <c r="F148" s="37"/>
      <c r="G148" s="24"/>
      <c r="H148" s="31">
        <f>_xlfn.XLOOKUP(AP[[#This Row],[Supplier name]], Supplier_master[Supplier name], Supplier_master[Category L1], 0)</f>
        <v>0</v>
      </c>
      <c r="I148" s="64">
        <f>_xlfn.XLOOKUP(AP[[#This Row],[Supplier name]], Supplier_master[Supplier name], Supplier_master[Category L2], 0)</f>
        <v>0</v>
      </c>
      <c r="J148" s="55"/>
      <c r="K148" s="54"/>
      <c r="L148" s="57">
        <f>IF(AP[[#This Row],[Spend category L1 - Override]] &lt;&gt; "", AP[[#This Row],[Spend category L1 - Override]], AP[[#This Row],[Spend category L1]])</f>
        <v>0</v>
      </c>
      <c r="M148" s="57">
        <f>IF(AP[[#This Row],[Spend category L2 - Override]] &lt;&gt; "", AP[[#This Row],[Spend category L2 - Override]], AP[[#This Row],[Spend category L2]])</f>
        <v>0</v>
      </c>
      <c r="N148" s="51">
        <f>Assumptions!$D$15</f>
        <v>0.1</v>
      </c>
      <c r="O148" s="45">
        <f>IF(AP[[#This Row],[GST applies?]] = "Yes", (AP[[#This Row],[Invoice value inc. GST]] / 1 + AP[[#This Row],[GST %]]) * AP[[#This Row],[GST %]], 0)</f>
        <v>0</v>
      </c>
      <c r="P148" s="31">
        <f>_xlfn.XLOOKUP(AP[[#This Row],[Supplier name]], Supplier_master[Supplier name], Supplier_master[EOM or Net], 0)</f>
        <v>0</v>
      </c>
      <c r="Q148" s="31">
        <f>_xlfn.XLOOKUP(AP[[#This Row],[Supplier name]], Supplier_master[Supplier name], Supplier_master[Terms days], 0)</f>
        <v>0</v>
      </c>
      <c r="R1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8" s="4"/>
      <c r="T148" s="46">
        <f>IF(AP[[#This Row],[Payment date - override (dd/mm/yyyy)]] &lt;&gt; "", AP[[#This Row],[Payment date - override (dd/mm/yyyy)]], AP[[#This Row],[Due date (dd/mm/yyyy)]])</f>
        <v>0</v>
      </c>
      <c r="U148" s="46">
        <f t="shared" si="2"/>
        <v>52</v>
      </c>
    </row>
    <row r="149" spans="3:21" x14ac:dyDescent="0.25">
      <c r="C149" s="28"/>
      <c r="D149" s="20"/>
      <c r="E149" s="4"/>
      <c r="F149" s="37"/>
      <c r="G149" s="24"/>
      <c r="H149" s="31">
        <f>_xlfn.XLOOKUP(AP[[#This Row],[Supplier name]], Supplier_master[Supplier name], Supplier_master[Category L1], 0)</f>
        <v>0</v>
      </c>
      <c r="I149" s="64">
        <f>_xlfn.XLOOKUP(AP[[#This Row],[Supplier name]], Supplier_master[Supplier name], Supplier_master[Category L2], 0)</f>
        <v>0</v>
      </c>
      <c r="J149" s="55"/>
      <c r="K149" s="54"/>
      <c r="L149" s="57">
        <f>IF(AP[[#This Row],[Spend category L1 - Override]] &lt;&gt; "", AP[[#This Row],[Spend category L1 - Override]], AP[[#This Row],[Spend category L1]])</f>
        <v>0</v>
      </c>
      <c r="M149" s="57">
        <f>IF(AP[[#This Row],[Spend category L2 - Override]] &lt;&gt; "", AP[[#This Row],[Spend category L2 - Override]], AP[[#This Row],[Spend category L2]])</f>
        <v>0</v>
      </c>
      <c r="N149" s="51">
        <f>Assumptions!$D$15</f>
        <v>0.1</v>
      </c>
      <c r="O149" s="45">
        <f>IF(AP[[#This Row],[GST applies?]] = "Yes", (AP[[#This Row],[Invoice value inc. GST]] / 1 + AP[[#This Row],[GST %]]) * AP[[#This Row],[GST %]], 0)</f>
        <v>0</v>
      </c>
      <c r="P149" s="31">
        <f>_xlfn.XLOOKUP(AP[[#This Row],[Supplier name]], Supplier_master[Supplier name], Supplier_master[EOM or Net], 0)</f>
        <v>0</v>
      </c>
      <c r="Q149" s="31">
        <f>_xlfn.XLOOKUP(AP[[#This Row],[Supplier name]], Supplier_master[Supplier name], Supplier_master[Terms days], 0)</f>
        <v>0</v>
      </c>
      <c r="R1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9" s="4"/>
      <c r="T149" s="46">
        <f>IF(AP[[#This Row],[Payment date - override (dd/mm/yyyy)]] &lt;&gt; "", AP[[#This Row],[Payment date - override (dd/mm/yyyy)]], AP[[#This Row],[Due date (dd/mm/yyyy)]])</f>
        <v>0</v>
      </c>
      <c r="U149" s="46">
        <f t="shared" si="2"/>
        <v>52</v>
      </c>
    </row>
    <row r="150" spans="3:21" x14ac:dyDescent="0.25">
      <c r="C150" s="28"/>
      <c r="D150" s="20"/>
      <c r="E150" s="4"/>
      <c r="F150" s="37"/>
      <c r="G150" s="24"/>
      <c r="H150" s="31">
        <f>_xlfn.XLOOKUP(AP[[#This Row],[Supplier name]], Supplier_master[Supplier name], Supplier_master[Category L1], 0)</f>
        <v>0</v>
      </c>
      <c r="I150" s="64">
        <f>_xlfn.XLOOKUP(AP[[#This Row],[Supplier name]], Supplier_master[Supplier name], Supplier_master[Category L2], 0)</f>
        <v>0</v>
      </c>
      <c r="J150" s="55"/>
      <c r="K150" s="54"/>
      <c r="L150" s="57">
        <f>IF(AP[[#This Row],[Spend category L1 - Override]] &lt;&gt; "", AP[[#This Row],[Spend category L1 - Override]], AP[[#This Row],[Spend category L1]])</f>
        <v>0</v>
      </c>
      <c r="M150" s="57">
        <f>IF(AP[[#This Row],[Spend category L2 - Override]] &lt;&gt; "", AP[[#This Row],[Spend category L2 - Override]], AP[[#This Row],[Spend category L2]])</f>
        <v>0</v>
      </c>
      <c r="N150" s="51">
        <f>Assumptions!$D$15</f>
        <v>0.1</v>
      </c>
      <c r="O150" s="45">
        <f>IF(AP[[#This Row],[GST applies?]] = "Yes", (AP[[#This Row],[Invoice value inc. GST]] / 1 + AP[[#This Row],[GST %]]) * AP[[#This Row],[GST %]], 0)</f>
        <v>0</v>
      </c>
      <c r="P150" s="31">
        <f>_xlfn.XLOOKUP(AP[[#This Row],[Supplier name]], Supplier_master[Supplier name], Supplier_master[EOM or Net], 0)</f>
        <v>0</v>
      </c>
      <c r="Q150" s="31">
        <f>_xlfn.XLOOKUP(AP[[#This Row],[Supplier name]], Supplier_master[Supplier name], Supplier_master[Terms days], 0)</f>
        <v>0</v>
      </c>
      <c r="R1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0" s="4"/>
      <c r="T150" s="46">
        <f>IF(AP[[#This Row],[Payment date - override (dd/mm/yyyy)]] &lt;&gt; "", AP[[#This Row],[Payment date - override (dd/mm/yyyy)]], AP[[#This Row],[Due date (dd/mm/yyyy)]])</f>
        <v>0</v>
      </c>
      <c r="U150" s="46">
        <f t="shared" si="2"/>
        <v>52</v>
      </c>
    </row>
    <row r="151" spans="3:21" x14ac:dyDescent="0.25">
      <c r="C151" s="28"/>
      <c r="D151" s="20"/>
      <c r="E151" s="4"/>
      <c r="F151" s="37"/>
      <c r="G151" s="24"/>
      <c r="H151" s="31">
        <f>_xlfn.XLOOKUP(AP[[#This Row],[Supplier name]], Supplier_master[Supplier name], Supplier_master[Category L1], 0)</f>
        <v>0</v>
      </c>
      <c r="I151" s="64">
        <f>_xlfn.XLOOKUP(AP[[#This Row],[Supplier name]], Supplier_master[Supplier name], Supplier_master[Category L2], 0)</f>
        <v>0</v>
      </c>
      <c r="J151" s="55"/>
      <c r="K151" s="54"/>
      <c r="L151" s="57">
        <f>IF(AP[[#This Row],[Spend category L1 - Override]] &lt;&gt; "", AP[[#This Row],[Spend category L1 - Override]], AP[[#This Row],[Spend category L1]])</f>
        <v>0</v>
      </c>
      <c r="M151" s="57">
        <f>IF(AP[[#This Row],[Spend category L2 - Override]] &lt;&gt; "", AP[[#This Row],[Spend category L2 - Override]], AP[[#This Row],[Spend category L2]])</f>
        <v>0</v>
      </c>
      <c r="N151" s="51">
        <f>Assumptions!$D$15</f>
        <v>0.1</v>
      </c>
      <c r="O151" s="45">
        <f>IF(AP[[#This Row],[GST applies?]] = "Yes", (AP[[#This Row],[Invoice value inc. GST]] / 1 + AP[[#This Row],[GST %]]) * AP[[#This Row],[GST %]], 0)</f>
        <v>0</v>
      </c>
      <c r="P151" s="31">
        <f>_xlfn.XLOOKUP(AP[[#This Row],[Supplier name]], Supplier_master[Supplier name], Supplier_master[EOM or Net], 0)</f>
        <v>0</v>
      </c>
      <c r="Q151" s="31">
        <f>_xlfn.XLOOKUP(AP[[#This Row],[Supplier name]], Supplier_master[Supplier name], Supplier_master[Terms days], 0)</f>
        <v>0</v>
      </c>
      <c r="R1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1" s="4"/>
      <c r="T151" s="46">
        <f>IF(AP[[#This Row],[Payment date - override (dd/mm/yyyy)]] &lt;&gt; "", AP[[#This Row],[Payment date - override (dd/mm/yyyy)]], AP[[#This Row],[Due date (dd/mm/yyyy)]])</f>
        <v>0</v>
      </c>
      <c r="U151" s="46">
        <f t="shared" si="2"/>
        <v>52</v>
      </c>
    </row>
    <row r="152" spans="3:21" x14ac:dyDescent="0.25">
      <c r="C152" s="28"/>
      <c r="D152" s="20"/>
      <c r="E152" s="4"/>
      <c r="F152" s="37"/>
      <c r="G152" s="24"/>
      <c r="H152" s="31">
        <f>_xlfn.XLOOKUP(AP[[#This Row],[Supplier name]], Supplier_master[Supplier name], Supplier_master[Category L1], 0)</f>
        <v>0</v>
      </c>
      <c r="I152" s="64">
        <f>_xlfn.XLOOKUP(AP[[#This Row],[Supplier name]], Supplier_master[Supplier name], Supplier_master[Category L2], 0)</f>
        <v>0</v>
      </c>
      <c r="J152" s="55"/>
      <c r="K152" s="54"/>
      <c r="L152" s="57">
        <f>IF(AP[[#This Row],[Spend category L1 - Override]] &lt;&gt; "", AP[[#This Row],[Spend category L1 - Override]], AP[[#This Row],[Spend category L1]])</f>
        <v>0</v>
      </c>
      <c r="M152" s="57">
        <f>IF(AP[[#This Row],[Spend category L2 - Override]] &lt;&gt; "", AP[[#This Row],[Spend category L2 - Override]], AP[[#This Row],[Spend category L2]])</f>
        <v>0</v>
      </c>
      <c r="N152" s="51">
        <f>Assumptions!$D$15</f>
        <v>0.1</v>
      </c>
      <c r="O152" s="45">
        <f>IF(AP[[#This Row],[GST applies?]] = "Yes", (AP[[#This Row],[Invoice value inc. GST]] / 1 + AP[[#This Row],[GST %]]) * AP[[#This Row],[GST %]], 0)</f>
        <v>0</v>
      </c>
      <c r="P152" s="31">
        <f>_xlfn.XLOOKUP(AP[[#This Row],[Supplier name]], Supplier_master[Supplier name], Supplier_master[EOM or Net], 0)</f>
        <v>0</v>
      </c>
      <c r="Q152" s="31">
        <f>_xlfn.XLOOKUP(AP[[#This Row],[Supplier name]], Supplier_master[Supplier name], Supplier_master[Terms days], 0)</f>
        <v>0</v>
      </c>
      <c r="R1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2" s="4"/>
      <c r="T152" s="46">
        <f>IF(AP[[#This Row],[Payment date - override (dd/mm/yyyy)]] &lt;&gt; "", AP[[#This Row],[Payment date - override (dd/mm/yyyy)]], AP[[#This Row],[Due date (dd/mm/yyyy)]])</f>
        <v>0</v>
      </c>
      <c r="U152" s="46">
        <f t="shared" si="2"/>
        <v>52</v>
      </c>
    </row>
    <row r="153" spans="3:21" x14ac:dyDescent="0.25">
      <c r="C153" s="28"/>
      <c r="D153" s="20"/>
      <c r="E153" s="4"/>
      <c r="F153" s="37"/>
      <c r="G153" s="24"/>
      <c r="H153" s="31">
        <f>_xlfn.XLOOKUP(AP[[#This Row],[Supplier name]], Supplier_master[Supplier name], Supplier_master[Category L1], 0)</f>
        <v>0</v>
      </c>
      <c r="I153" s="64">
        <f>_xlfn.XLOOKUP(AP[[#This Row],[Supplier name]], Supplier_master[Supplier name], Supplier_master[Category L2], 0)</f>
        <v>0</v>
      </c>
      <c r="J153" s="55"/>
      <c r="K153" s="54"/>
      <c r="L153" s="57">
        <f>IF(AP[[#This Row],[Spend category L1 - Override]] &lt;&gt; "", AP[[#This Row],[Spend category L1 - Override]], AP[[#This Row],[Spend category L1]])</f>
        <v>0</v>
      </c>
      <c r="M153" s="57">
        <f>IF(AP[[#This Row],[Spend category L2 - Override]] &lt;&gt; "", AP[[#This Row],[Spend category L2 - Override]], AP[[#This Row],[Spend category L2]])</f>
        <v>0</v>
      </c>
      <c r="N153" s="51">
        <f>Assumptions!$D$15</f>
        <v>0.1</v>
      </c>
      <c r="O153" s="45">
        <f>IF(AP[[#This Row],[GST applies?]] = "Yes", (AP[[#This Row],[Invoice value inc. GST]] / 1 + AP[[#This Row],[GST %]]) * AP[[#This Row],[GST %]], 0)</f>
        <v>0</v>
      </c>
      <c r="P153" s="31">
        <f>_xlfn.XLOOKUP(AP[[#This Row],[Supplier name]], Supplier_master[Supplier name], Supplier_master[EOM or Net], 0)</f>
        <v>0</v>
      </c>
      <c r="Q153" s="31">
        <f>_xlfn.XLOOKUP(AP[[#This Row],[Supplier name]], Supplier_master[Supplier name], Supplier_master[Terms days], 0)</f>
        <v>0</v>
      </c>
      <c r="R1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3" s="4"/>
      <c r="T153" s="46">
        <f>IF(AP[[#This Row],[Payment date - override (dd/mm/yyyy)]] &lt;&gt; "", AP[[#This Row],[Payment date - override (dd/mm/yyyy)]], AP[[#This Row],[Due date (dd/mm/yyyy)]])</f>
        <v>0</v>
      </c>
      <c r="U153" s="46">
        <f t="shared" si="2"/>
        <v>52</v>
      </c>
    </row>
    <row r="154" spans="3:21" x14ac:dyDescent="0.25">
      <c r="C154" s="28"/>
      <c r="D154" s="20"/>
      <c r="E154" s="4"/>
      <c r="F154" s="37"/>
      <c r="G154" s="24"/>
      <c r="H154" s="31">
        <f>_xlfn.XLOOKUP(AP[[#This Row],[Supplier name]], Supplier_master[Supplier name], Supplier_master[Category L1], 0)</f>
        <v>0</v>
      </c>
      <c r="I154" s="64">
        <f>_xlfn.XLOOKUP(AP[[#This Row],[Supplier name]], Supplier_master[Supplier name], Supplier_master[Category L2], 0)</f>
        <v>0</v>
      </c>
      <c r="J154" s="55"/>
      <c r="K154" s="54"/>
      <c r="L154" s="57">
        <f>IF(AP[[#This Row],[Spend category L1 - Override]] &lt;&gt; "", AP[[#This Row],[Spend category L1 - Override]], AP[[#This Row],[Spend category L1]])</f>
        <v>0</v>
      </c>
      <c r="M154" s="57">
        <f>IF(AP[[#This Row],[Spend category L2 - Override]] &lt;&gt; "", AP[[#This Row],[Spend category L2 - Override]], AP[[#This Row],[Spend category L2]])</f>
        <v>0</v>
      </c>
      <c r="N154" s="51">
        <f>Assumptions!$D$15</f>
        <v>0.1</v>
      </c>
      <c r="O154" s="45">
        <f>IF(AP[[#This Row],[GST applies?]] = "Yes", (AP[[#This Row],[Invoice value inc. GST]] / 1 + AP[[#This Row],[GST %]]) * AP[[#This Row],[GST %]], 0)</f>
        <v>0</v>
      </c>
      <c r="P154" s="31">
        <f>_xlfn.XLOOKUP(AP[[#This Row],[Supplier name]], Supplier_master[Supplier name], Supplier_master[EOM or Net], 0)</f>
        <v>0</v>
      </c>
      <c r="Q154" s="31">
        <f>_xlfn.XLOOKUP(AP[[#This Row],[Supplier name]], Supplier_master[Supplier name], Supplier_master[Terms days], 0)</f>
        <v>0</v>
      </c>
      <c r="R1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4" s="4"/>
      <c r="T154" s="46">
        <f>IF(AP[[#This Row],[Payment date - override (dd/mm/yyyy)]] &lt;&gt; "", AP[[#This Row],[Payment date - override (dd/mm/yyyy)]], AP[[#This Row],[Due date (dd/mm/yyyy)]])</f>
        <v>0</v>
      </c>
      <c r="U154" s="46">
        <f t="shared" si="2"/>
        <v>52</v>
      </c>
    </row>
    <row r="155" spans="3:21" x14ac:dyDescent="0.25">
      <c r="C155" s="28"/>
      <c r="D155" s="20"/>
      <c r="E155" s="4"/>
      <c r="F155" s="37"/>
      <c r="G155" s="24"/>
      <c r="H155" s="31">
        <f>_xlfn.XLOOKUP(AP[[#This Row],[Supplier name]], Supplier_master[Supplier name], Supplier_master[Category L1], 0)</f>
        <v>0</v>
      </c>
      <c r="I155" s="64">
        <f>_xlfn.XLOOKUP(AP[[#This Row],[Supplier name]], Supplier_master[Supplier name], Supplier_master[Category L2], 0)</f>
        <v>0</v>
      </c>
      <c r="J155" s="55"/>
      <c r="K155" s="54"/>
      <c r="L155" s="57">
        <f>IF(AP[[#This Row],[Spend category L1 - Override]] &lt;&gt; "", AP[[#This Row],[Spend category L1 - Override]], AP[[#This Row],[Spend category L1]])</f>
        <v>0</v>
      </c>
      <c r="M155" s="57">
        <f>IF(AP[[#This Row],[Spend category L2 - Override]] &lt;&gt; "", AP[[#This Row],[Spend category L2 - Override]], AP[[#This Row],[Spend category L2]])</f>
        <v>0</v>
      </c>
      <c r="N155" s="51">
        <f>Assumptions!$D$15</f>
        <v>0.1</v>
      </c>
      <c r="O155" s="45">
        <f>IF(AP[[#This Row],[GST applies?]] = "Yes", (AP[[#This Row],[Invoice value inc. GST]] / 1 + AP[[#This Row],[GST %]]) * AP[[#This Row],[GST %]], 0)</f>
        <v>0</v>
      </c>
      <c r="P155" s="31">
        <f>_xlfn.XLOOKUP(AP[[#This Row],[Supplier name]], Supplier_master[Supplier name], Supplier_master[EOM or Net], 0)</f>
        <v>0</v>
      </c>
      <c r="Q155" s="31">
        <f>_xlfn.XLOOKUP(AP[[#This Row],[Supplier name]], Supplier_master[Supplier name], Supplier_master[Terms days], 0)</f>
        <v>0</v>
      </c>
      <c r="R1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5" s="4"/>
      <c r="T155" s="46">
        <f>IF(AP[[#This Row],[Payment date - override (dd/mm/yyyy)]] &lt;&gt; "", AP[[#This Row],[Payment date - override (dd/mm/yyyy)]], AP[[#This Row],[Due date (dd/mm/yyyy)]])</f>
        <v>0</v>
      </c>
      <c r="U155" s="46">
        <f t="shared" si="2"/>
        <v>52</v>
      </c>
    </row>
    <row r="156" spans="3:21" x14ac:dyDescent="0.25">
      <c r="C156" s="28"/>
      <c r="D156" s="20"/>
      <c r="E156" s="4"/>
      <c r="F156" s="37"/>
      <c r="G156" s="24"/>
      <c r="H156" s="31">
        <f>_xlfn.XLOOKUP(AP[[#This Row],[Supplier name]], Supplier_master[Supplier name], Supplier_master[Category L1], 0)</f>
        <v>0</v>
      </c>
      <c r="I156" s="64">
        <f>_xlfn.XLOOKUP(AP[[#This Row],[Supplier name]], Supplier_master[Supplier name], Supplier_master[Category L2], 0)</f>
        <v>0</v>
      </c>
      <c r="J156" s="55"/>
      <c r="K156" s="54"/>
      <c r="L156" s="57">
        <f>IF(AP[[#This Row],[Spend category L1 - Override]] &lt;&gt; "", AP[[#This Row],[Spend category L1 - Override]], AP[[#This Row],[Spend category L1]])</f>
        <v>0</v>
      </c>
      <c r="M156" s="57">
        <f>IF(AP[[#This Row],[Spend category L2 - Override]] &lt;&gt; "", AP[[#This Row],[Spend category L2 - Override]], AP[[#This Row],[Spend category L2]])</f>
        <v>0</v>
      </c>
      <c r="N156" s="51">
        <f>Assumptions!$D$15</f>
        <v>0.1</v>
      </c>
      <c r="O156" s="45">
        <f>IF(AP[[#This Row],[GST applies?]] = "Yes", (AP[[#This Row],[Invoice value inc. GST]] / 1 + AP[[#This Row],[GST %]]) * AP[[#This Row],[GST %]], 0)</f>
        <v>0</v>
      </c>
      <c r="P156" s="31">
        <f>_xlfn.XLOOKUP(AP[[#This Row],[Supplier name]], Supplier_master[Supplier name], Supplier_master[EOM or Net], 0)</f>
        <v>0</v>
      </c>
      <c r="Q156" s="31">
        <f>_xlfn.XLOOKUP(AP[[#This Row],[Supplier name]], Supplier_master[Supplier name], Supplier_master[Terms days], 0)</f>
        <v>0</v>
      </c>
      <c r="R1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6" s="4"/>
      <c r="T156" s="46">
        <f>IF(AP[[#This Row],[Payment date - override (dd/mm/yyyy)]] &lt;&gt; "", AP[[#This Row],[Payment date - override (dd/mm/yyyy)]], AP[[#This Row],[Due date (dd/mm/yyyy)]])</f>
        <v>0</v>
      </c>
      <c r="U156" s="46">
        <f t="shared" si="2"/>
        <v>52</v>
      </c>
    </row>
    <row r="157" spans="3:21" x14ac:dyDescent="0.25">
      <c r="C157" s="28"/>
      <c r="D157" s="20"/>
      <c r="E157" s="4"/>
      <c r="F157" s="37"/>
      <c r="G157" s="24"/>
      <c r="H157" s="31">
        <f>_xlfn.XLOOKUP(AP[[#This Row],[Supplier name]], Supplier_master[Supplier name], Supplier_master[Category L1], 0)</f>
        <v>0</v>
      </c>
      <c r="I157" s="64">
        <f>_xlfn.XLOOKUP(AP[[#This Row],[Supplier name]], Supplier_master[Supplier name], Supplier_master[Category L2], 0)</f>
        <v>0</v>
      </c>
      <c r="J157" s="55"/>
      <c r="K157" s="54"/>
      <c r="L157" s="57">
        <f>IF(AP[[#This Row],[Spend category L1 - Override]] &lt;&gt; "", AP[[#This Row],[Spend category L1 - Override]], AP[[#This Row],[Spend category L1]])</f>
        <v>0</v>
      </c>
      <c r="M157" s="57">
        <f>IF(AP[[#This Row],[Spend category L2 - Override]] &lt;&gt; "", AP[[#This Row],[Spend category L2 - Override]], AP[[#This Row],[Spend category L2]])</f>
        <v>0</v>
      </c>
      <c r="N157" s="51">
        <f>Assumptions!$D$15</f>
        <v>0.1</v>
      </c>
      <c r="O157" s="45">
        <f>IF(AP[[#This Row],[GST applies?]] = "Yes", (AP[[#This Row],[Invoice value inc. GST]] / 1 + AP[[#This Row],[GST %]]) * AP[[#This Row],[GST %]], 0)</f>
        <v>0</v>
      </c>
      <c r="P157" s="31">
        <f>_xlfn.XLOOKUP(AP[[#This Row],[Supplier name]], Supplier_master[Supplier name], Supplier_master[EOM or Net], 0)</f>
        <v>0</v>
      </c>
      <c r="Q157" s="31">
        <f>_xlfn.XLOOKUP(AP[[#This Row],[Supplier name]], Supplier_master[Supplier name], Supplier_master[Terms days], 0)</f>
        <v>0</v>
      </c>
      <c r="R1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7" s="4"/>
      <c r="T157" s="46">
        <f>IF(AP[[#This Row],[Payment date - override (dd/mm/yyyy)]] &lt;&gt; "", AP[[#This Row],[Payment date - override (dd/mm/yyyy)]], AP[[#This Row],[Due date (dd/mm/yyyy)]])</f>
        <v>0</v>
      </c>
      <c r="U157" s="46">
        <f t="shared" si="2"/>
        <v>52</v>
      </c>
    </row>
    <row r="158" spans="3:21" x14ac:dyDescent="0.25">
      <c r="C158" s="28"/>
      <c r="D158" s="20"/>
      <c r="E158" s="4"/>
      <c r="F158" s="37"/>
      <c r="G158" s="24"/>
      <c r="H158" s="31">
        <f>_xlfn.XLOOKUP(AP[[#This Row],[Supplier name]], Supplier_master[Supplier name], Supplier_master[Category L1], 0)</f>
        <v>0</v>
      </c>
      <c r="I158" s="64">
        <f>_xlfn.XLOOKUP(AP[[#This Row],[Supplier name]], Supplier_master[Supplier name], Supplier_master[Category L2], 0)</f>
        <v>0</v>
      </c>
      <c r="J158" s="55"/>
      <c r="K158" s="54"/>
      <c r="L158" s="57">
        <f>IF(AP[[#This Row],[Spend category L1 - Override]] &lt;&gt; "", AP[[#This Row],[Spend category L1 - Override]], AP[[#This Row],[Spend category L1]])</f>
        <v>0</v>
      </c>
      <c r="M158" s="57">
        <f>IF(AP[[#This Row],[Spend category L2 - Override]] &lt;&gt; "", AP[[#This Row],[Spend category L2 - Override]], AP[[#This Row],[Spend category L2]])</f>
        <v>0</v>
      </c>
      <c r="N158" s="51">
        <f>Assumptions!$D$15</f>
        <v>0.1</v>
      </c>
      <c r="O158" s="45">
        <f>IF(AP[[#This Row],[GST applies?]] = "Yes", (AP[[#This Row],[Invoice value inc. GST]] / 1 + AP[[#This Row],[GST %]]) * AP[[#This Row],[GST %]], 0)</f>
        <v>0</v>
      </c>
      <c r="P158" s="31">
        <f>_xlfn.XLOOKUP(AP[[#This Row],[Supplier name]], Supplier_master[Supplier name], Supplier_master[EOM or Net], 0)</f>
        <v>0</v>
      </c>
      <c r="Q158" s="31">
        <f>_xlfn.XLOOKUP(AP[[#This Row],[Supplier name]], Supplier_master[Supplier name], Supplier_master[Terms days], 0)</f>
        <v>0</v>
      </c>
      <c r="R1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8" s="4"/>
      <c r="T158" s="46">
        <f>IF(AP[[#This Row],[Payment date - override (dd/mm/yyyy)]] &lt;&gt; "", AP[[#This Row],[Payment date - override (dd/mm/yyyy)]], AP[[#This Row],[Due date (dd/mm/yyyy)]])</f>
        <v>0</v>
      </c>
      <c r="U158" s="46">
        <f t="shared" si="2"/>
        <v>52</v>
      </c>
    </row>
    <row r="159" spans="3:21" x14ac:dyDescent="0.25">
      <c r="C159" s="28"/>
      <c r="D159" s="20"/>
      <c r="E159" s="4"/>
      <c r="F159" s="37"/>
      <c r="G159" s="24"/>
      <c r="H159" s="31">
        <f>_xlfn.XLOOKUP(AP[[#This Row],[Supplier name]], Supplier_master[Supplier name], Supplier_master[Category L1], 0)</f>
        <v>0</v>
      </c>
      <c r="I159" s="64">
        <f>_xlfn.XLOOKUP(AP[[#This Row],[Supplier name]], Supplier_master[Supplier name], Supplier_master[Category L2], 0)</f>
        <v>0</v>
      </c>
      <c r="J159" s="55"/>
      <c r="K159" s="54"/>
      <c r="L159" s="57">
        <f>IF(AP[[#This Row],[Spend category L1 - Override]] &lt;&gt; "", AP[[#This Row],[Spend category L1 - Override]], AP[[#This Row],[Spend category L1]])</f>
        <v>0</v>
      </c>
      <c r="M159" s="57">
        <f>IF(AP[[#This Row],[Spend category L2 - Override]] &lt;&gt; "", AP[[#This Row],[Spend category L2 - Override]], AP[[#This Row],[Spend category L2]])</f>
        <v>0</v>
      </c>
      <c r="N159" s="51">
        <f>Assumptions!$D$15</f>
        <v>0.1</v>
      </c>
      <c r="O159" s="45">
        <f>IF(AP[[#This Row],[GST applies?]] = "Yes", (AP[[#This Row],[Invoice value inc. GST]] / 1 + AP[[#This Row],[GST %]]) * AP[[#This Row],[GST %]], 0)</f>
        <v>0</v>
      </c>
      <c r="P159" s="31">
        <f>_xlfn.XLOOKUP(AP[[#This Row],[Supplier name]], Supplier_master[Supplier name], Supplier_master[EOM or Net], 0)</f>
        <v>0</v>
      </c>
      <c r="Q159" s="31">
        <f>_xlfn.XLOOKUP(AP[[#This Row],[Supplier name]], Supplier_master[Supplier name], Supplier_master[Terms days], 0)</f>
        <v>0</v>
      </c>
      <c r="R1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9" s="4"/>
      <c r="T159" s="46">
        <f>IF(AP[[#This Row],[Payment date - override (dd/mm/yyyy)]] &lt;&gt; "", AP[[#This Row],[Payment date - override (dd/mm/yyyy)]], AP[[#This Row],[Due date (dd/mm/yyyy)]])</f>
        <v>0</v>
      </c>
      <c r="U159" s="46">
        <f t="shared" si="2"/>
        <v>52</v>
      </c>
    </row>
    <row r="160" spans="3:21" x14ac:dyDescent="0.25">
      <c r="C160" s="28"/>
      <c r="D160" s="20"/>
      <c r="E160" s="4"/>
      <c r="F160" s="37"/>
      <c r="G160" s="24"/>
      <c r="H160" s="31">
        <f>_xlfn.XLOOKUP(AP[[#This Row],[Supplier name]], Supplier_master[Supplier name], Supplier_master[Category L1], 0)</f>
        <v>0</v>
      </c>
      <c r="I160" s="64">
        <f>_xlfn.XLOOKUP(AP[[#This Row],[Supplier name]], Supplier_master[Supplier name], Supplier_master[Category L2], 0)</f>
        <v>0</v>
      </c>
      <c r="J160" s="55"/>
      <c r="K160" s="54"/>
      <c r="L160" s="57">
        <f>IF(AP[[#This Row],[Spend category L1 - Override]] &lt;&gt; "", AP[[#This Row],[Spend category L1 - Override]], AP[[#This Row],[Spend category L1]])</f>
        <v>0</v>
      </c>
      <c r="M160" s="57">
        <f>IF(AP[[#This Row],[Spend category L2 - Override]] &lt;&gt; "", AP[[#This Row],[Spend category L2 - Override]], AP[[#This Row],[Spend category L2]])</f>
        <v>0</v>
      </c>
      <c r="N160" s="51">
        <f>Assumptions!$D$15</f>
        <v>0.1</v>
      </c>
      <c r="O160" s="45">
        <f>IF(AP[[#This Row],[GST applies?]] = "Yes", (AP[[#This Row],[Invoice value inc. GST]] / 1 + AP[[#This Row],[GST %]]) * AP[[#This Row],[GST %]], 0)</f>
        <v>0</v>
      </c>
      <c r="P160" s="31">
        <f>_xlfn.XLOOKUP(AP[[#This Row],[Supplier name]], Supplier_master[Supplier name], Supplier_master[EOM or Net], 0)</f>
        <v>0</v>
      </c>
      <c r="Q160" s="31">
        <f>_xlfn.XLOOKUP(AP[[#This Row],[Supplier name]], Supplier_master[Supplier name], Supplier_master[Terms days], 0)</f>
        <v>0</v>
      </c>
      <c r="R1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0" s="4"/>
      <c r="T160" s="46">
        <f>IF(AP[[#This Row],[Payment date - override (dd/mm/yyyy)]] &lt;&gt; "", AP[[#This Row],[Payment date - override (dd/mm/yyyy)]], AP[[#This Row],[Due date (dd/mm/yyyy)]])</f>
        <v>0</v>
      </c>
      <c r="U160" s="46">
        <f t="shared" si="2"/>
        <v>52</v>
      </c>
    </row>
    <row r="161" spans="3:21" x14ac:dyDescent="0.25">
      <c r="C161" s="28"/>
      <c r="D161" s="20"/>
      <c r="E161" s="4"/>
      <c r="F161" s="37"/>
      <c r="G161" s="24"/>
      <c r="H161" s="31">
        <f>_xlfn.XLOOKUP(AP[[#This Row],[Supplier name]], Supplier_master[Supplier name], Supplier_master[Category L1], 0)</f>
        <v>0</v>
      </c>
      <c r="I161" s="64">
        <f>_xlfn.XLOOKUP(AP[[#This Row],[Supplier name]], Supplier_master[Supplier name], Supplier_master[Category L2], 0)</f>
        <v>0</v>
      </c>
      <c r="J161" s="55"/>
      <c r="K161" s="54"/>
      <c r="L161" s="57">
        <f>IF(AP[[#This Row],[Spend category L1 - Override]] &lt;&gt; "", AP[[#This Row],[Spend category L1 - Override]], AP[[#This Row],[Spend category L1]])</f>
        <v>0</v>
      </c>
      <c r="M161" s="57">
        <f>IF(AP[[#This Row],[Spend category L2 - Override]] &lt;&gt; "", AP[[#This Row],[Spend category L2 - Override]], AP[[#This Row],[Spend category L2]])</f>
        <v>0</v>
      </c>
      <c r="N161" s="51">
        <f>Assumptions!$D$15</f>
        <v>0.1</v>
      </c>
      <c r="O161" s="45">
        <f>IF(AP[[#This Row],[GST applies?]] = "Yes", (AP[[#This Row],[Invoice value inc. GST]] / 1 + AP[[#This Row],[GST %]]) * AP[[#This Row],[GST %]], 0)</f>
        <v>0</v>
      </c>
      <c r="P161" s="31">
        <f>_xlfn.XLOOKUP(AP[[#This Row],[Supplier name]], Supplier_master[Supplier name], Supplier_master[EOM or Net], 0)</f>
        <v>0</v>
      </c>
      <c r="Q161" s="31">
        <f>_xlfn.XLOOKUP(AP[[#This Row],[Supplier name]], Supplier_master[Supplier name], Supplier_master[Terms days], 0)</f>
        <v>0</v>
      </c>
      <c r="R1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1" s="4"/>
      <c r="T161" s="46">
        <f>IF(AP[[#This Row],[Payment date - override (dd/mm/yyyy)]] &lt;&gt; "", AP[[#This Row],[Payment date - override (dd/mm/yyyy)]], AP[[#This Row],[Due date (dd/mm/yyyy)]])</f>
        <v>0</v>
      </c>
      <c r="U161" s="46">
        <f t="shared" si="2"/>
        <v>52</v>
      </c>
    </row>
    <row r="162" spans="3:21" x14ac:dyDescent="0.25">
      <c r="C162" s="28"/>
      <c r="D162" s="20"/>
      <c r="E162" s="4"/>
      <c r="F162" s="37"/>
      <c r="G162" s="24"/>
      <c r="H162" s="31">
        <f>_xlfn.XLOOKUP(AP[[#This Row],[Supplier name]], Supplier_master[Supplier name], Supplier_master[Category L1], 0)</f>
        <v>0</v>
      </c>
      <c r="I162" s="64">
        <f>_xlfn.XLOOKUP(AP[[#This Row],[Supplier name]], Supplier_master[Supplier name], Supplier_master[Category L2], 0)</f>
        <v>0</v>
      </c>
      <c r="J162" s="55"/>
      <c r="K162" s="54"/>
      <c r="L162" s="57">
        <f>IF(AP[[#This Row],[Spend category L1 - Override]] &lt;&gt; "", AP[[#This Row],[Spend category L1 - Override]], AP[[#This Row],[Spend category L1]])</f>
        <v>0</v>
      </c>
      <c r="M162" s="57">
        <f>IF(AP[[#This Row],[Spend category L2 - Override]] &lt;&gt; "", AP[[#This Row],[Spend category L2 - Override]], AP[[#This Row],[Spend category L2]])</f>
        <v>0</v>
      </c>
      <c r="N162" s="51">
        <f>Assumptions!$D$15</f>
        <v>0.1</v>
      </c>
      <c r="O162" s="45">
        <f>IF(AP[[#This Row],[GST applies?]] = "Yes", (AP[[#This Row],[Invoice value inc. GST]] / 1 + AP[[#This Row],[GST %]]) * AP[[#This Row],[GST %]], 0)</f>
        <v>0</v>
      </c>
      <c r="P162" s="31">
        <f>_xlfn.XLOOKUP(AP[[#This Row],[Supplier name]], Supplier_master[Supplier name], Supplier_master[EOM or Net], 0)</f>
        <v>0</v>
      </c>
      <c r="Q162" s="31">
        <f>_xlfn.XLOOKUP(AP[[#This Row],[Supplier name]], Supplier_master[Supplier name], Supplier_master[Terms days], 0)</f>
        <v>0</v>
      </c>
      <c r="R1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2" s="4"/>
      <c r="T162" s="46">
        <f>IF(AP[[#This Row],[Payment date - override (dd/mm/yyyy)]] &lt;&gt; "", AP[[#This Row],[Payment date - override (dd/mm/yyyy)]], AP[[#This Row],[Due date (dd/mm/yyyy)]])</f>
        <v>0</v>
      </c>
      <c r="U162" s="46">
        <f t="shared" si="2"/>
        <v>52</v>
      </c>
    </row>
    <row r="163" spans="3:21" x14ac:dyDescent="0.25">
      <c r="C163" s="28"/>
      <c r="D163" s="20"/>
      <c r="E163" s="4"/>
      <c r="F163" s="37"/>
      <c r="G163" s="24"/>
      <c r="H163" s="31">
        <f>_xlfn.XLOOKUP(AP[[#This Row],[Supplier name]], Supplier_master[Supplier name], Supplier_master[Category L1], 0)</f>
        <v>0</v>
      </c>
      <c r="I163" s="64">
        <f>_xlfn.XLOOKUP(AP[[#This Row],[Supplier name]], Supplier_master[Supplier name], Supplier_master[Category L2], 0)</f>
        <v>0</v>
      </c>
      <c r="J163" s="55"/>
      <c r="K163" s="54"/>
      <c r="L163" s="57">
        <f>IF(AP[[#This Row],[Spend category L1 - Override]] &lt;&gt; "", AP[[#This Row],[Spend category L1 - Override]], AP[[#This Row],[Spend category L1]])</f>
        <v>0</v>
      </c>
      <c r="M163" s="57">
        <f>IF(AP[[#This Row],[Spend category L2 - Override]] &lt;&gt; "", AP[[#This Row],[Spend category L2 - Override]], AP[[#This Row],[Spend category L2]])</f>
        <v>0</v>
      </c>
      <c r="N163" s="51">
        <f>Assumptions!$D$15</f>
        <v>0.1</v>
      </c>
      <c r="O163" s="45">
        <f>IF(AP[[#This Row],[GST applies?]] = "Yes", (AP[[#This Row],[Invoice value inc. GST]] / 1 + AP[[#This Row],[GST %]]) * AP[[#This Row],[GST %]], 0)</f>
        <v>0</v>
      </c>
      <c r="P163" s="31">
        <f>_xlfn.XLOOKUP(AP[[#This Row],[Supplier name]], Supplier_master[Supplier name], Supplier_master[EOM or Net], 0)</f>
        <v>0</v>
      </c>
      <c r="Q163" s="31">
        <f>_xlfn.XLOOKUP(AP[[#This Row],[Supplier name]], Supplier_master[Supplier name], Supplier_master[Terms days], 0)</f>
        <v>0</v>
      </c>
      <c r="R1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3" s="4"/>
      <c r="T163" s="46">
        <f>IF(AP[[#This Row],[Payment date - override (dd/mm/yyyy)]] &lt;&gt; "", AP[[#This Row],[Payment date - override (dd/mm/yyyy)]], AP[[#This Row],[Due date (dd/mm/yyyy)]])</f>
        <v>0</v>
      </c>
      <c r="U163" s="46">
        <f t="shared" si="2"/>
        <v>52</v>
      </c>
    </row>
    <row r="164" spans="3:21" x14ac:dyDescent="0.25">
      <c r="C164" s="28"/>
      <c r="D164" s="20"/>
      <c r="E164" s="4"/>
      <c r="F164" s="37"/>
      <c r="G164" s="24"/>
      <c r="H164" s="31">
        <f>_xlfn.XLOOKUP(AP[[#This Row],[Supplier name]], Supplier_master[Supplier name], Supplier_master[Category L1], 0)</f>
        <v>0</v>
      </c>
      <c r="I164" s="64">
        <f>_xlfn.XLOOKUP(AP[[#This Row],[Supplier name]], Supplier_master[Supplier name], Supplier_master[Category L2], 0)</f>
        <v>0</v>
      </c>
      <c r="J164" s="55"/>
      <c r="K164" s="54"/>
      <c r="L164" s="57">
        <f>IF(AP[[#This Row],[Spend category L1 - Override]] &lt;&gt; "", AP[[#This Row],[Spend category L1 - Override]], AP[[#This Row],[Spend category L1]])</f>
        <v>0</v>
      </c>
      <c r="M164" s="57">
        <f>IF(AP[[#This Row],[Spend category L2 - Override]] &lt;&gt; "", AP[[#This Row],[Spend category L2 - Override]], AP[[#This Row],[Spend category L2]])</f>
        <v>0</v>
      </c>
      <c r="N164" s="51">
        <f>Assumptions!$D$15</f>
        <v>0.1</v>
      </c>
      <c r="O164" s="45">
        <f>IF(AP[[#This Row],[GST applies?]] = "Yes", (AP[[#This Row],[Invoice value inc. GST]] / 1 + AP[[#This Row],[GST %]]) * AP[[#This Row],[GST %]], 0)</f>
        <v>0</v>
      </c>
      <c r="P164" s="31">
        <f>_xlfn.XLOOKUP(AP[[#This Row],[Supplier name]], Supplier_master[Supplier name], Supplier_master[EOM or Net], 0)</f>
        <v>0</v>
      </c>
      <c r="Q164" s="31">
        <f>_xlfn.XLOOKUP(AP[[#This Row],[Supplier name]], Supplier_master[Supplier name], Supplier_master[Terms days], 0)</f>
        <v>0</v>
      </c>
      <c r="R1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4" s="4"/>
      <c r="T164" s="46">
        <f>IF(AP[[#This Row],[Payment date - override (dd/mm/yyyy)]] &lt;&gt; "", AP[[#This Row],[Payment date - override (dd/mm/yyyy)]], AP[[#This Row],[Due date (dd/mm/yyyy)]])</f>
        <v>0</v>
      </c>
      <c r="U164" s="46">
        <f t="shared" si="2"/>
        <v>52</v>
      </c>
    </row>
    <row r="165" spans="3:21" x14ac:dyDescent="0.25">
      <c r="C165" s="28"/>
      <c r="D165" s="20"/>
      <c r="E165" s="4"/>
      <c r="F165" s="37"/>
      <c r="G165" s="24"/>
      <c r="H165" s="31">
        <f>_xlfn.XLOOKUP(AP[[#This Row],[Supplier name]], Supplier_master[Supplier name], Supplier_master[Category L1], 0)</f>
        <v>0</v>
      </c>
      <c r="I165" s="64">
        <f>_xlfn.XLOOKUP(AP[[#This Row],[Supplier name]], Supplier_master[Supplier name], Supplier_master[Category L2], 0)</f>
        <v>0</v>
      </c>
      <c r="J165" s="55"/>
      <c r="K165" s="54"/>
      <c r="L165" s="57">
        <f>IF(AP[[#This Row],[Spend category L1 - Override]] &lt;&gt; "", AP[[#This Row],[Spend category L1 - Override]], AP[[#This Row],[Spend category L1]])</f>
        <v>0</v>
      </c>
      <c r="M165" s="57">
        <f>IF(AP[[#This Row],[Spend category L2 - Override]] &lt;&gt; "", AP[[#This Row],[Spend category L2 - Override]], AP[[#This Row],[Spend category L2]])</f>
        <v>0</v>
      </c>
      <c r="N165" s="51">
        <f>Assumptions!$D$15</f>
        <v>0.1</v>
      </c>
      <c r="O165" s="45">
        <f>IF(AP[[#This Row],[GST applies?]] = "Yes", (AP[[#This Row],[Invoice value inc. GST]] / 1 + AP[[#This Row],[GST %]]) * AP[[#This Row],[GST %]], 0)</f>
        <v>0</v>
      </c>
      <c r="P165" s="31">
        <f>_xlfn.XLOOKUP(AP[[#This Row],[Supplier name]], Supplier_master[Supplier name], Supplier_master[EOM or Net], 0)</f>
        <v>0</v>
      </c>
      <c r="Q165" s="31">
        <f>_xlfn.XLOOKUP(AP[[#This Row],[Supplier name]], Supplier_master[Supplier name], Supplier_master[Terms days], 0)</f>
        <v>0</v>
      </c>
      <c r="R1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5" s="4"/>
      <c r="T165" s="46">
        <f>IF(AP[[#This Row],[Payment date - override (dd/mm/yyyy)]] &lt;&gt; "", AP[[#This Row],[Payment date - override (dd/mm/yyyy)]], AP[[#This Row],[Due date (dd/mm/yyyy)]])</f>
        <v>0</v>
      </c>
      <c r="U165" s="46">
        <f t="shared" si="2"/>
        <v>52</v>
      </c>
    </row>
    <row r="166" spans="3:21" x14ac:dyDescent="0.25">
      <c r="C166" s="28"/>
      <c r="D166" s="20"/>
      <c r="E166" s="4"/>
      <c r="F166" s="37"/>
      <c r="G166" s="24"/>
      <c r="H166" s="31">
        <f>_xlfn.XLOOKUP(AP[[#This Row],[Supplier name]], Supplier_master[Supplier name], Supplier_master[Category L1], 0)</f>
        <v>0</v>
      </c>
      <c r="I166" s="64">
        <f>_xlfn.XLOOKUP(AP[[#This Row],[Supplier name]], Supplier_master[Supplier name], Supplier_master[Category L2], 0)</f>
        <v>0</v>
      </c>
      <c r="J166" s="55"/>
      <c r="K166" s="54"/>
      <c r="L166" s="57">
        <f>IF(AP[[#This Row],[Spend category L1 - Override]] &lt;&gt; "", AP[[#This Row],[Spend category L1 - Override]], AP[[#This Row],[Spend category L1]])</f>
        <v>0</v>
      </c>
      <c r="M166" s="57">
        <f>IF(AP[[#This Row],[Spend category L2 - Override]] &lt;&gt; "", AP[[#This Row],[Spend category L2 - Override]], AP[[#This Row],[Spend category L2]])</f>
        <v>0</v>
      </c>
      <c r="N166" s="51">
        <f>Assumptions!$D$15</f>
        <v>0.1</v>
      </c>
      <c r="O166" s="45">
        <f>IF(AP[[#This Row],[GST applies?]] = "Yes", (AP[[#This Row],[Invoice value inc. GST]] / 1 + AP[[#This Row],[GST %]]) * AP[[#This Row],[GST %]], 0)</f>
        <v>0</v>
      </c>
      <c r="P166" s="31">
        <f>_xlfn.XLOOKUP(AP[[#This Row],[Supplier name]], Supplier_master[Supplier name], Supplier_master[EOM or Net], 0)</f>
        <v>0</v>
      </c>
      <c r="Q166" s="31">
        <f>_xlfn.XLOOKUP(AP[[#This Row],[Supplier name]], Supplier_master[Supplier name], Supplier_master[Terms days], 0)</f>
        <v>0</v>
      </c>
      <c r="R1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6" s="4"/>
      <c r="T166" s="46">
        <f>IF(AP[[#This Row],[Payment date - override (dd/mm/yyyy)]] &lt;&gt; "", AP[[#This Row],[Payment date - override (dd/mm/yyyy)]], AP[[#This Row],[Due date (dd/mm/yyyy)]])</f>
        <v>0</v>
      </c>
      <c r="U166" s="46">
        <f t="shared" si="2"/>
        <v>52</v>
      </c>
    </row>
    <row r="167" spans="3:21" x14ac:dyDescent="0.25">
      <c r="C167" s="28"/>
      <c r="D167" s="20"/>
      <c r="E167" s="4"/>
      <c r="F167" s="37"/>
      <c r="G167" s="24"/>
      <c r="H167" s="31">
        <f>_xlfn.XLOOKUP(AP[[#This Row],[Supplier name]], Supplier_master[Supplier name], Supplier_master[Category L1], 0)</f>
        <v>0</v>
      </c>
      <c r="I167" s="64">
        <f>_xlfn.XLOOKUP(AP[[#This Row],[Supplier name]], Supplier_master[Supplier name], Supplier_master[Category L2], 0)</f>
        <v>0</v>
      </c>
      <c r="J167" s="55"/>
      <c r="K167" s="54"/>
      <c r="L167" s="57">
        <f>IF(AP[[#This Row],[Spend category L1 - Override]] &lt;&gt; "", AP[[#This Row],[Spend category L1 - Override]], AP[[#This Row],[Spend category L1]])</f>
        <v>0</v>
      </c>
      <c r="M167" s="57">
        <f>IF(AP[[#This Row],[Spend category L2 - Override]] &lt;&gt; "", AP[[#This Row],[Spend category L2 - Override]], AP[[#This Row],[Spend category L2]])</f>
        <v>0</v>
      </c>
      <c r="N167" s="51">
        <f>Assumptions!$D$15</f>
        <v>0.1</v>
      </c>
      <c r="O167" s="45">
        <f>IF(AP[[#This Row],[GST applies?]] = "Yes", (AP[[#This Row],[Invoice value inc. GST]] / 1 + AP[[#This Row],[GST %]]) * AP[[#This Row],[GST %]], 0)</f>
        <v>0</v>
      </c>
      <c r="P167" s="31">
        <f>_xlfn.XLOOKUP(AP[[#This Row],[Supplier name]], Supplier_master[Supplier name], Supplier_master[EOM or Net], 0)</f>
        <v>0</v>
      </c>
      <c r="Q167" s="31">
        <f>_xlfn.XLOOKUP(AP[[#This Row],[Supplier name]], Supplier_master[Supplier name], Supplier_master[Terms days], 0)</f>
        <v>0</v>
      </c>
      <c r="R1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7" s="4"/>
      <c r="T167" s="46">
        <f>IF(AP[[#This Row],[Payment date - override (dd/mm/yyyy)]] &lt;&gt; "", AP[[#This Row],[Payment date - override (dd/mm/yyyy)]], AP[[#This Row],[Due date (dd/mm/yyyy)]])</f>
        <v>0</v>
      </c>
      <c r="U167" s="46">
        <f t="shared" si="2"/>
        <v>52</v>
      </c>
    </row>
    <row r="168" spans="3:21" x14ac:dyDescent="0.25">
      <c r="C168" s="28"/>
      <c r="D168" s="20"/>
      <c r="E168" s="4"/>
      <c r="F168" s="37"/>
      <c r="G168" s="24"/>
      <c r="H168" s="31">
        <f>_xlfn.XLOOKUP(AP[[#This Row],[Supplier name]], Supplier_master[Supplier name], Supplier_master[Category L1], 0)</f>
        <v>0</v>
      </c>
      <c r="I168" s="64">
        <f>_xlfn.XLOOKUP(AP[[#This Row],[Supplier name]], Supplier_master[Supplier name], Supplier_master[Category L2], 0)</f>
        <v>0</v>
      </c>
      <c r="J168" s="55"/>
      <c r="K168" s="54"/>
      <c r="L168" s="57">
        <f>IF(AP[[#This Row],[Spend category L1 - Override]] &lt;&gt; "", AP[[#This Row],[Spend category L1 - Override]], AP[[#This Row],[Spend category L1]])</f>
        <v>0</v>
      </c>
      <c r="M168" s="57">
        <f>IF(AP[[#This Row],[Spend category L2 - Override]] &lt;&gt; "", AP[[#This Row],[Spend category L2 - Override]], AP[[#This Row],[Spend category L2]])</f>
        <v>0</v>
      </c>
      <c r="N168" s="51">
        <f>Assumptions!$D$15</f>
        <v>0.1</v>
      </c>
      <c r="O168" s="45">
        <f>IF(AP[[#This Row],[GST applies?]] = "Yes", (AP[[#This Row],[Invoice value inc. GST]] / 1 + AP[[#This Row],[GST %]]) * AP[[#This Row],[GST %]], 0)</f>
        <v>0</v>
      </c>
      <c r="P168" s="31">
        <f>_xlfn.XLOOKUP(AP[[#This Row],[Supplier name]], Supplier_master[Supplier name], Supplier_master[EOM or Net], 0)</f>
        <v>0</v>
      </c>
      <c r="Q168" s="31">
        <f>_xlfn.XLOOKUP(AP[[#This Row],[Supplier name]], Supplier_master[Supplier name], Supplier_master[Terms days], 0)</f>
        <v>0</v>
      </c>
      <c r="R1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8" s="4"/>
      <c r="T168" s="46">
        <f>IF(AP[[#This Row],[Payment date - override (dd/mm/yyyy)]] &lt;&gt; "", AP[[#This Row],[Payment date - override (dd/mm/yyyy)]], AP[[#This Row],[Due date (dd/mm/yyyy)]])</f>
        <v>0</v>
      </c>
      <c r="U168" s="46">
        <f t="shared" si="2"/>
        <v>52</v>
      </c>
    </row>
    <row r="169" spans="3:21" x14ac:dyDescent="0.25">
      <c r="C169" s="28"/>
      <c r="D169" s="20"/>
      <c r="E169" s="4"/>
      <c r="F169" s="37"/>
      <c r="G169" s="24"/>
      <c r="H169" s="31">
        <f>_xlfn.XLOOKUP(AP[[#This Row],[Supplier name]], Supplier_master[Supplier name], Supplier_master[Category L1], 0)</f>
        <v>0</v>
      </c>
      <c r="I169" s="64">
        <f>_xlfn.XLOOKUP(AP[[#This Row],[Supplier name]], Supplier_master[Supplier name], Supplier_master[Category L2], 0)</f>
        <v>0</v>
      </c>
      <c r="J169" s="55"/>
      <c r="K169" s="54"/>
      <c r="L169" s="57">
        <f>IF(AP[[#This Row],[Spend category L1 - Override]] &lt;&gt; "", AP[[#This Row],[Spend category L1 - Override]], AP[[#This Row],[Spend category L1]])</f>
        <v>0</v>
      </c>
      <c r="M169" s="57">
        <f>IF(AP[[#This Row],[Spend category L2 - Override]] &lt;&gt; "", AP[[#This Row],[Spend category L2 - Override]], AP[[#This Row],[Spend category L2]])</f>
        <v>0</v>
      </c>
      <c r="N169" s="51">
        <f>Assumptions!$D$15</f>
        <v>0.1</v>
      </c>
      <c r="O169" s="45">
        <f>IF(AP[[#This Row],[GST applies?]] = "Yes", (AP[[#This Row],[Invoice value inc. GST]] / 1 + AP[[#This Row],[GST %]]) * AP[[#This Row],[GST %]], 0)</f>
        <v>0</v>
      </c>
      <c r="P169" s="31">
        <f>_xlfn.XLOOKUP(AP[[#This Row],[Supplier name]], Supplier_master[Supplier name], Supplier_master[EOM or Net], 0)</f>
        <v>0</v>
      </c>
      <c r="Q169" s="31">
        <f>_xlfn.XLOOKUP(AP[[#This Row],[Supplier name]], Supplier_master[Supplier name], Supplier_master[Terms days], 0)</f>
        <v>0</v>
      </c>
      <c r="R1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9" s="4"/>
      <c r="T169" s="46">
        <f>IF(AP[[#This Row],[Payment date - override (dd/mm/yyyy)]] &lt;&gt; "", AP[[#This Row],[Payment date - override (dd/mm/yyyy)]], AP[[#This Row],[Due date (dd/mm/yyyy)]])</f>
        <v>0</v>
      </c>
      <c r="U169" s="46">
        <f t="shared" si="2"/>
        <v>52</v>
      </c>
    </row>
    <row r="170" spans="3:21" x14ac:dyDescent="0.25">
      <c r="C170" s="28"/>
      <c r="D170" s="20"/>
      <c r="E170" s="4"/>
      <c r="F170" s="37"/>
      <c r="G170" s="24"/>
      <c r="H170" s="31">
        <f>_xlfn.XLOOKUP(AP[[#This Row],[Supplier name]], Supplier_master[Supplier name], Supplier_master[Category L1], 0)</f>
        <v>0</v>
      </c>
      <c r="I170" s="64">
        <f>_xlfn.XLOOKUP(AP[[#This Row],[Supplier name]], Supplier_master[Supplier name], Supplier_master[Category L2], 0)</f>
        <v>0</v>
      </c>
      <c r="J170" s="55"/>
      <c r="K170" s="54"/>
      <c r="L170" s="57">
        <f>IF(AP[[#This Row],[Spend category L1 - Override]] &lt;&gt; "", AP[[#This Row],[Spend category L1 - Override]], AP[[#This Row],[Spend category L1]])</f>
        <v>0</v>
      </c>
      <c r="M170" s="57">
        <f>IF(AP[[#This Row],[Spend category L2 - Override]] &lt;&gt; "", AP[[#This Row],[Spend category L2 - Override]], AP[[#This Row],[Spend category L2]])</f>
        <v>0</v>
      </c>
      <c r="N170" s="51">
        <f>Assumptions!$D$15</f>
        <v>0.1</v>
      </c>
      <c r="O170" s="45">
        <f>IF(AP[[#This Row],[GST applies?]] = "Yes", (AP[[#This Row],[Invoice value inc. GST]] / 1 + AP[[#This Row],[GST %]]) * AP[[#This Row],[GST %]], 0)</f>
        <v>0</v>
      </c>
      <c r="P170" s="31">
        <f>_xlfn.XLOOKUP(AP[[#This Row],[Supplier name]], Supplier_master[Supplier name], Supplier_master[EOM or Net], 0)</f>
        <v>0</v>
      </c>
      <c r="Q170" s="31">
        <f>_xlfn.XLOOKUP(AP[[#This Row],[Supplier name]], Supplier_master[Supplier name], Supplier_master[Terms days], 0)</f>
        <v>0</v>
      </c>
      <c r="R1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0" s="4"/>
      <c r="T170" s="46">
        <f>IF(AP[[#This Row],[Payment date - override (dd/mm/yyyy)]] &lt;&gt; "", AP[[#This Row],[Payment date - override (dd/mm/yyyy)]], AP[[#This Row],[Due date (dd/mm/yyyy)]])</f>
        <v>0</v>
      </c>
      <c r="U170" s="46">
        <f t="shared" si="2"/>
        <v>52</v>
      </c>
    </row>
    <row r="171" spans="3:21" x14ac:dyDescent="0.25">
      <c r="C171" s="28"/>
      <c r="D171" s="20"/>
      <c r="E171" s="4"/>
      <c r="F171" s="37"/>
      <c r="G171" s="24"/>
      <c r="H171" s="31">
        <f>_xlfn.XLOOKUP(AP[[#This Row],[Supplier name]], Supplier_master[Supplier name], Supplier_master[Category L1], 0)</f>
        <v>0</v>
      </c>
      <c r="I171" s="64">
        <f>_xlfn.XLOOKUP(AP[[#This Row],[Supplier name]], Supplier_master[Supplier name], Supplier_master[Category L2], 0)</f>
        <v>0</v>
      </c>
      <c r="J171" s="55"/>
      <c r="K171" s="54"/>
      <c r="L171" s="57">
        <f>IF(AP[[#This Row],[Spend category L1 - Override]] &lt;&gt; "", AP[[#This Row],[Spend category L1 - Override]], AP[[#This Row],[Spend category L1]])</f>
        <v>0</v>
      </c>
      <c r="M171" s="57">
        <f>IF(AP[[#This Row],[Spend category L2 - Override]] &lt;&gt; "", AP[[#This Row],[Spend category L2 - Override]], AP[[#This Row],[Spend category L2]])</f>
        <v>0</v>
      </c>
      <c r="N171" s="51">
        <f>Assumptions!$D$15</f>
        <v>0.1</v>
      </c>
      <c r="O171" s="45">
        <f>IF(AP[[#This Row],[GST applies?]] = "Yes", (AP[[#This Row],[Invoice value inc. GST]] / 1 + AP[[#This Row],[GST %]]) * AP[[#This Row],[GST %]], 0)</f>
        <v>0</v>
      </c>
      <c r="P171" s="31">
        <f>_xlfn.XLOOKUP(AP[[#This Row],[Supplier name]], Supplier_master[Supplier name], Supplier_master[EOM or Net], 0)</f>
        <v>0</v>
      </c>
      <c r="Q171" s="31">
        <f>_xlfn.XLOOKUP(AP[[#This Row],[Supplier name]], Supplier_master[Supplier name], Supplier_master[Terms days], 0)</f>
        <v>0</v>
      </c>
      <c r="R1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1" s="4"/>
      <c r="T171" s="46">
        <f>IF(AP[[#This Row],[Payment date - override (dd/mm/yyyy)]] &lt;&gt; "", AP[[#This Row],[Payment date - override (dd/mm/yyyy)]], AP[[#This Row],[Due date (dd/mm/yyyy)]])</f>
        <v>0</v>
      </c>
      <c r="U171" s="46">
        <f t="shared" si="2"/>
        <v>52</v>
      </c>
    </row>
    <row r="172" spans="3:21" x14ac:dyDescent="0.25">
      <c r="C172" s="28"/>
      <c r="D172" s="20"/>
      <c r="E172" s="4"/>
      <c r="F172" s="37"/>
      <c r="G172" s="24"/>
      <c r="H172" s="31">
        <f>_xlfn.XLOOKUP(AP[[#This Row],[Supplier name]], Supplier_master[Supplier name], Supplier_master[Category L1], 0)</f>
        <v>0</v>
      </c>
      <c r="I172" s="64">
        <f>_xlfn.XLOOKUP(AP[[#This Row],[Supplier name]], Supplier_master[Supplier name], Supplier_master[Category L2], 0)</f>
        <v>0</v>
      </c>
      <c r="J172" s="55"/>
      <c r="K172" s="54"/>
      <c r="L172" s="57">
        <f>IF(AP[[#This Row],[Spend category L1 - Override]] &lt;&gt; "", AP[[#This Row],[Spend category L1 - Override]], AP[[#This Row],[Spend category L1]])</f>
        <v>0</v>
      </c>
      <c r="M172" s="57">
        <f>IF(AP[[#This Row],[Spend category L2 - Override]] &lt;&gt; "", AP[[#This Row],[Spend category L2 - Override]], AP[[#This Row],[Spend category L2]])</f>
        <v>0</v>
      </c>
      <c r="N172" s="51">
        <f>Assumptions!$D$15</f>
        <v>0.1</v>
      </c>
      <c r="O172" s="45">
        <f>IF(AP[[#This Row],[GST applies?]] = "Yes", (AP[[#This Row],[Invoice value inc. GST]] / 1 + AP[[#This Row],[GST %]]) * AP[[#This Row],[GST %]], 0)</f>
        <v>0</v>
      </c>
      <c r="P172" s="31">
        <f>_xlfn.XLOOKUP(AP[[#This Row],[Supplier name]], Supplier_master[Supplier name], Supplier_master[EOM or Net], 0)</f>
        <v>0</v>
      </c>
      <c r="Q172" s="31">
        <f>_xlfn.XLOOKUP(AP[[#This Row],[Supplier name]], Supplier_master[Supplier name], Supplier_master[Terms days], 0)</f>
        <v>0</v>
      </c>
      <c r="R1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2" s="4"/>
      <c r="T172" s="46">
        <f>IF(AP[[#This Row],[Payment date - override (dd/mm/yyyy)]] &lt;&gt; "", AP[[#This Row],[Payment date - override (dd/mm/yyyy)]], AP[[#This Row],[Due date (dd/mm/yyyy)]])</f>
        <v>0</v>
      </c>
      <c r="U172" s="46">
        <f t="shared" si="2"/>
        <v>52</v>
      </c>
    </row>
    <row r="173" spans="3:21" x14ac:dyDescent="0.25">
      <c r="C173" s="28"/>
      <c r="D173" s="20"/>
      <c r="E173" s="4"/>
      <c r="F173" s="37"/>
      <c r="G173" s="24"/>
      <c r="H173" s="31">
        <f>_xlfn.XLOOKUP(AP[[#This Row],[Supplier name]], Supplier_master[Supplier name], Supplier_master[Category L1], 0)</f>
        <v>0</v>
      </c>
      <c r="I173" s="64">
        <f>_xlfn.XLOOKUP(AP[[#This Row],[Supplier name]], Supplier_master[Supplier name], Supplier_master[Category L2], 0)</f>
        <v>0</v>
      </c>
      <c r="J173" s="55"/>
      <c r="K173" s="54"/>
      <c r="L173" s="57">
        <f>IF(AP[[#This Row],[Spend category L1 - Override]] &lt;&gt; "", AP[[#This Row],[Spend category L1 - Override]], AP[[#This Row],[Spend category L1]])</f>
        <v>0</v>
      </c>
      <c r="M173" s="57">
        <f>IF(AP[[#This Row],[Spend category L2 - Override]] &lt;&gt; "", AP[[#This Row],[Spend category L2 - Override]], AP[[#This Row],[Spend category L2]])</f>
        <v>0</v>
      </c>
      <c r="N173" s="51">
        <f>Assumptions!$D$15</f>
        <v>0.1</v>
      </c>
      <c r="O173" s="45">
        <f>IF(AP[[#This Row],[GST applies?]] = "Yes", (AP[[#This Row],[Invoice value inc. GST]] / 1 + AP[[#This Row],[GST %]]) * AP[[#This Row],[GST %]], 0)</f>
        <v>0</v>
      </c>
      <c r="P173" s="31">
        <f>_xlfn.XLOOKUP(AP[[#This Row],[Supplier name]], Supplier_master[Supplier name], Supplier_master[EOM or Net], 0)</f>
        <v>0</v>
      </c>
      <c r="Q173" s="31">
        <f>_xlfn.XLOOKUP(AP[[#This Row],[Supplier name]], Supplier_master[Supplier name], Supplier_master[Terms days], 0)</f>
        <v>0</v>
      </c>
      <c r="R1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3" s="4"/>
      <c r="T173" s="46">
        <f>IF(AP[[#This Row],[Payment date - override (dd/mm/yyyy)]] &lt;&gt; "", AP[[#This Row],[Payment date - override (dd/mm/yyyy)]], AP[[#This Row],[Due date (dd/mm/yyyy)]])</f>
        <v>0</v>
      </c>
      <c r="U173" s="46">
        <f t="shared" si="2"/>
        <v>52</v>
      </c>
    </row>
    <row r="174" spans="3:21" x14ac:dyDescent="0.25">
      <c r="C174" s="28"/>
      <c r="D174" s="20"/>
      <c r="E174" s="4"/>
      <c r="F174" s="37"/>
      <c r="G174" s="24"/>
      <c r="H174" s="31">
        <f>_xlfn.XLOOKUP(AP[[#This Row],[Supplier name]], Supplier_master[Supplier name], Supplier_master[Category L1], 0)</f>
        <v>0</v>
      </c>
      <c r="I174" s="64">
        <f>_xlfn.XLOOKUP(AP[[#This Row],[Supplier name]], Supplier_master[Supplier name], Supplier_master[Category L2], 0)</f>
        <v>0</v>
      </c>
      <c r="J174" s="55"/>
      <c r="K174" s="54"/>
      <c r="L174" s="57">
        <f>IF(AP[[#This Row],[Spend category L1 - Override]] &lt;&gt; "", AP[[#This Row],[Spend category L1 - Override]], AP[[#This Row],[Spend category L1]])</f>
        <v>0</v>
      </c>
      <c r="M174" s="57">
        <f>IF(AP[[#This Row],[Spend category L2 - Override]] &lt;&gt; "", AP[[#This Row],[Spend category L2 - Override]], AP[[#This Row],[Spend category L2]])</f>
        <v>0</v>
      </c>
      <c r="N174" s="51">
        <f>Assumptions!$D$15</f>
        <v>0.1</v>
      </c>
      <c r="O174" s="45">
        <f>IF(AP[[#This Row],[GST applies?]] = "Yes", (AP[[#This Row],[Invoice value inc. GST]] / 1 + AP[[#This Row],[GST %]]) * AP[[#This Row],[GST %]], 0)</f>
        <v>0</v>
      </c>
      <c r="P174" s="31">
        <f>_xlfn.XLOOKUP(AP[[#This Row],[Supplier name]], Supplier_master[Supplier name], Supplier_master[EOM or Net], 0)</f>
        <v>0</v>
      </c>
      <c r="Q174" s="31">
        <f>_xlfn.XLOOKUP(AP[[#This Row],[Supplier name]], Supplier_master[Supplier name], Supplier_master[Terms days], 0)</f>
        <v>0</v>
      </c>
      <c r="R1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4" s="4"/>
      <c r="T174" s="46">
        <f>IF(AP[[#This Row],[Payment date - override (dd/mm/yyyy)]] &lt;&gt; "", AP[[#This Row],[Payment date - override (dd/mm/yyyy)]], AP[[#This Row],[Due date (dd/mm/yyyy)]])</f>
        <v>0</v>
      </c>
      <c r="U174" s="46">
        <f t="shared" si="2"/>
        <v>52</v>
      </c>
    </row>
    <row r="175" spans="3:21" x14ac:dyDescent="0.25">
      <c r="C175" s="28"/>
      <c r="D175" s="20"/>
      <c r="E175" s="4"/>
      <c r="F175" s="37"/>
      <c r="G175" s="24"/>
      <c r="H175" s="31">
        <f>_xlfn.XLOOKUP(AP[[#This Row],[Supplier name]], Supplier_master[Supplier name], Supplier_master[Category L1], 0)</f>
        <v>0</v>
      </c>
      <c r="I175" s="64">
        <f>_xlfn.XLOOKUP(AP[[#This Row],[Supplier name]], Supplier_master[Supplier name], Supplier_master[Category L2], 0)</f>
        <v>0</v>
      </c>
      <c r="J175" s="55"/>
      <c r="K175" s="54"/>
      <c r="L175" s="57">
        <f>IF(AP[[#This Row],[Spend category L1 - Override]] &lt;&gt; "", AP[[#This Row],[Spend category L1 - Override]], AP[[#This Row],[Spend category L1]])</f>
        <v>0</v>
      </c>
      <c r="M175" s="57">
        <f>IF(AP[[#This Row],[Spend category L2 - Override]] &lt;&gt; "", AP[[#This Row],[Spend category L2 - Override]], AP[[#This Row],[Spend category L2]])</f>
        <v>0</v>
      </c>
      <c r="N175" s="51">
        <f>Assumptions!$D$15</f>
        <v>0.1</v>
      </c>
      <c r="O175" s="45">
        <f>IF(AP[[#This Row],[GST applies?]] = "Yes", (AP[[#This Row],[Invoice value inc. GST]] / 1 + AP[[#This Row],[GST %]]) * AP[[#This Row],[GST %]], 0)</f>
        <v>0</v>
      </c>
      <c r="P175" s="31">
        <f>_xlfn.XLOOKUP(AP[[#This Row],[Supplier name]], Supplier_master[Supplier name], Supplier_master[EOM or Net], 0)</f>
        <v>0</v>
      </c>
      <c r="Q175" s="31">
        <f>_xlfn.XLOOKUP(AP[[#This Row],[Supplier name]], Supplier_master[Supplier name], Supplier_master[Terms days], 0)</f>
        <v>0</v>
      </c>
      <c r="R1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5" s="4"/>
      <c r="T175" s="46">
        <f>IF(AP[[#This Row],[Payment date - override (dd/mm/yyyy)]] &lt;&gt; "", AP[[#This Row],[Payment date - override (dd/mm/yyyy)]], AP[[#This Row],[Due date (dd/mm/yyyy)]])</f>
        <v>0</v>
      </c>
      <c r="U175" s="46">
        <f t="shared" si="2"/>
        <v>52</v>
      </c>
    </row>
    <row r="176" spans="3:21" x14ac:dyDescent="0.25">
      <c r="C176" s="28"/>
      <c r="D176" s="20"/>
      <c r="E176" s="4"/>
      <c r="F176" s="37"/>
      <c r="G176" s="24"/>
      <c r="H176" s="31">
        <f>_xlfn.XLOOKUP(AP[[#This Row],[Supplier name]], Supplier_master[Supplier name], Supplier_master[Category L1], 0)</f>
        <v>0</v>
      </c>
      <c r="I176" s="64">
        <f>_xlfn.XLOOKUP(AP[[#This Row],[Supplier name]], Supplier_master[Supplier name], Supplier_master[Category L2], 0)</f>
        <v>0</v>
      </c>
      <c r="J176" s="55"/>
      <c r="K176" s="54"/>
      <c r="L176" s="57">
        <f>IF(AP[[#This Row],[Spend category L1 - Override]] &lt;&gt; "", AP[[#This Row],[Spend category L1 - Override]], AP[[#This Row],[Spend category L1]])</f>
        <v>0</v>
      </c>
      <c r="M176" s="57">
        <f>IF(AP[[#This Row],[Spend category L2 - Override]] &lt;&gt; "", AP[[#This Row],[Spend category L2 - Override]], AP[[#This Row],[Spend category L2]])</f>
        <v>0</v>
      </c>
      <c r="N176" s="51">
        <f>Assumptions!$D$15</f>
        <v>0.1</v>
      </c>
      <c r="O176" s="45">
        <f>IF(AP[[#This Row],[GST applies?]] = "Yes", (AP[[#This Row],[Invoice value inc. GST]] / 1 + AP[[#This Row],[GST %]]) * AP[[#This Row],[GST %]], 0)</f>
        <v>0</v>
      </c>
      <c r="P176" s="31">
        <f>_xlfn.XLOOKUP(AP[[#This Row],[Supplier name]], Supplier_master[Supplier name], Supplier_master[EOM or Net], 0)</f>
        <v>0</v>
      </c>
      <c r="Q176" s="31">
        <f>_xlfn.XLOOKUP(AP[[#This Row],[Supplier name]], Supplier_master[Supplier name], Supplier_master[Terms days], 0)</f>
        <v>0</v>
      </c>
      <c r="R1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6" s="4"/>
      <c r="T176" s="46">
        <f>IF(AP[[#This Row],[Payment date - override (dd/mm/yyyy)]] &lt;&gt; "", AP[[#This Row],[Payment date - override (dd/mm/yyyy)]], AP[[#This Row],[Due date (dd/mm/yyyy)]])</f>
        <v>0</v>
      </c>
      <c r="U176" s="46">
        <f t="shared" si="2"/>
        <v>52</v>
      </c>
    </row>
    <row r="177" spans="3:21" x14ac:dyDescent="0.25">
      <c r="C177" s="28"/>
      <c r="D177" s="20"/>
      <c r="E177" s="4"/>
      <c r="F177" s="37"/>
      <c r="G177" s="24"/>
      <c r="H177" s="31">
        <f>_xlfn.XLOOKUP(AP[[#This Row],[Supplier name]], Supplier_master[Supplier name], Supplier_master[Category L1], 0)</f>
        <v>0</v>
      </c>
      <c r="I177" s="64">
        <f>_xlfn.XLOOKUP(AP[[#This Row],[Supplier name]], Supplier_master[Supplier name], Supplier_master[Category L2], 0)</f>
        <v>0</v>
      </c>
      <c r="J177" s="55"/>
      <c r="K177" s="54"/>
      <c r="L177" s="57">
        <f>IF(AP[[#This Row],[Spend category L1 - Override]] &lt;&gt; "", AP[[#This Row],[Spend category L1 - Override]], AP[[#This Row],[Spend category L1]])</f>
        <v>0</v>
      </c>
      <c r="M177" s="57">
        <f>IF(AP[[#This Row],[Spend category L2 - Override]] &lt;&gt; "", AP[[#This Row],[Spend category L2 - Override]], AP[[#This Row],[Spend category L2]])</f>
        <v>0</v>
      </c>
      <c r="N177" s="51">
        <f>Assumptions!$D$15</f>
        <v>0.1</v>
      </c>
      <c r="O177" s="45">
        <f>IF(AP[[#This Row],[GST applies?]] = "Yes", (AP[[#This Row],[Invoice value inc. GST]] / 1 + AP[[#This Row],[GST %]]) * AP[[#This Row],[GST %]], 0)</f>
        <v>0</v>
      </c>
      <c r="P177" s="31">
        <f>_xlfn.XLOOKUP(AP[[#This Row],[Supplier name]], Supplier_master[Supplier name], Supplier_master[EOM or Net], 0)</f>
        <v>0</v>
      </c>
      <c r="Q177" s="31">
        <f>_xlfn.XLOOKUP(AP[[#This Row],[Supplier name]], Supplier_master[Supplier name], Supplier_master[Terms days], 0)</f>
        <v>0</v>
      </c>
      <c r="R1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7" s="4"/>
      <c r="T177" s="46">
        <f>IF(AP[[#This Row],[Payment date - override (dd/mm/yyyy)]] &lt;&gt; "", AP[[#This Row],[Payment date - override (dd/mm/yyyy)]], AP[[#This Row],[Due date (dd/mm/yyyy)]])</f>
        <v>0</v>
      </c>
      <c r="U177" s="46">
        <f t="shared" si="2"/>
        <v>52</v>
      </c>
    </row>
    <row r="178" spans="3:21" x14ac:dyDescent="0.25">
      <c r="C178" s="28"/>
      <c r="D178" s="20"/>
      <c r="E178" s="4"/>
      <c r="F178" s="37"/>
      <c r="G178" s="24"/>
      <c r="H178" s="31">
        <f>_xlfn.XLOOKUP(AP[[#This Row],[Supplier name]], Supplier_master[Supplier name], Supplier_master[Category L1], 0)</f>
        <v>0</v>
      </c>
      <c r="I178" s="64">
        <f>_xlfn.XLOOKUP(AP[[#This Row],[Supplier name]], Supplier_master[Supplier name], Supplier_master[Category L2], 0)</f>
        <v>0</v>
      </c>
      <c r="J178" s="55"/>
      <c r="K178" s="54"/>
      <c r="L178" s="57">
        <f>IF(AP[[#This Row],[Spend category L1 - Override]] &lt;&gt; "", AP[[#This Row],[Spend category L1 - Override]], AP[[#This Row],[Spend category L1]])</f>
        <v>0</v>
      </c>
      <c r="M178" s="57">
        <f>IF(AP[[#This Row],[Spend category L2 - Override]] &lt;&gt; "", AP[[#This Row],[Spend category L2 - Override]], AP[[#This Row],[Spend category L2]])</f>
        <v>0</v>
      </c>
      <c r="N178" s="51">
        <f>Assumptions!$D$15</f>
        <v>0.1</v>
      </c>
      <c r="O178" s="45">
        <f>IF(AP[[#This Row],[GST applies?]] = "Yes", (AP[[#This Row],[Invoice value inc. GST]] / 1 + AP[[#This Row],[GST %]]) * AP[[#This Row],[GST %]], 0)</f>
        <v>0</v>
      </c>
      <c r="P178" s="31">
        <f>_xlfn.XLOOKUP(AP[[#This Row],[Supplier name]], Supplier_master[Supplier name], Supplier_master[EOM or Net], 0)</f>
        <v>0</v>
      </c>
      <c r="Q178" s="31">
        <f>_xlfn.XLOOKUP(AP[[#This Row],[Supplier name]], Supplier_master[Supplier name], Supplier_master[Terms days], 0)</f>
        <v>0</v>
      </c>
      <c r="R1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8" s="4"/>
      <c r="T178" s="46">
        <f>IF(AP[[#This Row],[Payment date - override (dd/mm/yyyy)]] &lt;&gt; "", AP[[#This Row],[Payment date - override (dd/mm/yyyy)]], AP[[#This Row],[Due date (dd/mm/yyyy)]])</f>
        <v>0</v>
      </c>
      <c r="U178" s="46">
        <f t="shared" si="2"/>
        <v>52</v>
      </c>
    </row>
    <row r="179" spans="3:21" x14ac:dyDescent="0.25">
      <c r="C179" s="28"/>
      <c r="D179" s="20"/>
      <c r="E179" s="4"/>
      <c r="F179" s="37"/>
      <c r="G179" s="24"/>
      <c r="H179" s="31">
        <f>_xlfn.XLOOKUP(AP[[#This Row],[Supplier name]], Supplier_master[Supplier name], Supplier_master[Category L1], 0)</f>
        <v>0</v>
      </c>
      <c r="I179" s="64">
        <f>_xlfn.XLOOKUP(AP[[#This Row],[Supplier name]], Supplier_master[Supplier name], Supplier_master[Category L2], 0)</f>
        <v>0</v>
      </c>
      <c r="J179" s="55"/>
      <c r="K179" s="54"/>
      <c r="L179" s="57">
        <f>IF(AP[[#This Row],[Spend category L1 - Override]] &lt;&gt; "", AP[[#This Row],[Spend category L1 - Override]], AP[[#This Row],[Spend category L1]])</f>
        <v>0</v>
      </c>
      <c r="M179" s="57">
        <f>IF(AP[[#This Row],[Spend category L2 - Override]] &lt;&gt; "", AP[[#This Row],[Spend category L2 - Override]], AP[[#This Row],[Spend category L2]])</f>
        <v>0</v>
      </c>
      <c r="N179" s="51">
        <f>Assumptions!$D$15</f>
        <v>0.1</v>
      </c>
      <c r="O179" s="45">
        <f>IF(AP[[#This Row],[GST applies?]] = "Yes", (AP[[#This Row],[Invoice value inc. GST]] / 1 + AP[[#This Row],[GST %]]) * AP[[#This Row],[GST %]], 0)</f>
        <v>0</v>
      </c>
      <c r="P179" s="31">
        <f>_xlfn.XLOOKUP(AP[[#This Row],[Supplier name]], Supplier_master[Supplier name], Supplier_master[EOM or Net], 0)</f>
        <v>0</v>
      </c>
      <c r="Q179" s="31">
        <f>_xlfn.XLOOKUP(AP[[#This Row],[Supplier name]], Supplier_master[Supplier name], Supplier_master[Terms days], 0)</f>
        <v>0</v>
      </c>
      <c r="R1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9" s="4"/>
      <c r="T179" s="46">
        <f>IF(AP[[#This Row],[Payment date - override (dd/mm/yyyy)]] &lt;&gt; "", AP[[#This Row],[Payment date - override (dd/mm/yyyy)]], AP[[#This Row],[Due date (dd/mm/yyyy)]])</f>
        <v>0</v>
      </c>
      <c r="U179" s="46">
        <f t="shared" si="2"/>
        <v>52</v>
      </c>
    </row>
    <row r="180" spans="3:21" x14ac:dyDescent="0.25">
      <c r="C180" s="28"/>
      <c r="D180" s="20"/>
      <c r="E180" s="4"/>
      <c r="F180" s="37"/>
      <c r="G180" s="24"/>
      <c r="H180" s="31">
        <f>_xlfn.XLOOKUP(AP[[#This Row],[Supplier name]], Supplier_master[Supplier name], Supplier_master[Category L1], 0)</f>
        <v>0</v>
      </c>
      <c r="I180" s="64">
        <f>_xlfn.XLOOKUP(AP[[#This Row],[Supplier name]], Supplier_master[Supplier name], Supplier_master[Category L2], 0)</f>
        <v>0</v>
      </c>
      <c r="J180" s="55"/>
      <c r="K180" s="54"/>
      <c r="L180" s="57">
        <f>IF(AP[[#This Row],[Spend category L1 - Override]] &lt;&gt; "", AP[[#This Row],[Spend category L1 - Override]], AP[[#This Row],[Spend category L1]])</f>
        <v>0</v>
      </c>
      <c r="M180" s="57">
        <f>IF(AP[[#This Row],[Spend category L2 - Override]] &lt;&gt; "", AP[[#This Row],[Spend category L2 - Override]], AP[[#This Row],[Spend category L2]])</f>
        <v>0</v>
      </c>
      <c r="N180" s="51">
        <f>Assumptions!$D$15</f>
        <v>0.1</v>
      </c>
      <c r="O180" s="45">
        <f>IF(AP[[#This Row],[GST applies?]] = "Yes", (AP[[#This Row],[Invoice value inc. GST]] / 1 + AP[[#This Row],[GST %]]) * AP[[#This Row],[GST %]], 0)</f>
        <v>0</v>
      </c>
      <c r="P180" s="31">
        <f>_xlfn.XLOOKUP(AP[[#This Row],[Supplier name]], Supplier_master[Supplier name], Supplier_master[EOM or Net], 0)</f>
        <v>0</v>
      </c>
      <c r="Q180" s="31">
        <f>_xlfn.XLOOKUP(AP[[#This Row],[Supplier name]], Supplier_master[Supplier name], Supplier_master[Terms days], 0)</f>
        <v>0</v>
      </c>
      <c r="R1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0" s="4"/>
      <c r="T180" s="46">
        <f>IF(AP[[#This Row],[Payment date - override (dd/mm/yyyy)]] &lt;&gt; "", AP[[#This Row],[Payment date - override (dd/mm/yyyy)]], AP[[#This Row],[Due date (dd/mm/yyyy)]])</f>
        <v>0</v>
      </c>
      <c r="U180" s="46">
        <f t="shared" si="2"/>
        <v>52</v>
      </c>
    </row>
    <row r="181" spans="3:21" x14ac:dyDescent="0.25">
      <c r="C181" s="28"/>
      <c r="D181" s="20"/>
      <c r="E181" s="4"/>
      <c r="F181" s="37"/>
      <c r="G181" s="24"/>
      <c r="H181" s="31">
        <f>_xlfn.XLOOKUP(AP[[#This Row],[Supplier name]], Supplier_master[Supplier name], Supplier_master[Category L1], 0)</f>
        <v>0</v>
      </c>
      <c r="I181" s="64">
        <f>_xlfn.XLOOKUP(AP[[#This Row],[Supplier name]], Supplier_master[Supplier name], Supplier_master[Category L2], 0)</f>
        <v>0</v>
      </c>
      <c r="J181" s="55"/>
      <c r="K181" s="54"/>
      <c r="L181" s="57">
        <f>IF(AP[[#This Row],[Spend category L1 - Override]] &lt;&gt; "", AP[[#This Row],[Spend category L1 - Override]], AP[[#This Row],[Spend category L1]])</f>
        <v>0</v>
      </c>
      <c r="M181" s="57">
        <f>IF(AP[[#This Row],[Spend category L2 - Override]] &lt;&gt; "", AP[[#This Row],[Spend category L2 - Override]], AP[[#This Row],[Spend category L2]])</f>
        <v>0</v>
      </c>
      <c r="N181" s="51">
        <f>Assumptions!$D$15</f>
        <v>0.1</v>
      </c>
      <c r="O181" s="45">
        <f>IF(AP[[#This Row],[GST applies?]] = "Yes", (AP[[#This Row],[Invoice value inc. GST]] / 1 + AP[[#This Row],[GST %]]) * AP[[#This Row],[GST %]], 0)</f>
        <v>0</v>
      </c>
      <c r="P181" s="31">
        <f>_xlfn.XLOOKUP(AP[[#This Row],[Supplier name]], Supplier_master[Supplier name], Supplier_master[EOM or Net], 0)</f>
        <v>0</v>
      </c>
      <c r="Q181" s="31">
        <f>_xlfn.XLOOKUP(AP[[#This Row],[Supplier name]], Supplier_master[Supplier name], Supplier_master[Terms days], 0)</f>
        <v>0</v>
      </c>
      <c r="R1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1" s="4"/>
      <c r="T181" s="46">
        <f>IF(AP[[#This Row],[Payment date - override (dd/mm/yyyy)]] &lt;&gt; "", AP[[#This Row],[Payment date - override (dd/mm/yyyy)]], AP[[#This Row],[Due date (dd/mm/yyyy)]])</f>
        <v>0</v>
      </c>
      <c r="U181" s="46">
        <f t="shared" si="2"/>
        <v>52</v>
      </c>
    </row>
    <row r="182" spans="3:21" x14ac:dyDescent="0.25">
      <c r="C182" s="28"/>
      <c r="D182" s="20"/>
      <c r="E182" s="4"/>
      <c r="F182" s="37"/>
      <c r="G182" s="24"/>
      <c r="H182" s="31">
        <f>_xlfn.XLOOKUP(AP[[#This Row],[Supplier name]], Supplier_master[Supplier name], Supplier_master[Category L1], 0)</f>
        <v>0</v>
      </c>
      <c r="I182" s="64">
        <f>_xlfn.XLOOKUP(AP[[#This Row],[Supplier name]], Supplier_master[Supplier name], Supplier_master[Category L2], 0)</f>
        <v>0</v>
      </c>
      <c r="J182" s="55"/>
      <c r="K182" s="54"/>
      <c r="L182" s="57">
        <f>IF(AP[[#This Row],[Spend category L1 - Override]] &lt;&gt; "", AP[[#This Row],[Spend category L1 - Override]], AP[[#This Row],[Spend category L1]])</f>
        <v>0</v>
      </c>
      <c r="M182" s="57">
        <f>IF(AP[[#This Row],[Spend category L2 - Override]] &lt;&gt; "", AP[[#This Row],[Spend category L2 - Override]], AP[[#This Row],[Spend category L2]])</f>
        <v>0</v>
      </c>
      <c r="N182" s="51">
        <f>Assumptions!$D$15</f>
        <v>0.1</v>
      </c>
      <c r="O182" s="45">
        <f>IF(AP[[#This Row],[GST applies?]] = "Yes", (AP[[#This Row],[Invoice value inc. GST]] / 1 + AP[[#This Row],[GST %]]) * AP[[#This Row],[GST %]], 0)</f>
        <v>0</v>
      </c>
      <c r="P182" s="31">
        <f>_xlfn.XLOOKUP(AP[[#This Row],[Supplier name]], Supplier_master[Supplier name], Supplier_master[EOM or Net], 0)</f>
        <v>0</v>
      </c>
      <c r="Q182" s="31">
        <f>_xlfn.XLOOKUP(AP[[#This Row],[Supplier name]], Supplier_master[Supplier name], Supplier_master[Terms days], 0)</f>
        <v>0</v>
      </c>
      <c r="R1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2" s="4"/>
      <c r="T182" s="46">
        <f>IF(AP[[#This Row],[Payment date - override (dd/mm/yyyy)]] &lt;&gt; "", AP[[#This Row],[Payment date - override (dd/mm/yyyy)]], AP[[#This Row],[Due date (dd/mm/yyyy)]])</f>
        <v>0</v>
      </c>
      <c r="U182" s="46">
        <f t="shared" si="2"/>
        <v>52</v>
      </c>
    </row>
    <row r="183" spans="3:21" x14ac:dyDescent="0.25">
      <c r="C183" s="28"/>
      <c r="D183" s="20"/>
      <c r="E183" s="4"/>
      <c r="F183" s="37"/>
      <c r="G183" s="24"/>
      <c r="H183" s="31">
        <f>_xlfn.XLOOKUP(AP[[#This Row],[Supplier name]], Supplier_master[Supplier name], Supplier_master[Category L1], 0)</f>
        <v>0</v>
      </c>
      <c r="I183" s="64">
        <f>_xlfn.XLOOKUP(AP[[#This Row],[Supplier name]], Supplier_master[Supplier name], Supplier_master[Category L2], 0)</f>
        <v>0</v>
      </c>
      <c r="J183" s="55"/>
      <c r="K183" s="54"/>
      <c r="L183" s="57">
        <f>IF(AP[[#This Row],[Spend category L1 - Override]] &lt;&gt; "", AP[[#This Row],[Spend category L1 - Override]], AP[[#This Row],[Spend category L1]])</f>
        <v>0</v>
      </c>
      <c r="M183" s="57">
        <f>IF(AP[[#This Row],[Spend category L2 - Override]] &lt;&gt; "", AP[[#This Row],[Spend category L2 - Override]], AP[[#This Row],[Spend category L2]])</f>
        <v>0</v>
      </c>
      <c r="N183" s="51">
        <f>Assumptions!$D$15</f>
        <v>0.1</v>
      </c>
      <c r="O183" s="45">
        <f>IF(AP[[#This Row],[GST applies?]] = "Yes", (AP[[#This Row],[Invoice value inc. GST]] / 1 + AP[[#This Row],[GST %]]) * AP[[#This Row],[GST %]], 0)</f>
        <v>0</v>
      </c>
      <c r="P183" s="31">
        <f>_xlfn.XLOOKUP(AP[[#This Row],[Supplier name]], Supplier_master[Supplier name], Supplier_master[EOM or Net], 0)</f>
        <v>0</v>
      </c>
      <c r="Q183" s="31">
        <f>_xlfn.XLOOKUP(AP[[#This Row],[Supplier name]], Supplier_master[Supplier name], Supplier_master[Terms days], 0)</f>
        <v>0</v>
      </c>
      <c r="R1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3" s="4"/>
      <c r="T183" s="46">
        <f>IF(AP[[#This Row],[Payment date - override (dd/mm/yyyy)]] &lt;&gt; "", AP[[#This Row],[Payment date - override (dd/mm/yyyy)]], AP[[#This Row],[Due date (dd/mm/yyyy)]])</f>
        <v>0</v>
      </c>
      <c r="U183" s="46">
        <f t="shared" si="2"/>
        <v>52</v>
      </c>
    </row>
    <row r="184" spans="3:21" x14ac:dyDescent="0.25">
      <c r="C184" s="28"/>
      <c r="D184" s="20"/>
      <c r="E184" s="4"/>
      <c r="F184" s="37"/>
      <c r="G184" s="24"/>
      <c r="H184" s="31">
        <f>_xlfn.XLOOKUP(AP[[#This Row],[Supplier name]], Supplier_master[Supplier name], Supplier_master[Category L1], 0)</f>
        <v>0</v>
      </c>
      <c r="I184" s="64">
        <f>_xlfn.XLOOKUP(AP[[#This Row],[Supplier name]], Supplier_master[Supplier name], Supplier_master[Category L2], 0)</f>
        <v>0</v>
      </c>
      <c r="J184" s="55"/>
      <c r="K184" s="54"/>
      <c r="L184" s="57">
        <f>IF(AP[[#This Row],[Spend category L1 - Override]] &lt;&gt; "", AP[[#This Row],[Spend category L1 - Override]], AP[[#This Row],[Spend category L1]])</f>
        <v>0</v>
      </c>
      <c r="M184" s="57">
        <f>IF(AP[[#This Row],[Spend category L2 - Override]] &lt;&gt; "", AP[[#This Row],[Spend category L2 - Override]], AP[[#This Row],[Spend category L2]])</f>
        <v>0</v>
      </c>
      <c r="N184" s="51">
        <f>Assumptions!$D$15</f>
        <v>0.1</v>
      </c>
      <c r="O184" s="45">
        <f>IF(AP[[#This Row],[GST applies?]] = "Yes", (AP[[#This Row],[Invoice value inc. GST]] / 1 + AP[[#This Row],[GST %]]) * AP[[#This Row],[GST %]], 0)</f>
        <v>0</v>
      </c>
      <c r="P184" s="31">
        <f>_xlfn.XLOOKUP(AP[[#This Row],[Supplier name]], Supplier_master[Supplier name], Supplier_master[EOM or Net], 0)</f>
        <v>0</v>
      </c>
      <c r="Q184" s="31">
        <f>_xlfn.XLOOKUP(AP[[#This Row],[Supplier name]], Supplier_master[Supplier name], Supplier_master[Terms days], 0)</f>
        <v>0</v>
      </c>
      <c r="R1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4" s="4"/>
      <c r="T184" s="46">
        <f>IF(AP[[#This Row],[Payment date - override (dd/mm/yyyy)]] &lt;&gt; "", AP[[#This Row],[Payment date - override (dd/mm/yyyy)]], AP[[#This Row],[Due date (dd/mm/yyyy)]])</f>
        <v>0</v>
      </c>
      <c r="U184" s="46">
        <f t="shared" si="2"/>
        <v>52</v>
      </c>
    </row>
    <row r="185" spans="3:21" x14ac:dyDescent="0.25">
      <c r="C185" s="28"/>
      <c r="D185" s="20"/>
      <c r="E185" s="4"/>
      <c r="F185" s="37"/>
      <c r="G185" s="24"/>
      <c r="H185" s="31">
        <f>_xlfn.XLOOKUP(AP[[#This Row],[Supplier name]], Supplier_master[Supplier name], Supplier_master[Category L1], 0)</f>
        <v>0</v>
      </c>
      <c r="I185" s="64">
        <f>_xlfn.XLOOKUP(AP[[#This Row],[Supplier name]], Supplier_master[Supplier name], Supplier_master[Category L2], 0)</f>
        <v>0</v>
      </c>
      <c r="J185" s="55"/>
      <c r="K185" s="54"/>
      <c r="L185" s="57">
        <f>IF(AP[[#This Row],[Spend category L1 - Override]] &lt;&gt; "", AP[[#This Row],[Spend category L1 - Override]], AP[[#This Row],[Spend category L1]])</f>
        <v>0</v>
      </c>
      <c r="M185" s="57">
        <f>IF(AP[[#This Row],[Spend category L2 - Override]] &lt;&gt; "", AP[[#This Row],[Spend category L2 - Override]], AP[[#This Row],[Spend category L2]])</f>
        <v>0</v>
      </c>
      <c r="N185" s="51">
        <f>Assumptions!$D$15</f>
        <v>0.1</v>
      </c>
      <c r="O185" s="45">
        <f>IF(AP[[#This Row],[GST applies?]] = "Yes", (AP[[#This Row],[Invoice value inc. GST]] / 1 + AP[[#This Row],[GST %]]) * AP[[#This Row],[GST %]], 0)</f>
        <v>0</v>
      </c>
      <c r="P185" s="31">
        <f>_xlfn.XLOOKUP(AP[[#This Row],[Supplier name]], Supplier_master[Supplier name], Supplier_master[EOM or Net], 0)</f>
        <v>0</v>
      </c>
      <c r="Q185" s="31">
        <f>_xlfn.XLOOKUP(AP[[#This Row],[Supplier name]], Supplier_master[Supplier name], Supplier_master[Terms days], 0)</f>
        <v>0</v>
      </c>
      <c r="R1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5" s="4"/>
      <c r="T185" s="46">
        <f>IF(AP[[#This Row],[Payment date - override (dd/mm/yyyy)]] &lt;&gt; "", AP[[#This Row],[Payment date - override (dd/mm/yyyy)]], AP[[#This Row],[Due date (dd/mm/yyyy)]])</f>
        <v>0</v>
      </c>
      <c r="U185" s="46">
        <f t="shared" si="2"/>
        <v>52</v>
      </c>
    </row>
    <row r="186" spans="3:21" x14ac:dyDescent="0.25">
      <c r="C186" s="28"/>
      <c r="D186" s="20"/>
      <c r="E186" s="4"/>
      <c r="F186" s="37"/>
      <c r="G186" s="24"/>
      <c r="H186" s="31">
        <f>_xlfn.XLOOKUP(AP[[#This Row],[Supplier name]], Supplier_master[Supplier name], Supplier_master[Category L1], 0)</f>
        <v>0</v>
      </c>
      <c r="I186" s="64">
        <f>_xlfn.XLOOKUP(AP[[#This Row],[Supplier name]], Supplier_master[Supplier name], Supplier_master[Category L2], 0)</f>
        <v>0</v>
      </c>
      <c r="J186" s="55"/>
      <c r="K186" s="54"/>
      <c r="L186" s="57">
        <f>IF(AP[[#This Row],[Spend category L1 - Override]] &lt;&gt; "", AP[[#This Row],[Spend category L1 - Override]], AP[[#This Row],[Spend category L1]])</f>
        <v>0</v>
      </c>
      <c r="M186" s="57">
        <f>IF(AP[[#This Row],[Spend category L2 - Override]] &lt;&gt; "", AP[[#This Row],[Spend category L2 - Override]], AP[[#This Row],[Spend category L2]])</f>
        <v>0</v>
      </c>
      <c r="N186" s="51">
        <f>Assumptions!$D$15</f>
        <v>0.1</v>
      </c>
      <c r="O186" s="45">
        <f>IF(AP[[#This Row],[GST applies?]] = "Yes", (AP[[#This Row],[Invoice value inc. GST]] / 1 + AP[[#This Row],[GST %]]) * AP[[#This Row],[GST %]], 0)</f>
        <v>0</v>
      </c>
      <c r="P186" s="31">
        <f>_xlfn.XLOOKUP(AP[[#This Row],[Supplier name]], Supplier_master[Supplier name], Supplier_master[EOM or Net], 0)</f>
        <v>0</v>
      </c>
      <c r="Q186" s="31">
        <f>_xlfn.XLOOKUP(AP[[#This Row],[Supplier name]], Supplier_master[Supplier name], Supplier_master[Terms days], 0)</f>
        <v>0</v>
      </c>
      <c r="R1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6" s="4"/>
      <c r="T186" s="46">
        <f>IF(AP[[#This Row],[Payment date - override (dd/mm/yyyy)]] &lt;&gt; "", AP[[#This Row],[Payment date - override (dd/mm/yyyy)]], AP[[#This Row],[Due date (dd/mm/yyyy)]])</f>
        <v>0</v>
      </c>
      <c r="U186" s="46">
        <f t="shared" si="2"/>
        <v>52</v>
      </c>
    </row>
    <row r="187" spans="3:21" x14ac:dyDescent="0.25">
      <c r="C187" s="28"/>
      <c r="D187" s="20"/>
      <c r="E187" s="4"/>
      <c r="F187" s="37"/>
      <c r="G187" s="24"/>
      <c r="H187" s="31">
        <f>_xlfn.XLOOKUP(AP[[#This Row],[Supplier name]], Supplier_master[Supplier name], Supplier_master[Category L1], 0)</f>
        <v>0</v>
      </c>
      <c r="I187" s="64">
        <f>_xlfn.XLOOKUP(AP[[#This Row],[Supplier name]], Supplier_master[Supplier name], Supplier_master[Category L2], 0)</f>
        <v>0</v>
      </c>
      <c r="J187" s="55"/>
      <c r="K187" s="54"/>
      <c r="L187" s="57">
        <f>IF(AP[[#This Row],[Spend category L1 - Override]] &lt;&gt; "", AP[[#This Row],[Spend category L1 - Override]], AP[[#This Row],[Spend category L1]])</f>
        <v>0</v>
      </c>
      <c r="M187" s="57">
        <f>IF(AP[[#This Row],[Spend category L2 - Override]] &lt;&gt; "", AP[[#This Row],[Spend category L2 - Override]], AP[[#This Row],[Spend category L2]])</f>
        <v>0</v>
      </c>
      <c r="N187" s="51">
        <f>Assumptions!$D$15</f>
        <v>0.1</v>
      </c>
      <c r="O187" s="45">
        <f>IF(AP[[#This Row],[GST applies?]] = "Yes", (AP[[#This Row],[Invoice value inc. GST]] / 1 + AP[[#This Row],[GST %]]) * AP[[#This Row],[GST %]], 0)</f>
        <v>0</v>
      </c>
      <c r="P187" s="31">
        <f>_xlfn.XLOOKUP(AP[[#This Row],[Supplier name]], Supplier_master[Supplier name], Supplier_master[EOM or Net], 0)</f>
        <v>0</v>
      </c>
      <c r="Q187" s="31">
        <f>_xlfn.XLOOKUP(AP[[#This Row],[Supplier name]], Supplier_master[Supplier name], Supplier_master[Terms days], 0)</f>
        <v>0</v>
      </c>
      <c r="R1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7" s="4"/>
      <c r="T187" s="46">
        <f>IF(AP[[#This Row],[Payment date - override (dd/mm/yyyy)]] &lt;&gt; "", AP[[#This Row],[Payment date - override (dd/mm/yyyy)]], AP[[#This Row],[Due date (dd/mm/yyyy)]])</f>
        <v>0</v>
      </c>
      <c r="U187" s="46">
        <f t="shared" si="2"/>
        <v>52</v>
      </c>
    </row>
    <row r="188" spans="3:21" x14ac:dyDescent="0.25">
      <c r="C188" s="28"/>
      <c r="D188" s="20"/>
      <c r="E188" s="4"/>
      <c r="F188" s="37"/>
      <c r="G188" s="24"/>
      <c r="H188" s="31">
        <f>_xlfn.XLOOKUP(AP[[#This Row],[Supplier name]], Supplier_master[Supplier name], Supplier_master[Category L1], 0)</f>
        <v>0</v>
      </c>
      <c r="I188" s="64">
        <f>_xlfn.XLOOKUP(AP[[#This Row],[Supplier name]], Supplier_master[Supplier name], Supplier_master[Category L2], 0)</f>
        <v>0</v>
      </c>
      <c r="J188" s="55"/>
      <c r="K188" s="54"/>
      <c r="L188" s="57">
        <f>IF(AP[[#This Row],[Spend category L1 - Override]] &lt;&gt; "", AP[[#This Row],[Spend category L1 - Override]], AP[[#This Row],[Spend category L1]])</f>
        <v>0</v>
      </c>
      <c r="M188" s="57">
        <f>IF(AP[[#This Row],[Spend category L2 - Override]] &lt;&gt; "", AP[[#This Row],[Spend category L2 - Override]], AP[[#This Row],[Spend category L2]])</f>
        <v>0</v>
      </c>
      <c r="N188" s="51">
        <f>Assumptions!$D$15</f>
        <v>0.1</v>
      </c>
      <c r="O188" s="45">
        <f>IF(AP[[#This Row],[GST applies?]] = "Yes", (AP[[#This Row],[Invoice value inc. GST]] / 1 + AP[[#This Row],[GST %]]) * AP[[#This Row],[GST %]], 0)</f>
        <v>0</v>
      </c>
      <c r="P188" s="31">
        <f>_xlfn.XLOOKUP(AP[[#This Row],[Supplier name]], Supplier_master[Supplier name], Supplier_master[EOM or Net], 0)</f>
        <v>0</v>
      </c>
      <c r="Q188" s="31">
        <f>_xlfn.XLOOKUP(AP[[#This Row],[Supplier name]], Supplier_master[Supplier name], Supplier_master[Terms days], 0)</f>
        <v>0</v>
      </c>
      <c r="R1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8" s="4"/>
      <c r="T188" s="46">
        <f>IF(AP[[#This Row],[Payment date - override (dd/mm/yyyy)]] &lt;&gt; "", AP[[#This Row],[Payment date - override (dd/mm/yyyy)]], AP[[#This Row],[Due date (dd/mm/yyyy)]])</f>
        <v>0</v>
      </c>
      <c r="U188" s="46">
        <f t="shared" si="2"/>
        <v>52</v>
      </c>
    </row>
    <row r="189" spans="3:21" x14ac:dyDescent="0.25">
      <c r="C189" s="28"/>
      <c r="D189" s="20"/>
      <c r="E189" s="4"/>
      <c r="F189" s="37"/>
      <c r="G189" s="24"/>
      <c r="H189" s="31">
        <f>_xlfn.XLOOKUP(AP[[#This Row],[Supplier name]], Supplier_master[Supplier name], Supplier_master[Category L1], 0)</f>
        <v>0</v>
      </c>
      <c r="I189" s="64">
        <f>_xlfn.XLOOKUP(AP[[#This Row],[Supplier name]], Supplier_master[Supplier name], Supplier_master[Category L2], 0)</f>
        <v>0</v>
      </c>
      <c r="J189" s="55"/>
      <c r="K189" s="54"/>
      <c r="L189" s="57">
        <f>IF(AP[[#This Row],[Spend category L1 - Override]] &lt;&gt; "", AP[[#This Row],[Spend category L1 - Override]], AP[[#This Row],[Spend category L1]])</f>
        <v>0</v>
      </c>
      <c r="M189" s="57">
        <f>IF(AP[[#This Row],[Spend category L2 - Override]] &lt;&gt; "", AP[[#This Row],[Spend category L2 - Override]], AP[[#This Row],[Spend category L2]])</f>
        <v>0</v>
      </c>
      <c r="N189" s="51">
        <f>Assumptions!$D$15</f>
        <v>0.1</v>
      </c>
      <c r="O189" s="45">
        <f>IF(AP[[#This Row],[GST applies?]] = "Yes", (AP[[#This Row],[Invoice value inc. GST]] / 1 + AP[[#This Row],[GST %]]) * AP[[#This Row],[GST %]], 0)</f>
        <v>0</v>
      </c>
      <c r="P189" s="31">
        <f>_xlfn.XLOOKUP(AP[[#This Row],[Supplier name]], Supplier_master[Supplier name], Supplier_master[EOM or Net], 0)</f>
        <v>0</v>
      </c>
      <c r="Q189" s="31">
        <f>_xlfn.XLOOKUP(AP[[#This Row],[Supplier name]], Supplier_master[Supplier name], Supplier_master[Terms days], 0)</f>
        <v>0</v>
      </c>
      <c r="R1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9" s="4"/>
      <c r="T189" s="46">
        <f>IF(AP[[#This Row],[Payment date - override (dd/mm/yyyy)]] &lt;&gt; "", AP[[#This Row],[Payment date - override (dd/mm/yyyy)]], AP[[#This Row],[Due date (dd/mm/yyyy)]])</f>
        <v>0</v>
      </c>
      <c r="U189" s="46">
        <f t="shared" si="2"/>
        <v>52</v>
      </c>
    </row>
    <row r="190" spans="3:21" x14ac:dyDescent="0.25">
      <c r="C190" s="28"/>
      <c r="D190" s="20"/>
      <c r="E190" s="4"/>
      <c r="F190" s="37"/>
      <c r="G190" s="24"/>
      <c r="H190" s="31">
        <f>_xlfn.XLOOKUP(AP[[#This Row],[Supplier name]], Supplier_master[Supplier name], Supplier_master[Category L1], 0)</f>
        <v>0</v>
      </c>
      <c r="I190" s="64">
        <f>_xlfn.XLOOKUP(AP[[#This Row],[Supplier name]], Supplier_master[Supplier name], Supplier_master[Category L2], 0)</f>
        <v>0</v>
      </c>
      <c r="J190" s="55"/>
      <c r="K190" s="54"/>
      <c r="L190" s="57">
        <f>IF(AP[[#This Row],[Spend category L1 - Override]] &lt;&gt; "", AP[[#This Row],[Spend category L1 - Override]], AP[[#This Row],[Spend category L1]])</f>
        <v>0</v>
      </c>
      <c r="M190" s="57">
        <f>IF(AP[[#This Row],[Spend category L2 - Override]] &lt;&gt; "", AP[[#This Row],[Spend category L2 - Override]], AP[[#This Row],[Spend category L2]])</f>
        <v>0</v>
      </c>
      <c r="N190" s="51">
        <f>Assumptions!$D$15</f>
        <v>0.1</v>
      </c>
      <c r="O190" s="45">
        <f>IF(AP[[#This Row],[GST applies?]] = "Yes", (AP[[#This Row],[Invoice value inc. GST]] / 1 + AP[[#This Row],[GST %]]) * AP[[#This Row],[GST %]], 0)</f>
        <v>0</v>
      </c>
      <c r="P190" s="31">
        <f>_xlfn.XLOOKUP(AP[[#This Row],[Supplier name]], Supplier_master[Supplier name], Supplier_master[EOM or Net], 0)</f>
        <v>0</v>
      </c>
      <c r="Q190" s="31">
        <f>_xlfn.XLOOKUP(AP[[#This Row],[Supplier name]], Supplier_master[Supplier name], Supplier_master[Terms days], 0)</f>
        <v>0</v>
      </c>
      <c r="R1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0" s="4"/>
      <c r="T190" s="46">
        <f>IF(AP[[#This Row],[Payment date - override (dd/mm/yyyy)]] &lt;&gt; "", AP[[#This Row],[Payment date - override (dd/mm/yyyy)]], AP[[#This Row],[Due date (dd/mm/yyyy)]])</f>
        <v>0</v>
      </c>
      <c r="U190" s="46">
        <f t="shared" si="2"/>
        <v>52</v>
      </c>
    </row>
    <row r="191" spans="3:21" x14ac:dyDescent="0.25">
      <c r="C191" s="28"/>
      <c r="D191" s="20"/>
      <c r="E191" s="4"/>
      <c r="F191" s="37"/>
      <c r="G191" s="24"/>
      <c r="H191" s="31">
        <f>_xlfn.XLOOKUP(AP[[#This Row],[Supplier name]], Supplier_master[Supplier name], Supplier_master[Category L1], 0)</f>
        <v>0</v>
      </c>
      <c r="I191" s="64">
        <f>_xlfn.XLOOKUP(AP[[#This Row],[Supplier name]], Supplier_master[Supplier name], Supplier_master[Category L2], 0)</f>
        <v>0</v>
      </c>
      <c r="J191" s="55"/>
      <c r="K191" s="54"/>
      <c r="L191" s="57">
        <f>IF(AP[[#This Row],[Spend category L1 - Override]] &lt;&gt; "", AP[[#This Row],[Spend category L1 - Override]], AP[[#This Row],[Spend category L1]])</f>
        <v>0</v>
      </c>
      <c r="M191" s="57">
        <f>IF(AP[[#This Row],[Spend category L2 - Override]] &lt;&gt; "", AP[[#This Row],[Spend category L2 - Override]], AP[[#This Row],[Spend category L2]])</f>
        <v>0</v>
      </c>
      <c r="N191" s="51">
        <f>Assumptions!$D$15</f>
        <v>0.1</v>
      </c>
      <c r="O191" s="45">
        <f>IF(AP[[#This Row],[GST applies?]] = "Yes", (AP[[#This Row],[Invoice value inc. GST]] / 1 + AP[[#This Row],[GST %]]) * AP[[#This Row],[GST %]], 0)</f>
        <v>0</v>
      </c>
      <c r="P191" s="31">
        <f>_xlfn.XLOOKUP(AP[[#This Row],[Supplier name]], Supplier_master[Supplier name], Supplier_master[EOM or Net], 0)</f>
        <v>0</v>
      </c>
      <c r="Q191" s="31">
        <f>_xlfn.XLOOKUP(AP[[#This Row],[Supplier name]], Supplier_master[Supplier name], Supplier_master[Terms days], 0)</f>
        <v>0</v>
      </c>
      <c r="R1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1" s="4"/>
      <c r="T191" s="46">
        <f>IF(AP[[#This Row],[Payment date - override (dd/mm/yyyy)]] &lt;&gt; "", AP[[#This Row],[Payment date - override (dd/mm/yyyy)]], AP[[#This Row],[Due date (dd/mm/yyyy)]])</f>
        <v>0</v>
      </c>
      <c r="U191" s="46">
        <f t="shared" si="2"/>
        <v>52</v>
      </c>
    </row>
    <row r="192" spans="3:21" x14ac:dyDescent="0.25">
      <c r="C192" s="28"/>
      <c r="D192" s="20"/>
      <c r="E192" s="4"/>
      <c r="F192" s="37"/>
      <c r="G192" s="24"/>
      <c r="H192" s="31">
        <f>_xlfn.XLOOKUP(AP[[#This Row],[Supplier name]], Supplier_master[Supplier name], Supplier_master[Category L1], 0)</f>
        <v>0</v>
      </c>
      <c r="I192" s="64">
        <f>_xlfn.XLOOKUP(AP[[#This Row],[Supplier name]], Supplier_master[Supplier name], Supplier_master[Category L2], 0)</f>
        <v>0</v>
      </c>
      <c r="J192" s="55"/>
      <c r="K192" s="54"/>
      <c r="L192" s="57">
        <f>IF(AP[[#This Row],[Spend category L1 - Override]] &lt;&gt; "", AP[[#This Row],[Spend category L1 - Override]], AP[[#This Row],[Spend category L1]])</f>
        <v>0</v>
      </c>
      <c r="M192" s="57">
        <f>IF(AP[[#This Row],[Spend category L2 - Override]] &lt;&gt; "", AP[[#This Row],[Spend category L2 - Override]], AP[[#This Row],[Spend category L2]])</f>
        <v>0</v>
      </c>
      <c r="N192" s="51">
        <f>Assumptions!$D$15</f>
        <v>0.1</v>
      </c>
      <c r="O192" s="45">
        <f>IF(AP[[#This Row],[GST applies?]] = "Yes", (AP[[#This Row],[Invoice value inc. GST]] / 1 + AP[[#This Row],[GST %]]) * AP[[#This Row],[GST %]], 0)</f>
        <v>0</v>
      </c>
      <c r="P192" s="31">
        <f>_xlfn.XLOOKUP(AP[[#This Row],[Supplier name]], Supplier_master[Supplier name], Supplier_master[EOM or Net], 0)</f>
        <v>0</v>
      </c>
      <c r="Q192" s="31">
        <f>_xlfn.XLOOKUP(AP[[#This Row],[Supplier name]], Supplier_master[Supplier name], Supplier_master[Terms days], 0)</f>
        <v>0</v>
      </c>
      <c r="R1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2" s="4"/>
      <c r="T192" s="46">
        <f>IF(AP[[#This Row],[Payment date - override (dd/mm/yyyy)]] &lt;&gt; "", AP[[#This Row],[Payment date - override (dd/mm/yyyy)]], AP[[#This Row],[Due date (dd/mm/yyyy)]])</f>
        <v>0</v>
      </c>
      <c r="U192" s="46">
        <f t="shared" si="2"/>
        <v>52</v>
      </c>
    </row>
    <row r="193" spans="3:21" x14ac:dyDescent="0.25">
      <c r="C193" s="28"/>
      <c r="D193" s="20"/>
      <c r="E193" s="4"/>
      <c r="F193" s="37"/>
      <c r="G193" s="24"/>
      <c r="H193" s="31">
        <f>_xlfn.XLOOKUP(AP[[#This Row],[Supplier name]], Supplier_master[Supplier name], Supplier_master[Category L1], 0)</f>
        <v>0</v>
      </c>
      <c r="I193" s="64">
        <f>_xlfn.XLOOKUP(AP[[#This Row],[Supplier name]], Supplier_master[Supplier name], Supplier_master[Category L2], 0)</f>
        <v>0</v>
      </c>
      <c r="J193" s="55"/>
      <c r="K193" s="54"/>
      <c r="L193" s="57">
        <f>IF(AP[[#This Row],[Spend category L1 - Override]] &lt;&gt; "", AP[[#This Row],[Spend category L1 - Override]], AP[[#This Row],[Spend category L1]])</f>
        <v>0</v>
      </c>
      <c r="M193" s="57">
        <f>IF(AP[[#This Row],[Spend category L2 - Override]] &lt;&gt; "", AP[[#This Row],[Spend category L2 - Override]], AP[[#This Row],[Spend category L2]])</f>
        <v>0</v>
      </c>
      <c r="N193" s="51">
        <f>Assumptions!$D$15</f>
        <v>0.1</v>
      </c>
      <c r="O193" s="45">
        <f>IF(AP[[#This Row],[GST applies?]] = "Yes", (AP[[#This Row],[Invoice value inc. GST]] / 1 + AP[[#This Row],[GST %]]) * AP[[#This Row],[GST %]], 0)</f>
        <v>0</v>
      </c>
      <c r="P193" s="31">
        <f>_xlfn.XLOOKUP(AP[[#This Row],[Supplier name]], Supplier_master[Supplier name], Supplier_master[EOM or Net], 0)</f>
        <v>0</v>
      </c>
      <c r="Q193" s="31">
        <f>_xlfn.XLOOKUP(AP[[#This Row],[Supplier name]], Supplier_master[Supplier name], Supplier_master[Terms days], 0)</f>
        <v>0</v>
      </c>
      <c r="R1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3" s="4"/>
      <c r="T193" s="46">
        <f>IF(AP[[#This Row],[Payment date - override (dd/mm/yyyy)]] &lt;&gt; "", AP[[#This Row],[Payment date - override (dd/mm/yyyy)]], AP[[#This Row],[Due date (dd/mm/yyyy)]])</f>
        <v>0</v>
      </c>
      <c r="U193" s="46">
        <f t="shared" si="2"/>
        <v>52</v>
      </c>
    </row>
    <row r="194" spans="3:21" x14ac:dyDescent="0.25">
      <c r="C194" s="28"/>
      <c r="D194" s="20"/>
      <c r="E194" s="4"/>
      <c r="F194" s="37"/>
      <c r="G194" s="24"/>
      <c r="H194" s="31">
        <f>_xlfn.XLOOKUP(AP[[#This Row],[Supplier name]], Supplier_master[Supplier name], Supplier_master[Category L1], 0)</f>
        <v>0</v>
      </c>
      <c r="I194" s="64">
        <f>_xlfn.XLOOKUP(AP[[#This Row],[Supplier name]], Supplier_master[Supplier name], Supplier_master[Category L2], 0)</f>
        <v>0</v>
      </c>
      <c r="J194" s="55"/>
      <c r="K194" s="54"/>
      <c r="L194" s="57">
        <f>IF(AP[[#This Row],[Spend category L1 - Override]] &lt;&gt; "", AP[[#This Row],[Spend category L1 - Override]], AP[[#This Row],[Spend category L1]])</f>
        <v>0</v>
      </c>
      <c r="M194" s="57">
        <f>IF(AP[[#This Row],[Spend category L2 - Override]] &lt;&gt; "", AP[[#This Row],[Spend category L2 - Override]], AP[[#This Row],[Spend category L2]])</f>
        <v>0</v>
      </c>
      <c r="N194" s="51">
        <f>Assumptions!$D$15</f>
        <v>0.1</v>
      </c>
      <c r="O194" s="45">
        <f>IF(AP[[#This Row],[GST applies?]] = "Yes", (AP[[#This Row],[Invoice value inc. GST]] / 1 + AP[[#This Row],[GST %]]) * AP[[#This Row],[GST %]], 0)</f>
        <v>0</v>
      </c>
      <c r="P194" s="31">
        <f>_xlfn.XLOOKUP(AP[[#This Row],[Supplier name]], Supplier_master[Supplier name], Supplier_master[EOM or Net], 0)</f>
        <v>0</v>
      </c>
      <c r="Q194" s="31">
        <f>_xlfn.XLOOKUP(AP[[#This Row],[Supplier name]], Supplier_master[Supplier name], Supplier_master[Terms days], 0)</f>
        <v>0</v>
      </c>
      <c r="R1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4" s="4"/>
      <c r="T194" s="46">
        <f>IF(AP[[#This Row],[Payment date - override (dd/mm/yyyy)]] &lt;&gt; "", AP[[#This Row],[Payment date - override (dd/mm/yyyy)]], AP[[#This Row],[Due date (dd/mm/yyyy)]])</f>
        <v>0</v>
      </c>
      <c r="U194" s="46">
        <f t="shared" si="2"/>
        <v>52</v>
      </c>
    </row>
    <row r="195" spans="3:21" x14ac:dyDescent="0.25">
      <c r="C195" s="28"/>
      <c r="D195" s="20"/>
      <c r="E195" s="4"/>
      <c r="F195" s="37"/>
      <c r="G195" s="24"/>
      <c r="H195" s="31">
        <f>_xlfn.XLOOKUP(AP[[#This Row],[Supplier name]], Supplier_master[Supplier name], Supplier_master[Category L1], 0)</f>
        <v>0</v>
      </c>
      <c r="I195" s="64">
        <f>_xlfn.XLOOKUP(AP[[#This Row],[Supplier name]], Supplier_master[Supplier name], Supplier_master[Category L2], 0)</f>
        <v>0</v>
      </c>
      <c r="J195" s="55"/>
      <c r="K195" s="54"/>
      <c r="L195" s="57">
        <f>IF(AP[[#This Row],[Spend category L1 - Override]] &lt;&gt; "", AP[[#This Row],[Spend category L1 - Override]], AP[[#This Row],[Spend category L1]])</f>
        <v>0</v>
      </c>
      <c r="M195" s="57">
        <f>IF(AP[[#This Row],[Spend category L2 - Override]] &lt;&gt; "", AP[[#This Row],[Spend category L2 - Override]], AP[[#This Row],[Spend category L2]])</f>
        <v>0</v>
      </c>
      <c r="N195" s="51">
        <f>Assumptions!$D$15</f>
        <v>0.1</v>
      </c>
      <c r="O195" s="45">
        <f>IF(AP[[#This Row],[GST applies?]] = "Yes", (AP[[#This Row],[Invoice value inc. GST]] / 1 + AP[[#This Row],[GST %]]) * AP[[#This Row],[GST %]], 0)</f>
        <v>0</v>
      </c>
      <c r="P195" s="31">
        <f>_xlfn.XLOOKUP(AP[[#This Row],[Supplier name]], Supplier_master[Supplier name], Supplier_master[EOM or Net], 0)</f>
        <v>0</v>
      </c>
      <c r="Q195" s="31">
        <f>_xlfn.XLOOKUP(AP[[#This Row],[Supplier name]], Supplier_master[Supplier name], Supplier_master[Terms days], 0)</f>
        <v>0</v>
      </c>
      <c r="R1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5" s="4"/>
      <c r="T195" s="46">
        <f>IF(AP[[#This Row],[Payment date - override (dd/mm/yyyy)]] &lt;&gt; "", AP[[#This Row],[Payment date - override (dd/mm/yyyy)]], AP[[#This Row],[Due date (dd/mm/yyyy)]])</f>
        <v>0</v>
      </c>
      <c r="U195" s="46">
        <f t="shared" si="2"/>
        <v>52</v>
      </c>
    </row>
    <row r="196" spans="3:21" x14ac:dyDescent="0.25">
      <c r="C196" s="28"/>
      <c r="D196" s="20"/>
      <c r="E196" s="4"/>
      <c r="F196" s="37"/>
      <c r="G196" s="24"/>
      <c r="H196" s="31">
        <f>_xlfn.XLOOKUP(AP[[#This Row],[Supplier name]], Supplier_master[Supplier name], Supplier_master[Category L1], 0)</f>
        <v>0</v>
      </c>
      <c r="I196" s="64">
        <f>_xlfn.XLOOKUP(AP[[#This Row],[Supplier name]], Supplier_master[Supplier name], Supplier_master[Category L2], 0)</f>
        <v>0</v>
      </c>
      <c r="J196" s="55"/>
      <c r="K196" s="54"/>
      <c r="L196" s="57">
        <f>IF(AP[[#This Row],[Spend category L1 - Override]] &lt;&gt; "", AP[[#This Row],[Spend category L1 - Override]], AP[[#This Row],[Spend category L1]])</f>
        <v>0</v>
      </c>
      <c r="M196" s="57">
        <f>IF(AP[[#This Row],[Spend category L2 - Override]] &lt;&gt; "", AP[[#This Row],[Spend category L2 - Override]], AP[[#This Row],[Spend category L2]])</f>
        <v>0</v>
      </c>
      <c r="N196" s="51">
        <f>Assumptions!$D$15</f>
        <v>0.1</v>
      </c>
      <c r="O196" s="45">
        <f>IF(AP[[#This Row],[GST applies?]] = "Yes", (AP[[#This Row],[Invoice value inc. GST]] / 1 + AP[[#This Row],[GST %]]) * AP[[#This Row],[GST %]], 0)</f>
        <v>0</v>
      </c>
      <c r="P196" s="31">
        <f>_xlfn.XLOOKUP(AP[[#This Row],[Supplier name]], Supplier_master[Supplier name], Supplier_master[EOM or Net], 0)</f>
        <v>0</v>
      </c>
      <c r="Q196" s="31">
        <f>_xlfn.XLOOKUP(AP[[#This Row],[Supplier name]], Supplier_master[Supplier name], Supplier_master[Terms days], 0)</f>
        <v>0</v>
      </c>
      <c r="R1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6" s="4"/>
      <c r="T196" s="46">
        <f>IF(AP[[#This Row],[Payment date - override (dd/mm/yyyy)]] &lt;&gt; "", AP[[#This Row],[Payment date - override (dd/mm/yyyy)]], AP[[#This Row],[Due date (dd/mm/yyyy)]])</f>
        <v>0</v>
      </c>
      <c r="U196" s="46">
        <f t="shared" si="2"/>
        <v>52</v>
      </c>
    </row>
    <row r="197" spans="3:21" x14ac:dyDescent="0.25">
      <c r="C197" s="28"/>
      <c r="D197" s="20"/>
      <c r="E197" s="4"/>
      <c r="F197" s="37"/>
      <c r="G197" s="24"/>
      <c r="H197" s="31">
        <f>_xlfn.XLOOKUP(AP[[#This Row],[Supplier name]], Supplier_master[Supplier name], Supplier_master[Category L1], 0)</f>
        <v>0</v>
      </c>
      <c r="I197" s="64">
        <f>_xlfn.XLOOKUP(AP[[#This Row],[Supplier name]], Supplier_master[Supplier name], Supplier_master[Category L2], 0)</f>
        <v>0</v>
      </c>
      <c r="J197" s="55"/>
      <c r="K197" s="54"/>
      <c r="L197" s="57">
        <f>IF(AP[[#This Row],[Spend category L1 - Override]] &lt;&gt; "", AP[[#This Row],[Spend category L1 - Override]], AP[[#This Row],[Spend category L1]])</f>
        <v>0</v>
      </c>
      <c r="M197" s="57">
        <f>IF(AP[[#This Row],[Spend category L2 - Override]] &lt;&gt; "", AP[[#This Row],[Spend category L2 - Override]], AP[[#This Row],[Spend category L2]])</f>
        <v>0</v>
      </c>
      <c r="N197" s="51">
        <f>Assumptions!$D$15</f>
        <v>0.1</v>
      </c>
      <c r="O197" s="45">
        <f>IF(AP[[#This Row],[GST applies?]] = "Yes", (AP[[#This Row],[Invoice value inc. GST]] / 1 + AP[[#This Row],[GST %]]) * AP[[#This Row],[GST %]], 0)</f>
        <v>0</v>
      </c>
      <c r="P197" s="31">
        <f>_xlfn.XLOOKUP(AP[[#This Row],[Supplier name]], Supplier_master[Supplier name], Supplier_master[EOM or Net], 0)</f>
        <v>0</v>
      </c>
      <c r="Q197" s="31">
        <f>_xlfn.XLOOKUP(AP[[#This Row],[Supplier name]], Supplier_master[Supplier name], Supplier_master[Terms days], 0)</f>
        <v>0</v>
      </c>
      <c r="R1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7" s="4"/>
      <c r="T197" s="46">
        <f>IF(AP[[#This Row],[Payment date - override (dd/mm/yyyy)]] &lt;&gt; "", AP[[#This Row],[Payment date - override (dd/mm/yyyy)]], AP[[#This Row],[Due date (dd/mm/yyyy)]])</f>
        <v>0</v>
      </c>
      <c r="U197" s="46">
        <f t="shared" si="2"/>
        <v>52</v>
      </c>
    </row>
    <row r="198" spans="3:21" x14ac:dyDescent="0.25">
      <c r="C198" s="28"/>
      <c r="D198" s="20"/>
      <c r="E198" s="4"/>
      <c r="F198" s="37"/>
      <c r="G198" s="24"/>
      <c r="H198" s="31">
        <f>_xlfn.XLOOKUP(AP[[#This Row],[Supplier name]], Supplier_master[Supplier name], Supplier_master[Category L1], 0)</f>
        <v>0</v>
      </c>
      <c r="I198" s="64">
        <f>_xlfn.XLOOKUP(AP[[#This Row],[Supplier name]], Supplier_master[Supplier name], Supplier_master[Category L2], 0)</f>
        <v>0</v>
      </c>
      <c r="J198" s="55"/>
      <c r="K198" s="54"/>
      <c r="L198" s="57">
        <f>IF(AP[[#This Row],[Spend category L1 - Override]] &lt;&gt; "", AP[[#This Row],[Spend category L1 - Override]], AP[[#This Row],[Spend category L1]])</f>
        <v>0</v>
      </c>
      <c r="M198" s="57">
        <f>IF(AP[[#This Row],[Spend category L2 - Override]] &lt;&gt; "", AP[[#This Row],[Spend category L2 - Override]], AP[[#This Row],[Spend category L2]])</f>
        <v>0</v>
      </c>
      <c r="N198" s="51">
        <f>Assumptions!$D$15</f>
        <v>0.1</v>
      </c>
      <c r="O198" s="45">
        <f>IF(AP[[#This Row],[GST applies?]] = "Yes", (AP[[#This Row],[Invoice value inc. GST]] / 1 + AP[[#This Row],[GST %]]) * AP[[#This Row],[GST %]], 0)</f>
        <v>0</v>
      </c>
      <c r="P198" s="31">
        <f>_xlfn.XLOOKUP(AP[[#This Row],[Supplier name]], Supplier_master[Supplier name], Supplier_master[EOM or Net], 0)</f>
        <v>0</v>
      </c>
      <c r="Q198" s="31">
        <f>_xlfn.XLOOKUP(AP[[#This Row],[Supplier name]], Supplier_master[Supplier name], Supplier_master[Terms days], 0)</f>
        <v>0</v>
      </c>
      <c r="R1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8" s="4"/>
      <c r="T198" s="46">
        <f>IF(AP[[#This Row],[Payment date - override (dd/mm/yyyy)]] &lt;&gt; "", AP[[#This Row],[Payment date - override (dd/mm/yyyy)]], AP[[#This Row],[Due date (dd/mm/yyyy)]])</f>
        <v>0</v>
      </c>
      <c r="U198" s="46">
        <f t="shared" si="2"/>
        <v>52</v>
      </c>
    </row>
    <row r="199" spans="3:21" x14ac:dyDescent="0.25">
      <c r="C199" s="28"/>
      <c r="D199" s="20"/>
      <c r="E199" s="4"/>
      <c r="F199" s="37"/>
      <c r="G199" s="24"/>
      <c r="H199" s="31">
        <f>_xlfn.XLOOKUP(AP[[#This Row],[Supplier name]], Supplier_master[Supplier name], Supplier_master[Category L1], 0)</f>
        <v>0</v>
      </c>
      <c r="I199" s="64">
        <f>_xlfn.XLOOKUP(AP[[#This Row],[Supplier name]], Supplier_master[Supplier name], Supplier_master[Category L2], 0)</f>
        <v>0</v>
      </c>
      <c r="J199" s="55"/>
      <c r="K199" s="54"/>
      <c r="L199" s="57">
        <f>IF(AP[[#This Row],[Spend category L1 - Override]] &lt;&gt; "", AP[[#This Row],[Spend category L1 - Override]], AP[[#This Row],[Spend category L1]])</f>
        <v>0</v>
      </c>
      <c r="M199" s="57">
        <f>IF(AP[[#This Row],[Spend category L2 - Override]] &lt;&gt; "", AP[[#This Row],[Spend category L2 - Override]], AP[[#This Row],[Spend category L2]])</f>
        <v>0</v>
      </c>
      <c r="N199" s="51">
        <f>Assumptions!$D$15</f>
        <v>0.1</v>
      </c>
      <c r="O199" s="45">
        <f>IF(AP[[#This Row],[GST applies?]] = "Yes", (AP[[#This Row],[Invoice value inc. GST]] / 1 + AP[[#This Row],[GST %]]) * AP[[#This Row],[GST %]], 0)</f>
        <v>0</v>
      </c>
      <c r="P199" s="31">
        <f>_xlfn.XLOOKUP(AP[[#This Row],[Supplier name]], Supplier_master[Supplier name], Supplier_master[EOM or Net], 0)</f>
        <v>0</v>
      </c>
      <c r="Q199" s="31">
        <f>_xlfn.XLOOKUP(AP[[#This Row],[Supplier name]], Supplier_master[Supplier name], Supplier_master[Terms days], 0)</f>
        <v>0</v>
      </c>
      <c r="R1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9" s="4"/>
      <c r="T199" s="46">
        <f>IF(AP[[#This Row],[Payment date - override (dd/mm/yyyy)]] &lt;&gt; "", AP[[#This Row],[Payment date - override (dd/mm/yyyy)]], AP[[#This Row],[Due date (dd/mm/yyyy)]])</f>
        <v>0</v>
      </c>
      <c r="U199" s="46">
        <f t="shared" si="2"/>
        <v>52</v>
      </c>
    </row>
    <row r="200" spans="3:21" x14ac:dyDescent="0.25">
      <c r="C200" s="28"/>
      <c r="D200" s="20"/>
      <c r="E200" s="4"/>
      <c r="F200" s="37"/>
      <c r="G200" s="24"/>
      <c r="H200" s="31">
        <f>_xlfn.XLOOKUP(AP[[#This Row],[Supplier name]], Supplier_master[Supplier name], Supplier_master[Category L1], 0)</f>
        <v>0</v>
      </c>
      <c r="I200" s="64">
        <f>_xlfn.XLOOKUP(AP[[#This Row],[Supplier name]], Supplier_master[Supplier name], Supplier_master[Category L2], 0)</f>
        <v>0</v>
      </c>
      <c r="J200" s="55"/>
      <c r="K200" s="54"/>
      <c r="L200" s="57">
        <f>IF(AP[[#This Row],[Spend category L1 - Override]] &lt;&gt; "", AP[[#This Row],[Spend category L1 - Override]], AP[[#This Row],[Spend category L1]])</f>
        <v>0</v>
      </c>
      <c r="M200" s="57">
        <f>IF(AP[[#This Row],[Spend category L2 - Override]] &lt;&gt; "", AP[[#This Row],[Spend category L2 - Override]], AP[[#This Row],[Spend category L2]])</f>
        <v>0</v>
      </c>
      <c r="N200" s="51">
        <f>Assumptions!$D$15</f>
        <v>0.1</v>
      </c>
      <c r="O200" s="45">
        <f>IF(AP[[#This Row],[GST applies?]] = "Yes", (AP[[#This Row],[Invoice value inc. GST]] / 1 + AP[[#This Row],[GST %]]) * AP[[#This Row],[GST %]], 0)</f>
        <v>0</v>
      </c>
      <c r="P200" s="31">
        <f>_xlfn.XLOOKUP(AP[[#This Row],[Supplier name]], Supplier_master[Supplier name], Supplier_master[EOM or Net], 0)</f>
        <v>0</v>
      </c>
      <c r="Q200" s="31">
        <f>_xlfn.XLOOKUP(AP[[#This Row],[Supplier name]], Supplier_master[Supplier name], Supplier_master[Terms days], 0)</f>
        <v>0</v>
      </c>
      <c r="R2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0" s="4"/>
      <c r="T200" s="46">
        <f>IF(AP[[#This Row],[Payment date - override (dd/mm/yyyy)]] &lt;&gt; "", AP[[#This Row],[Payment date - override (dd/mm/yyyy)]], AP[[#This Row],[Due date (dd/mm/yyyy)]])</f>
        <v>0</v>
      </c>
      <c r="U200" s="46">
        <f t="shared" si="2"/>
        <v>52</v>
      </c>
    </row>
    <row r="201" spans="3:21" x14ac:dyDescent="0.25">
      <c r="C201" s="28"/>
      <c r="D201" s="20"/>
      <c r="E201" s="4"/>
      <c r="F201" s="37"/>
      <c r="G201" s="24"/>
      <c r="H201" s="31">
        <f>_xlfn.XLOOKUP(AP[[#This Row],[Supplier name]], Supplier_master[Supplier name], Supplier_master[Category L1], 0)</f>
        <v>0</v>
      </c>
      <c r="I201" s="64">
        <f>_xlfn.XLOOKUP(AP[[#This Row],[Supplier name]], Supplier_master[Supplier name], Supplier_master[Category L2], 0)</f>
        <v>0</v>
      </c>
      <c r="J201" s="55"/>
      <c r="K201" s="54"/>
      <c r="L201" s="57">
        <f>IF(AP[[#This Row],[Spend category L1 - Override]] &lt;&gt; "", AP[[#This Row],[Spend category L1 - Override]], AP[[#This Row],[Spend category L1]])</f>
        <v>0</v>
      </c>
      <c r="M201" s="57">
        <f>IF(AP[[#This Row],[Spend category L2 - Override]] &lt;&gt; "", AP[[#This Row],[Spend category L2 - Override]], AP[[#This Row],[Spend category L2]])</f>
        <v>0</v>
      </c>
      <c r="N201" s="51">
        <f>Assumptions!$D$15</f>
        <v>0.1</v>
      </c>
      <c r="O201" s="45">
        <f>IF(AP[[#This Row],[GST applies?]] = "Yes", (AP[[#This Row],[Invoice value inc. GST]] / 1 + AP[[#This Row],[GST %]]) * AP[[#This Row],[GST %]], 0)</f>
        <v>0</v>
      </c>
      <c r="P201" s="31">
        <f>_xlfn.XLOOKUP(AP[[#This Row],[Supplier name]], Supplier_master[Supplier name], Supplier_master[EOM or Net], 0)</f>
        <v>0</v>
      </c>
      <c r="Q201" s="31">
        <f>_xlfn.XLOOKUP(AP[[#This Row],[Supplier name]], Supplier_master[Supplier name], Supplier_master[Terms days], 0)</f>
        <v>0</v>
      </c>
      <c r="R2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1" s="4"/>
      <c r="T201" s="46">
        <f>IF(AP[[#This Row],[Payment date - override (dd/mm/yyyy)]] &lt;&gt; "", AP[[#This Row],[Payment date - override (dd/mm/yyyy)]], AP[[#This Row],[Due date (dd/mm/yyyy)]])</f>
        <v>0</v>
      </c>
      <c r="U201" s="46">
        <f t="shared" ref="U201:U264" si="3">IF(GST_Freq="Monthly",
    DATE(YEAR(E201), MONTH(E201) + 1, 21),
    IF(GST_Freq="Quarterly",
        IF(MOD(MONTH(E201) + 2 - MOD(MOD(MONTH(E201) - GST_First_Month, 12), 3), 12) = 0,
            DATE(YEAR(E201), MONTH(E201) + 4 - MOD(MOD(MONTH(E201) - GST_First_Month, 12), 3), 28),
            DATE(YEAR(E201), MONTH(E201) + 3 - MOD(MOD(MONTH(E201) - GST_First_Month, 12), 3), 28)
        ),
        "Invalid frequency"
    )
)</f>
        <v>52</v>
      </c>
    </row>
    <row r="202" spans="3:21" x14ac:dyDescent="0.25">
      <c r="C202" s="28"/>
      <c r="D202" s="20"/>
      <c r="E202" s="4"/>
      <c r="F202" s="37"/>
      <c r="G202" s="24"/>
      <c r="H202" s="31">
        <f>_xlfn.XLOOKUP(AP[[#This Row],[Supplier name]], Supplier_master[Supplier name], Supplier_master[Category L1], 0)</f>
        <v>0</v>
      </c>
      <c r="I202" s="64">
        <f>_xlfn.XLOOKUP(AP[[#This Row],[Supplier name]], Supplier_master[Supplier name], Supplier_master[Category L2], 0)</f>
        <v>0</v>
      </c>
      <c r="J202" s="55"/>
      <c r="K202" s="54"/>
      <c r="L202" s="57">
        <f>IF(AP[[#This Row],[Spend category L1 - Override]] &lt;&gt; "", AP[[#This Row],[Spend category L1 - Override]], AP[[#This Row],[Spend category L1]])</f>
        <v>0</v>
      </c>
      <c r="M202" s="57">
        <f>IF(AP[[#This Row],[Spend category L2 - Override]] &lt;&gt; "", AP[[#This Row],[Spend category L2 - Override]], AP[[#This Row],[Spend category L2]])</f>
        <v>0</v>
      </c>
      <c r="N202" s="51">
        <f>Assumptions!$D$15</f>
        <v>0.1</v>
      </c>
      <c r="O202" s="45">
        <f>IF(AP[[#This Row],[GST applies?]] = "Yes", (AP[[#This Row],[Invoice value inc. GST]] / 1 + AP[[#This Row],[GST %]]) * AP[[#This Row],[GST %]], 0)</f>
        <v>0</v>
      </c>
      <c r="P202" s="31">
        <f>_xlfn.XLOOKUP(AP[[#This Row],[Supplier name]], Supplier_master[Supplier name], Supplier_master[EOM or Net], 0)</f>
        <v>0</v>
      </c>
      <c r="Q202" s="31">
        <f>_xlfn.XLOOKUP(AP[[#This Row],[Supplier name]], Supplier_master[Supplier name], Supplier_master[Terms days], 0)</f>
        <v>0</v>
      </c>
      <c r="R2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2" s="4"/>
      <c r="T202" s="46">
        <f>IF(AP[[#This Row],[Payment date - override (dd/mm/yyyy)]] &lt;&gt; "", AP[[#This Row],[Payment date - override (dd/mm/yyyy)]], AP[[#This Row],[Due date (dd/mm/yyyy)]])</f>
        <v>0</v>
      </c>
      <c r="U202" s="46">
        <f t="shared" si="3"/>
        <v>52</v>
      </c>
    </row>
    <row r="203" spans="3:21" x14ac:dyDescent="0.25">
      <c r="C203" s="28"/>
      <c r="D203" s="20"/>
      <c r="E203" s="4"/>
      <c r="F203" s="37"/>
      <c r="G203" s="24"/>
      <c r="H203" s="31">
        <f>_xlfn.XLOOKUP(AP[[#This Row],[Supplier name]], Supplier_master[Supplier name], Supplier_master[Category L1], 0)</f>
        <v>0</v>
      </c>
      <c r="I203" s="64">
        <f>_xlfn.XLOOKUP(AP[[#This Row],[Supplier name]], Supplier_master[Supplier name], Supplier_master[Category L2], 0)</f>
        <v>0</v>
      </c>
      <c r="J203" s="55"/>
      <c r="K203" s="54"/>
      <c r="L203" s="57">
        <f>IF(AP[[#This Row],[Spend category L1 - Override]] &lt;&gt; "", AP[[#This Row],[Spend category L1 - Override]], AP[[#This Row],[Spend category L1]])</f>
        <v>0</v>
      </c>
      <c r="M203" s="57">
        <f>IF(AP[[#This Row],[Spend category L2 - Override]] &lt;&gt; "", AP[[#This Row],[Spend category L2 - Override]], AP[[#This Row],[Spend category L2]])</f>
        <v>0</v>
      </c>
      <c r="N203" s="51">
        <f>Assumptions!$D$15</f>
        <v>0.1</v>
      </c>
      <c r="O203" s="45">
        <f>IF(AP[[#This Row],[GST applies?]] = "Yes", (AP[[#This Row],[Invoice value inc. GST]] / 1 + AP[[#This Row],[GST %]]) * AP[[#This Row],[GST %]], 0)</f>
        <v>0</v>
      </c>
      <c r="P203" s="31">
        <f>_xlfn.XLOOKUP(AP[[#This Row],[Supplier name]], Supplier_master[Supplier name], Supplier_master[EOM or Net], 0)</f>
        <v>0</v>
      </c>
      <c r="Q203" s="31">
        <f>_xlfn.XLOOKUP(AP[[#This Row],[Supplier name]], Supplier_master[Supplier name], Supplier_master[Terms days], 0)</f>
        <v>0</v>
      </c>
      <c r="R2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3" s="4"/>
      <c r="T203" s="46">
        <f>IF(AP[[#This Row],[Payment date - override (dd/mm/yyyy)]] &lt;&gt; "", AP[[#This Row],[Payment date - override (dd/mm/yyyy)]], AP[[#This Row],[Due date (dd/mm/yyyy)]])</f>
        <v>0</v>
      </c>
      <c r="U203" s="46">
        <f t="shared" si="3"/>
        <v>52</v>
      </c>
    </row>
    <row r="204" spans="3:21" x14ac:dyDescent="0.25">
      <c r="C204" s="28"/>
      <c r="D204" s="20"/>
      <c r="E204" s="4"/>
      <c r="F204" s="37"/>
      <c r="G204" s="24"/>
      <c r="H204" s="31">
        <f>_xlfn.XLOOKUP(AP[[#This Row],[Supplier name]], Supplier_master[Supplier name], Supplier_master[Category L1], 0)</f>
        <v>0</v>
      </c>
      <c r="I204" s="64">
        <f>_xlfn.XLOOKUP(AP[[#This Row],[Supplier name]], Supplier_master[Supplier name], Supplier_master[Category L2], 0)</f>
        <v>0</v>
      </c>
      <c r="J204" s="55"/>
      <c r="K204" s="54"/>
      <c r="L204" s="57">
        <f>IF(AP[[#This Row],[Spend category L1 - Override]] &lt;&gt; "", AP[[#This Row],[Spend category L1 - Override]], AP[[#This Row],[Spend category L1]])</f>
        <v>0</v>
      </c>
      <c r="M204" s="57">
        <f>IF(AP[[#This Row],[Spend category L2 - Override]] &lt;&gt; "", AP[[#This Row],[Spend category L2 - Override]], AP[[#This Row],[Spend category L2]])</f>
        <v>0</v>
      </c>
      <c r="N204" s="51">
        <f>Assumptions!$D$15</f>
        <v>0.1</v>
      </c>
      <c r="O204" s="45">
        <f>IF(AP[[#This Row],[GST applies?]] = "Yes", (AP[[#This Row],[Invoice value inc. GST]] / 1 + AP[[#This Row],[GST %]]) * AP[[#This Row],[GST %]], 0)</f>
        <v>0</v>
      </c>
      <c r="P204" s="31">
        <f>_xlfn.XLOOKUP(AP[[#This Row],[Supplier name]], Supplier_master[Supplier name], Supplier_master[EOM or Net], 0)</f>
        <v>0</v>
      </c>
      <c r="Q204" s="31">
        <f>_xlfn.XLOOKUP(AP[[#This Row],[Supplier name]], Supplier_master[Supplier name], Supplier_master[Terms days], 0)</f>
        <v>0</v>
      </c>
      <c r="R2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4" s="4"/>
      <c r="T204" s="46">
        <f>IF(AP[[#This Row],[Payment date - override (dd/mm/yyyy)]] &lt;&gt; "", AP[[#This Row],[Payment date - override (dd/mm/yyyy)]], AP[[#This Row],[Due date (dd/mm/yyyy)]])</f>
        <v>0</v>
      </c>
      <c r="U204" s="46">
        <f t="shared" si="3"/>
        <v>52</v>
      </c>
    </row>
    <row r="205" spans="3:21" x14ac:dyDescent="0.25">
      <c r="C205" s="28"/>
      <c r="D205" s="20"/>
      <c r="E205" s="4"/>
      <c r="F205" s="37"/>
      <c r="G205" s="24"/>
      <c r="H205" s="31">
        <f>_xlfn.XLOOKUP(AP[[#This Row],[Supplier name]], Supplier_master[Supplier name], Supplier_master[Category L1], 0)</f>
        <v>0</v>
      </c>
      <c r="I205" s="64">
        <f>_xlfn.XLOOKUP(AP[[#This Row],[Supplier name]], Supplier_master[Supplier name], Supplier_master[Category L2], 0)</f>
        <v>0</v>
      </c>
      <c r="J205" s="55"/>
      <c r="K205" s="54"/>
      <c r="L205" s="57">
        <f>IF(AP[[#This Row],[Spend category L1 - Override]] &lt;&gt; "", AP[[#This Row],[Spend category L1 - Override]], AP[[#This Row],[Spend category L1]])</f>
        <v>0</v>
      </c>
      <c r="M205" s="57">
        <f>IF(AP[[#This Row],[Spend category L2 - Override]] &lt;&gt; "", AP[[#This Row],[Spend category L2 - Override]], AP[[#This Row],[Spend category L2]])</f>
        <v>0</v>
      </c>
      <c r="N205" s="51">
        <f>Assumptions!$D$15</f>
        <v>0.1</v>
      </c>
      <c r="O205" s="45">
        <f>IF(AP[[#This Row],[GST applies?]] = "Yes", (AP[[#This Row],[Invoice value inc. GST]] / 1 + AP[[#This Row],[GST %]]) * AP[[#This Row],[GST %]], 0)</f>
        <v>0</v>
      </c>
      <c r="P205" s="31">
        <f>_xlfn.XLOOKUP(AP[[#This Row],[Supplier name]], Supplier_master[Supplier name], Supplier_master[EOM or Net], 0)</f>
        <v>0</v>
      </c>
      <c r="Q205" s="31">
        <f>_xlfn.XLOOKUP(AP[[#This Row],[Supplier name]], Supplier_master[Supplier name], Supplier_master[Terms days], 0)</f>
        <v>0</v>
      </c>
      <c r="R2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5" s="4"/>
      <c r="T205" s="46">
        <f>IF(AP[[#This Row],[Payment date - override (dd/mm/yyyy)]] &lt;&gt; "", AP[[#This Row],[Payment date - override (dd/mm/yyyy)]], AP[[#This Row],[Due date (dd/mm/yyyy)]])</f>
        <v>0</v>
      </c>
      <c r="U205" s="46">
        <f t="shared" si="3"/>
        <v>52</v>
      </c>
    </row>
    <row r="206" spans="3:21" x14ac:dyDescent="0.25">
      <c r="C206" s="28"/>
      <c r="D206" s="20"/>
      <c r="E206" s="4"/>
      <c r="F206" s="37"/>
      <c r="G206" s="24"/>
      <c r="H206" s="31">
        <f>_xlfn.XLOOKUP(AP[[#This Row],[Supplier name]], Supplier_master[Supplier name], Supplier_master[Category L1], 0)</f>
        <v>0</v>
      </c>
      <c r="I206" s="64">
        <f>_xlfn.XLOOKUP(AP[[#This Row],[Supplier name]], Supplier_master[Supplier name], Supplier_master[Category L2], 0)</f>
        <v>0</v>
      </c>
      <c r="J206" s="55"/>
      <c r="K206" s="54"/>
      <c r="L206" s="57">
        <f>IF(AP[[#This Row],[Spend category L1 - Override]] &lt;&gt; "", AP[[#This Row],[Spend category L1 - Override]], AP[[#This Row],[Spend category L1]])</f>
        <v>0</v>
      </c>
      <c r="M206" s="57">
        <f>IF(AP[[#This Row],[Spend category L2 - Override]] &lt;&gt; "", AP[[#This Row],[Spend category L2 - Override]], AP[[#This Row],[Spend category L2]])</f>
        <v>0</v>
      </c>
      <c r="N206" s="51">
        <f>Assumptions!$D$15</f>
        <v>0.1</v>
      </c>
      <c r="O206" s="45">
        <f>IF(AP[[#This Row],[GST applies?]] = "Yes", (AP[[#This Row],[Invoice value inc. GST]] / 1 + AP[[#This Row],[GST %]]) * AP[[#This Row],[GST %]], 0)</f>
        <v>0</v>
      </c>
      <c r="P206" s="31">
        <f>_xlfn.XLOOKUP(AP[[#This Row],[Supplier name]], Supplier_master[Supplier name], Supplier_master[EOM or Net], 0)</f>
        <v>0</v>
      </c>
      <c r="Q206" s="31">
        <f>_xlfn.XLOOKUP(AP[[#This Row],[Supplier name]], Supplier_master[Supplier name], Supplier_master[Terms days], 0)</f>
        <v>0</v>
      </c>
      <c r="R2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6" s="4"/>
      <c r="T206" s="46">
        <f>IF(AP[[#This Row],[Payment date - override (dd/mm/yyyy)]] &lt;&gt; "", AP[[#This Row],[Payment date - override (dd/mm/yyyy)]], AP[[#This Row],[Due date (dd/mm/yyyy)]])</f>
        <v>0</v>
      </c>
      <c r="U206" s="46">
        <f t="shared" si="3"/>
        <v>52</v>
      </c>
    </row>
    <row r="207" spans="3:21" x14ac:dyDescent="0.25">
      <c r="C207" s="28"/>
      <c r="D207" s="20"/>
      <c r="E207" s="4"/>
      <c r="F207" s="37"/>
      <c r="G207" s="24"/>
      <c r="H207" s="31">
        <f>_xlfn.XLOOKUP(AP[[#This Row],[Supplier name]], Supplier_master[Supplier name], Supplier_master[Category L1], 0)</f>
        <v>0</v>
      </c>
      <c r="I207" s="64">
        <f>_xlfn.XLOOKUP(AP[[#This Row],[Supplier name]], Supplier_master[Supplier name], Supplier_master[Category L2], 0)</f>
        <v>0</v>
      </c>
      <c r="J207" s="55"/>
      <c r="K207" s="54"/>
      <c r="L207" s="57">
        <f>IF(AP[[#This Row],[Spend category L1 - Override]] &lt;&gt; "", AP[[#This Row],[Spend category L1 - Override]], AP[[#This Row],[Spend category L1]])</f>
        <v>0</v>
      </c>
      <c r="M207" s="57">
        <f>IF(AP[[#This Row],[Spend category L2 - Override]] &lt;&gt; "", AP[[#This Row],[Spend category L2 - Override]], AP[[#This Row],[Spend category L2]])</f>
        <v>0</v>
      </c>
      <c r="N207" s="51">
        <f>Assumptions!$D$15</f>
        <v>0.1</v>
      </c>
      <c r="O207" s="45">
        <f>IF(AP[[#This Row],[GST applies?]] = "Yes", (AP[[#This Row],[Invoice value inc. GST]] / 1 + AP[[#This Row],[GST %]]) * AP[[#This Row],[GST %]], 0)</f>
        <v>0</v>
      </c>
      <c r="P207" s="31">
        <f>_xlfn.XLOOKUP(AP[[#This Row],[Supplier name]], Supplier_master[Supplier name], Supplier_master[EOM or Net], 0)</f>
        <v>0</v>
      </c>
      <c r="Q207" s="31">
        <f>_xlfn.XLOOKUP(AP[[#This Row],[Supplier name]], Supplier_master[Supplier name], Supplier_master[Terms days], 0)</f>
        <v>0</v>
      </c>
      <c r="R2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7" s="4"/>
      <c r="T207" s="46">
        <f>IF(AP[[#This Row],[Payment date - override (dd/mm/yyyy)]] &lt;&gt; "", AP[[#This Row],[Payment date - override (dd/mm/yyyy)]], AP[[#This Row],[Due date (dd/mm/yyyy)]])</f>
        <v>0</v>
      </c>
      <c r="U207" s="46">
        <f t="shared" si="3"/>
        <v>52</v>
      </c>
    </row>
    <row r="208" spans="3:21" x14ac:dyDescent="0.25">
      <c r="C208" s="28"/>
      <c r="D208" s="20"/>
      <c r="E208" s="4"/>
      <c r="F208" s="37"/>
      <c r="G208" s="24"/>
      <c r="H208" s="31">
        <f>_xlfn.XLOOKUP(AP[[#This Row],[Supplier name]], Supplier_master[Supplier name], Supplier_master[Category L1], 0)</f>
        <v>0</v>
      </c>
      <c r="I208" s="64">
        <f>_xlfn.XLOOKUP(AP[[#This Row],[Supplier name]], Supplier_master[Supplier name], Supplier_master[Category L2], 0)</f>
        <v>0</v>
      </c>
      <c r="J208" s="55"/>
      <c r="K208" s="54"/>
      <c r="L208" s="57">
        <f>IF(AP[[#This Row],[Spend category L1 - Override]] &lt;&gt; "", AP[[#This Row],[Spend category L1 - Override]], AP[[#This Row],[Spend category L1]])</f>
        <v>0</v>
      </c>
      <c r="M208" s="57">
        <f>IF(AP[[#This Row],[Spend category L2 - Override]] &lt;&gt; "", AP[[#This Row],[Spend category L2 - Override]], AP[[#This Row],[Spend category L2]])</f>
        <v>0</v>
      </c>
      <c r="N208" s="51">
        <f>Assumptions!$D$15</f>
        <v>0.1</v>
      </c>
      <c r="O208" s="45">
        <f>IF(AP[[#This Row],[GST applies?]] = "Yes", (AP[[#This Row],[Invoice value inc. GST]] / 1 + AP[[#This Row],[GST %]]) * AP[[#This Row],[GST %]], 0)</f>
        <v>0</v>
      </c>
      <c r="P208" s="31">
        <f>_xlfn.XLOOKUP(AP[[#This Row],[Supplier name]], Supplier_master[Supplier name], Supplier_master[EOM or Net], 0)</f>
        <v>0</v>
      </c>
      <c r="Q208" s="31">
        <f>_xlfn.XLOOKUP(AP[[#This Row],[Supplier name]], Supplier_master[Supplier name], Supplier_master[Terms days], 0)</f>
        <v>0</v>
      </c>
      <c r="R2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8" s="4"/>
      <c r="T208" s="46">
        <f>IF(AP[[#This Row],[Payment date - override (dd/mm/yyyy)]] &lt;&gt; "", AP[[#This Row],[Payment date - override (dd/mm/yyyy)]], AP[[#This Row],[Due date (dd/mm/yyyy)]])</f>
        <v>0</v>
      </c>
      <c r="U208" s="46">
        <f t="shared" si="3"/>
        <v>52</v>
      </c>
    </row>
    <row r="209" spans="3:21" x14ac:dyDescent="0.25">
      <c r="C209" s="28"/>
      <c r="D209" s="20"/>
      <c r="E209" s="4"/>
      <c r="F209" s="37"/>
      <c r="G209" s="24"/>
      <c r="H209" s="31">
        <f>_xlfn.XLOOKUP(AP[[#This Row],[Supplier name]], Supplier_master[Supplier name], Supplier_master[Category L1], 0)</f>
        <v>0</v>
      </c>
      <c r="I209" s="64">
        <f>_xlfn.XLOOKUP(AP[[#This Row],[Supplier name]], Supplier_master[Supplier name], Supplier_master[Category L2], 0)</f>
        <v>0</v>
      </c>
      <c r="J209" s="55"/>
      <c r="K209" s="54"/>
      <c r="L209" s="57">
        <f>IF(AP[[#This Row],[Spend category L1 - Override]] &lt;&gt; "", AP[[#This Row],[Spend category L1 - Override]], AP[[#This Row],[Spend category L1]])</f>
        <v>0</v>
      </c>
      <c r="M209" s="57">
        <f>IF(AP[[#This Row],[Spend category L2 - Override]] &lt;&gt; "", AP[[#This Row],[Spend category L2 - Override]], AP[[#This Row],[Spend category L2]])</f>
        <v>0</v>
      </c>
      <c r="N209" s="51">
        <f>Assumptions!$D$15</f>
        <v>0.1</v>
      </c>
      <c r="O209" s="45">
        <f>IF(AP[[#This Row],[GST applies?]] = "Yes", (AP[[#This Row],[Invoice value inc. GST]] / 1 + AP[[#This Row],[GST %]]) * AP[[#This Row],[GST %]], 0)</f>
        <v>0</v>
      </c>
      <c r="P209" s="31">
        <f>_xlfn.XLOOKUP(AP[[#This Row],[Supplier name]], Supplier_master[Supplier name], Supplier_master[EOM or Net], 0)</f>
        <v>0</v>
      </c>
      <c r="Q209" s="31">
        <f>_xlfn.XLOOKUP(AP[[#This Row],[Supplier name]], Supplier_master[Supplier name], Supplier_master[Terms days], 0)</f>
        <v>0</v>
      </c>
      <c r="R2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9" s="4"/>
      <c r="T209" s="46">
        <f>IF(AP[[#This Row],[Payment date - override (dd/mm/yyyy)]] &lt;&gt; "", AP[[#This Row],[Payment date - override (dd/mm/yyyy)]], AP[[#This Row],[Due date (dd/mm/yyyy)]])</f>
        <v>0</v>
      </c>
      <c r="U209" s="46">
        <f t="shared" si="3"/>
        <v>52</v>
      </c>
    </row>
    <row r="210" spans="3:21" x14ac:dyDescent="0.25">
      <c r="C210" s="28"/>
      <c r="D210" s="20"/>
      <c r="E210" s="4"/>
      <c r="F210" s="37"/>
      <c r="G210" s="24"/>
      <c r="H210" s="31">
        <f>_xlfn.XLOOKUP(AP[[#This Row],[Supplier name]], Supplier_master[Supplier name], Supplier_master[Category L1], 0)</f>
        <v>0</v>
      </c>
      <c r="I210" s="64">
        <f>_xlfn.XLOOKUP(AP[[#This Row],[Supplier name]], Supplier_master[Supplier name], Supplier_master[Category L2], 0)</f>
        <v>0</v>
      </c>
      <c r="J210" s="55"/>
      <c r="K210" s="54"/>
      <c r="L210" s="57">
        <f>IF(AP[[#This Row],[Spend category L1 - Override]] &lt;&gt; "", AP[[#This Row],[Spend category L1 - Override]], AP[[#This Row],[Spend category L1]])</f>
        <v>0</v>
      </c>
      <c r="M210" s="57">
        <f>IF(AP[[#This Row],[Spend category L2 - Override]] &lt;&gt; "", AP[[#This Row],[Spend category L2 - Override]], AP[[#This Row],[Spend category L2]])</f>
        <v>0</v>
      </c>
      <c r="N210" s="51">
        <f>Assumptions!$D$15</f>
        <v>0.1</v>
      </c>
      <c r="O210" s="45">
        <f>IF(AP[[#This Row],[GST applies?]] = "Yes", (AP[[#This Row],[Invoice value inc. GST]] / 1 + AP[[#This Row],[GST %]]) * AP[[#This Row],[GST %]], 0)</f>
        <v>0</v>
      </c>
      <c r="P210" s="31">
        <f>_xlfn.XLOOKUP(AP[[#This Row],[Supplier name]], Supplier_master[Supplier name], Supplier_master[EOM or Net], 0)</f>
        <v>0</v>
      </c>
      <c r="Q210" s="31">
        <f>_xlfn.XLOOKUP(AP[[#This Row],[Supplier name]], Supplier_master[Supplier name], Supplier_master[Terms days], 0)</f>
        <v>0</v>
      </c>
      <c r="R2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0" s="4"/>
      <c r="T210" s="46">
        <f>IF(AP[[#This Row],[Payment date - override (dd/mm/yyyy)]] &lt;&gt; "", AP[[#This Row],[Payment date - override (dd/mm/yyyy)]], AP[[#This Row],[Due date (dd/mm/yyyy)]])</f>
        <v>0</v>
      </c>
      <c r="U210" s="46">
        <f t="shared" si="3"/>
        <v>52</v>
      </c>
    </row>
    <row r="211" spans="3:21" x14ac:dyDescent="0.25">
      <c r="C211" s="28"/>
      <c r="D211" s="20"/>
      <c r="E211" s="4"/>
      <c r="F211" s="37"/>
      <c r="G211" s="24"/>
      <c r="H211" s="31">
        <f>_xlfn.XLOOKUP(AP[[#This Row],[Supplier name]], Supplier_master[Supplier name], Supplier_master[Category L1], 0)</f>
        <v>0</v>
      </c>
      <c r="I211" s="64">
        <f>_xlfn.XLOOKUP(AP[[#This Row],[Supplier name]], Supplier_master[Supplier name], Supplier_master[Category L2], 0)</f>
        <v>0</v>
      </c>
      <c r="J211" s="55"/>
      <c r="K211" s="54"/>
      <c r="L211" s="57">
        <f>IF(AP[[#This Row],[Spend category L1 - Override]] &lt;&gt; "", AP[[#This Row],[Spend category L1 - Override]], AP[[#This Row],[Spend category L1]])</f>
        <v>0</v>
      </c>
      <c r="M211" s="57">
        <f>IF(AP[[#This Row],[Spend category L2 - Override]] &lt;&gt; "", AP[[#This Row],[Spend category L2 - Override]], AP[[#This Row],[Spend category L2]])</f>
        <v>0</v>
      </c>
      <c r="N211" s="51">
        <f>Assumptions!$D$15</f>
        <v>0.1</v>
      </c>
      <c r="O211" s="45">
        <f>IF(AP[[#This Row],[GST applies?]] = "Yes", (AP[[#This Row],[Invoice value inc. GST]] / 1 + AP[[#This Row],[GST %]]) * AP[[#This Row],[GST %]], 0)</f>
        <v>0</v>
      </c>
      <c r="P211" s="31">
        <f>_xlfn.XLOOKUP(AP[[#This Row],[Supplier name]], Supplier_master[Supplier name], Supplier_master[EOM or Net], 0)</f>
        <v>0</v>
      </c>
      <c r="Q211" s="31">
        <f>_xlfn.XLOOKUP(AP[[#This Row],[Supplier name]], Supplier_master[Supplier name], Supplier_master[Terms days], 0)</f>
        <v>0</v>
      </c>
      <c r="R2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1" s="4"/>
      <c r="T211" s="46">
        <f>IF(AP[[#This Row],[Payment date - override (dd/mm/yyyy)]] &lt;&gt; "", AP[[#This Row],[Payment date - override (dd/mm/yyyy)]], AP[[#This Row],[Due date (dd/mm/yyyy)]])</f>
        <v>0</v>
      </c>
      <c r="U211" s="46">
        <f t="shared" si="3"/>
        <v>52</v>
      </c>
    </row>
    <row r="212" spans="3:21" x14ac:dyDescent="0.25">
      <c r="C212" s="28"/>
      <c r="D212" s="20"/>
      <c r="E212" s="4"/>
      <c r="F212" s="37"/>
      <c r="G212" s="24"/>
      <c r="H212" s="31">
        <f>_xlfn.XLOOKUP(AP[[#This Row],[Supplier name]], Supplier_master[Supplier name], Supplier_master[Category L1], 0)</f>
        <v>0</v>
      </c>
      <c r="I212" s="64">
        <f>_xlfn.XLOOKUP(AP[[#This Row],[Supplier name]], Supplier_master[Supplier name], Supplier_master[Category L2], 0)</f>
        <v>0</v>
      </c>
      <c r="J212" s="55"/>
      <c r="K212" s="54"/>
      <c r="L212" s="57">
        <f>IF(AP[[#This Row],[Spend category L1 - Override]] &lt;&gt; "", AP[[#This Row],[Spend category L1 - Override]], AP[[#This Row],[Spend category L1]])</f>
        <v>0</v>
      </c>
      <c r="M212" s="57">
        <f>IF(AP[[#This Row],[Spend category L2 - Override]] &lt;&gt; "", AP[[#This Row],[Spend category L2 - Override]], AP[[#This Row],[Spend category L2]])</f>
        <v>0</v>
      </c>
      <c r="N212" s="51">
        <f>Assumptions!$D$15</f>
        <v>0.1</v>
      </c>
      <c r="O212" s="45">
        <f>IF(AP[[#This Row],[GST applies?]] = "Yes", (AP[[#This Row],[Invoice value inc. GST]] / 1 + AP[[#This Row],[GST %]]) * AP[[#This Row],[GST %]], 0)</f>
        <v>0</v>
      </c>
      <c r="P212" s="31">
        <f>_xlfn.XLOOKUP(AP[[#This Row],[Supplier name]], Supplier_master[Supplier name], Supplier_master[EOM or Net], 0)</f>
        <v>0</v>
      </c>
      <c r="Q212" s="31">
        <f>_xlfn.XLOOKUP(AP[[#This Row],[Supplier name]], Supplier_master[Supplier name], Supplier_master[Terms days], 0)</f>
        <v>0</v>
      </c>
      <c r="R2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2" s="4"/>
      <c r="T212" s="46">
        <f>IF(AP[[#This Row],[Payment date - override (dd/mm/yyyy)]] &lt;&gt; "", AP[[#This Row],[Payment date - override (dd/mm/yyyy)]], AP[[#This Row],[Due date (dd/mm/yyyy)]])</f>
        <v>0</v>
      </c>
      <c r="U212" s="46">
        <f t="shared" si="3"/>
        <v>52</v>
      </c>
    </row>
    <row r="213" spans="3:21" x14ac:dyDescent="0.25">
      <c r="C213" s="28"/>
      <c r="D213" s="20"/>
      <c r="E213" s="4"/>
      <c r="F213" s="37"/>
      <c r="G213" s="24"/>
      <c r="H213" s="31">
        <f>_xlfn.XLOOKUP(AP[[#This Row],[Supplier name]], Supplier_master[Supplier name], Supplier_master[Category L1], 0)</f>
        <v>0</v>
      </c>
      <c r="I213" s="64">
        <f>_xlfn.XLOOKUP(AP[[#This Row],[Supplier name]], Supplier_master[Supplier name], Supplier_master[Category L2], 0)</f>
        <v>0</v>
      </c>
      <c r="J213" s="55"/>
      <c r="K213" s="54"/>
      <c r="L213" s="57">
        <f>IF(AP[[#This Row],[Spend category L1 - Override]] &lt;&gt; "", AP[[#This Row],[Spend category L1 - Override]], AP[[#This Row],[Spend category L1]])</f>
        <v>0</v>
      </c>
      <c r="M213" s="57">
        <f>IF(AP[[#This Row],[Spend category L2 - Override]] &lt;&gt; "", AP[[#This Row],[Spend category L2 - Override]], AP[[#This Row],[Spend category L2]])</f>
        <v>0</v>
      </c>
      <c r="N213" s="51">
        <f>Assumptions!$D$15</f>
        <v>0.1</v>
      </c>
      <c r="O213" s="45">
        <f>IF(AP[[#This Row],[GST applies?]] = "Yes", (AP[[#This Row],[Invoice value inc. GST]] / 1 + AP[[#This Row],[GST %]]) * AP[[#This Row],[GST %]], 0)</f>
        <v>0</v>
      </c>
      <c r="P213" s="31">
        <f>_xlfn.XLOOKUP(AP[[#This Row],[Supplier name]], Supplier_master[Supplier name], Supplier_master[EOM or Net], 0)</f>
        <v>0</v>
      </c>
      <c r="Q213" s="31">
        <f>_xlfn.XLOOKUP(AP[[#This Row],[Supplier name]], Supplier_master[Supplier name], Supplier_master[Terms days], 0)</f>
        <v>0</v>
      </c>
      <c r="R2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3" s="4"/>
      <c r="T213" s="46">
        <f>IF(AP[[#This Row],[Payment date - override (dd/mm/yyyy)]] &lt;&gt; "", AP[[#This Row],[Payment date - override (dd/mm/yyyy)]], AP[[#This Row],[Due date (dd/mm/yyyy)]])</f>
        <v>0</v>
      </c>
      <c r="U213" s="46">
        <f t="shared" si="3"/>
        <v>52</v>
      </c>
    </row>
    <row r="214" spans="3:21" x14ac:dyDescent="0.25">
      <c r="C214" s="28"/>
      <c r="D214" s="20"/>
      <c r="E214" s="4"/>
      <c r="F214" s="37"/>
      <c r="G214" s="24"/>
      <c r="H214" s="31">
        <f>_xlfn.XLOOKUP(AP[[#This Row],[Supplier name]], Supplier_master[Supplier name], Supplier_master[Category L1], 0)</f>
        <v>0</v>
      </c>
      <c r="I214" s="64">
        <f>_xlfn.XLOOKUP(AP[[#This Row],[Supplier name]], Supplier_master[Supplier name], Supplier_master[Category L2], 0)</f>
        <v>0</v>
      </c>
      <c r="J214" s="55"/>
      <c r="K214" s="54"/>
      <c r="L214" s="57">
        <f>IF(AP[[#This Row],[Spend category L1 - Override]] &lt;&gt; "", AP[[#This Row],[Spend category L1 - Override]], AP[[#This Row],[Spend category L1]])</f>
        <v>0</v>
      </c>
      <c r="M214" s="57">
        <f>IF(AP[[#This Row],[Spend category L2 - Override]] &lt;&gt; "", AP[[#This Row],[Spend category L2 - Override]], AP[[#This Row],[Spend category L2]])</f>
        <v>0</v>
      </c>
      <c r="N214" s="51">
        <f>Assumptions!$D$15</f>
        <v>0.1</v>
      </c>
      <c r="O214" s="45">
        <f>IF(AP[[#This Row],[GST applies?]] = "Yes", (AP[[#This Row],[Invoice value inc. GST]] / 1 + AP[[#This Row],[GST %]]) * AP[[#This Row],[GST %]], 0)</f>
        <v>0</v>
      </c>
      <c r="P214" s="31">
        <f>_xlfn.XLOOKUP(AP[[#This Row],[Supplier name]], Supplier_master[Supplier name], Supplier_master[EOM or Net], 0)</f>
        <v>0</v>
      </c>
      <c r="Q214" s="31">
        <f>_xlfn.XLOOKUP(AP[[#This Row],[Supplier name]], Supplier_master[Supplier name], Supplier_master[Terms days], 0)</f>
        <v>0</v>
      </c>
      <c r="R2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4" s="4"/>
      <c r="T214" s="46">
        <f>IF(AP[[#This Row],[Payment date - override (dd/mm/yyyy)]] &lt;&gt; "", AP[[#This Row],[Payment date - override (dd/mm/yyyy)]], AP[[#This Row],[Due date (dd/mm/yyyy)]])</f>
        <v>0</v>
      </c>
      <c r="U214" s="46">
        <f t="shared" si="3"/>
        <v>52</v>
      </c>
    </row>
    <row r="215" spans="3:21" x14ac:dyDescent="0.25">
      <c r="C215" s="28"/>
      <c r="D215" s="20"/>
      <c r="E215" s="4"/>
      <c r="F215" s="37"/>
      <c r="G215" s="24"/>
      <c r="H215" s="31">
        <f>_xlfn.XLOOKUP(AP[[#This Row],[Supplier name]], Supplier_master[Supplier name], Supplier_master[Category L1], 0)</f>
        <v>0</v>
      </c>
      <c r="I215" s="64">
        <f>_xlfn.XLOOKUP(AP[[#This Row],[Supplier name]], Supplier_master[Supplier name], Supplier_master[Category L2], 0)</f>
        <v>0</v>
      </c>
      <c r="J215" s="55"/>
      <c r="K215" s="54"/>
      <c r="L215" s="57">
        <f>IF(AP[[#This Row],[Spend category L1 - Override]] &lt;&gt; "", AP[[#This Row],[Spend category L1 - Override]], AP[[#This Row],[Spend category L1]])</f>
        <v>0</v>
      </c>
      <c r="M215" s="57">
        <f>IF(AP[[#This Row],[Spend category L2 - Override]] &lt;&gt; "", AP[[#This Row],[Spend category L2 - Override]], AP[[#This Row],[Spend category L2]])</f>
        <v>0</v>
      </c>
      <c r="N215" s="51">
        <f>Assumptions!$D$15</f>
        <v>0.1</v>
      </c>
      <c r="O215" s="45">
        <f>IF(AP[[#This Row],[GST applies?]] = "Yes", (AP[[#This Row],[Invoice value inc. GST]] / 1 + AP[[#This Row],[GST %]]) * AP[[#This Row],[GST %]], 0)</f>
        <v>0</v>
      </c>
      <c r="P215" s="31">
        <f>_xlfn.XLOOKUP(AP[[#This Row],[Supplier name]], Supplier_master[Supplier name], Supplier_master[EOM or Net], 0)</f>
        <v>0</v>
      </c>
      <c r="Q215" s="31">
        <f>_xlfn.XLOOKUP(AP[[#This Row],[Supplier name]], Supplier_master[Supplier name], Supplier_master[Terms days], 0)</f>
        <v>0</v>
      </c>
      <c r="R2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5" s="4"/>
      <c r="T215" s="46">
        <f>IF(AP[[#This Row],[Payment date - override (dd/mm/yyyy)]] &lt;&gt; "", AP[[#This Row],[Payment date - override (dd/mm/yyyy)]], AP[[#This Row],[Due date (dd/mm/yyyy)]])</f>
        <v>0</v>
      </c>
      <c r="U215" s="46">
        <f t="shared" si="3"/>
        <v>52</v>
      </c>
    </row>
    <row r="216" spans="3:21" x14ac:dyDescent="0.25">
      <c r="C216" s="28"/>
      <c r="D216" s="20"/>
      <c r="E216" s="4"/>
      <c r="F216" s="37"/>
      <c r="G216" s="24"/>
      <c r="H216" s="31">
        <f>_xlfn.XLOOKUP(AP[[#This Row],[Supplier name]], Supplier_master[Supplier name], Supplier_master[Category L1], 0)</f>
        <v>0</v>
      </c>
      <c r="I216" s="64">
        <f>_xlfn.XLOOKUP(AP[[#This Row],[Supplier name]], Supplier_master[Supplier name], Supplier_master[Category L2], 0)</f>
        <v>0</v>
      </c>
      <c r="J216" s="55"/>
      <c r="K216" s="54"/>
      <c r="L216" s="57">
        <f>IF(AP[[#This Row],[Spend category L1 - Override]] &lt;&gt; "", AP[[#This Row],[Spend category L1 - Override]], AP[[#This Row],[Spend category L1]])</f>
        <v>0</v>
      </c>
      <c r="M216" s="57">
        <f>IF(AP[[#This Row],[Spend category L2 - Override]] &lt;&gt; "", AP[[#This Row],[Spend category L2 - Override]], AP[[#This Row],[Spend category L2]])</f>
        <v>0</v>
      </c>
      <c r="N216" s="51">
        <f>Assumptions!$D$15</f>
        <v>0.1</v>
      </c>
      <c r="O216" s="45">
        <f>IF(AP[[#This Row],[GST applies?]] = "Yes", (AP[[#This Row],[Invoice value inc. GST]] / 1 + AP[[#This Row],[GST %]]) * AP[[#This Row],[GST %]], 0)</f>
        <v>0</v>
      </c>
      <c r="P216" s="31">
        <f>_xlfn.XLOOKUP(AP[[#This Row],[Supplier name]], Supplier_master[Supplier name], Supplier_master[EOM or Net], 0)</f>
        <v>0</v>
      </c>
      <c r="Q216" s="31">
        <f>_xlfn.XLOOKUP(AP[[#This Row],[Supplier name]], Supplier_master[Supplier name], Supplier_master[Terms days], 0)</f>
        <v>0</v>
      </c>
      <c r="R2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6" s="4"/>
      <c r="T216" s="46">
        <f>IF(AP[[#This Row],[Payment date - override (dd/mm/yyyy)]] &lt;&gt; "", AP[[#This Row],[Payment date - override (dd/mm/yyyy)]], AP[[#This Row],[Due date (dd/mm/yyyy)]])</f>
        <v>0</v>
      </c>
      <c r="U216" s="46">
        <f t="shared" si="3"/>
        <v>52</v>
      </c>
    </row>
    <row r="217" spans="3:21" x14ac:dyDescent="0.25">
      <c r="C217" s="28"/>
      <c r="D217" s="20"/>
      <c r="E217" s="4"/>
      <c r="F217" s="37"/>
      <c r="G217" s="24"/>
      <c r="H217" s="31">
        <f>_xlfn.XLOOKUP(AP[[#This Row],[Supplier name]], Supplier_master[Supplier name], Supplier_master[Category L1], 0)</f>
        <v>0</v>
      </c>
      <c r="I217" s="64">
        <f>_xlfn.XLOOKUP(AP[[#This Row],[Supplier name]], Supplier_master[Supplier name], Supplier_master[Category L2], 0)</f>
        <v>0</v>
      </c>
      <c r="J217" s="55"/>
      <c r="K217" s="54"/>
      <c r="L217" s="57">
        <f>IF(AP[[#This Row],[Spend category L1 - Override]] &lt;&gt; "", AP[[#This Row],[Spend category L1 - Override]], AP[[#This Row],[Spend category L1]])</f>
        <v>0</v>
      </c>
      <c r="M217" s="57">
        <f>IF(AP[[#This Row],[Spend category L2 - Override]] &lt;&gt; "", AP[[#This Row],[Spend category L2 - Override]], AP[[#This Row],[Spend category L2]])</f>
        <v>0</v>
      </c>
      <c r="N217" s="51">
        <f>Assumptions!$D$15</f>
        <v>0.1</v>
      </c>
      <c r="O217" s="45">
        <f>IF(AP[[#This Row],[GST applies?]] = "Yes", (AP[[#This Row],[Invoice value inc. GST]] / 1 + AP[[#This Row],[GST %]]) * AP[[#This Row],[GST %]], 0)</f>
        <v>0</v>
      </c>
      <c r="P217" s="31">
        <f>_xlfn.XLOOKUP(AP[[#This Row],[Supplier name]], Supplier_master[Supplier name], Supplier_master[EOM or Net], 0)</f>
        <v>0</v>
      </c>
      <c r="Q217" s="31">
        <f>_xlfn.XLOOKUP(AP[[#This Row],[Supplier name]], Supplier_master[Supplier name], Supplier_master[Terms days], 0)</f>
        <v>0</v>
      </c>
      <c r="R2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7" s="4"/>
      <c r="T217" s="46">
        <f>IF(AP[[#This Row],[Payment date - override (dd/mm/yyyy)]] &lt;&gt; "", AP[[#This Row],[Payment date - override (dd/mm/yyyy)]], AP[[#This Row],[Due date (dd/mm/yyyy)]])</f>
        <v>0</v>
      </c>
      <c r="U217" s="46">
        <f t="shared" si="3"/>
        <v>52</v>
      </c>
    </row>
    <row r="218" spans="3:21" x14ac:dyDescent="0.25">
      <c r="C218" s="28"/>
      <c r="D218" s="20"/>
      <c r="E218" s="4"/>
      <c r="F218" s="37"/>
      <c r="G218" s="24"/>
      <c r="H218" s="31">
        <f>_xlfn.XLOOKUP(AP[[#This Row],[Supplier name]], Supplier_master[Supplier name], Supplier_master[Category L1], 0)</f>
        <v>0</v>
      </c>
      <c r="I218" s="64">
        <f>_xlfn.XLOOKUP(AP[[#This Row],[Supplier name]], Supplier_master[Supplier name], Supplier_master[Category L2], 0)</f>
        <v>0</v>
      </c>
      <c r="J218" s="55"/>
      <c r="K218" s="54"/>
      <c r="L218" s="57">
        <f>IF(AP[[#This Row],[Spend category L1 - Override]] &lt;&gt; "", AP[[#This Row],[Spend category L1 - Override]], AP[[#This Row],[Spend category L1]])</f>
        <v>0</v>
      </c>
      <c r="M218" s="57">
        <f>IF(AP[[#This Row],[Spend category L2 - Override]] &lt;&gt; "", AP[[#This Row],[Spend category L2 - Override]], AP[[#This Row],[Spend category L2]])</f>
        <v>0</v>
      </c>
      <c r="N218" s="51">
        <f>Assumptions!$D$15</f>
        <v>0.1</v>
      </c>
      <c r="O218" s="45">
        <f>IF(AP[[#This Row],[GST applies?]] = "Yes", (AP[[#This Row],[Invoice value inc. GST]] / 1 + AP[[#This Row],[GST %]]) * AP[[#This Row],[GST %]], 0)</f>
        <v>0</v>
      </c>
      <c r="P218" s="31">
        <f>_xlfn.XLOOKUP(AP[[#This Row],[Supplier name]], Supplier_master[Supplier name], Supplier_master[EOM or Net], 0)</f>
        <v>0</v>
      </c>
      <c r="Q218" s="31">
        <f>_xlfn.XLOOKUP(AP[[#This Row],[Supplier name]], Supplier_master[Supplier name], Supplier_master[Terms days], 0)</f>
        <v>0</v>
      </c>
      <c r="R2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8" s="4"/>
      <c r="T218" s="46">
        <f>IF(AP[[#This Row],[Payment date - override (dd/mm/yyyy)]] &lt;&gt; "", AP[[#This Row],[Payment date - override (dd/mm/yyyy)]], AP[[#This Row],[Due date (dd/mm/yyyy)]])</f>
        <v>0</v>
      </c>
      <c r="U218" s="46">
        <f t="shared" si="3"/>
        <v>52</v>
      </c>
    </row>
    <row r="219" spans="3:21" x14ac:dyDescent="0.25">
      <c r="C219" s="28"/>
      <c r="D219" s="20"/>
      <c r="E219" s="4"/>
      <c r="F219" s="37"/>
      <c r="G219" s="24"/>
      <c r="H219" s="31">
        <f>_xlfn.XLOOKUP(AP[[#This Row],[Supplier name]], Supplier_master[Supplier name], Supplier_master[Category L1], 0)</f>
        <v>0</v>
      </c>
      <c r="I219" s="64">
        <f>_xlfn.XLOOKUP(AP[[#This Row],[Supplier name]], Supplier_master[Supplier name], Supplier_master[Category L2], 0)</f>
        <v>0</v>
      </c>
      <c r="J219" s="55"/>
      <c r="K219" s="54"/>
      <c r="L219" s="57">
        <f>IF(AP[[#This Row],[Spend category L1 - Override]] &lt;&gt; "", AP[[#This Row],[Spend category L1 - Override]], AP[[#This Row],[Spend category L1]])</f>
        <v>0</v>
      </c>
      <c r="M219" s="57">
        <f>IF(AP[[#This Row],[Spend category L2 - Override]] &lt;&gt; "", AP[[#This Row],[Spend category L2 - Override]], AP[[#This Row],[Spend category L2]])</f>
        <v>0</v>
      </c>
      <c r="N219" s="51">
        <f>Assumptions!$D$15</f>
        <v>0.1</v>
      </c>
      <c r="O219" s="45">
        <f>IF(AP[[#This Row],[GST applies?]] = "Yes", (AP[[#This Row],[Invoice value inc. GST]] / 1 + AP[[#This Row],[GST %]]) * AP[[#This Row],[GST %]], 0)</f>
        <v>0</v>
      </c>
      <c r="P219" s="31">
        <f>_xlfn.XLOOKUP(AP[[#This Row],[Supplier name]], Supplier_master[Supplier name], Supplier_master[EOM or Net], 0)</f>
        <v>0</v>
      </c>
      <c r="Q219" s="31">
        <f>_xlfn.XLOOKUP(AP[[#This Row],[Supplier name]], Supplier_master[Supplier name], Supplier_master[Terms days], 0)</f>
        <v>0</v>
      </c>
      <c r="R2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9" s="4"/>
      <c r="T219" s="46">
        <f>IF(AP[[#This Row],[Payment date - override (dd/mm/yyyy)]] &lt;&gt; "", AP[[#This Row],[Payment date - override (dd/mm/yyyy)]], AP[[#This Row],[Due date (dd/mm/yyyy)]])</f>
        <v>0</v>
      </c>
      <c r="U219" s="46">
        <f t="shared" si="3"/>
        <v>52</v>
      </c>
    </row>
    <row r="220" spans="3:21" x14ac:dyDescent="0.25">
      <c r="C220" s="28"/>
      <c r="D220" s="20"/>
      <c r="E220" s="4"/>
      <c r="F220" s="37"/>
      <c r="G220" s="24"/>
      <c r="H220" s="31">
        <f>_xlfn.XLOOKUP(AP[[#This Row],[Supplier name]], Supplier_master[Supplier name], Supplier_master[Category L1], 0)</f>
        <v>0</v>
      </c>
      <c r="I220" s="64">
        <f>_xlfn.XLOOKUP(AP[[#This Row],[Supplier name]], Supplier_master[Supplier name], Supplier_master[Category L2], 0)</f>
        <v>0</v>
      </c>
      <c r="J220" s="55"/>
      <c r="K220" s="54"/>
      <c r="L220" s="57">
        <f>IF(AP[[#This Row],[Spend category L1 - Override]] &lt;&gt; "", AP[[#This Row],[Spend category L1 - Override]], AP[[#This Row],[Spend category L1]])</f>
        <v>0</v>
      </c>
      <c r="M220" s="57">
        <f>IF(AP[[#This Row],[Spend category L2 - Override]] &lt;&gt; "", AP[[#This Row],[Spend category L2 - Override]], AP[[#This Row],[Spend category L2]])</f>
        <v>0</v>
      </c>
      <c r="N220" s="51">
        <f>Assumptions!$D$15</f>
        <v>0.1</v>
      </c>
      <c r="O220" s="45">
        <f>IF(AP[[#This Row],[GST applies?]] = "Yes", (AP[[#This Row],[Invoice value inc. GST]] / 1 + AP[[#This Row],[GST %]]) * AP[[#This Row],[GST %]], 0)</f>
        <v>0</v>
      </c>
      <c r="P220" s="31">
        <f>_xlfn.XLOOKUP(AP[[#This Row],[Supplier name]], Supplier_master[Supplier name], Supplier_master[EOM or Net], 0)</f>
        <v>0</v>
      </c>
      <c r="Q220" s="31">
        <f>_xlfn.XLOOKUP(AP[[#This Row],[Supplier name]], Supplier_master[Supplier name], Supplier_master[Terms days], 0)</f>
        <v>0</v>
      </c>
      <c r="R2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0" s="4"/>
      <c r="T220" s="46">
        <f>IF(AP[[#This Row],[Payment date - override (dd/mm/yyyy)]] &lt;&gt; "", AP[[#This Row],[Payment date - override (dd/mm/yyyy)]], AP[[#This Row],[Due date (dd/mm/yyyy)]])</f>
        <v>0</v>
      </c>
      <c r="U220" s="46">
        <f t="shared" si="3"/>
        <v>52</v>
      </c>
    </row>
    <row r="221" spans="3:21" x14ac:dyDescent="0.25">
      <c r="C221" s="28"/>
      <c r="D221" s="20"/>
      <c r="E221" s="4"/>
      <c r="F221" s="37"/>
      <c r="G221" s="24"/>
      <c r="H221" s="31">
        <f>_xlfn.XLOOKUP(AP[[#This Row],[Supplier name]], Supplier_master[Supplier name], Supplier_master[Category L1], 0)</f>
        <v>0</v>
      </c>
      <c r="I221" s="64">
        <f>_xlfn.XLOOKUP(AP[[#This Row],[Supplier name]], Supplier_master[Supplier name], Supplier_master[Category L2], 0)</f>
        <v>0</v>
      </c>
      <c r="J221" s="55"/>
      <c r="K221" s="54"/>
      <c r="L221" s="57">
        <f>IF(AP[[#This Row],[Spend category L1 - Override]] &lt;&gt; "", AP[[#This Row],[Spend category L1 - Override]], AP[[#This Row],[Spend category L1]])</f>
        <v>0</v>
      </c>
      <c r="M221" s="57">
        <f>IF(AP[[#This Row],[Spend category L2 - Override]] &lt;&gt; "", AP[[#This Row],[Spend category L2 - Override]], AP[[#This Row],[Spend category L2]])</f>
        <v>0</v>
      </c>
      <c r="N221" s="51">
        <f>Assumptions!$D$15</f>
        <v>0.1</v>
      </c>
      <c r="O221" s="45">
        <f>IF(AP[[#This Row],[GST applies?]] = "Yes", (AP[[#This Row],[Invoice value inc. GST]] / 1 + AP[[#This Row],[GST %]]) * AP[[#This Row],[GST %]], 0)</f>
        <v>0</v>
      </c>
      <c r="P221" s="31">
        <f>_xlfn.XLOOKUP(AP[[#This Row],[Supplier name]], Supplier_master[Supplier name], Supplier_master[EOM or Net], 0)</f>
        <v>0</v>
      </c>
      <c r="Q221" s="31">
        <f>_xlfn.XLOOKUP(AP[[#This Row],[Supplier name]], Supplier_master[Supplier name], Supplier_master[Terms days], 0)</f>
        <v>0</v>
      </c>
      <c r="R2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1" s="4"/>
      <c r="T221" s="46">
        <f>IF(AP[[#This Row],[Payment date - override (dd/mm/yyyy)]] &lt;&gt; "", AP[[#This Row],[Payment date - override (dd/mm/yyyy)]], AP[[#This Row],[Due date (dd/mm/yyyy)]])</f>
        <v>0</v>
      </c>
      <c r="U221" s="46">
        <f t="shared" si="3"/>
        <v>52</v>
      </c>
    </row>
    <row r="222" spans="3:21" x14ac:dyDescent="0.25">
      <c r="C222" s="28"/>
      <c r="D222" s="20"/>
      <c r="E222" s="4"/>
      <c r="F222" s="37"/>
      <c r="G222" s="24"/>
      <c r="H222" s="31">
        <f>_xlfn.XLOOKUP(AP[[#This Row],[Supplier name]], Supplier_master[Supplier name], Supplier_master[Category L1], 0)</f>
        <v>0</v>
      </c>
      <c r="I222" s="64">
        <f>_xlfn.XLOOKUP(AP[[#This Row],[Supplier name]], Supplier_master[Supplier name], Supplier_master[Category L2], 0)</f>
        <v>0</v>
      </c>
      <c r="J222" s="55"/>
      <c r="K222" s="54"/>
      <c r="L222" s="57">
        <f>IF(AP[[#This Row],[Spend category L1 - Override]] &lt;&gt; "", AP[[#This Row],[Spend category L1 - Override]], AP[[#This Row],[Spend category L1]])</f>
        <v>0</v>
      </c>
      <c r="M222" s="57">
        <f>IF(AP[[#This Row],[Spend category L2 - Override]] &lt;&gt; "", AP[[#This Row],[Spend category L2 - Override]], AP[[#This Row],[Spend category L2]])</f>
        <v>0</v>
      </c>
      <c r="N222" s="51">
        <f>Assumptions!$D$15</f>
        <v>0.1</v>
      </c>
      <c r="O222" s="45">
        <f>IF(AP[[#This Row],[GST applies?]] = "Yes", (AP[[#This Row],[Invoice value inc. GST]] / 1 + AP[[#This Row],[GST %]]) * AP[[#This Row],[GST %]], 0)</f>
        <v>0</v>
      </c>
      <c r="P222" s="31">
        <f>_xlfn.XLOOKUP(AP[[#This Row],[Supplier name]], Supplier_master[Supplier name], Supplier_master[EOM or Net], 0)</f>
        <v>0</v>
      </c>
      <c r="Q222" s="31">
        <f>_xlfn.XLOOKUP(AP[[#This Row],[Supplier name]], Supplier_master[Supplier name], Supplier_master[Terms days], 0)</f>
        <v>0</v>
      </c>
      <c r="R2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2" s="4"/>
      <c r="T222" s="46">
        <f>IF(AP[[#This Row],[Payment date - override (dd/mm/yyyy)]] &lt;&gt; "", AP[[#This Row],[Payment date - override (dd/mm/yyyy)]], AP[[#This Row],[Due date (dd/mm/yyyy)]])</f>
        <v>0</v>
      </c>
      <c r="U222" s="46">
        <f t="shared" si="3"/>
        <v>52</v>
      </c>
    </row>
    <row r="223" spans="3:21" x14ac:dyDescent="0.25">
      <c r="C223" s="28"/>
      <c r="D223" s="20"/>
      <c r="E223" s="4"/>
      <c r="F223" s="37"/>
      <c r="G223" s="24"/>
      <c r="H223" s="31">
        <f>_xlfn.XLOOKUP(AP[[#This Row],[Supplier name]], Supplier_master[Supplier name], Supplier_master[Category L1], 0)</f>
        <v>0</v>
      </c>
      <c r="I223" s="64">
        <f>_xlfn.XLOOKUP(AP[[#This Row],[Supplier name]], Supplier_master[Supplier name], Supplier_master[Category L2], 0)</f>
        <v>0</v>
      </c>
      <c r="J223" s="55"/>
      <c r="K223" s="54"/>
      <c r="L223" s="57">
        <f>IF(AP[[#This Row],[Spend category L1 - Override]] &lt;&gt; "", AP[[#This Row],[Spend category L1 - Override]], AP[[#This Row],[Spend category L1]])</f>
        <v>0</v>
      </c>
      <c r="M223" s="57">
        <f>IF(AP[[#This Row],[Spend category L2 - Override]] &lt;&gt; "", AP[[#This Row],[Spend category L2 - Override]], AP[[#This Row],[Spend category L2]])</f>
        <v>0</v>
      </c>
      <c r="N223" s="51">
        <f>Assumptions!$D$15</f>
        <v>0.1</v>
      </c>
      <c r="O223" s="45">
        <f>IF(AP[[#This Row],[GST applies?]] = "Yes", (AP[[#This Row],[Invoice value inc. GST]] / 1 + AP[[#This Row],[GST %]]) * AP[[#This Row],[GST %]], 0)</f>
        <v>0</v>
      </c>
      <c r="P223" s="31">
        <f>_xlfn.XLOOKUP(AP[[#This Row],[Supplier name]], Supplier_master[Supplier name], Supplier_master[EOM or Net], 0)</f>
        <v>0</v>
      </c>
      <c r="Q223" s="31">
        <f>_xlfn.XLOOKUP(AP[[#This Row],[Supplier name]], Supplier_master[Supplier name], Supplier_master[Terms days], 0)</f>
        <v>0</v>
      </c>
      <c r="R2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3" s="4"/>
      <c r="T223" s="46">
        <f>IF(AP[[#This Row],[Payment date - override (dd/mm/yyyy)]] &lt;&gt; "", AP[[#This Row],[Payment date - override (dd/mm/yyyy)]], AP[[#This Row],[Due date (dd/mm/yyyy)]])</f>
        <v>0</v>
      </c>
      <c r="U223" s="46">
        <f t="shared" si="3"/>
        <v>52</v>
      </c>
    </row>
    <row r="224" spans="3:21" x14ac:dyDescent="0.25">
      <c r="C224" s="28"/>
      <c r="D224" s="20"/>
      <c r="E224" s="4"/>
      <c r="F224" s="37"/>
      <c r="G224" s="24"/>
      <c r="H224" s="31">
        <f>_xlfn.XLOOKUP(AP[[#This Row],[Supplier name]], Supplier_master[Supplier name], Supplier_master[Category L1], 0)</f>
        <v>0</v>
      </c>
      <c r="I224" s="64">
        <f>_xlfn.XLOOKUP(AP[[#This Row],[Supplier name]], Supplier_master[Supplier name], Supplier_master[Category L2], 0)</f>
        <v>0</v>
      </c>
      <c r="J224" s="55"/>
      <c r="K224" s="54"/>
      <c r="L224" s="57">
        <f>IF(AP[[#This Row],[Spend category L1 - Override]] &lt;&gt; "", AP[[#This Row],[Spend category L1 - Override]], AP[[#This Row],[Spend category L1]])</f>
        <v>0</v>
      </c>
      <c r="M224" s="57">
        <f>IF(AP[[#This Row],[Spend category L2 - Override]] &lt;&gt; "", AP[[#This Row],[Spend category L2 - Override]], AP[[#This Row],[Spend category L2]])</f>
        <v>0</v>
      </c>
      <c r="N224" s="51">
        <f>Assumptions!$D$15</f>
        <v>0.1</v>
      </c>
      <c r="O224" s="45">
        <f>IF(AP[[#This Row],[GST applies?]] = "Yes", (AP[[#This Row],[Invoice value inc. GST]] / 1 + AP[[#This Row],[GST %]]) * AP[[#This Row],[GST %]], 0)</f>
        <v>0</v>
      </c>
      <c r="P224" s="31">
        <f>_xlfn.XLOOKUP(AP[[#This Row],[Supplier name]], Supplier_master[Supplier name], Supplier_master[EOM or Net], 0)</f>
        <v>0</v>
      </c>
      <c r="Q224" s="31">
        <f>_xlfn.XLOOKUP(AP[[#This Row],[Supplier name]], Supplier_master[Supplier name], Supplier_master[Terms days], 0)</f>
        <v>0</v>
      </c>
      <c r="R2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4" s="4"/>
      <c r="T224" s="46">
        <f>IF(AP[[#This Row],[Payment date - override (dd/mm/yyyy)]] &lt;&gt; "", AP[[#This Row],[Payment date - override (dd/mm/yyyy)]], AP[[#This Row],[Due date (dd/mm/yyyy)]])</f>
        <v>0</v>
      </c>
      <c r="U224" s="46">
        <f t="shared" si="3"/>
        <v>52</v>
      </c>
    </row>
    <row r="225" spans="3:21" x14ac:dyDescent="0.25">
      <c r="C225" s="28"/>
      <c r="D225" s="20"/>
      <c r="E225" s="4"/>
      <c r="F225" s="37"/>
      <c r="G225" s="24"/>
      <c r="H225" s="31">
        <f>_xlfn.XLOOKUP(AP[[#This Row],[Supplier name]], Supplier_master[Supplier name], Supplier_master[Category L1], 0)</f>
        <v>0</v>
      </c>
      <c r="I225" s="64">
        <f>_xlfn.XLOOKUP(AP[[#This Row],[Supplier name]], Supplier_master[Supplier name], Supplier_master[Category L2], 0)</f>
        <v>0</v>
      </c>
      <c r="J225" s="55"/>
      <c r="K225" s="54"/>
      <c r="L225" s="57">
        <f>IF(AP[[#This Row],[Spend category L1 - Override]] &lt;&gt; "", AP[[#This Row],[Spend category L1 - Override]], AP[[#This Row],[Spend category L1]])</f>
        <v>0</v>
      </c>
      <c r="M225" s="57">
        <f>IF(AP[[#This Row],[Spend category L2 - Override]] &lt;&gt; "", AP[[#This Row],[Spend category L2 - Override]], AP[[#This Row],[Spend category L2]])</f>
        <v>0</v>
      </c>
      <c r="N225" s="51">
        <f>Assumptions!$D$15</f>
        <v>0.1</v>
      </c>
      <c r="O225" s="45">
        <f>IF(AP[[#This Row],[GST applies?]] = "Yes", (AP[[#This Row],[Invoice value inc. GST]] / 1 + AP[[#This Row],[GST %]]) * AP[[#This Row],[GST %]], 0)</f>
        <v>0</v>
      </c>
      <c r="P225" s="31">
        <f>_xlfn.XLOOKUP(AP[[#This Row],[Supplier name]], Supplier_master[Supplier name], Supplier_master[EOM or Net], 0)</f>
        <v>0</v>
      </c>
      <c r="Q225" s="31">
        <f>_xlfn.XLOOKUP(AP[[#This Row],[Supplier name]], Supplier_master[Supplier name], Supplier_master[Terms days], 0)</f>
        <v>0</v>
      </c>
      <c r="R2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5" s="4"/>
      <c r="T225" s="46">
        <f>IF(AP[[#This Row],[Payment date - override (dd/mm/yyyy)]] &lt;&gt; "", AP[[#This Row],[Payment date - override (dd/mm/yyyy)]], AP[[#This Row],[Due date (dd/mm/yyyy)]])</f>
        <v>0</v>
      </c>
      <c r="U225" s="46">
        <f t="shared" si="3"/>
        <v>52</v>
      </c>
    </row>
    <row r="226" spans="3:21" x14ac:dyDescent="0.25">
      <c r="C226" s="28"/>
      <c r="D226" s="20"/>
      <c r="E226" s="4"/>
      <c r="F226" s="37"/>
      <c r="G226" s="24"/>
      <c r="H226" s="31">
        <f>_xlfn.XLOOKUP(AP[[#This Row],[Supplier name]], Supplier_master[Supplier name], Supplier_master[Category L1], 0)</f>
        <v>0</v>
      </c>
      <c r="I226" s="64">
        <f>_xlfn.XLOOKUP(AP[[#This Row],[Supplier name]], Supplier_master[Supplier name], Supplier_master[Category L2], 0)</f>
        <v>0</v>
      </c>
      <c r="J226" s="55"/>
      <c r="K226" s="54"/>
      <c r="L226" s="57">
        <f>IF(AP[[#This Row],[Spend category L1 - Override]] &lt;&gt; "", AP[[#This Row],[Spend category L1 - Override]], AP[[#This Row],[Spend category L1]])</f>
        <v>0</v>
      </c>
      <c r="M226" s="57">
        <f>IF(AP[[#This Row],[Spend category L2 - Override]] &lt;&gt; "", AP[[#This Row],[Spend category L2 - Override]], AP[[#This Row],[Spend category L2]])</f>
        <v>0</v>
      </c>
      <c r="N226" s="51">
        <f>Assumptions!$D$15</f>
        <v>0.1</v>
      </c>
      <c r="O226" s="45">
        <f>IF(AP[[#This Row],[GST applies?]] = "Yes", (AP[[#This Row],[Invoice value inc. GST]] / 1 + AP[[#This Row],[GST %]]) * AP[[#This Row],[GST %]], 0)</f>
        <v>0</v>
      </c>
      <c r="P226" s="31">
        <f>_xlfn.XLOOKUP(AP[[#This Row],[Supplier name]], Supplier_master[Supplier name], Supplier_master[EOM or Net], 0)</f>
        <v>0</v>
      </c>
      <c r="Q226" s="31">
        <f>_xlfn.XLOOKUP(AP[[#This Row],[Supplier name]], Supplier_master[Supplier name], Supplier_master[Terms days], 0)</f>
        <v>0</v>
      </c>
      <c r="R2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6" s="4"/>
      <c r="T226" s="46">
        <f>IF(AP[[#This Row],[Payment date - override (dd/mm/yyyy)]] &lt;&gt; "", AP[[#This Row],[Payment date - override (dd/mm/yyyy)]], AP[[#This Row],[Due date (dd/mm/yyyy)]])</f>
        <v>0</v>
      </c>
      <c r="U226" s="46">
        <f t="shared" si="3"/>
        <v>52</v>
      </c>
    </row>
    <row r="227" spans="3:21" x14ac:dyDescent="0.25">
      <c r="C227" s="28"/>
      <c r="D227" s="20"/>
      <c r="E227" s="4"/>
      <c r="F227" s="37"/>
      <c r="G227" s="24"/>
      <c r="H227" s="31">
        <f>_xlfn.XLOOKUP(AP[[#This Row],[Supplier name]], Supplier_master[Supplier name], Supplier_master[Category L1], 0)</f>
        <v>0</v>
      </c>
      <c r="I227" s="64">
        <f>_xlfn.XLOOKUP(AP[[#This Row],[Supplier name]], Supplier_master[Supplier name], Supplier_master[Category L2], 0)</f>
        <v>0</v>
      </c>
      <c r="J227" s="55"/>
      <c r="K227" s="54"/>
      <c r="L227" s="57">
        <f>IF(AP[[#This Row],[Spend category L1 - Override]] &lt;&gt; "", AP[[#This Row],[Spend category L1 - Override]], AP[[#This Row],[Spend category L1]])</f>
        <v>0</v>
      </c>
      <c r="M227" s="57">
        <f>IF(AP[[#This Row],[Spend category L2 - Override]] &lt;&gt; "", AP[[#This Row],[Spend category L2 - Override]], AP[[#This Row],[Spend category L2]])</f>
        <v>0</v>
      </c>
      <c r="N227" s="51">
        <f>Assumptions!$D$15</f>
        <v>0.1</v>
      </c>
      <c r="O227" s="45">
        <f>IF(AP[[#This Row],[GST applies?]] = "Yes", (AP[[#This Row],[Invoice value inc. GST]] / 1 + AP[[#This Row],[GST %]]) * AP[[#This Row],[GST %]], 0)</f>
        <v>0</v>
      </c>
      <c r="P227" s="31">
        <f>_xlfn.XLOOKUP(AP[[#This Row],[Supplier name]], Supplier_master[Supplier name], Supplier_master[EOM or Net], 0)</f>
        <v>0</v>
      </c>
      <c r="Q227" s="31">
        <f>_xlfn.XLOOKUP(AP[[#This Row],[Supplier name]], Supplier_master[Supplier name], Supplier_master[Terms days], 0)</f>
        <v>0</v>
      </c>
      <c r="R2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7" s="4"/>
      <c r="T227" s="46">
        <f>IF(AP[[#This Row],[Payment date - override (dd/mm/yyyy)]] &lt;&gt; "", AP[[#This Row],[Payment date - override (dd/mm/yyyy)]], AP[[#This Row],[Due date (dd/mm/yyyy)]])</f>
        <v>0</v>
      </c>
      <c r="U227" s="46">
        <f t="shared" si="3"/>
        <v>52</v>
      </c>
    </row>
    <row r="228" spans="3:21" x14ac:dyDescent="0.25">
      <c r="C228" s="28"/>
      <c r="D228" s="20"/>
      <c r="E228" s="4"/>
      <c r="F228" s="37"/>
      <c r="G228" s="24"/>
      <c r="H228" s="31">
        <f>_xlfn.XLOOKUP(AP[[#This Row],[Supplier name]], Supplier_master[Supplier name], Supplier_master[Category L1], 0)</f>
        <v>0</v>
      </c>
      <c r="I228" s="64">
        <f>_xlfn.XLOOKUP(AP[[#This Row],[Supplier name]], Supplier_master[Supplier name], Supplier_master[Category L2], 0)</f>
        <v>0</v>
      </c>
      <c r="J228" s="55"/>
      <c r="K228" s="54"/>
      <c r="L228" s="57">
        <f>IF(AP[[#This Row],[Spend category L1 - Override]] &lt;&gt; "", AP[[#This Row],[Spend category L1 - Override]], AP[[#This Row],[Spend category L1]])</f>
        <v>0</v>
      </c>
      <c r="M228" s="57">
        <f>IF(AP[[#This Row],[Spend category L2 - Override]] &lt;&gt; "", AP[[#This Row],[Spend category L2 - Override]], AP[[#This Row],[Spend category L2]])</f>
        <v>0</v>
      </c>
      <c r="N228" s="51">
        <f>Assumptions!$D$15</f>
        <v>0.1</v>
      </c>
      <c r="O228" s="45">
        <f>IF(AP[[#This Row],[GST applies?]] = "Yes", (AP[[#This Row],[Invoice value inc. GST]] / 1 + AP[[#This Row],[GST %]]) * AP[[#This Row],[GST %]], 0)</f>
        <v>0</v>
      </c>
      <c r="P228" s="31">
        <f>_xlfn.XLOOKUP(AP[[#This Row],[Supplier name]], Supplier_master[Supplier name], Supplier_master[EOM or Net], 0)</f>
        <v>0</v>
      </c>
      <c r="Q228" s="31">
        <f>_xlfn.XLOOKUP(AP[[#This Row],[Supplier name]], Supplier_master[Supplier name], Supplier_master[Terms days], 0)</f>
        <v>0</v>
      </c>
      <c r="R2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8" s="4"/>
      <c r="T228" s="46">
        <f>IF(AP[[#This Row],[Payment date - override (dd/mm/yyyy)]] &lt;&gt; "", AP[[#This Row],[Payment date - override (dd/mm/yyyy)]], AP[[#This Row],[Due date (dd/mm/yyyy)]])</f>
        <v>0</v>
      </c>
      <c r="U228" s="46">
        <f t="shared" si="3"/>
        <v>52</v>
      </c>
    </row>
    <row r="229" spans="3:21" x14ac:dyDescent="0.25">
      <c r="C229" s="28"/>
      <c r="D229" s="20"/>
      <c r="E229" s="4"/>
      <c r="F229" s="37"/>
      <c r="G229" s="24"/>
      <c r="H229" s="31">
        <f>_xlfn.XLOOKUP(AP[[#This Row],[Supplier name]], Supplier_master[Supplier name], Supplier_master[Category L1], 0)</f>
        <v>0</v>
      </c>
      <c r="I229" s="64">
        <f>_xlfn.XLOOKUP(AP[[#This Row],[Supplier name]], Supplier_master[Supplier name], Supplier_master[Category L2], 0)</f>
        <v>0</v>
      </c>
      <c r="J229" s="55"/>
      <c r="K229" s="54"/>
      <c r="L229" s="57">
        <f>IF(AP[[#This Row],[Spend category L1 - Override]] &lt;&gt; "", AP[[#This Row],[Spend category L1 - Override]], AP[[#This Row],[Spend category L1]])</f>
        <v>0</v>
      </c>
      <c r="M229" s="57">
        <f>IF(AP[[#This Row],[Spend category L2 - Override]] &lt;&gt; "", AP[[#This Row],[Spend category L2 - Override]], AP[[#This Row],[Spend category L2]])</f>
        <v>0</v>
      </c>
      <c r="N229" s="51">
        <f>Assumptions!$D$15</f>
        <v>0.1</v>
      </c>
      <c r="O229" s="45">
        <f>IF(AP[[#This Row],[GST applies?]] = "Yes", (AP[[#This Row],[Invoice value inc. GST]] / 1 + AP[[#This Row],[GST %]]) * AP[[#This Row],[GST %]], 0)</f>
        <v>0</v>
      </c>
      <c r="P229" s="31">
        <f>_xlfn.XLOOKUP(AP[[#This Row],[Supplier name]], Supplier_master[Supplier name], Supplier_master[EOM or Net], 0)</f>
        <v>0</v>
      </c>
      <c r="Q229" s="31">
        <f>_xlfn.XLOOKUP(AP[[#This Row],[Supplier name]], Supplier_master[Supplier name], Supplier_master[Terms days], 0)</f>
        <v>0</v>
      </c>
      <c r="R2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9" s="4"/>
      <c r="T229" s="46">
        <f>IF(AP[[#This Row],[Payment date - override (dd/mm/yyyy)]] &lt;&gt; "", AP[[#This Row],[Payment date - override (dd/mm/yyyy)]], AP[[#This Row],[Due date (dd/mm/yyyy)]])</f>
        <v>0</v>
      </c>
      <c r="U229" s="46">
        <f t="shared" si="3"/>
        <v>52</v>
      </c>
    </row>
    <row r="230" spans="3:21" x14ac:dyDescent="0.25">
      <c r="C230" s="28"/>
      <c r="D230" s="20"/>
      <c r="E230" s="4"/>
      <c r="F230" s="37"/>
      <c r="G230" s="24"/>
      <c r="H230" s="31">
        <f>_xlfn.XLOOKUP(AP[[#This Row],[Supplier name]], Supplier_master[Supplier name], Supplier_master[Category L1], 0)</f>
        <v>0</v>
      </c>
      <c r="I230" s="64">
        <f>_xlfn.XLOOKUP(AP[[#This Row],[Supplier name]], Supplier_master[Supplier name], Supplier_master[Category L2], 0)</f>
        <v>0</v>
      </c>
      <c r="J230" s="55"/>
      <c r="K230" s="54"/>
      <c r="L230" s="57">
        <f>IF(AP[[#This Row],[Spend category L1 - Override]] &lt;&gt; "", AP[[#This Row],[Spend category L1 - Override]], AP[[#This Row],[Spend category L1]])</f>
        <v>0</v>
      </c>
      <c r="M230" s="57">
        <f>IF(AP[[#This Row],[Spend category L2 - Override]] &lt;&gt; "", AP[[#This Row],[Spend category L2 - Override]], AP[[#This Row],[Spend category L2]])</f>
        <v>0</v>
      </c>
      <c r="N230" s="51">
        <f>Assumptions!$D$15</f>
        <v>0.1</v>
      </c>
      <c r="O230" s="45">
        <f>IF(AP[[#This Row],[GST applies?]] = "Yes", (AP[[#This Row],[Invoice value inc. GST]] / 1 + AP[[#This Row],[GST %]]) * AP[[#This Row],[GST %]], 0)</f>
        <v>0</v>
      </c>
      <c r="P230" s="31">
        <f>_xlfn.XLOOKUP(AP[[#This Row],[Supplier name]], Supplier_master[Supplier name], Supplier_master[EOM or Net], 0)</f>
        <v>0</v>
      </c>
      <c r="Q230" s="31">
        <f>_xlfn.XLOOKUP(AP[[#This Row],[Supplier name]], Supplier_master[Supplier name], Supplier_master[Terms days], 0)</f>
        <v>0</v>
      </c>
      <c r="R2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0" s="4"/>
      <c r="T230" s="46">
        <f>IF(AP[[#This Row],[Payment date - override (dd/mm/yyyy)]] &lt;&gt; "", AP[[#This Row],[Payment date - override (dd/mm/yyyy)]], AP[[#This Row],[Due date (dd/mm/yyyy)]])</f>
        <v>0</v>
      </c>
      <c r="U230" s="46">
        <f t="shared" si="3"/>
        <v>52</v>
      </c>
    </row>
    <row r="231" spans="3:21" x14ac:dyDescent="0.25">
      <c r="C231" s="28"/>
      <c r="D231" s="20"/>
      <c r="E231" s="4"/>
      <c r="F231" s="37"/>
      <c r="G231" s="24"/>
      <c r="H231" s="31">
        <f>_xlfn.XLOOKUP(AP[[#This Row],[Supplier name]], Supplier_master[Supplier name], Supplier_master[Category L1], 0)</f>
        <v>0</v>
      </c>
      <c r="I231" s="64">
        <f>_xlfn.XLOOKUP(AP[[#This Row],[Supplier name]], Supplier_master[Supplier name], Supplier_master[Category L2], 0)</f>
        <v>0</v>
      </c>
      <c r="J231" s="55"/>
      <c r="K231" s="54"/>
      <c r="L231" s="57">
        <f>IF(AP[[#This Row],[Spend category L1 - Override]] &lt;&gt; "", AP[[#This Row],[Spend category L1 - Override]], AP[[#This Row],[Spend category L1]])</f>
        <v>0</v>
      </c>
      <c r="M231" s="57">
        <f>IF(AP[[#This Row],[Spend category L2 - Override]] &lt;&gt; "", AP[[#This Row],[Spend category L2 - Override]], AP[[#This Row],[Spend category L2]])</f>
        <v>0</v>
      </c>
      <c r="N231" s="51">
        <f>Assumptions!$D$15</f>
        <v>0.1</v>
      </c>
      <c r="O231" s="45">
        <f>IF(AP[[#This Row],[GST applies?]] = "Yes", (AP[[#This Row],[Invoice value inc. GST]] / 1 + AP[[#This Row],[GST %]]) * AP[[#This Row],[GST %]], 0)</f>
        <v>0</v>
      </c>
      <c r="P231" s="31">
        <f>_xlfn.XLOOKUP(AP[[#This Row],[Supplier name]], Supplier_master[Supplier name], Supplier_master[EOM or Net], 0)</f>
        <v>0</v>
      </c>
      <c r="Q231" s="31">
        <f>_xlfn.XLOOKUP(AP[[#This Row],[Supplier name]], Supplier_master[Supplier name], Supplier_master[Terms days], 0)</f>
        <v>0</v>
      </c>
      <c r="R2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1" s="4"/>
      <c r="T231" s="46">
        <f>IF(AP[[#This Row],[Payment date - override (dd/mm/yyyy)]] &lt;&gt; "", AP[[#This Row],[Payment date - override (dd/mm/yyyy)]], AP[[#This Row],[Due date (dd/mm/yyyy)]])</f>
        <v>0</v>
      </c>
      <c r="U231" s="46">
        <f t="shared" si="3"/>
        <v>52</v>
      </c>
    </row>
    <row r="232" spans="3:21" x14ac:dyDescent="0.25">
      <c r="C232" s="28"/>
      <c r="D232" s="20"/>
      <c r="E232" s="4"/>
      <c r="F232" s="37"/>
      <c r="G232" s="24"/>
      <c r="H232" s="31">
        <f>_xlfn.XLOOKUP(AP[[#This Row],[Supplier name]], Supplier_master[Supplier name], Supplier_master[Category L1], 0)</f>
        <v>0</v>
      </c>
      <c r="I232" s="64">
        <f>_xlfn.XLOOKUP(AP[[#This Row],[Supplier name]], Supplier_master[Supplier name], Supplier_master[Category L2], 0)</f>
        <v>0</v>
      </c>
      <c r="J232" s="55"/>
      <c r="K232" s="54"/>
      <c r="L232" s="57">
        <f>IF(AP[[#This Row],[Spend category L1 - Override]] &lt;&gt; "", AP[[#This Row],[Spend category L1 - Override]], AP[[#This Row],[Spend category L1]])</f>
        <v>0</v>
      </c>
      <c r="M232" s="57">
        <f>IF(AP[[#This Row],[Spend category L2 - Override]] &lt;&gt; "", AP[[#This Row],[Spend category L2 - Override]], AP[[#This Row],[Spend category L2]])</f>
        <v>0</v>
      </c>
      <c r="N232" s="51">
        <f>Assumptions!$D$15</f>
        <v>0.1</v>
      </c>
      <c r="O232" s="45">
        <f>IF(AP[[#This Row],[GST applies?]] = "Yes", (AP[[#This Row],[Invoice value inc. GST]] / 1 + AP[[#This Row],[GST %]]) * AP[[#This Row],[GST %]], 0)</f>
        <v>0</v>
      </c>
      <c r="P232" s="31">
        <f>_xlfn.XLOOKUP(AP[[#This Row],[Supplier name]], Supplier_master[Supplier name], Supplier_master[EOM or Net], 0)</f>
        <v>0</v>
      </c>
      <c r="Q232" s="31">
        <f>_xlfn.XLOOKUP(AP[[#This Row],[Supplier name]], Supplier_master[Supplier name], Supplier_master[Terms days], 0)</f>
        <v>0</v>
      </c>
      <c r="R2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2" s="4"/>
      <c r="T232" s="46">
        <f>IF(AP[[#This Row],[Payment date - override (dd/mm/yyyy)]] &lt;&gt; "", AP[[#This Row],[Payment date - override (dd/mm/yyyy)]], AP[[#This Row],[Due date (dd/mm/yyyy)]])</f>
        <v>0</v>
      </c>
      <c r="U232" s="46">
        <f t="shared" si="3"/>
        <v>52</v>
      </c>
    </row>
    <row r="233" spans="3:21" x14ac:dyDescent="0.25">
      <c r="C233" s="28"/>
      <c r="D233" s="20"/>
      <c r="E233" s="4"/>
      <c r="F233" s="37"/>
      <c r="G233" s="24"/>
      <c r="H233" s="31">
        <f>_xlfn.XLOOKUP(AP[[#This Row],[Supplier name]], Supplier_master[Supplier name], Supplier_master[Category L1], 0)</f>
        <v>0</v>
      </c>
      <c r="I233" s="64">
        <f>_xlfn.XLOOKUP(AP[[#This Row],[Supplier name]], Supplier_master[Supplier name], Supplier_master[Category L2], 0)</f>
        <v>0</v>
      </c>
      <c r="J233" s="55"/>
      <c r="K233" s="54"/>
      <c r="L233" s="57">
        <f>IF(AP[[#This Row],[Spend category L1 - Override]] &lt;&gt; "", AP[[#This Row],[Spend category L1 - Override]], AP[[#This Row],[Spend category L1]])</f>
        <v>0</v>
      </c>
      <c r="M233" s="57">
        <f>IF(AP[[#This Row],[Spend category L2 - Override]] &lt;&gt; "", AP[[#This Row],[Spend category L2 - Override]], AP[[#This Row],[Spend category L2]])</f>
        <v>0</v>
      </c>
      <c r="N233" s="51">
        <f>Assumptions!$D$15</f>
        <v>0.1</v>
      </c>
      <c r="O233" s="45">
        <f>IF(AP[[#This Row],[GST applies?]] = "Yes", (AP[[#This Row],[Invoice value inc. GST]] / 1 + AP[[#This Row],[GST %]]) * AP[[#This Row],[GST %]], 0)</f>
        <v>0</v>
      </c>
      <c r="P233" s="31">
        <f>_xlfn.XLOOKUP(AP[[#This Row],[Supplier name]], Supplier_master[Supplier name], Supplier_master[EOM or Net], 0)</f>
        <v>0</v>
      </c>
      <c r="Q233" s="31">
        <f>_xlfn.XLOOKUP(AP[[#This Row],[Supplier name]], Supplier_master[Supplier name], Supplier_master[Terms days], 0)</f>
        <v>0</v>
      </c>
      <c r="R2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3" s="4"/>
      <c r="T233" s="46">
        <f>IF(AP[[#This Row],[Payment date - override (dd/mm/yyyy)]] &lt;&gt; "", AP[[#This Row],[Payment date - override (dd/mm/yyyy)]], AP[[#This Row],[Due date (dd/mm/yyyy)]])</f>
        <v>0</v>
      </c>
      <c r="U233" s="46">
        <f t="shared" si="3"/>
        <v>52</v>
      </c>
    </row>
    <row r="234" spans="3:21" x14ac:dyDescent="0.25">
      <c r="C234" s="28"/>
      <c r="D234" s="20"/>
      <c r="E234" s="4"/>
      <c r="F234" s="37"/>
      <c r="G234" s="24"/>
      <c r="H234" s="31">
        <f>_xlfn.XLOOKUP(AP[[#This Row],[Supplier name]], Supplier_master[Supplier name], Supplier_master[Category L1], 0)</f>
        <v>0</v>
      </c>
      <c r="I234" s="64">
        <f>_xlfn.XLOOKUP(AP[[#This Row],[Supplier name]], Supplier_master[Supplier name], Supplier_master[Category L2], 0)</f>
        <v>0</v>
      </c>
      <c r="J234" s="55"/>
      <c r="K234" s="54"/>
      <c r="L234" s="57">
        <f>IF(AP[[#This Row],[Spend category L1 - Override]] &lt;&gt; "", AP[[#This Row],[Spend category L1 - Override]], AP[[#This Row],[Spend category L1]])</f>
        <v>0</v>
      </c>
      <c r="M234" s="57">
        <f>IF(AP[[#This Row],[Spend category L2 - Override]] &lt;&gt; "", AP[[#This Row],[Spend category L2 - Override]], AP[[#This Row],[Spend category L2]])</f>
        <v>0</v>
      </c>
      <c r="N234" s="51">
        <f>Assumptions!$D$15</f>
        <v>0.1</v>
      </c>
      <c r="O234" s="45">
        <f>IF(AP[[#This Row],[GST applies?]] = "Yes", (AP[[#This Row],[Invoice value inc. GST]] / 1 + AP[[#This Row],[GST %]]) * AP[[#This Row],[GST %]], 0)</f>
        <v>0</v>
      </c>
      <c r="P234" s="31">
        <f>_xlfn.XLOOKUP(AP[[#This Row],[Supplier name]], Supplier_master[Supplier name], Supplier_master[EOM or Net], 0)</f>
        <v>0</v>
      </c>
      <c r="Q234" s="31">
        <f>_xlfn.XLOOKUP(AP[[#This Row],[Supplier name]], Supplier_master[Supplier name], Supplier_master[Terms days], 0)</f>
        <v>0</v>
      </c>
      <c r="R2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4" s="4"/>
      <c r="T234" s="46">
        <f>IF(AP[[#This Row],[Payment date - override (dd/mm/yyyy)]] &lt;&gt; "", AP[[#This Row],[Payment date - override (dd/mm/yyyy)]], AP[[#This Row],[Due date (dd/mm/yyyy)]])</f>
        <v>0</v>
      </c>
      <c r="U234" s="46">
        <f t="shared" si="3"/>
        <v>52</v>
      </c>
    </row>
    <row r="235" spans="3:21" x14ac:dyDescent="0.25">
      <c r="C235" s="28"/>
      <c r="D235" s="20"/>
      <c r="E235" s="4"/>
      <c r="F235" s="37"/>
      <c r="G235" s="24"/>
      <c r="H235" s="31">
        <f>_xlfn.XLOOKUP(AP[[#This Row],[Supplier name]], Supplier_master[Supplier name], Supplier_master[Category L1], 0)</f>
        <v>0</v>
      </c>
      <c r="I235" s="64">
        <f>_xlfn.XLOOKUP(AP[[#This Row],[Supplier name]], Supplier_master[Supplier name], Supplier_master[Category L2], 0)</f>
        <v>0</v>
      </c>
      <c r="J235" s="55"/>
      <c r="K235" s="54"/>
      <c r="L235" s="57">
        <f>IF(AP[[#This Row],[Spend category L1 - Override]] &lt;&gt; "", AP[[#This Row],[Spend category L1 - Override]], AP[[#This Row],[Spend category L1]])</f>
        <v>0</v>
      </c>
      <c r="M235" s="57">
        <f>IF(AP[[#This Row],[Spend category L2 - Override]] &lt;&gt; "", AP[[#This Row],[Spend category L2 - Override]], AP[[#This Row],[Spend category L2]])</f>
        <v>0</v>
      </c>
      <c r="N235" s="51">
        <f>Assumptions!$D$15</f>
        <v>0.1</v>
      </c>
      <c r="O235" s="45">
        <f>IF(AP[[#This Row],[GST applies?]] = "Yes", (AP[[#This Row],[Invoice value inc. GST]] / 1 + AP[[#This Row],[GST %]]) * AP[[#This Row],[GST %]], 0)</f>
        <v>0</v>
      </c>
      <c r="P235" s="31">
        <f>_xlfn.XLOOKUP(AP[[#This Row],[Supplier name]], Supplier_master[Supplier name], Supplier_master[EOM or Net], 0)</f>
        <v>0</v>
      </c>
      <c r="Q235" s="31">
        <f>_xlfn.XLOOKUP(AP[[#This Row],[Supplier name]], Supplier_master[Supplier name], Supplier_master[Terms days], 0)</f>
        <v>0</v>
      </c>
      <c r="R2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5" s="4"/>
      <c r="T235" s="46">
        <f>IF(AP[[#This Row],[Payment date - override (dd/mm/yyyy)]] &lt;&gt; "", AP[[#This Row],[Payment date - override (dd/mm/yyyy)]], AP[[#This Row],[Due date (dd/mm/yyyy)]])</f>
        <v>0</v>
      </c>
      <c r="U235" s="46">
        <f t="shared" si="3"/>
        <v>52</v>
      </c>
    </row>
    <row r="236" spans="3:21" x14ac:dyDescent="0.25">
      <c r="C236" s="28"/>
      <c r="D236" s="20"/>
      <c r="E236" s="4"/>
      <c r="F236" s="37"/>
      <c r="G236" s="24"/>
      <c r="H236" s="31">
        <f>_xlfn.XLOOKUP(AP[[#This Row],[Supplier name]], Supplier_master[Supplier name], Supplier_master[Category L1], 0)</f>
        <v>0</v>
      </c>
      <c r="I236" s="64">
        <f>_xlfn.XLOOKUP(AP[[#This Row],[Supplier name]], Supplier_master[Supplier name], Supplier_master[Category L2], 0)</f>
        <v>0</v>
      </c>
      <c r="J236" s="55"/>
      <c r="K236" s="54"/>
      <c r="L236" s="57">
        <f>IF(AP[[#This Row],[Spend category L1 - Override]] &lt;&gt; "", AP[[#This Row],[Spend category L1 - Override]], AP[[#This Row],[Spend category L1]])</f>
        <v>0</v>
      </c>
      <c r="M236" s="57">
        <f>IF(AP[[#This Row],[Spend category L2 - Override]] &lt;&gt; "", AP[[#This Row],[Spend category L2 - Override]], AP[[#This Row],[Spend category L2]])</f>
        <v>0</v>
      </c>
      <c r="N236" s="51">
        <f>Assumptions!$D$15</f>
        <v>0.1</v>
      </c>
      <c r="O236" s="45">
        <f>IF(AP[[#This Row],[GST applies?]] = "Yes", (AP[[#This Row],[Invoice value inc. GST]] / 1 + AP[[#This Row],[GST %]]) * AP[[#This Row],[GST %]], 0)</f>
        <v>0</v>
      </c>
      <c r="P236" s="31">
        <f>_xlfn.XLOOKUP(AP[[#This Row],[Supplier name]], Supplier_master[Supplier name], Supplier_master[EOM or Net], 0)</f>
        <v>0</v>
      </c>
      <c r="Q236" s="31">
        <f>_xlfn.XLOOKUP(AP[[#This Row],[Supplier name]], Supplier_master[Supplier name], Supplier_master[Terms days], 0)</f>
        <v>0</v>
      </c>
      <c r="R2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6" s="4"/>
      <c r="T236" s="46">
        <f>IF(AP[[#This Row],[Payment date - override (dd/mm/yyyy)]] &lt;&gt; "", AP[[#This Row],[Payment date - override (dd/mm/yyyy)]], AP[[#This Row],[Due date (dd/mm/yyyy)]])</f>
        <v>0</v>
      </c>
      <c r="U236" s="46">
        <f t="shared" si="3"/>
        <v>52</v>
      </c>
    </row>
    <row r="237" spans="3:21" x14ac:dyDescent="0.25">
      <c r="C237" s="28"/>
      <c r="D237" s="20"/>
      <c r="E237" s="4"/>
      <c r="F237" s="37"/>
      <c r="G237" s="24"/>
      <c r="H237" s="31">
        <f>_xlfn.XLOOKUP(AP[[#This Row],[Supplier name]], Supplier_master[Supplier name], Supplier_master[Category L1], 0)</f>
        <v>0</v>
      </c>
      <c r="I237" s="64">
        <f>_xlfn.XLOOKUP(AP[[#This Row],[Supplier name]], Supplier_master[Supplier name], Supplier_master[Category L2], 0)</f>
        <v>0</v>
      </c>
      <c r="J237" s="55"/>
      <c r="K237" s="54"/>
      <c r="L237" s="57">
        <f>IF(AP[[#This Row],[Spend category L1 - Override]] &lt;&gt; "", AP[[#This Row],[Spend category L1 - Override]], AP[[#This Row],[Spend category L1]])</f>
        <v>0</v>
      </c>
      <c r="M237" s="57">
        <f>IF(AP[[#This Row],[Spend category L2 - Override]] &lt;&gt; "", AP[[#This Row],[Spend category L2 - Override]], AP[[#This Row],[Spend category L2]])</f>
        <v>0</v>
      </c>
      <c r="N237" s="51">
        <f>Assumptions!$D$15</f>
        <v>0.1</v>
      </c>
      <c r="O237" s="45">
        <f>IF(AP[[#This Row],[GST applies?]] = "Yes", (AP[[#This Row],[Invoice value inc. GST]] / 1 + AP[[#This Row],[GST %]]) * AP[[#This Row],[GST %]], 0)</f>
        <v>0</v>
      </c>
      <c r="P237" s="31">
        <f>_xlfn.XLOOKUP(AP[[#This Row],[Supplier name]], Supplier_master[Supplier name], Supplier_master[EOM or Net], 0)</f>
        <v>0</v>
      </c>
      <c r="Q237" s="31">
        <f>_xlfn.XLOOKUP(AP[[#This Row],[Supplier name]], Supplier_master[Supplier name], Supplier_master[Terms days], 0)</f>
        <v>0</v>
      </c>
      <c r="R2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7" s="4"/>
      <c r="T237" s="46">
        <f>IF(AP[[#This Row],[Payment date - override (dd/mm/yyyy)]] &lt;&gt; "", AP[[#This Row],[Payment date - override (dd/mm/yyyy)]], AP[[#This Row],[Due date (dd/mm/yyyy)]])</f>
        <v>0</v>
      </c>
      <c r="U237" s="46">
        <f t="shared" si="3"/>
        <v>52</v>
      </c>
    </row>
    <row r="238" spans="3:21" x14ac:dyDescent="0.25">
      <c r="C238" s="28"/>
      <c r="D238" s="20"/>
      <c r="E238" s="4"/>
      <c r="F238" s="37"/>
      <c r="G238" s="24"/>
      <c r="H238" s="31">
        <f>_xlfn.XLOOKUP(AP[[#This Row],[Supplier name]], Supplier_master[Supplier name], Supplier_master[Category L1], 0)</f>
        <v>0</v>
      </c>
      <c r="I238" s="64">
        <f>_xlfn.XLOOKUP(AP[[#This Row],[Supplier name]], Supplier_master[Supplier name], Supplier_master[Category L2], 0)</f>
        <v>0</v>
      </c>
      <c r="J238" s="55"/>
      <c r="K238" s="54"/>
      <c r="L238" s="57">
        <f>IF(AP[[#This Row],[Spend category L1 - Override]] &lt;&gt; "", AP[[#This Row],[Spend category L1 - Override]], AP[[#This Row],[Spend category L1]])</f>
        <v>0</v>
      </c>
      <c r="M238" s="57">
        <f>IF(AP[[#This Row],[Spend category L2 - Override]] &lt;&gt; "", AP[[#This Row],[Spend category L2 - Override]], AP[[#This Row],[Spend category L2]])</f>
        <v>0</v>
      </c>
      <c r="N238" s="51">
        <f>Assumptions!$D$15</f>
        <v>0.1</v>
      </c>
      <c r="O238" s="45">
        <f>IF(AP[[#This Row],[GST applies?]] = "Yes", (AP[[#This Row],[Invoice value inc. GST]] / 1 + AP[[#This Row],[GST %]]) * AP[[#This Row],[GST %]], 0)</f>
        <v>0</v>
      </c>
      <c r="P238" s="31">
        <f>_xlfn.XLOOKUP(AP[[#This Row],[Supplier name]], Supplier_master[Supplier name], Supplier_master[EOM or Net], 0)</f>
        <v>0</v>
      </c>
      <c r="Q238" s="31">
        <f>_xlfn.XLOOKUP(AP[[#This Row],[Supplier name]], Supplier_master[Supplier name], Supplier_master[Terms days], 0)</f>
        <v>0</v>
      </c>
      <c r="R2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8" s="4"/>
      <c r="T238" s="46">
        <f>IF(AP[[#This Row],[Payment date - override (dd/mm/yyyy)]] &lt;&gt; "", AP[[#This Row],[Payment date - override (dd/mm/yyyy)]], AP[[#This Row],[Due date (dd/mm/yyyy)]])</f>
        <v>0</v>
      </c>
      <c r="U238" s="46">
        <f t="shared" si="3"/>
        <v>52</v>
      </c>
    </row>
    <row r="239" spans="3:21" x14ac:dyDescent="0.25">
      <c r="C239" s="28"/>
      <c r="D239" s="20"/>
      <c r="E239" s="4"/>
      <c r="F239" s="37"/>
      <c r="G239" s="24"/>
      <c r="H239" s="31">
        <f>_xlfn.XLOOKUP(AP[[#This Row],[Supplier name]], Supplier_master[Supplier name], Supplier_master[Category L1], 0)</f>
        <v>0</v>
      </c>
      <c r="I239" s="64">
        <f>_xlfn.XLOOKUP(AP[[#This Row],[Supplier name]], Supplier_master[Supplier name], Supplier_master[Category L2], 0)</f>
        <v>0</v>
      </c>
      <c r="J239" s="55"/>
      <c r="K239" s="54"/>
      <c r="L239" s="57">
        <f>IF(AP[[#This Row],[Spend category L1 - Override]] &lt;&gt; "", AP[[#This Row],[Spend category L1 - Override]], AP[[#This Row],[Spend category L1]])</f>
        <v>0</v>
      </c>
      <c r="M239" s="57">
        <f>IF(AP[[#This Row],[Spend category L2 - Override]] &lt;&gt; "", AP[[#This Row],[Spend category L2 - Override]], AP[[#This Row],[Spend category L2]])</f>
        <v>0</v>
      </c>
      <c r="N239" s="51">
        <f>Assumptions!$D$15</f>
        <v>0.1</v>
      </c>
      <c r="O239" s="45">
        <f>IF(AP[[#This Row],[GST applies?]] = "Yes", (AP[[#This Row],[Invoice value inc. GST]] / 1 + AP[[#This Row],[GST %]]) * AP[[#This Row],[GST %]], 0)</f>
        <v>0</v>
      </c>
      <c r="P239" s="31">
        <f>_xlfn.XLOOKUP(AP[[#This Row],[Supplier name]], Supplier_master[Supplier name], Supplier_master[EOM or Net], 0)</f>
        <v>0</v>
      </c>
      <c r="Q239" s="31">
        <f>_xlfn.XLOOKUP(AP[[#This Row],[Supplier name]], Supplier_master[Supplier name], Supplier_master[Terms days], 0)</f>
        <v>0</v>
      </c>
      <c r="R2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9" s="4"/>
      <c r="T239" s="46">
        <f>IF(AP[[#This Row],[Payment date - override (dd/mm/yyyy)]] &lt;&gt; "", AP[[#This Row],[Payment date - override (dd/mm/yyyy)]], AP[[#This Row],[Due date (dd/mm/yyyy)]])</f>
        <v>0</v>
      </c>
      <c r="U239" s="46">
        <f t="shared" si="3"/>
        <v>52</v>
      </c>
    </row>
    <row r="240" spans="3:21" x14ac:dyDescent="0.25">
      <c r="C240" s="28"/>
      <c r="D240" s="20"/>
      <c r="E240" s="4"/>
      <c r="F240" s="37"/>
      <c r="G240" s="24"/>
      <c r="H240" s="31">
        <f>_xlfn.XLOOKUP(AP[[#This Row],[Supplier name]], Supplier_master[Supplier name], Supplier_master[Category L1], 0)</f>
        <v>0</v>
      </c>
      <c r="I240" s="64">
        <f>_xlfn.XLOOKUP(AP[[#This Row],[Supplier name]], Supplier_master[Supplier name], Supplier_master[Category L2], 0)</f>
        <v>0</v>
      </c>
      <c r="J240" s="55"/>
      <c r="K240" s="54"/>
      <c r="L240" s="57">
        <f>IF(AP[[#This Row],[Spend category L1 - Override]] &lt;&gt; "", AP[[#This Row],[Spend category L1 - Override]], AP[[#This Row],[Spend category L1]])</f>
        <v>0</v>
      </c>
      <c r="M240" s="57">
        <f>IF(AP[[#This Row],[Spend category L2 - Override]] &lt;&gt; "", AP[[#This Row],[Spend category L2 - Override]], AP[[#This Row],[Spend category L2]])</f>
        <v>0</v>
      </c>
      <c r="N240" s="51">
        <f>Assumptions!$D$15</f>
        <v>0.1</v>
      </c>
      <c r="O240" s="45">
        <f>IF(AP[[#This Row],[GST applies?]] = "Yes", (AP[[#This Row],[Invoice value inc. GST]] / 1 + AP[[#This Row],[GST %]]) * AP[[#This Row],[GST %]], 0)</f>
        <v>0</v>
      </c>
      <c r="P240" s="31">
        <f>_xlfn.XLOOKUP(AP[[#This Row],[Supplier name]], Supplier_master[Supplier name], Supplier_master[EOM or Net], 0)</f>
        <v>0</v>
      </c>
      <c r="Q240" s="31">
        <f>_xlfn.XLOOKUP(AP[[#This Row],[Supplier name]], Supplier_master[Supplier name], Supplier_master[Terms days], 0)</f>
        <v>0</v>
      </c>
      <c r="R2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0" s="4"/>
      <c r="T240" s="46">
        <f>IF(AP[[#This Row],[Payment date - override (dd/mm/yyyy)]] &lt;&gt; "", AP[[#This Row],[Payment date - override (dd/mm/yyyy)]], AP[[#This Row],[Due date (dd/mm/yyyy)]])</f>
        <v>0</v>
      </c>
      <c r="U240" s="46">
        <f t="shared" si="3"/>
        <v>52</v>
      </c>
    </row>
    <row r="241" spans="3:21" x14ac:dyDescent="0.25">
      <c r="C241" s="28"/>
      <c r="D241" s="20"/>
      <c r="E241" s="4"/>
      <c r="F241" s="37"/>
      <c r="G241" s="24"/>
      <c r="H241" s="31">
        <f>_xlfn.XLOOKUP(AP[[#This Row],[Supplier name]], Supplier_master[Supplier name], Supplier_master[Category L1], 0)</f>
        <v>0</v>
      </c>
      <c r="I241" s="64">
        <f>_xlfn.XLOOKUP(AP[[#This Row],[Supplier name]], Supplier_master[Supplier name], Supplier_master[Category L2], 0)</f>
        <v>0</v>
      </c>
      <c r="J241" s="55"/>
      <c r="K241" s="54"/>
      <c r="L241" s="57">
        <f>IF(AP[[#This Row],[Spend category L1 - Override]] &lt;&gt; "", AP[[#This Row],[Spend category L1 - Override]], AP[[#This Row],[Spend category L1]])</f>
        <v>0</v>
      </c>
      <c r="M241" s="57">
        <f>IF(AP[[#This Row],[Spend category L2 - Override]] &lt;&gt; "", AP[[#This Row],[Spend category L2 - Override]], AP[[#This Row],[Spend category L2]])</f>
        <v>0</v>
      </c>
      <c r="N241" s="51">
        <f>Assumptions!$D$15</f>
        <v>0.1</v>
      </c>
      <c r="O241" s="45">
        <f>IF(AP[[#This Row],[GST applies?]] = "Yes", (AP[[#This Row],[Invoice value inc. GST]] / 1 + AP[[#This Row],[GST %]]) * AP[[#This Row],[GST %]], 0)</f>
        <v>0</v>
      </c>
      <c r="P241" s="31">
        <f>_xlfn.XLOOKUP(AP[[#This Row],[Supplier name]], Supplier_master[Supplier name], Supplier_master[EOM or Net], 0)</f>
        <v>0</v>
      </c>
      <c r="Q241" s="31">
        <f>_xlfn.XLOOKUP(AP[[#This Row],[Supplier name]], Supplier_master[Supplier name], Supplier_master[Terms days], 0)</f>
        <v>0</v>
      </c>
      <c r="R2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1" s="4"/>
      <c r="T241" s="46">
        <f>IF(AP[[#This Row],[Payment date - override (dd/mm/yyyy)]] &lt;&gt; "", AP[[#This Row],[Payment date - override (dd/mm/yyyy)]], AP[[#This Row],[Due date (dd/mm/yyyy)]])</f>
        <v>0</v>
      </c>
      <c r="U241" s="46">
        <f t="shared" si="3"/>
        <v>52</v>
      </c>
    </row>
    <row r="242" spans="3:21" x14ac:dyDescent="0.25">
      <c r="C242" s="28"/>
      <c r="D242" s="20"/>
      <c r="E242" s="4"/>
      <c r="F242" s="37"/>
      <c r="G242" s="24"/>
      <c r="H242" s="31">
        <f>_xlfn.XLOOKUP(AP[[#This Row],[Supplier name]], Supplier_master[Supplier name], Supplier_master[Category L1], 0)</f>
        <v>0</v>
      </c>
      <c r="I242" s="64">
        <f>_xlfn.XLOOKUP(AP[[#This Row],[Supplier name]], Supplier_master[Supplier name], Supplier_master[Category L2], 0)</f>
        <v>0</v>
      </c>
      <c r="J242" s="55"/>
      <c r="K242" s="54"/>
      <c r="L242" s="57">
        <f>IF(AP[[#This Row],[Spend category L1 - Override]] &lt;&gt; "", AP[[#This Row],[Spend category L1 - Override]], AP[[#This Row],[Spend category L1]])</f>
        <v>0</v>
      </c>
      <c r="M242" s="57">
        <f>IF(AP[[#This Row],[Spend category L2 - Override]] &lt;&gt; "", AP[[#This Row],[Spend category L2 - Override]], AP[[#This Row],[Spend category L2]])</f>
        <v>0</v>
      </c>
      <c r="N242" s="51">
        <f>Assumptions!$D$15</f>
        <v>0.1</v>
      </c>
      <c r="O242" s="45">
        <f>IF(AP[[#This Row],[GST applies?]] = "Yes", (AP[[#This Row],[Invoice value inc. GST]] / 1 + AP[[#This Row],[GST %]]) * AP[[#This Row],[GST %]], 0)</f>
        <v>0</v>
      </c>
      <c r="P242" s="31">
        <f>_xlfn.XLOOKUP(AP[[#This Row],[Supplier name]], Supplier_master[Supplier name], Supplier_master[EOM or Net], 0)</f>
        <v>0</v>
      </c>
      <c r="Q242" s="31">
        <f>_xlfn.XLOOKUP(AP[[#This Row],[Supplier name]], Supplier_master[Supplier name], Supplier_master[Terms days], 0)</f>
        <v>0</v>
      </c>
      <c r="R2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2" s="4"/>
      <c r="T242" s="46">
        <f>IF(AP[[#This Row],[Payment date - override (dd/mm/yyyy)]] &lt;&gt; "", AP[[#This Row],[Payment date - override (dd/mm/yyyy)]], AP[[#This Row],[Due date (dd/mm/yyyy)]])</f>
        <v>0</v>
      </c>
      <c r="U242" s="46">
        <f t="shared" si="3"/>
        <v>52</v>
      </c>
    </row>
    <row r="243" spans="3:21" x14ac:dyDescent="0.25">
      <c r="C243" s="28"/>
      <c r="D243" s="20"/>
      <c r="E243" s="4"/>
      <c r="F243" s="37"/>
      <c r="G243" s="24"/>
      <c r="H243" s="31">
        <f>_xlfn.XLOOKUP(AP[[#This Row],[Supplier name]], Supplier_master[Supplier name], Supplier_master[Category L1], 0)</f>
        <v>0</v>
      </c>
      <c r="I243" s="64">
        <f>_xlfn.XLOOKUP(AP[[#This Row],[Supplier name]], Supplier_master[Supplier name], Supplier_master[Category L2], 0)</f>
        <v>0</v>
      </c>
      <c r="J243" s="55"/>
      <c r="K243" s="54"/>
      <c r="L243" s="57">
        <f>IF(AP[[#This Row],[Spend category L1 - Override]] &lt;&gt; "", AP[[#This Row],[Spend category L1 - Override]], AP[[#This Row],[Spend category L1]])</f>
        <v>0</v>
      </c>
      <c r="M243" s="57">
        <f>IF(AP[[#This Row],[Spend category L2 - Override]] &lt;&gt; "", AP[[#This Row],[Spend category L2 - Override]], AP[[#This Row],[Spend category L2]])</f>
        <v>0</v>
      </c>
      <c r="N243" s="51">
        <f>Assumptions!$D$15</f>
        <v>0.1</v>
      </c>
      <c r="O243" s="45">
        <f>IF(AP[[#This Row],[GST applies?]] = "Yes", (AP[[#This Row],[Invoice value inc. GST]] / 1 + AP[[#This Row],[GST %]]) * AP[[#This Row],[GST %]], 0)</f>
        <v>0</v>
      </c>
      <c r="P243" s="31">
        <f>_xlfn.XLOOKUP(AP[[#This Row],[Supplier name]], Supplier_master[Supplier name], Supplier_master[EOM or Net], 0)</f>
        <v>0</v>
      </c>
      <c r="Q243" s="31">
        <f>_xlfn.XLOOKUP(AP[[#This Row],[Supplier name]], Supplier_master[Supplier name], Supplier_master[Terms days], 0)</f>
        <v>0</v>
      </c>
      <c r="R2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3" s="4"/>
      <c r="T243" s="46">
        <f>IF(AP[[#This Row],[Payment date - override (dd/mm/yyyy)]] &lt;&gt; "", AP[[#This Row],[Payment date - override (dd/mm/yyyy)]], AP[[#This Row],[Due date (dd/mm/yyyy)]])</f>
        <v>0</v>
      </c>
      <c r="U243" s="46">
        <f t="shared" si="3"/>
        <v>52</v>
      </c>
    </row>
    <row r="244" spans="3:21" x14ac:dyDescent="0.25">
      <c r="C244" s="28"/>
      <c r="D244" s="20"/>
      <c r="E244" s="4"/>
      <c r="F244" s="37"/>
      <c r="G244" s="24"/>
      <c r="H244" s="31">
        <f>_xlfn.XLOOKUP(AP[[#This Row],[Supplier name]], Supplier_master[Supplier name], Supplier_master[Category L1], 0)</f>
        <v>0</v>
      </c>
      <c r="I244" s="64">
        <f>_xlfn.XLOOKUP(AP[[#This Row],[Supplier name]], Supplier_master[Supplier name], Supplier_master[Category L2], 0)</f>
        <v>0</v>
      </c>
      <c r="J244" s="55"/>
      <c r="K244" s="54"/>
      <c r="L244" s="57">
        <f>IF(AP[[#This Row],[Spend category L1 - Override]] &lt;&gt; "", AP[[#This Row],[Spend category L1 - Override]], AP[[#This Row],[Spend category L1]])</f>
        <v>0</v>
      </c>
      <c r="M244" s="57">
        <f>IF(AP[[#This Row],[Spend category L2 - Override]] &lt;&gt; "", AP[[#This Row],[Spend category L2 - Override]], AP[[#This Row],[Spend category L2]])</f>
        <v>0</v>
      </c>
      <c r="N244" s="51">
        <f>Assumptions!$D$15</f>
        <v>0.1</v>
      </c>
      <c r="O244" s="45">
        <f>IF(AP[[#This Row],[GST applies?]] = "Yes", (AP[[#This Row],[Invoice value inc. GST]] / 1 + AP[[#This Row],[GST %]]) * AP[[#This Row],[GST %]], 0)</f>
        <v>0</v>
      </c>
      <c r="P244" s="31">
        <f>_xlfn.XLOOKUP(AP[[#This Row],[Supplier name]], Supplier_master[Supplier name], Supplier_master[EOM or Net], 0)</f>
        <v>0</v>
      </c>
      <c r="Q244" s="31">
        <f>_xlfn.XLOOKUP(AP[[#This Row],[Supplier name]], Supplier_master[Supplier name], Supplier_master[Terms days], 0)</f>
        <v>0</v>
      </c>
      <c r="R2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4" s="4"/>
      <c r="T244" s="46">
        <f>IF(AP[[#This Row],[Payment date - override (dd/mm/yyyy)]] &lt;&gt; "", AP[[#This Row],[Payment date - override (dd/mm/yyyy)]], AP[[#This Row],[Due date (dd/mm/yyyy)]])</f>
        <v>0</v>
      </c>
      <c r="U244" s="46">
        <f t="shared" si="3"/>
        <v>52</v>
      </c>
    </row>
    <row r="245" spans="3:21" x14ac:dyDescent="0.25">
      <c r="C245" s="28"/>
      <c r="D245" s="20"/>
      <c r="E245" s="4"/>
      <c r="F245" s="37"/>
      <c r="G245" s="24"/>
      <c r="H245" s="31">
        <f>_xlfn.XLOOKUP(AP[[#This Row],[Supplier name]], Supplier_master[Supplier name], Supplier_master[Category L1], 0)</f>
        <v>0</v>
      </c>
      <c r="I245" s="64">
        <f>_xlfn.XLOOKUP(AP[[#This Row],[Supplier name]], Supplier_master[Supplier name], Supplier_master[Category L2], 0)</f>
        <v>0</v>
      </c>
      <c r="J245" s="55"/>
      <c r="K245" s="54"/>
      <c r="L245" s="57">
        <f>IF(AP[[#This Row],[Spend category L1 - Override]] &lt;&gt; "", AP[[#This Row],[Spend category L1 - Override]], AP[[#This Row],[Spend category L1]])</f>
        <v>0</v>
      </c>
      <c r="M245" s="57">
        <f>IF(AP[[#This Row],[Spend category L2 - Override]] &lt;&gt; "", AP[[#This Row],[Spend category L2 - Override]], AP[[#This Row],[Spend category L2]])</f>
        <v>0</v>
      </c>
      <c r="N245" s="51">
        <f>Assumptions!$D$15</f>
        <v>0.1</v>
      </c>
      <c r="O245" s="45">
        <f>IF(AP[[#This Row],[GST applies?]] = "Yes", (AP[[#This Row],[Invoice value inc. GST]] / 1 + AP[[#This Row],[GST %]]) * AP[[#This Row],[GST %]], 0)</f>
        <v>0</v>
      </c>
      <c r="P245" s="31">
        <f>_xlfn.XLOOKUP(AP[[#This Row],[Supplier name]], Supplier_master[Supplier name], Supplier_master[EOM or Net], 0)</f>
        <v>0</v>
      </c>
      <c r="Q245" s="31">
        <f>_xlfn.XLOOKUP(AP[[#This Row],[Supplier name]], Supplier_master[Supplier name], Supplier_master[Terms days], 0)</f>
        <v>0</v>
      </c>
      <c r="R2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5" s="4"/>
      <c r="T245" s="46">
        <f>IF(AP[[#This Row],[Payment date - override (dd/mm/yyyy)]] &lt;&gt; "", AP[[#This Row],[Payment date - override (dd/mm/yyyy)]], AP[[#This Row],[Due date (dd/mm/yyyy)]])</f>
        <v>0</v>
      </c>
      <c r="U245" s="46">
        <f t="shared" si="3"/>
        <v>52</v>
      </c>
    </row>
    <row r="246" spans="3:21" x14ac:dyDescent="0.25">
      <c r="C246" s="28"/>
      <c r="D246" s="20"/>
      <c r="E246" s="4"/>
      <c r="F246" s="37"/>
      <c r="G246" s="24"/>
      <c r="H246" s="31">
        <f>_xlfn.XLOOKUP(AP[[#This Row],[Supplier name]], Supplier_master[Supplier name], Supplier_master[Category L1], 0)</f>
        <v>0</v>
      </c>
      <c r="I246" s="64">
        <f>_xlfn.XLOOKUP(AP[[#This Row],[Supplier name]], Supplier_master[Supplier name], Supplier_master[Category L2], 0)</f>
        <v>0</v>
      </c>
      <c r="J246" s="55"/>
      <c r="K246" s="54"/>
      <c r="L246" s="57">
        <f>IF(AP[[#This Row],[Spend category L1 - Override]] &lt;&gt; "", AP[[#This Row],[Spend category L1 - Override]], AP[[#This Row],[Spend category L1]])</f>
        <v>0</v>
      </c>
      <c r="M246" s="57">
        <f>IF(AP[[#This Row],[Spend category L2 - Override]] &lt;&gt; "", AP[[#This Row],[Spend category L2 - Override]], AP[[#This Row],[Spend category L2]])</f>
        <v>0</v>
      </c>
      <c r="N246" s="51">
        <f>Assumptions!$D$15</f>
        <v>0.1</v>
      </c>
      <c r="O246" s="45">
        <f>IF(AP[[#This Row],[GST applies?]] = "Yes", (AP[[#This Row],[Invoice value inc. GST]] / 1 + AP[[#This Row],[GST %]]) * AP[[#This Row],[GST %]], 0)</f>
        <v>0</v>
      </c>
      <c r="P246" s="31">
        <f>_xlfn.XLOOKUP(AP[[#This Row],[Supplier name]], Supplier_master[Supplier name], Supplier_master[EOM or Net], 0)</f>
        <v>0</v>
      </c>
      <c r="Q246" s="31">
        <f>_xlfn.XLOOKUP(AP[[#This Row],[Supplier name]], Supplier_master[Supplier name], Supplier_master[Terms days], 0)</f>
        <v>0</v>
      </c>
      <c r="R2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6" s="4"/>
      <c r="T246" s="46">
        <f>IF(AP[[#This Row],[Payment date - override (dd/mm/yyyy)]] &lt;&gt; "", AP[[#This Row],[Payment date - override (dd/mm/yyyy)]], AP[[#This Row],[Due date (dd/mm/yyyy)]])</f>
        <v>0</v>
      </c>
      <c r="U246" s="46">
        <f t="shared" si="3"/>
        <v>52</v>
      </c>
    </row>
    <row r="247" spans="3:21" x14ac:dyDescent="0.25">
      <c r="C247" s="28"/>
      <c r="D247" s="20"/>
      <c r="E247" s="4"/>
      <c r="F247" s="37"/>
      <c r="G247" s="24"/>
      <c r="H247" s="31">
        <f>_xlfn.XLOOKUP(AP[[#This Row],[Supplier name]], Supplier_master[Supplier name], Supplier_master[Category L1], 0)</f>
        <v>0</v>
      </c>
      <c r="I247" s="64">
        <f>_xlfn.XLOOKUP(AP[[#This Row],[Supplier name]], Supplier_master[Supplier name], Supplier_master[Category L2], 0)</f>
        <v>0</v>
      </c>
      <c r="J247" s="55"/>
      <c r="K247" s="54"/>
      <c r="L247" s="57">
        <f>IF(AP[[#This Row],[Spend category L1 - Override]] &lt;&gt; "", AP[[#This Row],[Spend category L1 - Override]], AP[[#This Row],[Spend category L1]])</f>
        <v>0</v>
      </c>
      <c r="M247" s="57">
        <f>IF(AP[[#This Row],[Spend category L2 - Override]] &lt;&gt; "", AP[[#This Row],[Spend category L2 - Override]], AP[[#This Row],[Spend category L2]])</f>
        <v>0</v>
      </c>
      <c r="N247" s="51">
        <f>Assumptions!$D$15</f>
        <v>0.1</v>
      </c>
      <c r="O247" s="45">
        <f>IF(AP[[#This Row],[GST applies?]] = "Yes", (AP[[#This Row],[Invoice value inc. GST]] / 1 + AP[[#This Row],[GST %]]) * AP[[#This Row],[GST %]], 0)</f>
        <v>0</v>
      </c>
      <c r="P247" s="31">
        <f>_xlfn.XLOOKUP(AP[[#This Row],[Supplier name]], Supplier_master[Supplier name], Supplier_master[EOM or Net], 0)</f>
        <v>0</v>
      </c>
      <c r="Q247" s="31">
        <f>_xlfn.XLOOKUP(AP[[#This Row],[Supplier name]], Supplier_master[Supplier name], Supplier_master[Terms days], 0)</f>
        <v>0</v>
      </c>
      <c r="R2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7" s="4"/>
      <c r="T247" s="46">
        <f>IF(AP[[#This Row],[Payment date - override (dd/mm/yyyy)]] &lt;&gt; "", AP[[#This Row],[Payment date - override (dd/mm/yyyy)]], AP[[#This Row],[Due date (dd/mm/yyyy)]])</f>
        <v>0</v>
      </c>
      <c r="U247" s="46">
        <f t="shared" si="3"/>
        <v>52</v>
      </c>
    </row>
    <row r="248" spans="3:21" x14ac:dyDescent="0.25">
      <c r="C248" s="28"/>
      <c r="D248" s="20"/>
      <c r="E248" s="4"/>
      <c r="F248" s="37"/>
      <c r="G248" s="24"/>
      <c r="H248" s="31">
        <f>_xlfn.XLOOKUP(AP[[#This Row],[Supplier name]], Supplier_master[Supplier name], Supplier_master[Category L1], 0)</f>
        <v>0</v>
      </c>
      <c r="I248" s="64">
        <f>_xlfn.XLOOKUP(AP[[#This Row],[Supplier name]], Supplier_master[Supplier name], Supplier_master[Category L2], 0)</f>
        <v>0</v>
      </c>
      <c r="J248" s="55"/>
      <c r="K248" s="54"/>
      <c r="L248" s="57">
        <f>IF(AP[[#This Row],[Spend category L1 - Override]] &lt;&gt; "", AP[[#This Row],[Spend category L1 - Override]], AP[[#This Row],[Spend category L1]])</f>
        <v>0</v>
      </c>
      <c r="M248" s="57">
        <f>IF(AP[[#This Row],[Spend category L2 - Override]] &lt;&gt; "", AP[[#This Row],[Spend category L2 - Override]], AP[[#This Row],[Spend category L2]])</f>
        <v>0</v>
      </c>
      <c r="N248" s="51">
        <f>Assumptions!$D$15</f>
        <v>0.1</v>
      </c>
      <c r="O248" s="45">
        <f>IF(AP[[#This Row],[GST applies?]] = "Yes", (AP[[#This Row],[Invoice value inc. GST]] / 1 + AP[[#This Row],[GST %]]) * AP[[#This Row],[GST %]], 0)</f>
        <v>0</v>
      </c>
      <c r="P248" s="31">
        <f>_xlfn.XLOOKUP(AP[[#This Row],[Supplier name]], Supplier_master[Supplier name], Supplier_master[EOM or Net], 0)</f>
        <v>0</v>
      </c>
      <c r="Q248" s="31">
        <f>_xlfn.XLOOKUP(AP[[#This Row],[Supplier name]], Supplier_master[Supplier name], Supplier_master[Terms days], 0)</f>
        <v>0</v>
      </c>
      <c r="R2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8" s="4"/>
      <c r="T248" s="46">
        <f>IF(AP[[#This Row],[Payment date - override (dd/mm/yyyy)]] &lt;&gt; "", AP[[#This Row],[Payment date - override (dd/mm/yyyy)]], AP[[#This Row],[Due date (dd/mm/yyyy)]])</f>
        <v>0</v>
      </c>
      <c r="U248" s="46">
        <f t="shared" si="3"/>
        <v>52</v>
      </c>
    </row>
    <row r="249" spans="3:21" x14ac:dyDescent="0.25">
      <c r="C249" s="28"/>
      <c r="D249" s="20"/>
      <c r="E249" s="4"/>
      <c r="F249" s="37"/>
      <c r="G249" s="24"/>
      <c r="H249" s="31">
        <f>_xlfn.XLOOKUP(AP[[#This Row],[Supplier name]], Supplier_master[Supplier name], Supplier_master[Category L1], 0)</f>
        <v>0</v>
      </c>
      <c r="I249" s="64">
        <f>_xlfn.XLOOKUP(AP[[#This Row],[Supplier name]], Supplier_master[Supplier name], Supplier_master[Category L2], 0)</f>
        <v>0</v>
      </c>
      <c r="J249" s="55"/>
      <c r="K249" s="54"/>
      <c r="L249" s="57">
        <f>IF(AP[[#This Row],[Spend category L1 - Override]] &lt;&gt; "", AP[[#This Row],[Spend category L1 - Override]], AP[[#This Row],[Spend category L1]])</f>
        <v>0</v>
      </c>
      <c r="M249" s="57">
        <f>IF(AP[[#This Row],[Spend category L2 - Override]] &lt;&gt; "", AP[[#This Row],[Spend category L2 - Override]], AP[[#This Row],[Spend category L2]])</f>
        <v>0</v>
      </c>
      <c r="N249" s="51">
        <f>Assumptions!$D$15</f>
        <v>0.1</v>
      </c>
      <c r="O249" s="45">
        <f>IF(AP[[#This Row],[GST applies?]] = "Yes", (AP[[#This Row],[Invoice value inc. GST]] / 1 + AP[[#This Row],[GST %]]) * AP[[#This Row],[GST %]], 0)</f>
        <v>0</v>
      </c>
      <c r="P249" s="31">
        <f>_xlfn.XLOOKUP(AP[[#This Row],[Supplier name]], Supplier_master[Supplier name], Supplier_master[EOM or Net], 0)</f>
        <v>0</v>
      </c>
      <c r="Q249" s="31">
        <f>_xlfn.XLOOKUP(AP[[#This Row],[Supplier name]], Supplier_master[Supplier name], Supplier_master[Terms days], 0)</f>
        <v>0</v>
      </c>
      <c r="R2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9" s="4"/>
      <c r="T249" s="46">
        <f>IF(AP[[#This Row],[Payment date - override (dd/mm/yyyy)]] &lt;&gt; "", AP[[#This Row],[Payment date - override (dd/mm/yyyy)]], AP[[#This Row],[Due date (dd/mm/yyyy)]])</f>
        <v>0</v>
      </c>
      <c r="U249" s="46">
        <f t="shared" si="3"/>
        <v>52</v>
      </c>
    </row>
    <row r="250" spans="3:21" x14ac:dyDescent="0.25">
      <c r="C250" s="28"/>
      <c r="D250" s="20"/>
      <c r="E250" s="4"/>
      <c r="F250" s="37"/>
      <c r="G250" s="24"/>
      <c r="H250" s="31">
        <f>_xlfn.XLOOKUP(AP[[#This Row],[Supplier name]], Supplier_master[Supplier name], Supplier_master[Category L1], 0)</f>
        <v>0</v>
      </c>
      <c r="I250" s="64">
        <f>_xlfn.XLOOKUP(AP[[#This Row],[Supplier name]], Supplier_master[Supplier name], Supplier_master[Category L2], 0)</f>
        <v>0</v>
      </c>
      <c r="J250" s="55"/>
      <c r="K250" s="54"/>
      <c r="L250" s="57">
        <f>IF(AP[[#This Row],[Spend category L1 - Override]] &lt;&gt; "", AP[[#This Row],[Spend category L1 - Override]], AP[[#This Row],[Spend category L1]])</f>
        <v>0</v>
      </c>
      <c r="M250" s="57">
        <f>IF(AP[[#This Row],[Spend category L2 - Override]] &lt;&gt; "", AP[[#This Row],[Spend category L2 - Override]], AP[[#This Row],[Spend category L2]])</f>
        <v>0</v>
      </c>
      <c r="N250" s="51">
        <f>Assumptions!$D$15</f>
        <v>0.1</v>
      </c>
      <c r="O250" s="45">
        <f>IF(AP[[#This Row],[GST applies?]] = "Yes", (AP[[#This Row],[Invoice value inc. GST]] / 1 + AP[[#This Row],[GST %]]) * AP[[#This Row],[GST %]], 0)</f>
        <v>0</v>
      </c>
      <c r="P250" s="31">
        <f>_xlfn.XLOOKUP(AP[[#This Row],[Supplier name]], Supplier_master[Supplier name], Supplier_master[EOM or Net], 0)</f>
        <v>0</v>
      </c>
      <c r="Q250" s="31">
        <f>_xlfn.XLOOKUP(AP[[#This Row],[Supplier name]], Supplier_master[Supplier name], Supplier_master[Terms days], 0)</f>
        <v>0</v>
      </c>
      <c r="R2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0" s="4"/>
      <c r="T250" s="46">
        <f>IF(AP[[#This Row],[Payment date - override (dd/mm/yyyy)]] &lt;&gt; "", AP[[#This Row],[Payment date - override (dd/mm/yyyy)]], AP[[#This Row],[Due date (dd/mm/yyyy)]])</f>
        <v>0</v>
      </c>
      <c r="U250" s="46">
        <f t="shared" si="3"/>
        <v>52</v>
      </c>
    </row>
    <row r="251" spans="3:21" x14ac:dyDescent="0.25">
      <c r="C251" s="28"/>
      <c r="D251" s="20"/>
      <c r="E251" s="4"/>
      <c r="F251" s="37"/>
      <c r="G251" s="24"/>
      <c r="H251" s="31">
        <f>_xlfn.XLOOKUP(AP[[#This Row],[Supplier name]], Supplier_master[Supplier name], Supplier_master[Category L1], 0)</f>
        <v>0</v>
      </c>
      <c r="I251" s="64">
        <f>_xlfn.XLOOKUP(AP[[#This Row],[Supplier name]], Supplier_master[Supplier name], Supplier_master[Category L2], 0)</f>
        <v>0</v>
      </c>
      <c r="J251" s="55"/>
      <c r="K251" s="54"/>
      <c r="L251" s="57">
        <f>IF(AP[[#This Row],[Spend category L1 - Override]] &lt;&gt; "", AP[[#This Row],[Spend category L1 - Override]], AP[[#This Row],[Spend category L1]])</f>
        <v>0</v>
      </c>
      <c r="M251" s="57">
        <f>IF(AP[[#This Row],[Spend category L2 - Override]] &lt;&gt; "", AP[[#This Row],[Spend category L2 - Override]], AP[[#This Row],[Spend category L2]])</f>
        <v>0</v>
      </c>
      <c r="N251" s="51">
        <f>Assumptions!$D$15</f>
        <v>0.1</v>
      </c>
      <c r="O251" s="45">
        <f>IF(AP[[#This Row],[GST applies?]] = "Yes", (AP[[#This Row],[Invoice value inc. GST]] / 1 + AP[[#This Row],[GST %]]) * AP[[#This Row],[GST %]], 0)</f>
        <v>0</v>
      </c>
      <c r="P251" s="31">
        <f>_xlfn.XLOOKUP(AP[[#This Row],[Supplier name]], Supplier_master[Supplier name], Supplier_master[EOM or Net], 0)</f>
        <v>0</v>
      </c>
      <c r="Q251" s="31">
        <f>_xlfn.XLOOKUP(AP[[#This Row],[Supplier name]], Supplier_master[Supplier name], Supplier_master[Terms days], 0)</f>
        <v>0</v>
      </c>
      <c r="R2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1" s="4"/>
      <c r="T251" s="46">
        <f>IF(AP[[#This Row],[Payment date - override (dd/mm/yyyy)]] &lt;&gt; "", AP[[#This Row],[Payment date - override (dd/mm/yyyy)]], AP[[#This Row],[Due date (dd/mm/yyyy)]])</f>
        <v>0</v>
      </c>
      <c r="U251" s="46">
        <f t="shared" si="3"/>
        <v>52</v>
      </c>
    </row>
    <row r="252" spans="3:21" x14ac:dyDescent="0.25">
      <c r="C252" s="28"/>
      <c r="D252" s="20"/>
      <c r="E252" s="4"/>
      <c r="F252" s="37"/>
      <c r="G252" s="24"/>
      <c r="H252" s="31">
        <f>_xlfn.XLOOKUP(AP[[#This Row],[Supplier name]], Supplier_master[Supplier name], Supplier_master[Category L1], 0)</f>
        <v>0</v>
      </c>
      <c r="I252" s="64">
        <f>_xlfn.XLOOKUP(AP[[#This Row],[Supplier name]], Supplier_master[Supplier name], Supplier_master[Category L2], 0)</f>
        <v>0</v>
      </c>
      <c r="J252" s="55"/>
      <c r="K252" s="54"/>
      <c r="L252" s="57">
        <f>IF(AP[[#This Row],[Spend category L1 - Override]] &lt;&gt; "", AP[[#This Row],[Spend category L1 - Override]], AP[[#This Row],[Spend category L1]])</f>
        <v>0</v>
      </c>
      <c r="M252" s="57">
        <f>IF(AP[[#This Row],[Spend category L2 - Override]] &lt;&gt; "", AP[[#This Row],[Spend category L2 - Override]], AP[[#This Row],[Spend category L2]])</f>
        <v>0</v>
      </c>
      <c r="N252" s="51">
        <f>Assumptions!$D$15</f>
        <v>0.1</v>
      </c>
      <c r="O252" s="45">
        <f>IF(AP[[#This Row],[GST applies?]] = "Yes", (AP[[#This Row],[Invoice value inc. GST]] / 1 + AP[[#This Row],[GST %]]) * AP[[#This Row],[GST %]], 0)</f>
        <v>0</v>
      </c>
      <c r="P252" s="31">
        <f>_xlfn.XLOOKUP(AP[[#This Row],[Supplier name]], Supplier_master[Supplier name], Supplier_master[EOM or Net], 0)</f>
        <v>0</v>
      </c>
      <c r="Q252" s="31">
        <f>_xlfn.XLOOKUP(AP[[#This Row],[Supplier name]], Supplier_master[Supplier name], Supplier_master[Terms days], 0)</f>
        <v>0</v>
      </c>
      <c r="R2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2" s="4"/>
      <c r="T252" s="46">
        <f>IF(AP[[#This Row],[Payment date - override (dd/mm/yyyy)]] &lt;&gt; "", AP[[#This Row],[Payment date - override (dd/mm/yyyy)]], AP[[#This Row],[Due date (dd/mm/yyyy)]])</f>
        <v>0</v>
      </c>
      <c r="U252" s="46">
        <f t="shared" si="3"/>
        <v>52</v>
      </c>
    </row>
    <row r="253" spans="3:21" x14ac:dyDescent="0.25">
      <c r="C253" s="28"/>
      <c r="D253" s="20"/>
      <c r="E253" s="4"/>
      <c r="F253" s="37"/>
      <c r="G253" s="24"/>
      <c r="H253" s="31">
        <f>_xlfn.XLOOKUP(AP[[#This Row],[Supplier name]], Supplier_master[Supplier name], Supplier_master[Category L1], 0)</f>
        <v>0</v>
      </c>
      <c r="I253" s="64">
        <f>_xlfn.XLOOKUP(AP[[#This Row],[Supplier name]], Supplier_master[Supplier name], Supplier_master[Category L2], 0)</f>
        <v>0</v>
      </c>
      <c r="J253" s="55"/>
      <c r="K253" s="54"/>
      <c r="L253" s="57">
        <f>IF(AP[[#This Row],[Spend category L1 - Override]] &lt;&gt; "", AP[[#This Row],[Spend category L1 - Override]], AP[[#This Row],[Spend category L1]])</f>
        <v>0</v>
      </c>
      <c r="M253" s="57">
        <f>IF(AP[[#This Row],[Spend category L2 - Override]] &lt;&gt; "", AP[[#This Row],[Spend category L2 - Override]], AP[[#This Row],[Spend category L2]])</f>
        <v>0</v>
      </c>
      <c r="N253" s="51">
        <f>Assumptions!$D$15</f>
        <v>0.1</v>
      </c>
      <c r="O253" s="45">
        <f>IF(AP[[#This Row],[GST applies?]] = "Yes", (AP[[#This Row],[Invoice value inc. GST]] / 1 + AP[[#This Row],[GST %]]) * AP[[#This Row],[GST %]], 0)</f>
        <v>0</v>
      </c>
      <c r="P253" s="31">
        <f>_xlfn.XLOOKUP(AP[[#This Row],[Supplier name]], Supplier_master[Supplier name], Supplier_master[EOM or Net], 0)</f>
        <v>0</v>
      </c>
      <c r="Q253" s="31">
        <f>_xlfn.XLOOKUP(AP[[#This Row],[Supplier name]], Supplier_master[Supplier name], Supplier_master[Terms days], 0)</f>
        <v>0</v>
      </c>
      <c r="R2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3" s="4"/>
      <c r="T253" s="46">
        <f>IF(AP[[#This Row],[Payment date - override (dd/mm/yyyy)]] &lt;&gt; "", AP[[#This Row],[Payment date - override (dd/mm/yyyy)]], AP[[#This Row],[Due date (dd/mm/yyyy)]])</f>
        <v>0</v>
      </c>
      <c r="U253" s="46">
        <f t="shared" si="3"/>
        <v>52</v>
      </c>
    </row>
    <row r="254" spans="3:21" x14ac:dyDescent="0.25">
      <c r="C254" s="28"/>
      <c r="D254" s="20"/>
      <c r="E254" s="4"/>
      <c r="F254" s="37"/>
      <c r="G254" s="24"/>
      <c r="H254" s="31">
        <f>_xlfn.XLOOKUP(AP[[#This Row],[Supplier name]], Supplier_master[Supplier name], Supplier_master[Category L1], 0)</f>
        <v>0</v>
      </c>
      <c r="I254" s="64">
        <f>_xlfn.XLOOKUP(AP[[#This Row],[Supplier name]], Supplier_master[Supplier name], Supplier_master[Category L2], 0)</f>
        <v>0</v>
      </c>
      <c r="J254" s="55"/>
      <c r="K254" s="54"/>
      <c r="L254" s="57">
        <f>IF(AP[[#This Row],[Spend category L1 - Override]] &lt;&gt; "", AP[[#This Row],[Spend category L1 - Override]], AP[[#This Row],[Spend category L1]])</f>
        <v>0</v>
      </c>
      <c r="M254" s="57">
        <f>IF(AP[[#This Row],[Spend category L2 - Override]] &lt;&gt; "", AP[[#This Row],[Spend category L2 - Override]], AP[[#This Row],[Spend category L2]])</f>
        <v>0</v>
      </c>
      <c r="N254" s="51">
        <f>Assumptions!$D$15</f>
        <v>0.1</v>
      </c>
      <c r="O254" s="45">
        <f>IF(AP[[#This Row],[GST applies?]] = "Yes", (AP[[#This Row],[Invoice value inc. GST]] / 1 + AP[[#This Row],[GST %]]) * AP[[#This Row],[GST %]], 0)</f>
        <v>0</v>
      </c>
      <c r="P254" s="31">
        <f>_xlfn.XLOOKUP(AP[[#This Row],[Supplier name]], Supplier_master[Supplier name], Supplier_master[EOM or Net], 0)</f>
        <v>0</v>
      </c>
      <c r="Q254" s="31">
        <f>_xlfn.XLOOKUP(AP[[#This Row],[Supplier name]], Supplier_master[Supplier name], Supplier_master[Terms days], 0)</f>
        <v>0</v>
      </c>
      <c r="R2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4" s="4"/>
      <c r="T254" s="46">
        <f>IF(AP[[#This Row],[Payment date - override (dd/mm/yyyy)]] &lt;&gt; "", AP[[#This Row],[Payment date - override (dd/mm/yyyy)]], AP[[#This Row],[Due date (dd/mm/yyyy)]])</f>
        <v>0</v>
      </c>
      <c r="U254" s="46">
        <f t="shared" si="3"/>
        <v>52</v>
      </c>
    </row>
    <row r="255" spans="3:21" x14ac:dyDescent="0.25">
      <c r="C255" s="28"/>
      <c r="D255" s="20"/>
      <c r="E255" s="4"/>
      <c r="F255" s="37"/>
      <c r="G255" s="24"/>
      <c r="H255" s="31">
        <f>_xlfn.XLOOKUP(AP[[#This Row],[Supplier name]], Supplier_master[Supplier name], Supplier_master[Category L1], 0)</f>
        <v>0</v>
      </c>
      <c r="I255" s="64">
        <f>_xlfn.XLOOKUP(AP[[#This Row],[Supplier name]], Supplier_master[Supplier name], Supplier_master[Category L2], 0)</f>
        <v>0</v>
      </c>
      <c r="J255" s="55"/>
      <c r="K255" s="54"/>
      <c r="L255" s="57">
        <f>IF(AP[[#This Row],[Spend category L1 - Override]] &lt;&gt; "", AP[[#This Row],[Spend category L1 - Override]], AP[[#This Row],[Spend category L1]])</f>
        <v>0</v>
      </c>
      <c r="M255" s="57">
        <f>IF(AP[[#This Row],[Spend category L2 - Override]] &lt;&gt; "", AP[[#This Row],[Spend category L2 - Override]], AP[[#This Row],[Spend category L2]])</f>
        <v>0</v>
      </c>
      <c r="N255" s="51">
        <f>Assumptions!$D$15</f>
        <v>0.1</v>
      </c>
      <c r="O255" s="45">
        <f>IF(AP[[#This Row],[GST applies?]] = "Yes", (AP[[#This Row],[Invoice value inc. GST]] / 1 + AP[[#This Row],[GST %]]) * AP[[#This Row],[GST %]], 0)</f>
        <v>0</v>
      </c>
      <c r="P255" s="31">
        <f>_xlfn.XLOOKUP(AP[[#This Row],[Supplier name]], Supplier_master[Supplier name], Supplier_master[EOM or Net], 0)</f>
        <v>0</v>
      </c>
      <c r="Q255" s="31">
        <f>_xlfn.XLOOKUP(AP[[#This Row],[Supplier name]], Supplier_master[Supplier name], Supplier_master[Terms days], 0)</f>
        <v>0</v>
      </c>
      <c r="R2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5" s="4"/>
      <c r="T255" s="46">
        <f>IF(AP[[#This Row],[Payment date - override (dd/mm/yyyy)]] &lt;&gt; "", AP[[#This Row],[Payment date - override (dd/mm/yyyy)]], AP[[#This Row],[Due date (dd/mm/yyyy)]])</f>
        <v>0</v>
      </c>
      <c r="U255" s="46">
        <f t="shared" si="3"/>
        <v>52</v>
      </c>
    </row>
    <row r="256" spans="3:21" x14ac:dyDescent="0.25">
      <c r="C256" s="28"/>
      <c r="D256" s="20"/>
      <c r="E256" s="4"/>
      <c r="F256" s="37"/>
      <c r="G256" s="24"/>
      <c r="H256" s="31">
        <f>_xlfn.XLOOKUP(AP[[#This Row],[Supplier name]], Supplier_master[Supplier name], Supplier_master[Category L1], 0)</f>
        <v>0</v>
      </c>
      <c r="I256" s="64">
        <f>_xlfn.XLOOKUP(AP[[#This Row],[Supplier name]], Supplier_master[Supplier name], Supplier_master[Category L2], 0)</f>
        <v>0</v>
      </c>
      <c r="J256" s="55"/>
      <c r="K256" s="54"/>
      <c r="L256" s="57">
        <f>IF(AP[[#This Row],[Spend category L1 - Override]] &lt;&gt; "", AP[[#This Row],[Spend category L1 - Override]], AP[[#This Row],[Spend category L1]])</f>
        <v>0</v>
      </c>
      <c r="M256" s="57">
        <f>IF(AP[[#This Row],[Spend category L2 - Override]] &lt;&gt; "", AP[[#This Row],[Spend category L2 - Override]], AP[[#This Row],[Spend category L2]])</f>
        <v>0</v>
      </c>
      <c r="N256" s="51">
        <f>Assumptions!$D$15</f>
        <v>0.1</v>
      </c>
      <c r="O256" s="45">
        <f>IF(AP[[#This Row],[GST applies?]] = "Yes", (AP[[#This Row],[Invoice value inc. GST]] / 1 + AP[[#This Row],[GST %]]) * AP[[#This Row],[GST %]], 0)</f>
        <v>0</v>
      </c>
      <c r="P256" s="31">
        <f>_xlfn.XLOOKUP(AP[[#This Row],[Supplier name]], Supplier_master[Supplier name], Supplier_master[EOM or Net], 0)</f>
        <v>0</v>
      </c>
      <c r="Q256" s="31">
        <f>_xlfn.XLOOKUP(AP[[#This Row],[Supplier name]], Supplier_master[Supplier name], Supplier_master[Terms days], 0)</f>
        <v>0</v>
      </c>
      <c r="R2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6" s="4"/>
      <c r="T256" s="46">
        <f>IF(AP[[#This Row],[Payment date - override (dd/mm/yyyy)]] &lt;&gt; "", AP[[#This Row],[Payment date - override (dd/mm/yyyy)]], AP[[#This Row],[Due date (dd/mm/yyyy)]])</f>
        <v>0</v>
      </c>
      <c r="U256" s="46">
        <f t="shared" si="3"/>
        <v>52</v>
      </c>
    </row>
    <row r="257" spans="3:21" x14ac:dyDescent="0.25">
      <c r="C257" s="28"/>
      <c r="D257" s="20"/>
      <c r="E257" s="4"/>
      <c r="F257" s="37"/>
      <c r="G257" s="24"/>
      <c r="H257" s="31">
        <f>_xlfn.XLOOKUP(AP[[#This Row],[Supplier name]], Supplier_master[Supplier name], Supplier_master[Category L1], 0)</f>
        <v>0</v>
      </c>
      <c r="I257" s="64">
        <f>_xlfn.XLOOKUP(AP[[#This Row],[Supplier name]], Supplier_master[Supplier name], Supplier_master[Category L2], 0)</f>
        <v>0</v>
      </c>
      <c r="J257" s="55"/>
      <c r="K257" s="54"/>
      <c r="L257" s="57">
        <f>IF(AP[[#This Row],[Spend category L1 - Override]] &lt;&gt; "", AP[[#This Row],[Spend category L1 - Override]], AP[[#This Row],[Spend category L1]])</f>
        <v>0</v>
      </c>
      <c r="M257" s="57">
        <f>IF(AP[[#This Row],[Spend category L2 - Override]] &lt;&gt; "", AP[[#This Row],[Spend category L2 - Override]], AP[[#This Row],[Spend category L2]])</f>
        <v>0</v>
      </c>
      <c r="N257" s="51">
        <f>Assumptions!$D$15</f>
        <v>0.1</v>
      </c>
      <c r="O257" s="45">
        <f>IF(AP[[#This Row],[GST applies?]] = "Yes", (AP[[#This Row],[Invoice value inc. GST]] / 1 + AP[[#This Row],[GST %]]) * AP[[#This Row],[GST %]], 0)</f>
        <v>0</v>
      </c>
      <c r="P257" s="31">
        <f>_xlfn.XLOOKUP(AP[[#This Row],[Supplier name]], Supplier_master[Supplier name], Supplier_master[EOM or Net], 0)</f>
        <v>0</v>
      </c>
      <c r="Q257" s="31">
        <f>_xlfn.XLOOKUP(AP[[#This Row],[Supplier name]], Supplier_master[Supplier name], Supplier_master[Terms days], 0)</f>
        <v>0</v>
      </c>
      <c r="R2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7" s="4"/>
      <c r="T257" s="46">
        <f>IF(AP[[#This Row],[Payment date - override (dd/mm/yyyy)]] &lt;&gt; "", AP[[#This Row],[Payment date - override (dd/mm/yyyy)]], AP[[#This Row],[Due date (dd/mm/yyyy)]])</f>
        <v>0</v>
      </c>
      <c r="U257" s="46">
        <f t="shared" si="3"/>
        <v>52</v>
      </c>
    </row>
    <row r="258" spans="3:21" x14ac:dyDescent="0.25">
      <c r="C258" s="28"/>
      <c r="D258" s="20"/>
      <c r="E258" s="4"/>
      <c r="F258" s="37"/>
      <c r="G258" s="24"/>
      <c r="H258" s="31">
        <f>_xlfn.XLOOKUP(AP[[#This Row],[Supplier name]], Supplier_master[Supplier name], Supplier_master[Category L1], 0)</f>
        <v>0</v>
      </c>
      <c r="I258" s="64">
        <f>_xlfn.XLOOKUP(AP[[#This Row],[Supplier name]], Supplier_master[Supplier name], Supplier_master[Category L2], 0)</f>
        <v>0</v>
      </c>
      <c r="J258" s="55"/>
      <c r="K258" s="54"/>
      <c r="L258" s="57">
        <f>IF(AP[[#This Row],[Spend category L1 - Override]] &lt;&gt; "", AP[[#This Row],[Spend category L1 - Override]], AP[[#This Row],[Spend category L1]])</f>
        <v>0</v>
      </c>
      <c r="M258" s="57">
        <f>IF(AP[[#This Row],[Spend category L2 - Override]] &lt;&gt; "", AP[[#This Row],[Spend category L2 - Override]], AP[[#This Row],[Spend category L2]])</f>
        <v>0</v>
      </c>
      <c r="N258" s="51">
        <f>Assumptions!$D$15</f>
        <v>0.1</v>
      </c>
      <c r="O258" s="45">
        <f>IF(AP[[#This Row],[GST applies?]] = "Yes", (AP[[#This Row],[Invoice value inc. GST]] / 1 + AP[[#This Row],[GST %]]) * AP[[#This Row],[GST %]], 0)</f>
        <v>0</v>
      </c>
      <c r="P258" s="31">
        <f>_xlfn.XLOOKUP(AP[[#This Row],[Supplier name]], Supplier_master[Supplier name], Supplier_master[EOM or Net], 0)</f>
        <v>0</v>
      </c>
      <c r="Q258" s="31">
        <f>_xlfn.XLOOKUP(AP[[#This Row],[Supplier name]], Supplier_master[Supplier name], Supplier_master[Terms days], 0)</f>
        <v>0</v>
      </c>
      <c r="R2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8" s="4"/>
      <c r="T258" s="46">
        <f>IF(AP[[#This Row],[Payment date - override (dd/mm/yyyy)]] &lt;&gt; "", AP[[#This Row],[Payment date - override (dd/mm/yyyy)]], AP[[#This Row],[Due date (dd/mm/yyyy)]])</f>
        <v>0</v>
      </c>
      <c r="U258" s="46">
        <f t="shared" si="3"/>
        <v>52</v>
      </c>
    </row>
    <row r="259" spans="3:21" x14ac:dyDescent="0.25">
      <c r="C259" s="28"/>
      <c r="D259" s="20"/>
      <c r="E259" s="4"/>
      <c r="F259" s="37"/>
      <c r="G259" s="24"/>
      <c r="H259" s="31">
        <f>_xlfn.XLOOKUP(AP[[#This Row],[Supplier name]], Supplier_master[Supplier name], Supplier_master[Category L1], 0)</f>
        <v>0</v>
      </c>
      <c r="I259" s="64">
        <f>_xlfn.XLOOKUP(AP[[#This Row],[Supplier name]], Supplier_master[Supplier name], Supplier_master[Category L2], 0)</f>
        <v>0</v>
      </c>
      <c r="J259" s="55"/>
      <c r="K259" s="54"/>
      <c r="L259" s="57">
        <f>IF(AP[[#This Row],[Spend category L1 - Override]] &lt;&gt; "", AP[[#This Row],[Spend category L1 - Override]], AP[[#This Row],[Spend category L1]])</f>
        <v>0</v>
      </c>
      <c r="M259" s="57">
        <f>IF(AP[[#This Row],[Spend category L2 - Override]] &lt;&gt; "", AP[[#This Row],[Spend category L2 - Override]], AP[[#This Row],[Spend category L2]])</f>
        <v>0</v>
      </c>
      <c r="N259" s="51">
        <f>Assumptions!$D$15</f>
        <v>0.1</v>
      </c>
      <c r="O259" s="45">
        <f>IF(AP[[#This Row],[GST applies?]] = "Yes", (AP[[#This Row],[Invoice value inc. GST]] / 1 + AP[[#This Row],[GST %]]) * AP[[#This Row],[GST %]], 0)</f>
        <v>0</v>
      </c>
      <c r="P259" s="31">
        <f>_xlfn.XLOOKUP(AP[[#This Row],[Supplier name]], Supplier_master[Supplier name], Supplier_master[EOM or Net], 0)</f>
        <v>0</v>
      </c>
      <c r="Q259" s="31">
        <f>_xlfn.XLOOKUP(AP[[#This Row],[Supplier name]], Supplier_master[Supplier name], Supplier_master[Terms days], 0)</f>
        <v>0</v>
      </c>
      <c r="R2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9" s="4"/>
      <c r="T259" s="46">
        <f>IF(AP[[#This Row],[Payment date - override (dd/mm/yyyy)]] &lt;&gt; "", AP[[#This Row],[Payment date - override (dd/mm/yyyy)]], AP[[#This Row],[Due date (dd/mm/yyyy)]])</f>
        <v>0</v>
      </c>
      <c r="U259" s="46">
        <f t="shared" si="3"/>
        <v>52</v>
      </c>
    </row>
    <row r="260" spans="3:21" x14ac:dyDescent="0.25">
      <c r="C260" s="28"/>
      <c r="D260" s="20"/>
      <c r="E260" s="4"/>
      <c r="F260" s="37"/>
      <c r="G260" s="24"/>
      <c r="H260" s="31">
        <f>_xlfn.XLOOKUP(AP[[#This Row],[Supplier name]], Supplier_master[Supplier name], Supplier_master[Category L1], 0)</f>
        <v>0</v>
      </c>
      <c r="I260" s="64">
        <f>_xlfn.XLOOKUP(AP[[#This Row],[Supplier name]], Supplier_master[Supplier name], Supplier_master[Category L2], 0)</f>
        <v>0</v>
      </c>
      <c r="J260" s="55"/>
      <c r="K260" s="54"/>
      <c r="L260" s="57">
        <f>IF(AP[[#This Row],[Spend category L1 - Override]] &lt;&gt; "", AP[[#This Row],[Spend category L1 - Override]], AP[[#This Row],[Spend category L1]])</f>
        <v>0</v>
      </c>
      <c r="M260" s="57">
        <f>IF(AP[[#This Row],[Spend category L2 - Override]] &lt;&gt; "", AP[[#This Row],[Spend category L2 - Override]], AP[[#This Row],[Spend category L2]])</f>
        <v>0</v>
      </c>
      <c r="N260" s="51">
        <f>Assumptions!$D$15</f>
        <v>0.1</v>
      </c>
      <c r="O260" s="45">
        <f>IF(AP[[#This Row],[GST applies?]] = "Yes", (AP[[#This Row],[Invoice value inc. GST]] / 1 + AP[[#This Row],[GST %]]) * AP[[#This Row],[GST %]], 0)</f>
        <v>0</v>
      </c>
      <c r="P260" s="31">
        <f>_xlfn.XLOOKUP(AP[[#This Row],[Supplier name]], Supplier_master[Supplier name], Supplier_master[EOM or Net], 0)</f>
        <v>0</v>
      </c>
      <c r="Q260" s="31">
        <f>_xlfn.XLOOKUP(AP[[#This Row],[Supplier name]], Supplier_master[Supplier name], Supplier_master[Terms days], 0)</f>
        <v>0</v>
      </c>
      <c r="R2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0" s="4"/>
      <c r="T260" s="46">
        <f>IF(AP[[#This Row],[Payment date - override (dd/mm/yyyy)]] &lt;&gt; "", AP[[#This Row],[Payment date - override (dd/mm/yyyy)]], AP[[#This Row],[Due date (dd/mm/yyyy)]])</f>
        <v>0</v>
      </c>
      <c r="U260" s="46">
        <f t="shared" si="3"/>
        <v>52</v>
      </c>
    </row>
    <row r="261" spans="3:21" x14ac:dyDescent="0.25">
      <c r="C261" s="28"/>
      <c r="D261" s="20"/>
      <c r="E261" s="4"/>
      <c r="F261" s="37"/>
      <c r="G261" s="24"/>
      <c r="H261" s="31">
        <f>_xlfn.XLOOKUP(AP[[#This Row],[Supplier name]], Supplier_master[Supplier name], Supplier_master[Category L1], 0)</f>
        <v>0</v>
      </c>
      <c r="I261" s="64">
        <f>_xlfn.XLOOKUP(AP[[#This Row],[Supplier name]], Supplier_master[Supplier name], Supplier_master[Category L2], 0)</f>
        <v>0</v>
      </c>
      <c r="J261" s="55"/>
      <c r="K261" s="54"/>
      <c r="L261" s="57">
        <f>IF(AP[[#This Row],[Spend category L1 - Override]] &lt;&gt; "", AP[[#This Row],[Spend category L1 - Override]], AP[[#This Row],[Spend category L1]])</f>
        <v>0</v>
      </c>
      <c r="M261" s="57">
        <f>IF(AP[[#This Row],[Spend category L2 - Override]] &lt;&gt; "", AP[[#This Row],[Spend category L2 - Override]], AP[[#This Row],[Spend category L2]])</f>
        <v>0</v>
      </c>
      <c r="N261" s="51">
        <f>Assumptions!$D$15</f>
        <v>0.1</v>
      </c>
      <c r="O261" s="45">
        <f>IF(AP[[#This Row],[GST applies?]] = "Yes", (AP[[#This Row],[Invoice value inc. GST]] / 1 + AP[[#This Row],[GST %]]) * AP[[#This Row],[GST %]], 0)</f>
        <v>0</v>
      </c>
      <c r="P261" s="31">
        <f>_xlfn.XLOOKUP(AP[[#This Row],[Supplier name]], Supplier_master[Supplier name], Supplier_master[EOM or Net], 0)</f>
        <v>0</v>
      </c>
      <c r="Q261" s="31">
        <f>_xlfn.XLOOKUP(AP[[#This Row],[Supplier name]], Supplier_master[Supplier name], Supplier_master[Terms days], 0)</f>
        <v>0</v>
      </c>
      <c r="R2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1" s="4"/>
      <c r="T261" s="46">
        <f>IF(AP[[#This Row],[Payment date - override (dd/mm/yyyy)]] &lt;&gt; "", AP[[#This Row],[Payment date - override (dd/mm/yyyy)]], AP[[#This Row],[Due date (dd/mm/yyyy)]])</f>
        <v>0</v>
      </c>
      <c r="U261" s="46">
        <f t="shared" si="3"/>
        <v>52</v>
      </c>
    </row>
    <row r="262" spans="3:21" x14ac:dyDescent="0.25">
      <c r="C262" s="28"/>
      <c r="D262" s="20"/>
      <c r="E262" s="4"/>
      <c r="F262" s="37"/>
      <c r="G262" s="24"/>
      <c r="H262" s="31">
        <f>_xlfn.XLOOKUP(AP[[#This Row],[Supplier name]], Supplier_master[Supplier name], Supplier_master[Category L1], 0)</f>
        <v>0</v>
      </c>
      <c r="I262" s="64">
        <f>_xlfn.XLOOKUP(AP[[#This Row],[Supplier name]], Supplier_master[Supplier name], Supplier_master[Category L2], 0)</f>
        <v>0</v>
      </c>
      <c r="J262" s="55"/>
      <c r="K262" s="54"/>
      <c r="L262" s="57">
        <f>IF(AP[[#This Row],[Spend category L1 - Override]] &lt;&gt; "", AP[[#This Row],[Spend category L1 - Override]], AP[[#This Row],[Spend category L1]])</f>
        <v>0</v>
      </c>
      <c r="M262" s="57">
        <f>IF(AP[[#This Row],[Spend category L2 - Override]] &lt;&gt; "", AP[[#This Row],[Spend category L2 - Override]], AP[[#This Row],[Spend category L2]])</f>
        <v>0</v>
      </c>
      <c r="N262" s="51">
        <f>Assumptions!$D$15</f>
        <v>0.1</v>
      </c>
      <c r="O262" s="45">
        <f>IF(AP[[#This Row],[GST applies?]] = "Yes", (AP[[#This Row],[Invoice value inc. GST]] / 1 + AP[[#This Row],[GST %]]) * AP[[#This Row],[GST %]], 0)</f>
        <v>0</v>
      </c>
      <c r="P262" s="31">
        <f>_xlfn.XLOOKUP(AP[[#This Row],[Supplier name]], Supplier_master[Supplier name], Supplier_master[EOM or Net], 0)</f>
        <v>0</v>
      </c>
      <c r="Q262" s="31">
        <f>_xlfn.XLOOKUP(AP[[#This Row],[Supplier name]], Supplier_master[Supplier name], Supplier_master[Terms days], 0)</f>
        <v>0</v>
      </c>
      <c r="R2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2" s="4"/>
      <c r="T262" s="46">
        <f>IF(AP[[#This Row],[Payment date - override (dd/mm/yyyy)]] &lt;&gt; "", AP[[#This Row],[Payment date - override (dd/mm/yyyy)]], AP[[#This Row],[Due date (dd/mm/yyyy)]])</f>
        <v>0</v>
      </c>
      <c r="U262" s="46">
        <f t="shared" si="3"/>
        <v>52</v>
      </c>
    </row>
    <row r="263" spans="3:21" x14ac:dyDescent="0.25">
      <c r="C263" s="28"/>
      <c r="D263" s="20"/>
      <c r="E263" s="4"/>
      <c r="F263" s="37"/>
      <c r="G263" s="24"/>
      <c r="H263" s="31">
        <f>_xlfn.XLOOKUP(AP[[#This Row],[Supplier name]], Supplier_master[Supplier name], Supplier_master[Category L1], 0)</f>
        <v>0</v>
      </c>
      <c r="I263" s="64">
        <f>_xlfn.XLOOKUP(AP[[#This Row],[Supplier name]], Supplier_master[Supplier name], Supplier_master[Category L2], 0)</f>
        <v>0</v>
      </c>
      <c r="J263" s="55"/>
      <c r="K263" s="54"/>
      <c r="L263" s="57">
        <f>IF(AP[[#This Row],[Spend category L1 - Override]] &lt;&gt; "", AP[[#This Row],[Spend category L1 - Override]], AP[[#This Row],[Spend category L1]])</f>
        <v>0</v>
      </c>
      <c r="M263" s="57">
        <f>IF(AP[[#This Row],[Spend category L2 - Override]] &lt;&gt; "", AP[[#This Row],[Spend category L2 - Override]], AP[[#This Row],[Spend category L2]])</f>
        <v>0</v>
      </c>
      <c r="N263" s="51">
        <f>Assumptions!$D$15</f>
        <v>0.1</v>
      </c>
      <c r="O263" s="45">
        <f>IF(AP[[#This Row],[GST applies?]] = "Yes", (AP[[#This Row],[Invoice value inc. GST]] / 1 + AP[[#This Row],[GST %]]) * AP[[#This Row],[GST %]], 0)</f>
        <v>0</v>
      </c>
      <c r="P263" s="31">
        <f>_xlfn.XLOOKUP(AP[[#This Row],[Supplier name]], Supplier_master[Supplier name], Supplier_master[EOM or Net], 0)</f>
        <v>0</v>
      </c>
      <c r="Q263" s="31">
        <f>_xlfn.XLOOKUP(AP[[#This Row],[Supplier name]], Supplier_master[Supplier name], Supplier_master[Terms days], 0)</f>
        <v>0</v>
      </c>
      <c r="R2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3" s="4"/>
      <c r="T263" s="46">
        <f>IF(AP[[#This Row],[Payment date - override (dd/mm/yyyy)]] &lt;&gt; "", AP[[#This Row],[Payment date - override (dd/mm/yyyy)]], AP[[#This Row],[Due date (dd/mm/yyyy)]])</f>
        <v>0</v>
      </c>
      <c r="U263" s="46">
        <f t="shared" si="3"/>
        <v>52</v>
      </c>
    </row>
    <row r="264" spans="3:21" x14ac:dyDescent="0.25">
      <c r="C264" s="28"/>
      <c r="D264" s="20"/>
      <c r="E264" s="4"/>
      <c r="F264" s="37"/>
      <c r="G264" s="24"/>
      <c r="H264" s="31">
        <f>_xlfn.XLOOKUP(AP[[#This Row],[Supplier name]], Supplier_master[Supplier name], Supplier_master[Category L1], 0)</f>
        <v>0</v>
      </c>
      <c r="I264" s="64">
        <f>_xlfn.XLOOKUP(AP[[#This Row],[Supplier name]], Supplier_master[Supplier name], Supplier_master[Category L2], 0)</f>
        <v>0</v>
      </c>
      <c r="J264" s="55"/>
      <c r="K264" s="54"/>
      <c r="L264" s="57">
        <f>IF(AP[[#This Row],[Spend category L1 - Override]] &lt;&gt; "", AP[[#This Row],[Spend category L1 - Override]], AP[[#This Row],[Spend category L1]])</f>
        <v>0</v>
      </c>
      <c r="M264" s="57">
        <f>IF(AP[[#This Row],[Spend category L2 - Override]] &lt;&gt; "", AP[[#This Row],[Spend category L2 - Override]], AP[[#This Row],[Spend category L2]])</f>
        <v>0</v>
      </c>
      <c r="N264" s="51">
        <f>Assumptions!$D$15</f>
        <v>0.1</v>
      </c>
      <c r="O264" s="45">
        <f>IF(AP[[#This Row],[GST applies?]] = "Yes", (AP[[#This Row],[Invoice value inc. GST]] / 1 + AP[[#This Row],[GST %]]) * AP[[#This Row],[GST %]], 0)</f>
        <v>0</v>
      </c>
      <c r="P264" s="31">
        <f>_xlfn.XLOOKUP(AP[[#This Row],[Supplier name]], Supplier_master[Supplier name], Supplier_master[EOM or Net], 0)</f>
        <v>0</v>
      </c>
      <c r="Q264" s="31">
        <f>_xlfn.XLOOKUP(AP[[#This Row],[Supplier name]], Supplier_master[Supplier name], Supplier_master[Terms days], 0)</f>
        <v>0</v>
      </c>
      <c r="R2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4" s="4"/>
      <c r="T264" s="46">
        <f>IF(AP[[#This Row],[Payment date - override (dd/mm/yyyy)]] &lt;&gt; "", AP[[#This Row],[Payment date - override (dd/mm/yyyy)]], AP[[#This Row],[Due date (dd/mm/yyyy)]])</f>
        <v>0</v>
      </c>
      <c r="U264" s="46">
        <f t="shared" si="3"/>
        <v>52</v>
      </c>
    </row>
    <row r="265" spans="3:21" x14ac:dyDescent="0.25">
      <c r="C265" s="28"/>
      <c r="D265" s="20"/>
      <c r="E265" s="4"/>
      <c r="F265" s="37"/>
      <c r="G265" s="24"/>
      <c r="H265" s="31">
        <f>_xlfn.XLOOKUP(AP[[#This Row],[Supplier name]], Supplier_master[Supplier name], Supplier_master[Category L1], 0)</f>
        <v>0</v>
      </c>
      <c r="I265" s="64">
        <f>_xlfn.XLOOKUP(AP[[#This Row],[Supplier name]], Supplier_master[Supplier name], Supplier_master[Category L2], 0)</f>
        <v>0</v>
      </c>
      <c r="J265" s="55"/>
      <c r="K265" s="54"/>
      <c r="L265" s="57">
        <f>IF(AP[[#This Row],[Spend category L1 - Override]] &lt;&gt; "", AP[[#This Row],[Spend category L1 - Override]], AP[[#This Row],[Spend category L1]])</f>
        <v>0</v>
      </c>
      <c r="M265" s="57">
        <f>IF(AP[[#This Row],[Spend category L2 - Override]] &lt;&gt; "", AP[[#This Row],[Spend category L2 - Override]], AP[[#This Row],[Spend category L2]])</f>
        <v>0</v>
      </c>
      <c r="N265" s="51">
        <f>Assumptions!$D$15</f>
        <v>0.1</v>
      </c>
      <c r="O265" s="45">
        <f>IF(AP[[#This Row],[GST applies?]] = "Yes", (AP[[#This Row],[Invoice value inc. GST]] / 1 + AP[[#This Row],[GST %]]) * AP[[#This Row],[GST %]], 0)</f>
        <v>0</v>
      </c>
      <c r="P265" s="31">
        <f>_xlfn.XLOOKUP(AP[[#This Row],[Supplier name]], Supplier_master[Supplier name], Supplier_master[EOM or Net], 0)</f>
        <v>0</v>
      </c>
      <c r="Q265" s="31">
        <f>_xlfn.XLOOKUP(AP[[#This Row],[Supplier name]], Supplier_master[Supplier name], Supplier_master[Terms days], 0)</f>
        <v>0</v>
      </c>
      <c r="R2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5" s="4"/>
      <c r="T265" s="46">
        <f>IF(AP[[#This Row],[Payment date - override (dd/mm/yyyy)]] &lt;&gt; "", AP[[#This Row],[Payment date - override (dd/mm/yyyy)]], AP[[#This Row],[Due date (dd/mm/yyyy)]])</f>
        <v>0</v>
      </c>
      <c r="U265" s="46">
        <f t="shared" ref="U265:U328" si="4">IF(GST_Freq="Monthly",
    DATE(YEAR(E265), MONTH(E265) + 1, 21),
    IF(GST_Freq="Quarterly",
        IF(MOD(MONTH(E265) + 2 - MOD(MOD(MONTH(E265) - GST_First_Month, 12), 3), 12) = 0,
            DATE(YEAR(E265), MONTH(E265) + 4 - MOD(MOD(MONTH(E265) - GST_First_Month, 12), 3), 28),
            DATE(YEAR(E265), MONTH(E265) + 3 - MOD(MOD(MONTH(E265) - GST_First_Month, 12), 3), 28)
        ),
        "Invalid frequency"
    )
)</f>
        <v>52</v>
      </c>
    </row>
    <row r="266" spans="3:21" x14ac:dyDescent="0.25">
      <c r="C266" s="28"/>
      <c r="D266" s="20"/>
      <c r="E266" s="4"/>
      <c r="F266" s="37"/>
      <c r="G266" s="24"/>
      <c r="H266" s="31">
        <f>_xlfn.XLOOKUP(AP[[#This Row],[Supplier name]], Supplier_master[Supplier name], Supplier_master[Category L1], 0)</f>
        <v>0</v>
      </c>
      <c r="I266" s="64">
        <f>_xlfn.XLOOKUP(AP[[#This Row],[Supplier name]], Supplier_master[Supplier name], Supplier_master[Category L2], 0)</f>
        <v>0</v>
      </c>
      <c r="J266" s="55"/>
      <c r="K266" s="54"/>
      <c r="L266" s="57">
        <f>IF(AP[[#This Row],[Spend category L1 - Override]] &lt;&gt; "", AP[[#This Row],[Spend category L1 - Override]], AP[[#This Row],[Spend category L1]])</f>
        <v>0</v>
      </c>
      <c r="M266" s="57">
        <f>IF(AP[[#This Row],[Spend category L2 - Override]] &lt;&gt; "", AP[[#This Row],[Spend category L2 - Override]], AP[[#This Row],[Spend category L2]])</f>
        <v>0</v>
      </c>
      <c r="N266" s="51">
        <f>Assumptions!$D$15</f>
        <v>0.1</v>
      </c>
      <c r="O266" s="45">
        <f>IF(AP[[#This Row],[GST applies?]] = "Yes", (AP[[#This Row],[Invoice value inc. GST]] / 1 + AP[[#This Row],[GST %]]) * AP[[#This Row],[GST %]], 0)</f>
        <v>0</v>
      </c>
      <c r="P266" s="31">
        <f>_xlfn.XLOOKUP(AP[[#This Row],[Supplier name]], Supplier_master[Supplier name], Supplier_master[EOM or Net], 0)</f>
        <v>0</v>
      </c>
      <c r="Q266" s="31">
        <f>_xlfn.XLOOKUP(AP[[#This Row],[Supplier name]], Supplier_master[Supplier name], Supplier_master[Terms days], 0)</f>
        <v>0</v>
      </c>
      <c r="R2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6" s="4"/>
      <c r="T266" s="46">
        <f>IF(AP[[#This Row],[Payment date - override (dd/mm/yyyy)]] &lt;&gt; "", AP[[#This Row],[Payment date - override (dd/mm/yyyy)]], AP[[#This Row],[Due date (dd/mm/yyyy)]])</f>
        <v>0</v>
      </c>
      <c r="U266" s="46">
        <f t="shared" si="4"/>
        <v>52</v>
      </c>
    </row>
    <row r="267" spans="3:21" x14ac:dyDescent="0.25">
      <c r="C267" s="28"/>
      <c r="D267" s="20"/>
      <c r="E267" s="4"/>
      <c r="F267" s="37"/>
      <c r="G267" s="24"/>
      <c r="H267" s="31">
        <f>_xlfn.XLOOKUP(AP[[#This Row],[Supplier name]], Supplier_master[Supplier name], Supplier_master[Category L1], 0)</f>
        <v>0</v>
      </c>
      <c r="I267" s="64">
        <f>_xlfn.XLOOKUP(AP[[#This Row],[Supplier name]], Supplier_master[Supplier name], Supplier_master[Category L2], 0)</f>
        <v>0</v>
      </c>
      <c r="J267" s="55"/>
      <c r="K267" s="54"/>
      <c r="L267" s="57">
        <f>IF(AP[[#This Row],[Spend category L1 - Override]] &lt;&gt; "", AP[[#This Row],[Spend category L1 - Override]], AP[[#This Row],[Spend category L1]])</f>
        <v>0</v>
      </c>
      <c r="M267" s="57">
        <f>IF(AP[[#This Row],[Spend category L2 - Override]] &lt;&gt; "", AP[[#This Row],[Spend category L2 - Override]], AP[[#This Row],[Spend category L2]])</f>
        <v>0</v>
      </c>
      <c r="N267" s="51">
        <f>Assumptions!$D$15</f>
        <v>0.1</v>
      </c>
      <c r="O267" s="45">
        <f>IF(AP[[#This Row],[GST applies?]] = "Yes", (AP[[#This Row],[Invoice value inc. GST]] / 1 + AP[[#This Row],[GST %]]) * AP[[#This Row],[GST %]], 0)</f>
        <v>0</v>
      </c>
      <c r="P267" s="31">
        <f>_xlfn.XLOOKUP(AP[[#This Row],[Supplier name]], Supplier_master[Supplier name], Supplier_master[EOM or Net], 0)</f>
        <v>0</v>
      </c>
      <c r="Q267" s="31">
        <f>_xlfn.XLOOKUP(AP[[#This Row],[Supplier name]], Supplier_master[Supplier name], Supplier_master[Terms days], 0)</f>
        <v>0</v>
      </c>
      <c r="R2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7" s="4"/>
      <c r="T267" s="46">
        <f>IF(AP[[#This Row],[Payment date - override (dd/mm/yyyy)]] &lt;&gt; "", AP[[#This Row],[Payment date - override (dd/mm/yyyy)]], AP[[#This Row],[Due date (dd/mm/yyyy)]])</f>
        <v>0</v>
      </c>
      <c r="U267" s="46">
        <f t="shared" si="4"/>
        <v>52</v>
      </c>
    </row>
    <row r="268" spans="3:21" x14ac:dyDescent="0.25">
      <c r="C268" s="28"/>
      <c r="D268" s="20"/>
      <c r="E268" s="4"/>
      <c r="F268" s="37"/>
      <c r="G268" s="24"/>
      <c r="H268" s="31">
        <f>_xlfn.XLOOKUP(AP[[#This Row],[Supplier name]], Supplier_master[Supplier name], Supplier_master[Category L1], 0)</f>
        <v>0</v>
      </c>
      <c r="I268" s="64">
        <f>_xlfn.XLOOKUP(AP[[#This Row],[Supplier name]], Supplier_master[Supplier name], Supplier_master[Category L2], 0)</f>
        <v>0</v>
      </c>
      <c r="J268" s="55"/>
      <c r="K268" s="54"/>
      <c r="L268" s="57">
        <f>IF(AP[[#This Row],[Spend category L1 - Override]] &lt;&gt; "", AP[[#This Row],[Spend category L1 - Override]], AP[[#This Row],[Spend category L1]])</f>
        <v>0</v>
      </c>
      <c r="M268" s="57">
        <f>IF(AP[[#This Row],[Spend category L2 - Override]] &lt;&gt; "", AP[[#This Row],[Spend category L2 - Override]], AP[[#This Row],[Spend category L2]])</f>
        <v>0</v>
      </c>
      <c r="N268" s="51">
        <f>Assumptions!$D$15</f>
        <v>0.1</v>
      </c>
      <c r="O268" s="45">
        <f>IF(AP[[#This Row],[GST applies?]] = "Yes", (AP[[#This Row],[Invoice value inc. GST]] / 1 + AP[[#This Row],[GST %]]) * AP[[#This Row],[GST %]], 0)</f>
        <v>0</v>
      </c>
      <c r="P268" s="31">
        <f>_xlfn.XLOOKUP(AP[[#This Row],[Supplier name]], Supplier_master[Supplier name], Supplier_master[EOM or Net], 0)</f>
        <v>0</v>
      </c>
      <c r="Q268" s="31">
        <f>_xlfn.XLOOKUP(AP[[#This Row],[Supplier name]], Supplier_master[Supplier name], Supplier_master[Terms days], 0)</f>
        <v>0</v>
      </c>
      <c r="R2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8" s="4"/>
      <c r="T268" s="46">
        <f>IF(AP[[#This Row],[Payment date - override (dd/mm/yyyy)]] &lt;&gt; "", AP[[#This Row],[Payment date - override (dd/mm/yyyy)]], AP[[#This Row],[Due date (dd/mm/yyyy)]])</f>
        <v>0</v>
      </c>
      <c r="U268" s="46">
        <f t="shared" si="4"/>
        <v>52</v>
      </c>
    </row>
    <row r="269" spans="3:21" x14ac:dyDescent="0.25">
      <c r="C269" s="28"/>
      <c r="D269" s="20"/>
      <c r="E269" s="4"/>
      <c r="F269" s="37"/>
      <c r="G269" s="24"/>
      <c r="H269" s="31">
        <f>_xlfn.XLOOKUP(AP[[#This Row],[Supplier name]], Supplier_master[Supplier name], Supplier_master[Category L1], 0)</f>
        <v>0</v>
      </c>
      <c r="I269" s="64">
        <f>_xlfn.XLOOKUP(AP[[#This Row],[Supplier name]], Supplier_master[Supplier name], Supplier_master[Category L2], 0)</f>
        <v>0</v>
      </c>
      <c r="J269" s="55"/>
      <c r="K269" s="54"/>
      <c r="L269" s="57">
        <f>IF(AP[[#This Row],[Spend category L1 - Override]] &lt;&gt; "", AP[[#This Row],[Spend category L1 - Override]], AP[[#This Row],[Spend category L1]])</f>
        <v>0</v>
      </c>
      <c r="M269" s="57">
        <f>IF(AP[[#This Row],[Spend category L2 - Override]] &lt;&gt; "", AP[[#This Row],[Spend category L2 - Override]], AP[[#This Row],[Spend category L2]])</f>
        <v>0</v>
      </c>
      <c r="N269" s="51">
        <f>Assumptions!$D$15</f>
        <v>0.1</v>
      </c>
      <c r="O269" s="45">
        <f>IF(AP[[#This Row],[GST applies?]] = "Yes", (AP[[#This Row],[Invoice value inc. GST]] / 1 + AP[[#This Row],[GST %]]) * AP[[#This Row],[GST %]], 0)</f>
        <v>0</v>
      </c>
      <c r="P269" s="31">
        <f>_xlfn.XLOOKUP(AP[[#This Row],[Supplier name]], Supplier_master[Supplier name], Supplier_master[EOM or Net], 0)</f>
        <v>0</v>
      </c>
      <c r="Q269" s="31">
        <f>_xlfn.XLOOKUP(AP[[#This Row],[Supplier name]], Supplier_master[Supplier name], Supplier_master[Terms days], 0)</f>
        <v>0</v>
      </c>
      <c r="R2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9" s="4"/>
      <c r="T269" s="46">
        <f>IF(AP[[#This Row],[Payment date - override (dd/mm/yyyy)]] &lt;&gt; "", AP[[#This Row],[Payment date - override (dd/mm/yyyy)]], AP[[#This Row],[Due date (dd/mm/yyyy)]])</f>
        <v>0</v>
      </c>
      <c r="U269" s="46">
        <f t="shared" si="4"/>
        <v>52</v>
      </c>
    </row>
    <row r="270" spans="3:21" x14ac:dyDescent="0.25">
      <c r="C270" s="28"/>
      <c r="D270" s="20"/>
      <c r="E270" s="4"/>
      <c r="F270" s="37"/>
      <c r="G270" s="24"/>
      <c r="H270" s="31">
        <f>_xlfn.XLOOKUP(AP[[#This Row],[Supplier name]], Supplier_master[Supplier name], Supplier_master[Category L1], 0)</f>
        <v>0</v>
      </c>
      <c r="I270" s="64">
        <f>_xlfn.XLOOKUP(AP[[#This Row],[Supplier name]], Supplier_master[Supplier name], Supplier_master[Category L2], 0)</f>
        <v>0</v>
      </c>
      <c r="J270" s="55"/>
      <c r="K270" s="54"/>
      <c r="L270" s="57">
        <f>IF(AP[[#This Row],[Spend category L1 - Override]] &lt;&gt; "", AP[[#This Row],[Spend category L1 - Override]], AP[[#This Row],[Spend category L1]])</f>
        <v>0</v>
      </c>
      <c r="M270" s="57">
        <f>IF(AP[[#This Row],[Spend category L2 - Override]] &lt;&gt; "", AP[[#This Row],[Spend category L2 - Override]], AP[[#This Row],[Spend category L2]])</f>
        <v>0</v>
      </c>
      <c r="N270" s="51">
        <f>Assumptions!$D$15</f>
        <v>0.1</v>
      </c>
      <c r="O270" s="45">
        <f>IF(AP[[#This Row],[GST applies?]] = "Yes", (AP[[#This Row],[Invoice value inc. GST]] / 1 + AP[[#This Row],[GST %]]) * AP[[#This Row],[GST %]], 0)</f>
        <v>0</v>
      </c>
      <c r="P270" s="31">
        <f>_xlfn.XLOOKUP(AP[[#This Row],[Supplier name]], Supplier_master[Supplier name], Supplier_master[EOM or Net], 0)</f>
        <v>0</v>
      </c>
      <c r="Q270" s="31">
        <f>_xlfn.XLOOKUP(AP[[#This Row],[Supplier name]], Supplier_master[Supplier name], Supplier_master[Terms days], 0)</f>
        <v>0</v>
      </c>
      <c r="R2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0" s="4"/>
      <c r="T270" s="46">
        <f>IF(AP[[#This Row],[Payment date - override (dd/mm/yyyy)]] &lt;&gt; "", AP[[#This Row],[Payment date - override (dd/mm/yyyy)]], AP[[#This Row],[Due date (dd/mm/yyyy)]])</f>
        <v>0</v>
      </c>
      <c r="U270" s="46">
        <f t="shared" si="4"/>
        <v>52</v>
      </c>
    </row>
    <row r="271" spans="3:21" x14ac:dyDescent="0.25">
      <c r="C271" s="28"/>
      <c r="D271" s="20"/>
      <c r="E271" s="4"/>
      <c r="F271" s="37"/>
      <c r="G271" s="24"/>
      <c r="H271" s="31">
        <f>_xlfn.XLOOKUP(AP[[#This Row],[Supplier name]], Supplier_master[Supplier name], Supplier_master[Category L1], 0)</f>
        <v>0</v>
      </c>
      <c r="I271" s="64">
        <f>_xlfn.XLOOKUP(AP[[#This Row],[Supplier name]], Supplier_master[Supplier name], Supplier_master[Category L2], 0)</f>
        <v>0</v>
      </c>
      <c r="J271" s="55"/>
      <c r="K271" s="54"/>
      <c r="L271" s="57">
        <f>IF(AP[[#This Row],[Spend category L1 - Override]] &lt;&gt; "", AP[[#This Row],[Spend category L1 - Override]], AP[[#This Row],[Spend category L1]])</f>
        <v>0</v>
      </c>
      <c r="M271" s="57">
        <f>IF(AP[[#This Row],[Spend category L2 - Override]] &lt;&gt; "", AP[[#This Row],[Spend category L2 - Override]], AP[[#This Row],[Spend category L2]])</f>
        <v>0</v>
      </c>
      <c r="N271" s="51">
        <f>Assumptions!$D$15</f>
        <v>0.1</v>
      </c>
      <c r="O271" s="45">
        <f>IF(AP[[#This Row],[GST applies?]] = "Yes", (AP[[#This Row],[Invoice value inc. GST]] / 1 + AP[[#This Row],[GST %]]) * AP[[#This Row],[GST %]], 0)</f>
        <v>0</v>
      </c>
      <c r="P271" s="31">
        <f>_xlfn.XLOOKUP(AP[[#This Row],[Supplier name]], Supplier_master[Supplier name], Supplier_master[EOM or Net], 0)</f>
        <v>0</v>
      </c>
      <c r="Q271" s="31">
        <f>_xlfn.XLOOKUP(AP[[#This Row],[Supplier name]], Supplier_master[Supplier name], Supplier_master[Terms days], 0)</f>
        <v>0</v>
      </c>
      <c r="R2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1" s="4"/>
      <c r="T271" s="46">
        <f>IF(AP[[#This Row],[Payment date - override (dd/mm/yyyy)]] &lt;&gt; "", AP[[#This Row],[Payment date - override (dd/mm/yyyy)]], AP[[#This Row],[Due date (dd/mm/yyyy)]])</f>
        <v>0</v>
      </c>
      <c r="U271" s="46">
        <f t="shared" si="4"/>
        <v>52</v>
      </c>
    </row>
    <row r="272" spans="3:21" x14ac:dyDescent="0.25">
      <c r="C272" s="28"/>
      <c r="D272" s="20"/>
      <c r="E272" s="4"/>
      <c r="F272" s="37"/>
      <c r="G272" s="24"/>
      <c r="H272" s="31">
        <f>_xlfn.XLOOKUP(AP[[#This Row],[Supplier name]], Supplier_master[Supplier name], Supplier_master[Category L1], 0)</f>
        <v>0</v>
      </c>
      <c r="I272" s="64">
        <f>_xlfn.XLOOKUP(AP[[#This Row],[Supplier name]], Supplier_master[Supplier name], Supplier_master[Category L2], 0)</f>
        <v>0</v>
      </c>
      <c r="J272" s="55"/>
      <c r="K272" s="54"/>
      <c r="L272" s="57">
        <f>IF(AP[[#This Row],[Spend category L1 - Override]] &lt;&gt; "", AP[[#This Row],[Spend category L1 - Override]], AP[[#This Row],[Spend category L1]])</f>
        <v>0</v>
      </c>
      <c r="M272" s="57">
        <f>IF(AP[[#This Row],[Spend category L2 - Override]] &lt;&gt; "", AP[[#This Row],[Spend category L2 - Override]], AP[[#This Row],[Spend category L2]])</f>
        <v>0</v>
      </c>
      <c r="N272" s="51">
        <f>Assumptions!$D$15</f>
        <v>0.1</v>
      </c>
      <c r="O272" s="45">
        <f>IF(AP[[#This Row],[GST applies?]] = "Yes", (AP[[#This Row],[Invoice value inc. GST]] / 1 + AP[[#This Row],[GST %]]) * AP[[#This Row],[GST %]], 0)</f>
        <v>0</v>
      </c>
      <c r="P272" s="31">
        <f>_xlfn.XLOOKUP(AP[[#This Row],[Supplier name]], Supplier_master[Supplier name], Supplier_master[EOM or Net], 0)</f>
        <v>0</v>
      </c>
      <c r="Q272" s="31">
        <f>_xlfn.XLOOKUP(AP[[#This Row],[Supplier name]], Supplier_master[Supplier name], Supplier_master[Terms days], 0)</f>
        <v>0</v>
      </c>
      <c r="R2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2" s="4"/>
      <c r="T272" s="46">
        <f>IF(AP[[#This Row],[Payment date - override (dd/mm/yyyy)]] &lt;&gt; "", AP[[#This Row],[Payment date - override (dd/mm/yyyy)]], AP[[#This Row],[Due date (dd/mm/yyyy)]])</f>
        <v>0</v>
      </c>
      <c r="U272" s="46">
        <f t="shared" si="4"/>
        <v>52</v>
      </c>
    </row>
    <row r="273" spans="3:21" x14ac:dyDescent="0.25">
      <c r="C273" s="28"/>
      <c r="D273" s="20"/>
      <c r="E273" s="4"/>
      <c r="F273" s="37"/>
      <c r="G273" s="24"/>
      <c r="H273" s="31">
        <f>_xlfn.XLOOKUP(AP[[#This Row],[Supplier name]], Supplier_master[Supplier name], Supplier_master[Category L1], 0)</f>
        <v>0</v>
      </c>
      <c r="I273" s="64">
        <f>_xlfn.XLOOKUP(AP[[#This Row],[Supplier name]], Supplier_master[Supplier name], Supplier_master[Category L2], 0)</f>
        <v>0</v>
      </c>
      <c r="J273" s="55"/>
      <c r="K273" s="54"/>
      <c r="L273" s="57">
        <f>IF(AP[[#This Row],[Spend category L1 - Override]] &lt;&gt; "", AP[[#This Row],[Spend category L1 - Override]], AP[[#This Row],[Spend category L1]])</f>
        <v>0</v>
      </c>
      <c r="M273" s="57">
        <f>IF(AP[[#This Row],[Spend category L2 - Override]] &lt;&gt; "", AP[[#This Row],[Spend category L2 - Override]], AP[[#This Row],[Spend category L2]])</f>
        <v>0</v>
      </c>
      <c r="N273" s="51">
        <f>Assumptions!$D$15</f>
        <v>0.1</v>
      </c>
      <c r="O273" s="45">
        <f>IF(AP[[#This Row],[GST applies?]] = "Yes", (AP[[#This Row],[Invoice value inc. GST]] / 1 + AP[[#This Row],[GST %]]) * AP[[#This Row],[GST %]], 0)</f>
        <v>0</v>
      </c>
      <c r="P273" s="31">
        <f>_xlfn.XLOOKUP(AP[[#This Row],[Supplier name]], Supplier_master[Supplier name], Supplier_master[EOM or Net], 0)</f>
        <v>0</v>
      </c>
      <c r="Q273" s="31">
        <f>_xlfn.XLOOKUP(AP[[#This Row],[Supplier name]], Supplier_master[Supplier name], Supplier_master[Terms days], 0)</f>
        <v>0</v>
      </c>
      <c r="R2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3" s="4"/>
      <c r="T273" s="46">
        <f>IF(AP[[#This Row],[Payment date - override (dd/mm/yyyy)]] &lt;&gt; "", AP[[#This Row],[Payment date - override (dd/mm/yyyy)]], AP[[#This Row],[Due date (dd/mm/yyyy)]])</f>
        <v>0</v>
      </c>
      <c r="U273" s="46">
        <f t="shared" si="4"/>
        <v>52</v>
      </c>
    </row>
    <row r="274" spans="3:21" x14ac:dyDescent="0.25">
      <c r="C274" s="28"/>
      <c r="D274" s="20"/>
      <c r="E274" s="4"/>
      <c r="F274" s="37"/>
      <c r="G274" s="24"/>
      <c r="H274" s="31">
        <f>_xlfn.XLOOKUP(AP[[#This Row],[Supplier name]], Supplier_master[Supplier name], Supplier_master[Category L1], 0)</f>
        <v>0</v>
      </c>
      <c r="I274" s="64">
        <f>_xlfn.XLOOKUP(AP[[#This Row],[Supplier name]], Supplier_master[Supplier name], Supplier_master[Category L2], 0)</f>
        <v>0</v>
      </c>
      <c r="J274" s="55"/>
      <c r="K274" s="54"/>
      <c r="L274" s="57">
        <f>IF(AP[[#This Row],[Spend category L1 - Override]] &lt;&gt; "", AP[[#This Row],[Spend category L1 - Override]], AP[[#This Row],[Spend category L1]])</f>
        <v>0</v>
      </c>
      <c r="M274" s="57">
        <f>IF(AP[[#This Row],[Spend category L2 - Override]] &lt;&gt; "", AP[[#This Row],[Spend category L2 - Override]], AP[[#This Row],[Spend category L2]])</f>
        <v>0</v>
      </c>
      <c r="N274" s="51">
        <f>Assumptions!$D$15</f>
        <v>0.1</v>
      </c>
      <c r="O274" s="45">
        <f>IF(AP[[#This Row],[GST applies?]] = "Yes", (AP[[#This Row],[Invoice value inc. GST]] / 1 + AP[[#This Row],[GST %]]) * AP[[#This Row],[GST %]], 0)</f>
        <v>0</v>
      </c>
      <c r="P274" s="31">
        <f>_xlfn.XLOOKUP(AP[[#This Row],[Supplier name]], Supplier_master[Supplier name], Supplier_master[EOM or Net], 0)</f>
        <v>0</v>
      </c>
      <c r="Q274" s="31">
        <f>_xlfn.XLOOKUP(AP[[#This Row],[Supplier name]], Supplier_master[Supplier name], Supplier_master[Terms days], 0)</f>
        <v>0</v>
      </c>
      <c r="R2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4" s="4"/>
      <c r="T274" s="46">
        <f>IF(AP[[#This Row],[Payment date - override (dd/mm/yyyy)]] &lt;&gt; "", AP[[#This Row],[Payment date - override (dd/mm/yyyy)]], AP[[#This Row],[Due date (dd/mm/yyyy)]])</f>
        <v>0</v>
      </c>
      <c r="U274" s="46">
        <f t="shared" si="4"/>
        <v>52</v>
      </c>
    </row>
    <row r="275" spans="3:21" x14ac:dyDescent="0.25">
      <c r="C275" s="28"/>
      <c r="D275" s="20"/>
      <c r="E275" s="4"/>
      <c r="F275" s="37"/>
      <c r="G275" s="24"/>
      <c r="H275" s="31">
        <f>_xlfn.XLOOKUP(AP[[#This Row],[Supplier name]], Supplier_master[Supplier name], Supplier_master[Category L1], 0)</f>
        <v>0</v>
      </c>
      <c r="I275" s="64">
        <f>_xlfn.XLOOKUP(AP[[#This Row],[Supplier name]], Supplier_master[Supplier name], Supplier_master[Category L2], 0)</f>
        <v>0</v>
      </c>
      <c r="J275" s="55"/>
      <c r="K275" s="54"/>
      <c r="L275" s="57">
        <f>IF(AP[[#This Row],[Spend category L1 - Override]] &lt;&gt; "", AP[[#This Row],[Spend category L1 - Override]], AP[[#This Row],[Spend category L1]])</f>
        <v>0</v>
      </c>
      <c r="M275" s="57">
        <f>IF(AP[[#This Row],[Spend category L2 - Override]] &lt;&gt; "", AP[[#This Row],[Spend category L2 - Override]], AP[[#This Row],[Spend category L2]])</f>
        <v>0</v>
      </c>
      <c r="N275" s="51">
        <f>Assumptions!$D$15</f>
        <v>0.1</v>
      </c>
      <c r="O275" s="45">
        <f>IF(AP[[#This Row],[GST applies?]] = "Yes", (AP[[#This Row],[Invoice value inc. GST]] / 1 + AP[[#This Row],[GST %]]) * AP[[#This Row],[GST %]], 0)</f>
        <v>0</v>
      </c>
      <c r="P275" s="31">
        <f>_xlfn.XLOOKUP(AP[[#This Row],[Supplier name]], Supplier_master[Supplier name], Supplier_master[EOM or Net], 0)</f>
        <v>0</v>
      </c>
      <c r="Q275" s="31">
        <f>_xlfn.XLOOKUP(AP[[#This Row],[Supplier name]], Supplier_master[Supplier name], Supplier_master[Terms days], 0)</f>
        <v>0</v>
      </c>
      <c r="R2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5" s="4"/>
      <c r="T275" s="46">
        <f>IF(AP[[#This Row],[Payment date - override (dd/mm/yyyy)]] &lt;&gt; "", AP[[#This Row],[Payment date - override (dd/mm/yyyy)]], AP[[#This Row],[Due date (dd/mm/yyyy)]])</f>
        <v>0</v>
      </c>
      <c r="U275" s="46">
        <f t="shared" si="4"/>
        <v>52</v>
      </c>
    </row>
    <row r="276" spans="3:21" x14ac:dyDescent="0.25">
      <c r="C276" s="28"/>
      <c r="D276" s="20"/>
      <c r="E276" s="4"/>
      <c r="F276" s="37"/>
      <c r="G276" s="24"/>
      <c r="H276" s="31">
        <f>_xlfn.XLOOKUP(AP[[#This Row],[Supplier name]], Supplier_master[Supplier name], Supplier_master[Category L1], 0)</f>
        <v>0</v>
      </c>
      <c r="I276" s="64">
        <f>_xlfn.XLOOKUP(AP[[#This Row],[Supplier name]], Supplier_master[Supplier name], Supplier_master[Category L2], 0)</f>
        <v>0</v>
      </c>
      <c r="J276" s="55"/>
      <c r="K276" s="54"/>
      <c r="L276" s="57">
        <f>IF(AP[[#This Row],[Spend category L1 - Override]] &lt;&gt; "", AP[[#This Row],[Spend category L1 - Override]], AP[[#This Row],[Spend category L1]])</f>
        <v>0</v>
      </c>
      <c r="M276" s="57">
        <f>IF(AP[[#This Row],[Spend category L2 - Override]] &lt;&gt; "", AP[[#This Row],[Spend category L2 - Override]], AP[[#This Row],[Spend category L2]])</f>
        <v>0</v>
      </c>
      <c r="N276" s="51">
        <f>Assumptions!$D$15</f>
        <v>0.1</v>
      </c>
      <c r="O276" s="45">
        <f>IF(AP[[#This Row],[GST applies?]] = "Yes", (AP[[#This Row],[Invoice value inc. GST]] / 1 + AP[[#This Row],[GST %]]) * AP[[#This Row],[GST %]], 0)</f>
        <v>0</v>
      </c>
      <c r="P276" s="31">
        <f>_xlfn.XLOOKUP(AP[[#This Row],[Supplier name]], Supplier_master[Supplier name], Supplier_master[EOM or Net], 0)</f>
        <v>0</v>
      </c>
      <c r="Q276" s="31">
        <f>_xlfn.XLOOKUP(AP[[#This Row],[Supplier name]], Supplier_master[Supplier name], Supplier_master[Terms days], 0)</f>
        <v>0</v>
      </c>
      <c r="R2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6" s="4"/>
      <c r="T276" s="46">
        <f>IF(AP[[#This Row],[Payment date - override (dd/mm/yyyy)]] &lt;&gt; "", AP[[#This Row],[Payment date - override (dd/mm/yyyy)]], AP[[#This Row],[Due date (dd/mm/yyyy)]])</f>
        <v>0</v>
      </c>
      <c r="U276" s="46">
        <f t="shared" si="4"/>
        <v>52</v>
      </c>
    </row>
    <row r="277" spans="3:21" x14ac:dyDescent="0.25">
      <c r="C277" s="28"/>
      <c r="D277" s="20"/>
      <c r="E277" s="4"/>
      <c r="F277" s="37"/>
      <c r="G277" s="24"/>
      <c r="H277" s="31">
        <f>_xlfn.XLOOKUP(AP[[#This Row],[Supplier name]], Supplier_master[Supplier name], Supplier_master[Category L1], 0)</f>
        <v>0</v>
      </c>
      <c r="I277" s="64">
        <f>_xlfn.XLOOKUP(AP[[#This Row],[Supplier name]], Supplier_master[Supplier name], Supplier_master[Category L2], 0)</f>
        <v>0</v>
      </c>
      <c r="J277" s="55"/>
      <c r="K277" s="54"/>
      <c r="L277" s="57">
        <f>IF(AP[[#This Row],[Spend category L1 - Override]] &lt;&gt; "", AP[[#This Row],[Spend category L1 - Override]], AP[[#This Row],[Spend category L1]])</f>
        <v>0</v>
      </c>
      <c r="M277" s="57">
        <f>IF(AP[[#This Row],[Spend category L2 - Override]] &lt;&gt; "", AP[[#This Row],[Spend category L2 - Override]], AP[[#This Row],[Spend category L2]])</f>
        <v>0</v>
      </c>
      <c r="N277" s="51">
        <f>Assumptions!$D$15</f>
        <v>0.1</v>
      </c>
      <c r="O277" s="45">
        <f>IF(AP[[#This Row],[GST applies?]] = "Yes", (AP[[#This Row],[Invoice value inc. GST]] / 1 + AP[[#This Row],[GST %]]) * AP[[#This Row],[GST %]], 0)</f>
        <v>0</v>
      </c>
      <c r="P277" s="31">
        <f>_xlfn.XLOOKUP(AP[[#This Row],[Supplier name]], Supplier_master[Supplier name], Supplier_master[EOM or Net], 0)</f>
        <v>0</v>
      </c>
      <c r="Q277" s="31">
        <f>_xlfn.XLOOKUP(AP[[#This Row],[Supplier name]], Supplier_master[Supplier name], Supplier_master[Terms days], 0)</f>
        <v>0</v>
      </c>
      <c r="R2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7" s="4"/>
      <c r="T277" s="46">
        <f>IF(AP[[#This Row],[Payment date - override (dd/mm/yyyy)]] &lt;&gt; "", AP[[#This Row],[Payment date - override (dd/mm/yyyy)]], AP[[#This Row],[Due date (dd/mm/yyyy)]])</f>
        <v>0</v>
      </c>
      <c r="U277" s="46">
        <f t="shared" si="4"/>
        <v>52</v>
      </c>
    </row>
    <row r="278" spans="3:21" x14ac:dyDescent="0.25">
      <c r="C278" s="28"/>
      <c r="D278" s="20"/>
      <c r="E278" s="4"/>
      <c r="F278" s="37"/>
      <c r="G278" s="24"/>
      <c r="H278" s="31">
        <f>_xlfn.XLOOKUP(AP[[#This Row],[Supplier name]], Supplier_master[Supplier name], Supplier_master[Category L1], 0)</f>
        <v>0</v>
      </c>
      <c r="I278" s="64">
        <f>_xlfn.XLOOKUP(AP[[#This Row],[Supplier name]], Supplier_master[Supplier name], Supplier_master[Category L2], 0)</f>
        <v>0</v>
      </c>
      <c r="J278" s="55"/>
      <c r="K278" s="54"/>
      <c r="L278" s="57">
        <f>IF(AP[[#This Row],[Spend category L1 - Override]] &lt;&gt; "", AP[[#This Row],[Spend category L1 - Override]], AP[[#This Row],[Spend category L1]])</f>
        <v>0</v>
      </c>
      <c r="M278" s="57">
        <f>IF(AP[[#This Row],[Spend category L2 - Override]] &lt;&gt; "", AP[[#This Row],[Spend category L2 - Override]], AP[[#This Row],[Spend category L2]])</f>
        <v>0</v>
      </c>
      <c r="N278" s="51">
        <f>Assumptions!$D$15</f>
        <v>0.1</v>
      </c>
      <c r="O278" s="45">
        <f>IF(AP[[#This Row],[GST applies?]] = "Yes", (AP[[#This Row],[Invoice value inc. GST]] / 1 + AP[[#This Row],[GST %]]) * AP[[#This Row],[GST %]], 0)</f>
        <v>0</v>
      </c>
      <c r="P278" s="31">
        <f>_xlfn.XLOOKUP(AP[[#This Row],[Supplier name]], Supplier_master[Supplier name], Supplier_master[EOM or Net], 0)</f>
        <v>0</v>
      </c>
      <c r="Q278" s="31">
        <f>_xlfn.XLOOKUP(AP[[#This Row],[Supplier name]], Supplier_master[Supplier name], Supplier_master[Terms days], 0)</f>
        <v>0</v>
      </c>
      <c r="R2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8" s="4"/>
      <c r="T278" s="46">
        <f>IF(AP[[#This Row],[Payment date - override (dd/mm/yyyy)]] &lt;&gt; "", AP[[#This Row],[Payment date - override (dd/mm/yyyy)]], AP[[#This Row],[Due date (dd/mm/yyyy)]])</f>
        <v>0</v>
      </c>
      <c r="U278" s="46">
        <f t="shared" si="4"/>
        <v>52</v>
      </c>
    </row>
    <row r="279" spans="3:21" x14ac:dyDescent="0.25">
      <c r="C279" s="28"/>
      <c r="D279" s="20"/>
      <c r="E279" s="4"/>
      <c r="F279" s="37"/>
      <c r="G279" s="24"/>
      <c r="H279" s="31">
        <f>_xlfn.XLOOKUP(AP[[#This Row],[Supplier name]], Supplier_master[Supplier name], Supplier_master[Category L1], 0)</f>
        <v>0</v>
      </c>
      <c r="I279" s="64">
        <f>_xlfn.XLOOKUP(AP[[#This Row],[Supplier name]], Supplier_master[Supplier name], Supplier_master[Category L2], 0)</f>
        <v>0</v>
      </c>
      <c r="J279" s="55"/>
      <c r="K279" s="54"/>
      <c r="L279" s="57">
        <f>IF(AP[[#This Row],[Spend category L1 - Override]] &lt;&gt; "", AP[[#This Row],[Spend category L1 - Override]], AP[[#This Row],[Spend category L1]])</f>
        <v>0</v>
      </c>
      <c r="M279" s="57">
        <f>IF(AP[[#This Row],[Spend category L2 - Override]] &lt;&gt; "", AP[[#This Row],[Spend category L2 - Override]], AP[[#This Row],[Spend category L2]])</f>
        <v>0</v>
      </c>
      <c r="N279" s="51">
        <f>Assumptions!$D$15</f>
        <v>0.1</v>
      </c>
      <c r="O279" s="45">
        <f>IF(AP[[#This Row],[GST applies?]] = "Yes", (AP[[#This Row],[Invoice value inc. GST]] / 1 + AP[[#This Row],[GST %]]) * AP[[#This Row],[GST %]], 0)</f>
        <v>0</v>
      </c>
      <c r="P279" s="31">
        <f>_xlfn.XLOOKUP(AP[[#This Row],[Supplier name]], Supplier_master[Supplier name], Supplier_master[EOM or Net], 0)</f>
        <v>0</v>
      </c>
      <c r="Q279" s="31">
        <f>_xlfn.XLOOKUP(AP[[#This Row],[Supplier name]], Supplier_master[Supplier name], Supplier_master[Terms days], 0)</f>
        <v>0</v>
      </c>
      <c r="R2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9" s="4"/>
      <c r="T279" s="46">
        <f>IF(AP[[#This Row],[Payment date - override (dd/mm/yyyy)]] &lt;&gt; "", AP[[#This Row],[Payment date - override (dd/mm/yyyy)]], AP[[#This Row],[Due date (dd/mm/yyyy)]])</f>
        <v>0</v>
      </c>
      <c r="U279" s="46">
        <f t="shared" si="4"/>
        <v>52</v>
      </c>
    </row>
    <row r="280" spans="3:21" x14ac:dyDescent="0.25">
      <c r="C280" s="28"/>
      <c r="D280" s="20"/>
      <c r="E280" s="4"/>
      <c r="F280" s="37"/>
      <c r="G280" s="24"/>
      <c r="H280" s="31">
        <f>_xlfn.XLOOKUP(AP[[#This Row],[Supplier name]], Supplier_master[Supplier name], Supplier_master[Category L1], 0)</f>
        <v>0</v>
      </c>
      <c r="I280" s="64">
        <f>_xlfn.XLOOKUP(AP[[#This Row],[Supplier name]], Supplier_master[Supplier name], Supplier_master[Category L2], 0)</f>
        <v>0</v>
      </c>
      <c r="J280" s="55"/>
      <c r="K280" s="54"/>
      <c r="L280" s="57">
        <f>IF(AP[[#This Row],[Spend category L1 - Override]] &lt;&gt; "", AP[[#This Row],[Spend category L1 - Override]], AP[[#This Row],[Spend category L1]])</f>
        <v>0</v>
      </c>
      <c r="M280" s="57">
        <f>IF(AP[[#This Row],[Spend category L2 - Override]] &lt;&gt; "", AP[[#This Row],[Spend category L2 - Override]], AP[[#This Row],[Spend category L2]])</f>
        <v>0</v>
      </c>
      <c r="N280" s="51">
        <f>Assumptions!$D$15</f>
        <v>0.1</v>
      </c>
      <c r="O280" s="45">
        <f>IF(AP[[#This Row],[GST applies?]] = "Yes", (AP[[#This Row],[Invoice value inc. GST]] / 1 + AP[[#This Row],[GST %]]) * AP[[#This Row],[GST %]], 0)</f>
        <v>0</v>
      </c>
      <c r="P280" s="31">
        <f>_xlfn.XLOOKUP(AP[[#This Row],[Supplier name]], Supplier_master[Supplier name], Supplier_master[EOM or Net], 0)</f>
        <v>0</v>
      </c>
      <c r="Q280" s="31">
        <f>_xlfn.XLOOKUP(AP[[#This Row],[Supplier name]], Supplier_master[Supplier name], Supplier_master[Terms days], 0)</f>
        <v>0</v>
      </c>
      <c r="R2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0" s="4"/>
      <c r="T280" s="46">
        <f>IF(AP[[#This Row],[Payment date - override (dd/mm/yyyy)]] &lt;&gt; "", AP[[#This Row],[Payment date - override (dd/mm/yyyy)]], AP[[#This Row],[Due date (dd/mm/yyyy)]])</f>
        <v>0</v>
      </c>
      <c r="U280" s="46">
        <f t="shared" si="4"/>
        <v>52</v>
      </c>
    </row>
    <row r="281" spans="3:21" x14ac:dyDescent="0.25">
      <c r="C281" s="28"/>
      <c r="D281" s="20"/>
      <c r="E281" s="4"/>
      <c r="F281" s="37"/>
      <c r="G281" s="24"/>
      <c r="H281" s="31">
        <f>_xlfn.XLOOKUP(AP[[#This Row],[Supplier name]], Supplier_master[Supplier name], Supplier_master[Category L1], 0)</f>
        <v>0</v>
      </c>
      <c r="I281" s="64">
        <f>_xlfn.XLOOKUP(AP[[#This Row],[Supplier name]], Supplier_master[Supplier name], Supplier_master[Category L2], 0)</f>
        <v>0</v>
      </c>
      <c r="J281" s="55"/>
      <c r="K281" s="54"/>
      <c r="L281" s="57">
        <f>IF(AP[[#This Row],[Spend category L1 - Override]] &lt;&gt; "", AP[[#This Row],[Spend category L1 - Override]], AP[[#This Row],[Spend category L1]])</f>
        <v>0</v>
      </c>
      <c r="M281" s="57">
        <f>IF(AP[[#This Row],[Spend category L2 - Override]] &lt;&gt; "", AP[[#This Row],[Spend category L2 - Override]], AP[[#This Row],[Spend category L2]])</f>
        <v>0</v>
      </c>
      <c r="N281" s="51">
        <f>Assumptions!$D$15</f>
        <v>0.1</v>
      </c>
      <c r="O281" s="45">
        <f>IF(AP[[#This Row],[GST applies?]] = "Yes", (AP[[#This Row],[Invoice value inc. GST]] / 1 + AP[[#This Row],[GST %]]) * AP[[#This Row],[GST %]], 0)</f>
        <v>0</v>
      </c>
      <c r="P281" s="31">
        <f>_xlfn.XLOOKUP(AP[[#This Row],[Supplier name]], Supplier_master[Supplier name], Supplier_master[EOM or Net], 0)</f>
        <v>0</v>
      </c>
      <c r="Q281" s="31">
        <f>_xlfn.XLOOKUP(AP[[#This Row],[Supplier name]], Supplier_master[Supplier name], Supplier_master[Terms days], 0)</f>
        <v>0</v>
      </c>
      <c r="R2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1" s="4"/>
      <c r="T281" s="46">
        <f>IF(AP[[#This Row],[Payment date - override (dd/mm/yyyy)]] &lt;&gt; "", AP[[#This Row],[Payment date - override (dd/mm/yyyy)]], AP[[#This Row],[Due date (dd/mm/yyyy)]])</f>
        <v>0</v>
      </c>
      <c r="U281" s="46">
        <f t="shared" si="4"/>
        <v>52</v>
      </c>
    </row>
    <row r="282" spans="3:21" x14ac:dyDescent="0.25">
      <c r="C282" s="28"/>
      <c r="D282" s="20"/>
      <c r="E282" s="4"/>
      <c r="F282" s="37"/>
      <c r="G282" s="24"/>
      <c r="H282" s="31">
        <f>_xlfn.XLOOKUP(AP[[#This Row],[Supplier name]], Supplier_master[Supplier name], Supplier_master[Category L1], 0)</f>
        <v>0</v>
      </c>
      <c r="I282" s="64">
        <f>_xlfn.XLOOKUP(AP[[#This Row],[Supplier name]], Supplier_master[Supplier name], Supplier_master[Category L2], 0)</f>
        <v>0</v>
      </c>
      <c r="J282" s="55"/>
      <c r="K282" s="54"/>
      <c r="L282" s="57">
        <f>IF(AP[[#This Row],[Spend category L1 - Override]] &lt;&gt; "", AP[[#This Row],[Spend category L1 - Override]], AP[[#This Row],[Spend category L1]])</f>
        <v>0</v>
      </c>
      <c r="M282" s="57">
        <f>IF(AP[[#This Row],[Spend category L2 - Override]] &lt;&gt; "", AP[[#This Row],[Spend category L2 - Override]], AP[[#This Row],[Spend category L2]])</f>
        <v>0</v>
      </c>
      <c r="N282" s="51">
        <f>Assumptions!$D$15</f>
        <v>0.1</v>
      </c>
      <c r="O282" s="45">
        <f>IF(AP[[#This Row],[GST applies?]] = "Yes", (AP[[#This Row],[Invoice value inc. GST]] / 1 + AP[[#This Row],[GST %]]) * AP[[#This Row],[GST %]], 0)</f>
        <v>0</v>
      </c>
      <c r="P282" s="31">
        <f>_xlfn.XLOOKUP(AP[[#This Row],[Supplier name]], Supplier_master[Supplier name], Supplier_master[EOM or Net], 0)</f>
        <v>0</v>
      </c>
      <c r="Q282" s="31">
        <f>_xlfn.XLOOKUP(AP[[#This Row],[Supplier name]], Supplier_master[Supplier name], Supplier_master[Terms days], 0)</f>
        <v>0</v>
      </c>
      <c r="R2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2" s="4"/>
      <c r="T282" s="46">
        <f>IF(AP[[#This Row],[Payment date - override (dd/mm/yyyy)]] &lt;&gt; "", AP[[#This Row],[Payment date - override (dd/mm/yyyy)]], AP[[#This Row],[Due date (dd/mm/yyyy)]])</f>
        <v>0</v>
      </c>
      <c r="U282" s="46">
        <f t="shared" si="4"/>
        <v>52</v>
      </c>
    </row>
    <row r="283" spans="3:21" x14ac:dyDescent="0.25">
      <c r="C283" s="28"/>
      <c r="D283" s="20"/>
      <c r="E283" s="4"/>
      <c r="F283" s="37"/>
      <c r="G283" s="24"/>
      <c r="H283" s="31">
        <f>_xlfn.XLOOKUP(AP[[#This Row],[Supplier name]], Supplier_master[Supplier name], Supplier_master[Category L1], 0)</f>
        <v>0</v>
      </c>
      <c r="I283" s="64">
        <f>_xlfn.XLOOKUP(AP[[#This Row],[Supplier name]], Supplier_master[Supplier name], Supplier_master[Category L2], 0)</f>
        <v>0</v>
      </c>
      <c r="J283" s="55"/>
      <c r="K283" s="54"/>
      <c r="L283" s="57">
        <f>IF(AP[[#This Row],[Spend category L1 - Override]] &lt;&gt; "", AP[[#This Row],[Spend category L1 - Override]], AP[[#This Row],[Spend category L1]])</f>
        <v>0</v>
      </c>
      <c r="M283" s="57">
        <f>IF(AP[[#This Row],[Spend category L2 - Override]] &lt;&gt; "", AP[[#This Row],[Spend category L2 - Override]], AP[[#This Row],[Spend category L2]])</f>
        <v>0</v>
      </c>
      <c r="N283" s="51">
        <f>Assumptions!$D$15</f>
        <v>0.1</v>
      </c>
      <c r="O283" s="45">
        <f>IF(AP[[#This Row],[GST applies?]] = "Yes", (AP[[#This Row],[Invoice value inc. GST]] / 1 + AP[[#This Row],[GST %]]) * AP[[#This Row],[GST %]], 0)</f>
        <v>0</v>
      </c>
      <c r="P283" s="31">
        <f>_xlfn.XLOOKUP(AP[[#This Row],[Supplier name]], Supplier_master[Supplier name], Supplier_master[EOM or Net], 0)</f>
        <v>0</v>
      </c>
      <c r="Q283" s="31">
        <f>_xlfn.XLOOKUP(AP[[#This Row],[Supplier name]], Supplier_master[Supplier name], Supplier_master[Terms days], 0)</f>
        <v>0</v>
      </c>
      <c r="R2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3" s="4"/>
      <c r="T283" s="46">
        <f>IF(AP[[#This Row],[Payment date - override (dd/mm/yyyy)]] &lt;&gt; "", AP[[#This Row],[Payment date - override (dd/mm/yyyy)]], AP[[#This Row],[Due date (dd/mm/yyyy)]])</f>
        <v>0</v>
      </c>
      <c r="U283" s="46">
        <f t="shared" si="4"/>
        <v>52</v>
      </c>
    </row>
    <row r="284" spans="3:21" x14ac:dyDescent="0.25">
      <c r="C284" s="28"/>
      <c r="D284" s="20"/>
      <c r="E284" s="4"/>
      <c r="F284" s="37"/>
      <c r="G284" s="24"/>
      <c r="H284" s="31">
        <f>_xlfn.XLOOKUP(AP[[#This Row],[Supplier name]], Supplier_master[Supplier name], Supplier_master[Category L1], 0)</f>
        <v>0</v>
      </c>
      <c r="I284" s="64">
        <f>_xlfn.XLOOKUP(AP[[#This Row],[Supplier name]], Supplier_master[Supplier name], Supplier_master[Category L2], 0)</f>
        <v>0</v>
      </c>
      <c r="J284" s="55"/>
      <c r="K284" s="54"/>
      <c r="L284" s="57">
        <f>IF(AP[[#This Row],[Spend category L1 - Override]] &lt;&gt; "", AP[[#This Row],[Spend category L1 - Override]], AP[[#This Row],[Spend category L1]])</f>
        <v>0</v>
      </c>
      <c r="M284" s="57">
        <f>IF(AP[[#This Row],[Spend category L2 - Override]] &lt;&gt; "", AP[[#This Row],[Spend category L2 - Override]], AP[[#This Row],[Spend category L2]])</f>
        <v>0</v>
      </c>
      <c r="N284" s="51">
        <f>Assumptions!$D$15</f>
        <v>0.1</v>
      </c>
      <c r="O284" s="45">
        <f>IF(AP[[#This Row],[GST applies?]] = "Yes", (AP[[#This Row],[Invoice value inc. GST]] / 1 + AP[[#This Row],[GST %]]) * AP[[#This Row],[GST %]], 0)</f>
        <v>0</v>
      </c>
      <c r="P284" s="31">
        <f>_xlfn.XLOOKUP(AP[[#This Row],[Supplier name]], Supplier_master[Supplier name], Supplier_master[EOM or Net], 0)</f>
        <v>0</v>
      </c>
      <c r="Q284" s="31">
        <f>_xlfn.XLOOKUP(AP[[#This Row],[Supplier name]], Supplier_master[Supplier name], Supplier_master[Terms days], 0)</f>
        <v>0</v>
      </c>
      <c r="R2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4" s="4"/>
      <c r="T284" s="46">
        <f>IF(AP[[#This Row],[Payment date - override (dd/mm/yyyy)]] &lt;&gt; "", AP[[#This Row],[Payment date - override (dd/mm/yyyy)]], AP[[#This Row],[Due date (dd/mm/yyyy)]])</f>
        <v>0</v>
      </c>
      <c r="U284" s="46">
        <f t="shared" si="4"/>
        <v>52</v>
      </c>
    </row>
    <row r="285" spans="3:21" x14ac:dyDescent="0.25">
      <c r="C285" s="28"/>
      <c r="D285" s="20"/>
      <c r="E285" s="4"/>
      <c r="F285" s="37"/>
      <c r="G285" s="24"/>
      <c r="H285" s="31">
        <f>_xlfn.XLOOKUP(AP[[#This Row],[Supplier name]], Supplier_master[Supplier name], Supplier_master[Category L1], 0)</f>
        <v>0</v>
      </c>
      <c r="I285" s="64">
        <f>_xlfn.XLOOKUP(AP[[#This Row],[Supplier name]], Supplier_master[Supplier name], Supplier_master[Category L2], 0)</f>
        <v>0</v>
      </c>
      <c r="J285" s="55"/>
      <c r="K285" s="54"/>
      <c r="L285" s="57">
        <f>IF(AP[[#This Row],[Spend category L1 - Override]] &lt;&gt; "", AP[[#This Row],[Spend category L1 - Override]], AP[[#This Row],[Spend category L1]])</f>
        <v>0</v>
      </c>
      <c r="M285" s="57">
        <f>IF(AP[[#This Row],[Spend category L2 - Override]] &lt;&gt; "", AP[[#This Row],[Spend category L2 - Override]], AP[[#This Row],[Spend category L2]])</f>
        <v>0</v>
      </c>
      <c r="N285" s="51">
        <f>Assumptions!$D$15</f>
        <v>0.1</v>
      </c>
      <c r="O285" s="45">
        <f>IF(AP[[#This Row],[GST applies?]] = "Yes", (AP[[#This Row],[Invoice value inc. GST]] / 1 + AP[[#This Row],[GST %]]) * AP[[#This Row],[GST %]], 0)</f>
        <v>0</v>
      </c>
      <c r="P285" s="31">
        <f>_xlfn.XLOOKUP(AP[[#This Row],[Supplier name]], Supplier_master[Supplier name], Supplier_master[EOM or Net], 0)</f>
        <v>0</v>
      </c>
      <c r="Q285" s="31">
        <f>_xlfn.XLOOKUP(AP[[#This Row],[Supplier name]], Supplier_master[Supplier name], Supplier_master[Terms days], 0)</f>
        <v>0</v>
      </c>
      <c r="R2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5" s="4"/>
      <c r="T285" s="46">
        <f>IF(AP[[#This Row],[Payment date - override (dd/mm/yyyy)]] &lt;&gt; "", AP[[#This Row],[Payment date - override (dd/mm/yyyy)]], AP[[#This Row],[Due date (dd/mm/yyyy)]])</f>
        <v>0</v>
      </c>
      <c r="U285" s="46">
        <f t="shared" si="4"/>
        <v>52</v>
      </c>
    </row>
    <row r="286" spans="3:21" x14ac:dyDescent="0.25">
      <c r="C286" s="28"/>
      <c r="D286" s="20"/>
      <c r="E286" s="4"/>
      <c r="F286" s="37"/>
      <c r="G286" s="24"/>
      <c r="H286" s="31">
        <f>_xlfn.XLOOKUP(AP[[#This Row],[Supplier name]], Supplier_master[Supplier name], Supplier_master[Category L1], 0)</f>
        <v>0</v>
      </c>
      <c r="I286" s="64">
        <f>_xlfn.XLOOKUP(AP[[#This Row],[Supplier name]], Supplier_master[Supplier name], Supplier_master[Category L2], 0)</f>
        <v>0</v>
      </c>
      <c r="J286" s="55"/>
      <c r="K286" s="54"/>
      <c r="L286" s="57">
        <f>IF(AP[[#This Row],[Spend category L1 - Override]] &lt;&gt; "", AP[[#This Row],[Spend category L1 - Override]], AP[[#This Row],[Spend category L1]])</f>
        <v>0</v>
      </c>
      <c r="M286" s="57">
        <f>IF(AP[[#This Row],[Spend category L2 - Override]] &lt;&gt; "", AP[[#This Row],[Spend category L2 - Override]], AP[[#This Row],[Spend category L2]])</f>
        <v>0</v>
      </c>
      <c r="N286" s="51">
        <f>Assumptions!$D$15</f>
        <v>0.1</v>
      </c>
      <c r="O286" s="45">
        <f>IF(AP[[#This Row],[GST applies?]] = "Yes", (AP[[#This Row],[Invoice value inc. GST]] / 1 + AP[[#This Row],[GST %]]) * AP[[#This Row],[GST %]], 0)</f>
        <v>0</v>
      </c>
      <c r="P286" s="31">
        <f>_xlfn.XLOOKUP(AP[[#This Row],[Supplier name]], Supplier_master[Supplier name], Supplier_master[EOM or Net], 0)</f>
        <v>0</v>
      </c>
      <c r="Q286" s="31">
        <f>_xlfn.XLOOKUP(AP[[#This Row],[Supplier name]], Supplier_master[Supplier name], Supplier_master[Terms days], 0)</f>
        <v>0</v>
      </c>
      <c r="R2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6" s="4"/>
      <c r="T286" s="46">
        <f>IF(AP[[#This Row],[Payment date - override (dd/mm/yyyy)]] &lt;&gt; "", AP[[#This Row],[Payment date - override (dd/mm/yyyy)]], AP[[#This Row],[Due date (dd/mm/yyyy)]])</f>
        <v>0</v>
      </c>
      <c r="U286" s="46">
        <f t="shared" si="4"/>
        <v>52</v>
      </c>
    </row>
    <row r="287" spans="3:21" x14ac:dyDescent="0.25">
      <c r="C287" s="28"/>
      <c r="D287" s="20"/>
      <c r="E287" s="4"/>
      <c r="F287" s="37"/>
      <c r="G287" s="24"/>
      <c r="H287" s="31">
        <f>_xlfn.XLOOKUP(AP[[#This Row],[Supplier name]], Supplier_master[Supplier name], Supplier_master[Category L1], 0)</f>
        <v>0</v>
      </c>
      <c r="I287" s="64">
        <f>_xlfn.XLOOKUP(AP[[#This Row],[Supplier name]], Supplier_master[Supplier name], Supplier_master[Category L2], 0)</f>
        <v>0</v>
      </c>
      <c r="J287" s="55"/>
      <c r="K287" s="54"/>
      <c r="L287" s="57">
        <f>IF(AP[[#This Row],[Spend category L1 - Override]] &lt;&gt; "", AP[[#This Row],[Spend category L1 - Override]], AP[[#This Row],[Spend category L1]])</f>
        <v>0</v>
      </c>
      <c r="M287" s="57">
        <f>IF(AP[[#This Row],[Spend category L2 - Override]] &lt;&gt; "", AP[[#This Row],[Spend category L2 - Override]], AP[[#This Row],[Spend category L2]])</f>
        <v>0</v>
      </c>
      <c r="N287" s="51">
        <f>Assumptions!$D$15</f>
        <v>0.1</v>
      </c>
      <c r="O287" s="45">
        <f>IF(AP[[#This Row],[GST applies?]] = "Yes", (AP[[#This Row],[Invoice value inc. GST]] / 1 + AP[[#This Row],[GST %]]) * AP[[#This Row],[GST %]], 0)</f>
        <v>0</v>
      </c>
      <c r="P287" s="31">
        <f>_xlfn.XLOOKUP(AP[[#This Row],[Supplier name]], Supplier_master[Supplier name], Supplier_master[EOM or Net], 0)</f>
        <v>0</v>
      </c>
      <c r="Q287" s="31">
        <f>_xlfn.XLOOKUP(AP[[#This Row],[Supplier name]], Supplier_master[Supplier name], Supplier_master[Terms days], 0)</f>
        <v>0</v>
      </c>
      <c r="R2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7" s="4"/>
      <c r="T287" s="46">
        <f>IF(AP[[#This Row],[Payment date - override (dd/mm/yyyy)]] &lt;&gt; "", AP[[#This Row],[Payment date - override (dd/mm/yyyy)]], AP[[#This Row],[Due date (dd/mm/yyyy)]])</f>
        <v>0</v>
      </c>
      <c r="U287" s="46">
        <f t="shared" si="4"/>
        <v>52</v>
      </c>
    </row>
    <row r="288" spans="3:21" x14ac:dyDescent="0.25">
      <c r="C288" s="28"/>
      <c r="D288" s="20"/>
      <c r="E288" s="4"/>
      <c r="F288" s="37"/>
      <c r="G288" s="24"/>
      <c r="H288" s="31">
        <f>_xlfn.XLOOKUP(AP[[#This Row],[Supplier name]], Supplier_master[Supplier name], Supplier_master[Category L1], 0)</f>
        <v>0</v>
      </c>
      <c r="I288" s="64">
        <f>_xlfn.XLOOKUP(AP[[#This Row],[Supplier name]], Supplier_master[Supplier name], Supplier_master[Category L2], 0)</f>
        <v>0</v>
      </c>
      <c r="J288" s="55"/>
      <c r="K288" s="54"/>
      <c r="L288" s="57">
        <f>IF(AP[[#This Row],[Spend category L1 - Override]] &lt;&gt; "", AP[[#This Row],[Spend category L1 - Override]], AP[[#This Row],[Spend category L1]])</f>
        <v>0</v>
      </c>
      <c r="M288" s="57">
        <f>IF(AP[[#This Row],[Spend category L2 - Override]] &lt;&gt; "", AP[[#This Row],[Spend category L2 - Override]], AP[[#This Row],[Spend category L2]])</f>
        <v>0</v>
      </c>
      <c r="N288" s="51">
        <f>Assumptions!$D$15</f>
        <v>0.1</v>
      </c>
      <c r="O288" s="45">
        <f>IF(AP[[#This Row],[GST applies?]] = "Yes", (AP[[#This Row],[Invoice value inc. GST]] / 1 + AP[[#This Row],[GST %]]) * AP[[#This Row],[GST %]], 0)</f>
        <v>0</v>
      </c>
      <c r="P288" s="31">
        <f>_xlfn.XLOOKUP(AP[[#This Row],[Supplier name]], Supplier_master[Supplier name], Supplier_master[EOM or Net], 0)</f>
        <v>0</v>
      </c>
      <c r="Q288" s="31">
        <f>_xlfn.XLOOKUP(AP[[#This Row],[Supplier name]], Supplier_master[Supplier name], Supplier_master[Terms days], 0)</f>
        <v>0</v>
      </c>
      <c r="R2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8" s="4"/>
      <c r="T288" s="46">
        <f>IF(AP[[#This Row],[Payment date - override (dd/mm/yyyy)]] &lt;&gt; "", AP[[#This Row],[Payment date - override (dd/mm/yyyy)]], AP[[#This Row],[Due date (dd/mm/yyyy)]])</f>
        <v>0</v>
      </c>
      <c r="U288" s="46">
        <f t="shared" si="4"/>
        <v>52</v>
      </c>
    </row>
    <row r="289" spans="3:21" x14ac:dyDescent="0.25">
      <c r="C289" s="28"/>
      <c r="D289" s="20"/>
      <c r="E289" s="4"/>
      <c r="F289" s="37"/>
      <c r="G289" s="24"/>
      <c r="H289" s="31">
        <f>_xlfn.XLOOKUP(AP[[#This Row],[Supplier name]], Supplier_master[Supplier name], Supplier_master[Category L1], 0)</f>
        <v>0</v>
      </c>
      <c r="I289" s="64">
        <f>_xlfn.XLOOKUP(AP[[#This Row],[Supplier name]], Supplier_master[Supplier name], Supplier_master[Category L2], 0)</f>
        <v>0</v>
      </c>
      <c r="J289" s="55"/>
      <c r="K289" s="54"/>
      <c r="L289" s="57">
        <f>IF(AP[[#This Row],[Spend category L1 - Override]] &lt;&gt; "", AP[[#This Row],[Spend category L1 - Override]], AP[[#This Row],[Spend category L1]])</f>
        <v>0</v>
      </c>
      <c r="M289" s="57">
        <f>IF(AP[[#This Row],[Spend category L2 - Override]] &lt;&gt; "", AP[[#This Row],[Spend category L2 - Override]], AP[[#This Row],[Spend category L2]])</f>
        <v>0</v>
      </c>
      <c r="N289" s="51">
        <f>Assumptions!$D$15</f>
        <v>0.1</v>
      </c>
      <c r="O289" s="45">
        <f>IF(AP[[#This Row],[GST applies?]] = "Yes", (AP[[#This Row],[Invoice value inc. GST]] / 1 + AP[[#This Row],[GST %]]) * AP[[#This Row],[GST %]], 0)</f>
        <v>0</v>
      </c>
      <c r="P289" s="31">
        <f>_xlfn.XLOOKUP(AP[[#This Row],[Supplier name]], Supplier_master[Supplier name], Supplier_master[EOM or Net], 0)</f>
        <v>0</v>
      </c>
      <c r="Q289" s="31">
        <f>_xlfn.XLOOKUP(AP[[#This Row],[Supplier name]], Supplier_master[Supplier name], Supplier_master[Terms days], 0)</f>
        <v>0</v>
      </c>
      <c r="R2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9" s="4"/>
      <c r="T289" s="46">
        <f>IF(AP[[#This Row],[Payment date - override (dd/mm/yyyy)]] &lt;&gt; "", AP[[#This Row],[Payment date - override (dd/mm/yyyy)]], AP[[#This Row],[Due date (dd/mm/yyyy)]])</f>
        <v>0</v>
      </c>
      <c r="U289" s="46">
        <f t="shared" si="4"/>
        <v>52</v>
      </c>
    </row>
    <row r="290" spans="3:21" x14ac:dyDescent="0.25">
      <c r="C290" s="28"/>
      <c r="D290" s="20"/>
      <c r="E290" s="4"/>
      <c r="F290" s="37"/>
      <c r="G290" s="24"/>
      <c r="H290" s="31">
        <f>_xlfn.XLOOKUP(AP[[#This Row],[Supplier name]], Supplier_master[Supplier name], Supplier_master[Category L1], 0)</f>
        <v>0</v>
      </c>
      <c r="I290" s="64">
        <f>_xlfn.XLOOKUP(AP[[#This Row],[Supplier name]], Supplier_master[Supplier name], Supplier_master[Category L2], 0)</f>
        <v>0</v>
      </c>
      <c r="J290" s="55"/>
      <c r="K290" s="54"/>
      <c r="L290" s="57">
        <f>IF(AP[[#This Row],[Spend category L1 - Override]] &lt;&gt; "", AP[[#This Row],[Spend category L1 - Override]], AP[[#This Row],[Spend category L1]])</f>
        <v>0</v>
      </c>
      <c r="M290" s="57">
        <f>IF(AP[[#This Row],[Spend category L2 - Override]] &lt;&gt; "", AP[[#This Row],[Spend category L2 - Override]], AP[[#This Row],[Spend category L2]])</f>
        <v>0</v>
      </c>
      <c r="N290" s="51">
        <f>Assumptions!$D$15</f>
        <v>0.1</v>
      </c>
      <c r="O290" s="45">
        <f>IF(AP[[#This Row],[GST applies?]] = "Yes", (AP[[#This Row],[Invoice value inc. GST]] / 1 + AP[[#This Row],[GST %]]) * AP[[#This Row],[GST %]], 0)</f>
        <v>0</v>
      </c>
      <c r="P290" s="31">
        <f>_xlfn.XLOOKUP(AP[[#This Row],[Supplier name]], Supplier_master[Supplier name], Supplier_master[EOM or Net], 0)</f>
        <v>0</v>
      </c>
      <c r="Q290" s="31">
        <f>_xlfn.XLOOKUP(AP[[#This Row],[Supplier name]], Supplier_master[Supplier name], Supplier_master[Terms days], 0)</f>
        <v>0</v>
      </c>
      <c r="R2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0" s="4"/>
      <c r="T290" s="46">
        <f>IF(AP[[#This Row],[Payment date - override (dd/mm/yyyy)]] &lt;&gt; "", AP[[#This Row],[Payment date - override (dd/mm/yyyy)]], AP[[#This Row],[Due date (dd/mm/yyyy)]])</f>
        <v>0</v>
      </c>
      <c r="U290" s="46">
        <f t="shared" si="4"/>
        <v>52</v>
      </c>
    </row>
    <row r="291" spans="3:21" x14ac:dyDescent="0.25">
      <c r="C291" s="28"/>
      <c r="D291" s="20"/>
      <c r="E291" s="4"/>
      <c r="F291" s="37"/>
      <c r="G291" s="24"/>
      <c r="H291" s="31">
        <f>_xlfn.XLOOKUP(AP[[#This Row],[Supplier name]], Supplier_master[Supplier name], Supplier_master[Category L1], 0)</f>
        <v>0</v>
      </c>
      <c r="I291" s="64">
        <f>_xlfn.XLOOKUP(AP[[#This Row],[Supplier name]], Supplier_master[Supplier name], Supplier_master[Category L2], 0)</f>
        <v>0</v>
      </c>
      <c r="J291" s="55"/>
      <c r="K291" s="54"/>
      <c r="L291" s="57">
        <f>IF(AP[[#This Row],[Spend category L1 - Override]] &lt;&gt; "", AP[[#This Row],[Spend category L1 - Override]], AP[[#This Row],[Spend category L1]])</f>
        <v>0</v>
      </c>
      <c r="M291" s="57">
        <f>IF(AP[[#This Row],[Spend category L2 - Override]] &lt;&gt; "", AP[[#This Row],[Spend category L2 - Override]], AP[[#This Row],[Spend category L2]])</f>
        <v>0</v>
      </c>
      <c r="N291" s="51">
        <f>Assumptions!$D$15</f>
        <v>0.1</v>
      </c>
      <c r="O291" s="45">
        <f>IF(AP[[#This Row],[GST applies?]] = "Yes", (AP[[#This Row],[Invoice value inc. GST]] / 1 + AP[[#This Row],[GST %]]) * AP[[#This Row],[GST %]], 0)</f>
        <v>0</v>
      </c>
      <c r="P291" s="31">
        <f>_xlfn.XLOOKUP(AP[[#This Row],[Supplier name]], Supplier_master[Supplier name], Supplier_master[EOM or Net], 0)</f>
        <v>0</v>
      </c>
      <c r="Q291" s="31">
        <f>_xlfn.XLOOKUP(AP[[#This Row],[Supplier name]], Supplier_master[Supplier name], Supplier_master[Terms days], 0)</f>
        <v>0</v>
      </c>
      <c r="R2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1" s="4"/>
      <c r="T291" s="46">
        <f>IF(AP[[#This Row],[Payment date - override (dd/mm/yyyy)]] &lt;&gt; "", AP[[#This Row],[Payment date - override (dd/mm/yyyy)]], AP[[#This Row],[Due date (dd/mm/yyyy)]])</f>
        <v>0</v>
      </c>
      <c r="U291" s="46">
        <f t="shared" si="4"/>
        <v>52</v>
      </c>
    </row>
    <row r="292" spans="3:21" x14ac:dyDescent="0.25">
      <c r="C292" s="28"/>
      <c r="D292" s="20"/>
      <c r="E292" s="4"/>
      <c r="F292" s="37"/>
      <c r="G292" s="24"/>
      <c r="H292" s="31">
        <f>_xlfn.XLOOKUP(AP[[#This Row],[Supplier name]], Supplier_master[Supplier name], Supplier_master[Category L1], 0)</f>
        <v>0</v>
      </c>
      <c r="I292" s="64">
        <f>_xlfn.XLOOKUP(AP[[#This Row],[Supplier name]], Supplier_master[Supplier name], Supplier_master[Category L2], 0)</f>
        <v>0</v>
      </c>
      <c r="J292" s="55"/>
      <c r="K292" s="54"/>
      <c r="L292" s="57">
        <f>IF(AP[[#This Row],[Spend category L1 - Override]] &lt;&gt; "", AP[[#This Row],[Spend category L1 - Override]], AP[[#This Row],[Spend category L1]])</f>
        <v>0</v>
      </c>
      <c r="M292" s="57">
        <f>IF(AP[[#This Row],[Spend category L2 - Override]] &lt;&gt; "", AP[[#This Row],[Spend category L2 - Override]], AP[[#This Row],[Spend category L2]])</f>
        <v>0</v>
      </c>
      <c r="N292" s="51">
        <f>Assumptions!$D$15</f>
        <v>0.1</v>
      </c>
      <c r="O292" s="45">
        <f>IF(AP[[#This Row],[GST applies?]] = "Yes", (AP[[#This Row],[Invoice value inc. GST]] / 1 + AP[[#This Row],[GST %]]) * AP[[#This Row],[GST %]], 0)</f>
        <v>0</v>
      </c>
      <c r="P292" s="31">
        <f>_xlfn.XLOOKUP(AP[[#This Row],[Supplier name]], Supplier_master[Supplier name], Supplier_master[EOM or Net], 0)</f>
        <v>0</v>
      </c>
      <c r="Q292" s="31">
        <f>_xlfn.XLOOKUP(AP[[#This Row],[Supplier name]], Supplier_master[Supplier name], Supplier_master[Terms days], 0)</f>
        <v>0</v>
      </c>
      <c r="R2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2" s="4"/>
      <c r="T292" s="46">
        <f>IF(AP[[#This Row],[Payment date - override (dd/mm/yyyy)]] &lt;&gt; "", AP[[#This Row],[Payment date - override (dd/mm/yyyy)]], AP[[#This Row],[Due date (dd/mm/yyyy)]])</f>
        <v>0</v>
      </c>
      <c r="U292" s="46">
        <f t="shared" si="4"/>
        <v>52</v>
      </c>
    </row>
    <row r="293" spans="3:21" x14ac:dyDescent="0.25">
      <c r="C293" s="28"/>
      <c r="D293" s="20"/>
      <c r="E293" s="4"/>
      <c r="F293" s="37"/>
      <c r="G293" s="24"/>
      <c r="H293" s="31">
        <f>_xlfn.XLOOKUP(AP[[#This Row],[Supplier name]], Supplier_master[Supplier name], Supplier_master[Category L1], 0)</f>
        <v>0</v>
      </c>
      <c r="I293" s="64">
        <f>_xlfn.XLOOKUP(AP[[#This Row],[Supplier name]], Supplier_master[Supplier name], Supplier_master[Category L2], 0)</f>
        <v>0</v>
      </c>
      <c r="J293" s="55"/>
      <c r="K293" s="54"/>
      <c r="L293" s="57">
        <f>IF(AP[[#This Row],[Spend category L1 - Override]] &lt;&gt; "", AP[[#This Row],[Spend category L1 - Override]], AP[[#This Row],[Spend category L1]])</f>
        <v>0</v>
      </c>
      <c r="M293" s="57">
        <f>IF(AP[[#This Row],[Spend category L2 - Override]] &lt;&gt; "", AP[[#This Row],[Spend category L2 - Override]], AP[[#This Row],[Spend category L2]])</f>
        <v>0</v>
      </c>
      <c r="N293" s="51">
        <f>Assumptions!$D$15</f>
        <v>0.1</v>
      </c>
      <c r="O293" s="45">
        <f>IF(AP[[#This Row],[GST applies?]] = "Yes", (AP[[#This Row],[Invoice value inc. GST]] / 1 + AP[[#This Row],[GST %]]) * AP[[#This Row],[GST %]], 0)</f>
        <v>0</v>
      </c>
      <c r="P293" s="31">
        <f>_xlfn.XLOOKUP(AP[[#This Row],[Supplier name]], Supplier_master[Supplier name], Supplier_master[EOM or Net], 0)</f>
        <v>0</v>
      </c>
      <c r="Q293" s="31">
        <f>_xlfn.XLOOKUP(AP[[#This Row],[Supplier name]], Supplier_master[Supplier name], Supplier_master[Terms days], 0)</f>
        <v>0</v>
      </c>
      <c r="R2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3" s="4"/>
      <c r="T293" s="46">
        <f>IF(AP[[#This Row],[Payment date - override (dd/mm/yyyy)]] &lt;&gt; "", AP[[#This Row],[Payment date - override (dd/mm/yyyy)]], AP[[#This Row],[Due date (dd/mm/yyyy)]])</f>
        <v>0</v>
      </c>
      <c r="U293" s="46">
        <f t="shared" si="4"/>
        <v>52</v>
      </c>
    </row>
    <row r="294" spans="3:21" x14ac:dyDescent="0.25">
      <c r="C294" s="28"/>
      <c r="D294" s="20"/>
      <c r="E294" s="4"/>
      <c r="F294" s="37"/>
      <c r="G294" s="24"/>
      <c r="H294" s="31">
        <f>_xlfn.XLOOKUP(AP[[#This Row],[Supplier name]], Supplier_master[Supplier name], Supplier_master[Category L1], 0)</f>
        <v>0</v>
      </c>
      <c r="I294" s="64">
        <f>_xlfn.XLOOKUP(AP[[#This Row],[Supplier name]], Supplier_master[Supplier name], Supplier_master[Category L2], 0)</f>
        <v>0</v>
      </c>
      <c r="J294" s="55"/>
      <c r="K294" s="54"/>
      <c r="L294" s="57">
        <f>IF(AP[[#This Row],[Spend category L1 - Override]] &lt;&gt; "", AP[[#This Row],[Spend category L1 - Override]], AP[[#This Row],[Spend category L1]])</f>
        <v>0</v>
      </c>
      <c r="M294" s="57">
        <f>IF(AP[[#This Row],[Spend category L2 - Override]] &lt;&gt; "", AP[[#This Row],[Spend category L2 - Override]], AP[[#This Row],[Spend category L2]])</f>
        <v>0</v>
      </c>
      <c r="N294" s="51">
        <f>Assumptions!$D$15</f>
        <v>0.1</v>
      </c>
      <c r="O294" s="45">
        <f>IF(AP[[#This Row],[GST applies?]] = "Yes", (AP[[#This Row],[Invoice value inc. GST]] / 1 + AP[[#This Row],[GST %]]) * AP[[#This Row],[GST %]], 0)</f>
        <v>0</v>
      </c>
      <c r="P294" s="31">
        <f>_xlfn.XLOOKUP(AP[[#This Row],[Supplier name]], Supplier_master[Supplier name], Supplier_master[EOM or Net], 0)</f>
        <v>0</v>
      </c>
      <c r="Q294" s="31">
        <f>_xlfn.XLOOKUP(AP[[#This Row],[Supplier name]], Supplier_master[Supplier name], Supplier_master[Terms days], 0)</f>
        <v>0</v>
      </c>
      <c r="R2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4" s="4"/>
      <c r="T294" s="46">
        <f>IF(AP[[#This Row],[Payment date - override (dd/mm/yyyy)]] &lt;&gt; "", AP[[#This Row],[Payment date - override (dd/mm/yyyy)]], AP[[#This Row],[Due date (dd/mm/yyyy)]])</f>
        <v>0</v>
      </c>
      <c r="U294" s="46">
        <f t="shared" si="4"/>
        <v>52</v>
      </c>
    </row>
    <row r="295" spans="3:21" x14ac:dyDescent="0.25">
      <c r="C295" s="28"/>
      <c r="D295" s="20"/>
      <c r="E295" s="4"/>
      <c r="F295" s="37"/>
      <c r="G295" s="24"/>
      <c r="H295" s="31">
        <f>_xlfn.XLOOKUP(AP[[#This Row],[Supplier name]], Supplier_master[Supplier name], Supplier_master[Category L1], 0)</f>
        <v>0</v>
      </c>
      <c r="I295" s="64">
        <f>_xlfn.XLOOKUP(AP[[#This Row],[Supplier name]], Supplier_master[Supplier name], Supplier_master[Category L2], 0)</f>
        <v>0</v>
      </c>
      <c r="J295" s="55"/>
      <c r="K295" s="54"/>
      <c r="L295" s="57">
        <f>IF(AP[[#This Row],[Spend category L1 - Override]] &lt;&gt; "", AP[[#This Row],[Spend category L1 - Override]], AP[[#This Row],[Spend category L1]])</f>
        <v>0</v>
      </c>
      <c r="M295" s="57">
        <f>IF(AP[[#This Row],[Spend category L2 - Override]] &lt;&gt; "", AP[[#This Row],[Spend category L2 - Override]], AP[[#This Row],[Spend category L2]])</f>
        <v>0</v>
      </c>
      <c r="N295" s="51">
        <f>Assumptions!$D$15</f>
        <v>0.1</v>
      </c>
      <c r="O295" s="45">
        <f>IF(AP[[#This Row],[GST applies?]] = "Yes", (AP[[#This Row],[Invoice value inc. GST]] / 1 + AP[[#This Row],[GST %]]) * AP[[#This Row],[GST %]], 0)</f>
        <v>0</v>
      </c>
      <c r="P295" s="31">
        <f>_xlfn.XLOOKUP(AP[[#This Row],[Supplier name]], Supplier_master[Supplier name], Supplier_master[EOM or Net], 0)</f>
        <v>0</v>
      </c>
      <c r="Q295" s="31">
        <f>_xlfn.XLOOKUP(AP[[#This Row],[Supplier name]], Supplier_master[Supplier name], Supplier_master[Terms days], 0)</f>
        <v>0</v>
      </c>
      <c r="R2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5" s="4"/>
      <c r="T295" s="46">
        <f>IF(AP[[#This Row],[Payment date - override (dd/mm/yyyy)]] &lt;&gt; "", AP[[#This Row],[Payment date - override (dd/mm/yyyy)]], AP[[#This Row],[Due date (dd/mm/yyyy)]])</f>
        <v>0</v>
      </c>
      <c r="U295" s="46">
        <f t="shared" si="4"/>
        <v>52</v>
      </c>
    </row>
    <row r="296" spans="3:21" x14ac:dyDescent="0.25">
      <c r="C296" s="28"/>
      <c r="D296" s="20"/>
      <c r="E296" s="4"/>
      <c r="F296" s="37"/>
      <c r="G296" s="24"/>
      <c r="H296" s="31">
        <f>_xlfn.XLOOKUP(AP[[#This Row],[Supplier name]], Supplier_master[Supplier name], Supplier_master[Category L1], 0)</f>
        <v>0</v>
      </c>
      <c r="I296" s="64">
        <f>_xlfn.XLOOKUP(AP[[#This Row],[Supplier name]], Supplier_master[Supplier name], Supplier_master[Category L2], 0)</f>
        <v>0</v>
      </c>
      <c r="J296" s="55"/>
      <c r="K296" s="54"/>
      <c r="L296" s="57">
        <f>IF(AP[[#This Row],[Spend category L1 - Override]] &lt;&gt; "", AP[[#This Row],[Spend category L1 - Override]], AP[[#This Row],[Spend category L1]])</f>
        <v>0</v>
      </c>
      <c r="M296" s="57">
        <f>IF(AP[[#This Row],[Spend category L2 - Override]] &lt;&gt; "", AP[[#This Row],[Spend category L2 - Override]], AP[[#This Row],[Spend category L2]])</f>
        <v>0</v>
      </c>
      <c r="N296" s="51">
        <f>Assumptions!$D$15</f>
        <v>0.1</v>
      </c>
      <c r="O296" s="45">
        <f>IF(AP[[#This Row],[GST applies?]] = "Yes", (AP[[#This Row],[Invoice value inc. GST]] / 1 + AP[[#This Row],[GST %]]) * AP[[#This Row],[GST %]], 0)</f>
        <v>0</v>
      </c>
      <c r="P296" s="31">
        <f>_xlfn.XLOOKUP(AP[[#This Row],[Supplier name]], Supplier_master[Supplier name], Supplier_master[EOM or Net], 0)</f>
        <v>0</v>
      </c>
      <c r="Q296" s="31">
        <f>_xlfn.XLOOKUP(AP[[#This Row],[Supplier name]], Supplier_master[Supplier name], Supplier_master[Terms days], 0)</f>
        <v>0</v>
      </c>
      <c r="R2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6" s="4"/>
      <c r="T296" s="46">
        <f>IF(AP[[#This Row],[Payment date - override (dd/mm/yyyy)]] &lt;&gt; "", AP[[#This Row],[Payment date - override (dd/mm/yyyy)]], AP[[#This Row],[Due date (dd/mm/yyyy)]])</f>
        <v>0</v>
      </c>
      <c r="U296" s="46">
        <f t="shared" si="4"/>
        <v>52</v>
      </c>
    </row>
    <row r="297" spans="3:21" x14ac:dyDescent="0.25">
      <c r="C297" s="28"/>
      <c r="D297" s="20"/>
      <c r="E297" s="4"/>
      <c r="F297" s="37"/>
      <c r="G297" s="24"/>
      <c r="H297" s="31">
        <f>_xlfn.XLOOKUP(AP[[#This Row],[Supplier name]], Supplier_master[Supplier name], Supplier_master[Category L1], 0)</f>
        <v>0</v>
      </c>
      <c r="I297" s="64">
        <f>_xlfn.XLOOKUP(AP[[#This Row],[Supplier name]], Supplier_master[Supplier name], Supplier_master[Category L2], 0)</f>
        <v>0</v>
      </c>
      <c r="J297" s="55"/>
      <c r="K297" s="54"/>
      <c r="L297" s="57">
        <f>IF(AP[[#This Row],[Spend category L1 - Override]] &lt;&gt; "", AP[[#This Row],[Spend category L1 - Override]], AP[[#This Row],[Spend category L1]])</f>
        <v>0</v>
      </c>
      <c r="M297" s="57">
        <f>IF(AP[[#This Row],[Spend category L2 - Override]] &lt;&gt; "", AP[[#This Row],[Spend category L2 - Override]], AP[[#This Row],[Spend category L2]])</f>
        <v>0</v>
      </c>
      <c r="N297" s="51">
        <f>Assumptions!$D$15</f>
        <v>0.1</v>
      </c>
      <c r="O297" s="45">
        <f>IF(AP[[#This Row],[GST applies?]] = "Yes", (AP[[#This Row],[Invoice value inc. GST]] / 1 + AP[[#This Row],[GST %]]) * AP[[#This Row],[GST %]], 0)</f>
        <v>0</v>
      </c>
      <c r="P297" s="31">
        <f>_xlfn.XLOOKUP(AP[[#This Row],[Supplier name]], Supplier_master[Supplier name], Supplier_master[EOM or Net], 0)</f>
        <v>0</v>
      </c>
      <c r="Q297" s="31">
        <f>_xlfn.XLOOKUP(AP[[#This Row],[Supplier name]], Supplier_master[Supplier name], Supplier_master[Terms days], 0)</f>
        <v>0</v>
      </c>
      <c r="R2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7" s="4"/>
      <c r="T297" s="46">
        <f>IF(AP[[#This Row],[Payment date - override (dd/mm/yyyy)]] &lt;&gt; "", AP[[#This Row],[Payment date - override (dd/mm/yyyy)]], AP[[#This Row],[Due date (dd/mm/yyyy)]])</f>
        <v>0</v>
      </c>
      <c r="U297" s="46">
        <f t="shared" si="4"/>
        <v>52</v>
      </c>
    </row>
    <row r="298" spans="3:21" x14ac:dyDescent="0.25">
      <c r="C298" s="28"/>
      <c r="D298" s="20"/>
      <c r="E298" s="4"/>
      <c r="F298" s="37"/>
      <c r="G298" s="24"/>
      <c r="H298" s="31">
        <f>_xlfn.XLOOKUP(AP[[#This Row],[Supplier name]], Supplier_master[Supplier name], Supplier_master[Category L1], 0)</f>
        <v>0</v>
      </c>
      <c r="I298" s="64">
        <f>_xlfn.XLOOKUP(AP[[#This Row],[Supplier name]], Supplier_master[Supplier name], Supplier_master[Category L2], 0)</f>
        <v>0</v>
      </c>
      <c r="J298" s="55"/>
      <c r="K298" s="54"/>
      <c r="L298" s="57">
        <f>IF(AP[[#This Row],[Spend category L1 - Override]] &lt;&gt; "", AP[[#This Row],[Spend category L1 - Override]], AP[[#This Row],[Spend category L1]])</f>
        <v>0</v>
      </c>
      <c r="M298" s="57">
        <f>IF(AP[[#This Row],[Spend category L2 - Override]] &lt;&gt; "", AP[[#This Row],[Spend category L2 - Override]], AP[[#This Row],[Spend category L2]])</f>
        <v>0</v>
      </c>
      <c r="N298" s="51">
        <f>Assumptions!$D$15</f>
        <v>0.1</v>
      </c>
      <c r="O298" s="45">
        <f>IF(AP[[#This Row],[GST applies?]] = "Yes", (AP[[#This Row],[Invoice value inc. GST]] / 1 + AP[[#This Row],[GST %]]) * AP[[#This Row],[GST %]], 0)</f>
        <v>0</v>
      </c>
      <c r="P298" s="31">
        <f>_xlfn.XLOOKUP(AP[[#This Row],[Supplier name]], Supplier_master[Supplier name], Supplier_master[EOM or Net], 0)</f>
        <v>0</v>
      </c>
      <c r="Q298" s="31">
        <f>_xlfn.XLOOKUP(AP[[#This Row],[Supplier name]], Supplier_master[Supplier name], Supplier_master[Terms days], 0)</f>
        <v>0</v>
      </c>
      <c r="R2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8" s="4"/>
      <c r="T298" s="46">
        <f>IF(AP[[#This Row],[Payment date - override (dd/mm/yyyy)]] &lt;&gt; "", AP[[#This Row],[Payment date - override (dd/mm/yyyy)]], AP[[#This Row],[Due date (dd/mm/yyyy)]])</f>
        <v>0</v>
      </c>
      <c r="U298" s="46">
        <f t="shared" si="4"/>
        <v>52</v>
      </c>
    </row>
    <row r="299" spans="3:21" x14ac:dyDescent="0.25">
      <c r="C299" s="28"/>
      <c r="D299" s="20"/>
      <c r="E299" s="4"/>
      <c r="F299" s="37"/>
      <c r="G299" s="24"/>
      <c r="H299" s="31">
        <f>_xlfn.XLOOKUP(AP[[#This Row],[Supplier name]], Supplier_master[Supplier name], Supplier_master[Category L1], 0)</f>
        <v>0</v>
      </c>
      <c r="I299" s="64">
        <f>_xlfn.XLOOKUP(AP[[#This Row],[Supplier name]], Supplier_master[Supplier name], Supplier_master[Category L2], 0)</f>
        <v>0</v>
      </c>
      <c r="J299" s="55"/>
      <c r="K299" s="54"/>
      <c r="L299" s="57">
        <f>IF(AP[[#This Row],[Spend category L1 - Override]] &lt;&gt; "", AP[[#This Row],[Spend category L1 - Override]], AP[[#This Row],[Spend category L1]])</f>
        <v>0</v>
      </c>
      <c r="M299" s="57">
        <f>IF(AP[[#This Row],[Spend category L2 - Override]] &lt;&gt; "", AP[[#This Row],[Spend category L2 - Override]], AP[[#This Row],[Spend category L2]])</f>
        <v>0</v>
      </c>
      <c r="N299" s="51">
        <f>Assumptions!$D$15</f>
        <v>0.1</v>
      </c>
      <c r="O299" s="45">
        <f>IF(AP[[#This Row],[GST applies?]] = "Yes", (AP[[#This Row],[Invoice value inc. GST]] / 1 + AP[[#This Row],[GST %]]) * AP[[#This Row],[GST %]], 0)</f>
        <v>0</v>
      </c>
      <c r="P299" s="31">
        <f>_xlfn.XLOOKUP(AP[[#This Row],[Supplier name]], Supplier_master[Supplier name], Supplier_master[EOM or Net], 0)</f>
        <v>0</v>
      </c>
      <c r="Q299" s="31">
        <f>_xlfn.XLOOKUP(AP[[#This Row],[Supplier name]], Supplier_master[Supplier name], Supplier_master[Terms days], 0)</f>
        <v>0</v>
      </c>
      <c r="R2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9" s="4"/>
      <c r="T299" s="46">
        <f>IF(AP[[#This Row],[Payment date - override (dd/mm/yyyy)]] &lt;&gt; "", AP[[#This Row],[Payment date - override (dd/mm/yyyy)]], AP[[#This Row],[Due date (dd/mm/yyyy)]])</f>
        <v>0</v>
      </c>
      <c r="U299" s="46">
        <f t="shared" si="4"/>
        <v>52</v>
      </c>
    </row>
    <row r="300" spans="3:21" x14ac:dyDescent="0.25">
      <c r="C300" s="28"/>
      <c r="D300" s="20"/>
      <c r="E300" s="4"/>
      <c r="F300" s="37"/>
      <c r="G300" s="24"/>
      <c r="H300" s="31">
        <f>_xlfn.XLOOKUP(AP[[#This Row],[Supplier name]], Supplier_master[Supplier name], Supplier_master[Category L1], 0)</f>
        <v>0</v>
      </c>
      <c r="I300" s="64">
        <f>_xlfn.XLOOKUP(AP[[#This Row],[Supplier name]], Supplier_master[Supplier name], Supplier_master[Category L2], 0)</f>
        <v>0</v>
      </c>
      <c r="J300" s="55"/>
      <c r="K300" s="54"/>
      <c r="L300" s="57">
        <f>IF(AP[[#This Row],[Spend category L1 - Override]] &lt;&gt; "", AP[[#This Row],[Spend category L1 - Override]], AP[[#This Row],[Spend category L1]])</f>
        <v>0</v>
      </c>
      <c r="M300" s="57">
        <f>IF(AP[[#This Row],[Spend category L2 - Override]] &lt;&gt; "", AP[[#This Row],[Spend category L2 - Override]], AP[[#This Row],[Spend category L2]])</f>
        <v>0</v>
      </c>
      <c r="N300" s="51">
        <f>Assumptions!$D$15</f>
        <v>0.1</v>
      </c>
      <c r="O300" s="45">
        <f>IF(AP[[#This Row],[GST applies?]] = "Yes", (AP[[#This Row],[Invoice value inc. GST]] / 1 + AP[[#This Row],[GST %]]) * AP[[#This Row],[GST %]], 0)</f>
        <v>0</v>
      </c>
      <c r="P300" s="31">
        <f>_xlfn.XLOOKUP(AP[[#This Row],[Supplier name]], Supplier_master[Supplier name], Supplier_master[EOM or Net], 0)</f>
        <v>0</v>
      </c>
      <c r="Q300" s="31">
        <f>_xlfn.XLOOKUP(AP[[#This Row],[Supplier name]], Supplier_master[Supplier name], Supplier_master[Terms days], 0)</f>
        <v>0</v>
      </c>
      <c r="R3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0" s="4"/>
      <c r="T300" s="46">
        <f>IF(AP[[#This Row],[Payment date - override (dd/mm/yyyy)]] &lt;&gt; "", AP[[#This Row],[Payment date - override (dd/mm/yyyy)]], AP[[#This Row],[Due date (dd/mm/yyyy)]])</f>
        <v>0</v>
      </c>
      <c r="U300" s="46">
        <f t="shared" si="4"/>
        <v>52</v>
      </c>
    </row>
    <row r="301" spans="3:21" x14ac:dyDescent="0.25">
      <c r="C301" s="28"/>
      <c r="D301" s="20"/>
      <c r="E301" s="4"/>
      <c r="F301" s="37"/>
      <c r="G301" s="24"/>
      <c r="H301" s="31">
        <f>_xlfn.XLOOKUP(AP[[#This Row],[Supplier name]], Supplier_master[Supplier name], Supplier_master[Category L1], 0)</f>
        <v>0</v>
      </c>
      <c r="I301" s="64">
        <f>_xlfn.XLOOKUP(AP[[#This Row],[Supplier name]], Supplier_master[Supplier name], Supplier_master[Category L2], 0)</f>
        <v>0</v>
      </c>
      <c r="J301" s="55"/>
      <c r="K301" s="54"/>
      <c r="L301" s="57">
        <f>IF(AP[[#This Row],[Spend category L1 - Override]] &lt;&gt; "", AP[[#This Row],[Spend category L1 - Override]], AP[[#This Row],[Spend category L1]])</f>
        <v>0</v>
      </c>
      <c r="M301" s="57">
        <f>IF(AP[[#This Row],[Spend category L2 - Override]] &lt;&gt; "", AP[[#This Row],[Spend category L2 - Override]], AP[[#This Row],[Spend category L2]])</f>
        <v>0</v>
      </c>
      <c r="N301" s="51">
        <f>Assumptions!$D$15</f>
        <v>0.1</v>
      </c>
      <c r="O301" s="45">
        <f>IF(AP[[#This Row],[GST applies?]] = "Yes", (AP[[#This Row],[Invoice value inc. GST]] / 1 + AP[[#This Row],[GST %]]) * AP[[#This Row],[GST %]], 0)</f>
        <v>0</v>
      </c>
      <c r="P301" s="31">
        <f>_xlfn.XLOOKUP(AP[[#This Row],[Supplier name]], Supplier_master[Supplier name], Supplier_master[EOM or Net], 0)</f>
        <v>0</v>
      </c>
      <c r="Q301" s="31">
        <f>_xlfn.XLOOKUP(AP[[#This Row],[Supplier name]], Supplier_master[Supplier name], Supplier_master[Terms days], 0)</f>
        <v>0</v>
      </c>
      <c r="R3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1" s="4"/>
      <c r="T301" s="46">
        <f>IF(AP[[#This Row],[Payment date - override (dd/mm/yyyy)]] &lt;&gt; "", AP[[#This Row],[Payment date - override (dd/mm/yyyy)]], AP[[#This Row],[Due date (dd/mm/yyyy)]])</f>
        <v>0</v>
      </c>
      <c r="U301" s="46">
        <f t="shared" si="4"/>
        <v>52</v>
      </c>
    </row>
    <row r="302" spans="3:21" x14ac:dyDescent="0.25">
      <c r="C302" s="28"/>
      <c r="D302" s="20"/>
      <c r="E302" s="4"/>
      <c r="F302" s="37"/>
      <c r="G302" s="24"/>
      <c r="H302" s="31">
        <f>_xlfn.XLOOKUP(AP[[#This Row],[Supplier name]], Supplier_master[Supplier name], Supplier_master[Category L1], 0)</f>
        <v>0</v>
      </c>
      <c r="I302" s="64">
        <f>_xlfn.XLOOKUP(AP[[#This Row],[Supplier name]], Supplier_master[Supplier name], Supplier_master[Category L2], 0)</f>
        <v>0</v>
      </c>
      <c r="J302" s="55"/>
      <c r="K302" s="54"/>
      <c r="L302" s="57">
        <f>IF(AP[[#This Row],[Spend category L1 - Override]] &lt;&gt; "", AP[[#This Row],[Spend category L1 - Override]], AP[[#This Row],[Spend category L1]])</f>
        <v>0</v>
      </c>
      <c r="M302" s="57">
        <f>IF(AP[[#This Row],[Spend category L2 - Override]] &lt;&gt; "", AP[[#This Row],[Spend category L2 - Override]], AP[[#This Row],[Spend category L2]])</f>
        <v>0</v>
      </c>
      <c r="N302" s="51">
        <f>Assumptions!$D$15</f>
        <v>0.1</v>
      </c>
      <c r="O302" s="45">
        <f>IF(AP[[#This Row],[GST applies?]] = "Yes", (AP[[#This Row],[Invoice value inc. GST]] / 1 + AP[[#This Row],[GST %]]) * AP[[#This Row],[GST %]], 0)</f>
        <v>0</v>
      </c>
      <c r="P302" s="31">
        <f>_xlfn.XLOOKUP(AP[[#This Row],[Supplier name]], Supplier_master[Supplier name], Supplier_master[EOM or Net], 0)</f>
        <v>0</v>
      </c>
      <c r="Q302" s="31">
        <f>_xlfn.XLOOKUP(AP[[#This Row],[Supplier name]], Supplier_master[Supplier name], Supplier_master[Terms days], 0)</f>
        <v>0</v>
      </c>
      <c r="R3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2" s="4"/>
      <c r="T302" s="46">
        <f>IF(AP[[#This Row],[Payment date - override (dd/mm/yyyy)]] &lt;&gt; "", AP[[#This Row],[Payment date - override (dd/mm/yyyy)]], AP[[#This Row],[Due date (dd/mm/yyyy)]])</f>
        <v>0</v>
      </c>
      <c r="U302" s="46">
        <f t="shared" si="4"/>
        <v>52</v>
      </c>
    </row>
    <row r="303" spans="3:21" x14ac:dyDescent="0.25">
      <c r="C303" s="28"/>
      <c r="D303" s="20"/>
      <c r="E303" s="4"/>
      <c r="F303" s="37"/>
      <c r="G303" s="24"/>
      <c r="H303" s="31">
        <f>_xlfn.XLOOKUP(AP[[#This Row],[Supplier name]], Supplier_master[Supplier name], Supplier_master[Category L1], 0)</f>
        <v>0</v>
      </c>
      <c r="I303" s="64">
        <f>_xlfn.XLOOKUP(AP[[#This Row],[Supplier name]], Supplier_master[Supplier name], Supplier_master[Category L2], 0)</f>
        <v>0</v>
      </c>
      <c r="J303" s="55"/>
      <c r="K303" s="54"/>
      <c r="L303" s="57">
        <f>IF(AP[[#This Row],[Spend category L1 - Override]] &lt;&gt; "", AP[[#This Row],[Spend category L1 - Override]], AP[[#This Row],[Spend category L1]])</f>
        <v>0</v>
      </c>
      <c r="M303" s="57">
        <f>IF(AP[[#This Row],[Spend category L2 - Override]] &lt;&gt; "", AP[[#This Row],[Spend category L2 - Override]], AP[[#This Row],[Spend category L2]])</f>
        <v>0</v>
      </c>
      <c r="N303" s="51">
        <f>Assumptions!$D$15</f>
        <v>0.1</v>
      </c>
      <c r="O303" s="45">
        <f>IF(AP[[#This Row],[GST applies?]] = "Yes", (AP[[#This Row],[Invoice value inc. GST]] / 1 + AP[[#This Row],[GST %]]) * AP[[#This Row],[GST %]], 0)</f>
        <v>0</v>
      </c>
      <c r="P303" s="31">
        <f>_xlfn.XLOOKUP(AP[[#This Row],[Supplier name]], Supplier_master[Supplier name], Supplier_master[EOM or Net], 0)</f>
        <v>0</v>
      </c>
      <c r="Q303" s="31">
        <f>_xlfn.XLOOKUP(AP[[#This Row],[Supplier name]], Supplier_master[Supplier name], Supplier_master[Terms days], 0)</f>
        <v>0</v>
      </c>
      <c r="R3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3" s="4"/>
      <c r="T303" s="46">
        <f>IF(AP[[#This Row],[Payment date - override (dd/mm/yyyy)]] &lt;&gt; "", AP[[#This Row],[Payment date - override (dd/mm/yyyy)]], AP[[#This Row],[Due date (dd/mm/yyyy)]])</f>
        <v>0</v>
      </c>
      <c r="U303" s="46">
        <f t="shared" si="4"/>
        <v>52</v>
      </c>
    </row>
    <row r="304" spans="3:21" x14ac:dyDescent="0.25">
      <c r="C304" s="28"/>
      <c r="D304" s="20"/>
      <c r="E304" s="4"/>
      <c r="F304" s="37"/>
      <c r="G304" s="24"/>
      <c r="H304" s="31">
        <f>_xlfn.XLOOKUP(AP[[#This Row],[Supplier name]], Supplier_master[Supplier name], Supplier_master[Category L1], 0)</f>
        <v>0</v>
      </c>
      <c r="I304" s="64">
        <f>_xlfn.XLOOKUP(AP[[#This Row],[Supplier name]], Supplier_master[Supplier name], Supplier_master[Category L2], 0)</f>
        <v>0</v>
      </c>
      <c r="J304" s="55"/>
      <c r="K304" s="54"/>
      <c r="L304" s="57">
        <f>IF(AP[[#This Row],[Spend category L1 - Override]] &lt;&gt; "", AP[[#This Row],[Spend category L1 - Override]], AP[[#This Row],[Spend category L1]])</f>
        <v>0</v>
      </c>
      <c r="M304" s="57">
        <f>IF(AP[[#This Row],[Spend category L2 - Override]] &lt;&gt; "", AP[[#This Row],[Spend category L2 - Override]], AP[[#This Row],[Spend category L2]])</f>
        <v>0</v>
      </c>
      <c r="N304" s="51">
        <f>Assumptions!$D$15</f>
        <v>0.1</v>
      </c>
      <c r="O304" s="45">
        <f>IF(AP[[#This Row],[GST applies?]] = "Yes", (AP[[#This Row],[Invoice value inc. GST]] / 1 + AP[[#This Row],[GST %]]) * AP[[#This Row],[GST %]], 0)</f>
        <v>0</v>
      </c>
      <c r="P304" s="31">
        <f>_xlfn.XLOOKUP(AP[[#This Row],[Supplier name]], Supplier_master[Supplier name], Supplier_master[EOM or Net], 0)</f>
        <v>0</v>
      </c>
      <c r="Q304" s="31">
        <f>_xlfn.XLOOKUP(AP[[#This Row],[Supplier name]], Supplier_master[Supplier name], Supplier_master[Terms days], 0)</f>
        <v>0</v>
      </c>
      <c r="R3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4" s="4"/>
      <c r="T304" s="46">
        <f>IF(AP[[#This Row],[Payment date - override (dd/mm/yyyy)]] &lt;&gt; "", AP[[#This Row],[Payment date - override (dd/mm/yyyy)]], AP[[#This Row],[Due date (dd/mm/yyyy)]])</f>
        <v>0</v>
      </c>
      <c r="U304" s="46">
        <f t="shared" si="4"/>
        <v>52</v>
      </c>
    </row>
    <row r="305" spans="3:21" x14ac:dyDescent="0.25">
      <c r="C305" s="28"/>
      <c r="D305" s="20"/>
      <c r="E305" s="4"/>
      <c r="F305" s="37"/>
      <c r="G305" s="24"/>
      <c r="H305" s="31">
        <f>_xlfn.XLOOKUP(AP[[#This Row],[Supplier name]], Supplier_master[Supplier name], Supplier_master[Category L1], 0)</f>
        <v>0</v>
      </c>
      <c r="I305" s="64">
        <f>_xlfn.XLOOKUP(AP[[#This Row],[Supplier name]], Supplier_master[Supplier name], Supplier_master[Category L2], 0)</f>
        <v>0</v>
      </c>
      <c r="J305" s="55"/>
      <c r="K305" s="54"/>
      <c r="L305" s="57">
        <f>IF(AP[[#This Row],[Spend category L1 - Override]] &lt;&gt; "", AP[[#This Row],[Spend category L1 - Override]], AP[[#This Row],[Spend category L1]])</f>
        <v>0</v>
      </c>
      <c r="M305" s="57">
        <f>IF(AP[[#This Row],[Spend category L2 - Override]] &lt;&gt; "", AP[[#This Row],[Spend category L2 - Override]], AP[[#This Row],[Spend category L2]])</f>
        <v>0</v>
      </c>
      <c r="N305" s="51">
        <f>Assumptions!$D$15</f>
        <v>0.1</v>
      </c>
      <c r="O305" s="45">
        <f>IF(AP[[#This Row],[GST applies?]] = "Yes", (AP[[#This Row],[Invoice value inc. GST]] / 1 + AP[[#This Row],[GST %]]) * AP[[#This Row],[GST %]], 0)</f>
        <v>0</v>
      </c>
      <c r="P305" s="31">
        <f>_xlfn.XLOOKUP(AP[[#This Row],[Supplier name]], Supplier_master[Supplier name], Supplier_master[EOM or Net], 0)</f>
        <v>0</v>
      </c>
      <c r="Q305" s="31">
        <f>_xlfn.XLOOKUP(AP[[#This Row],[Supplier name]], Supplier_master[Supplier name], Supplier_master[Terms days], 0)</f>
        <v>0</v>
      </c>
      <c r="R3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5" s="4"/>
      <c r="T305" s="46">
        <f>IF(AP[[#This Row],[Payment date - override (dd/mm/yyyy)]] &lt;&gt; "", AP[[#This Row],[Payment date - override (dd/mm/yyyy)]], AP[[#This Row],[Due date (dd/mm/yyyy)]])</f>
        <v>0</v>
      </c>
      <c r="U305" s="46">
        <f t="shared" si="4"/>
        <v>52</v>
      </c>
    </row>
    <row r="306" spans="3:21" x14ac:dyDescent="0.25">
      <c r="C306" s="28"/>
      <c r="D306" s="20"/>
      <c r="E306" s="4"/>
      <c r="F306" s="37"/>
      <c r="G306" s="24"/>
      <c r="H306" s="31">
        <f>_xlfn.XLOOKUP(AP[[#This Row],[Supplier name]], Supplier_master[Supplier name], Supplier_master[Category L1], 0)</f>
        <v>0</v>
      </c>
      <c r="I306" s="64">
        <f>_xlfn.XLOOKUP(AP[[#This Row],[Supplier name]], Supplier_master[Supplier name], Supplier_master[Category L2], 0)</f>
        <v>0</v>
      </c>
      <c r="J306" s="55"/>
      <c r="K306" s="54"/>
      <c r="L306" s="57">
        <f>IF(AP[[#This Row],[Spend category L1 - Override]] &lt;&gt; "", AP[[#This Row],[Spend category L1 - Override]], AP[[#This Row],[Spend category L1]])</f>
        <v>0</v>
      </c>
      <c r="M306" s="57">
        <f>IF(AP[[#This Row],[Spend category L2 - Override]] &lt;&gt; "", AP[[#This Row],[Spend category L2 - Override]], AP[[#This Row],[Spend category L2]])</f>
        <v>0</v>
      </c>
      <c r="N306" s="51">
        <f>Assumptions!$D$15</f>
        <v>0.1</v>
      </c>
      <c r="O306" s="45">
        <f>IF(AP[[#This Row],[GST applies?]] = "Yes", (AP[[#This Row],[Invoice value inc. GST]] / 1 + AP[[#This Row],[GST %]]) * AP[[#This Row],[GST %]], 0)</f>
        <v>0</v>
      </c>
      <c r="P306" s="31">
        <f>_xlfn.XLOOKUP(AP[[#This Row],[Supplier name]], Supplier_master[Supplier name], Supplier_master[EOM or Net], 0)</f>
        <v>0</v>
      </c>
      <c r="Q306" s="31">
        <f>_xlfn.XLOOKUP(AP[[#This Row],[Supplier name]], Supplier_master[Supplier name], Supplier_master[Terms days], 0)</f>
        <v>0</v>
      </c>
      <c r="R3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6" s="4"/>
      <c r="T306" s="46">
        <f>IF(AP[[#This Row],[Payment date - override (dd/mm/yyyy)]] &lt;&gt; "", AP[[#This Row],[Payment date - override (dd/mm/yyyy)]], AP[[#This Row],[Due date (dd/mm/yyyy)]])</f>
        <v>0</v>
      </c>
      <c r="U306" s="46">
        <f t="shared" si="4"/>
        <v>52</v>
      </c>
    </row>
    <row r="307" spans="3:21" x14ac:dyDescent="0.25">
      <c r="C307" s="28"/>
      <c r="D307" s="20"/>
      <c r="E307" s="4"/>
      <c r="F307" s="37"/>
      <c r="G307" s="24"/>
      <c r="H307" s="31">
        <f>_xlfn.XLOOKUP(AP[[#This Row],[Supplier name]], Supplier_master[Supplier name], Supplier_master[Category L1], 0)</f>
        <v>0</v>
      </c>
      <c r="I307" s="64">
        <f>_xlfn.XLOOKUP(AP[[#This Row],[Supplier name]], Supplier_master[Supplier name], Supplier_master[Category L2], 0)</f>
        <v>0</v>
      </c>
      <c r="J307" s="55"/>
      <c r="K307" s="54"/>
      <c r="L307" s="57">
        <f>IF(AP[[#This Row],[Spend category L1 - Override]] &lt;&gt; "", AP[[#This Row],[Spend category L1 - Override]], AP[[#This Row],[Spend category L1]])</f>
        <v>0</v>
      </c>
      <c r="M307" s="57">
        <f>IF(AP[[#This Row],[Spend category L2 - Override]] &lt;&gt; "", AP[[#This Row],[Spend category L2 - Override]], AP[[#This Row],[Spend category L2]])</f>
        <v>0</v>
      </c>
      <c r="N307" s="51">
        <f>Assumptions!$D$15</f>
        <v>0.1</v>
      </c>
      <c r="O307" s="45">
        <f>IF(AP[[#This Row],[GST applies?]] = "Yes", (AP[[#This Row],[Invoice value inc. GST]] / 1 + AP[[#This Row],[GST %]]) * AP[[#This Row],[GST %]], 0)</f>
        <v>0</v>
      </c>
      <c r="P307" s="31">
        <f>_xlfn.XLOOKUP(AP[[#This Row],[Supplier name]], Supplier_master[Supplier name], Supplier_master[EOM or Net], 0)</f>
        <v>0</v>
      </c>
      <c r="Q307" s="31">
        <f>_xlfn.XLOOKUP(AP[[#This Row],[Supplier name]], Supplier_master[Supplier name], Supplier_master[Terms days], 0)</f>
        <v>0</v>
      </c>
      <c r="R3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7" s="4"/>
      <c r="T307" s="46">
        <f>IF(AP[[#This Row],[Payment date - override (dd/mm/yyyy)]] &lt;&gt; "", AP[[#This Row],[Payment date - override (dd/mm/yyyy)]], AP[[#This Row],[Due date (dd/mm/yyyy)]])</f>
        <v>0</v>
      </c>
      <c r="U307" s="46">
        <f t="shared" si="4"/>
        <v>52</v>
      </c>
    </row>
    <row r="308" spans="3:21" x14ac:dyDescent="0.25">
      <c r="C308" s="28"/>
      <c r="D308" s="20"/>
      <c r="E308" s="4"/>
      <c r="F308" s="37"/>
      <c r="G308" s="24"/>
      <c r="H308" s="31">
        <f>_xlfn.XLOOKUP(AP[[#This Row],[Supplier name]], Supplier_master[Supplier name], Supplier_master[Category L1], 0)</f>
        <v>0</v>
      </c>
      <c r="I308" s="64">
        <f>_xlfn.XLOOKUP(AP[[#This Row],[Supplier name]], Supplier_master[Supplier name], Supplier_master[Category L2], 0)</f>
        <v>0</v>
      </c>
      <c r="J308" s="55"/>
      <c r="K308" s="54"/>
      <c r="L308" s="57">
        <f>IF(AP[[#This Row],[Spend category L1 - Override]] &lt;&gt; "", AP[[#This Row],[Spend category L1 - Override]], AP[[#This Row],[Spend category L1]])</f>
        <v>0</v>
      </c>
      <c r="M308" s="57">
        <f>IF(AP[[#This Row],[Spend category L2 - Override]] &lt;&gt; "", AP[[#This Row],[Spend category L2 - Override]], AP[[#This Row],[Spend category L2]])</f>
        <v>0</v>
      </c>
      <c r="N308" s="51">
        <f>Assumptions!$D$15</f>
        <v>0.1</v>
      </c>
      <c r="O308" s="45">
        <f>IF(AP[[#This Row],[GST applies?]] = "Yes", (AP[[#This Row],[Invoice value inc. GST]] / 1 + AP[[#This Row],[GST %]]) * AP[[#This Row],[GST %]], 0)</f>
        <v>0</v>
      </c>
      <c r="P308" s="31">
        <f>_xlfn.XLOOKUP(AP[[#This Row],[Supplier name]], Supplier_master[Supplier name], Supplier_master[EOM or Net], 0)</f>
        <v>0</v>
      </c>
      <c r="Q308" s="31">
        <f>_xlfn.XLOOKUP(AP[[#This Row],[Supplier name]], Supplier_master[Supplier name], Supplier_master[Terms days], 0)</f>
        <v>0</v>
      </c>
      <c r="R3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8" s="4"/>
      <c r="T308" s="46">
        <f>IF(AP[[#This Row],[Payment date - override (dd/mm/yyyy)]] &lt;&gt; "", AP[[#This Row],[Payment date - override (dd/mm/yyyy)]], AP[[#This Row],[Due date (dd/mm/yyyy)]])</f>
        <v>0</v>
      </c>
      <c r="U308" s="46">
        <f t="shared" si="4"/>
        <v>52</v>
      </c>
    </row>
    <row r="309" spans="3:21" x14ac:dyDescent="0.25">
      <c r="C309" s="28"/>
      <c r="D309" s="20"/>
      <c r="E309" s="4"/>
      <c r="F309" s="37"/>
      <c r="G309" s="24"/>
      <c r="H309" s="31">
        <f>_xlfn.XLOOKUP(AP[[#This Row],[Supplier name]], Supplier_master[Supplier name], Supplier_master[Category L1], 0)</f>
        <v>0</v>
      </c>
      <c r="I309" s="64">
        <f>_xlfn.XLOOKUP(AP[[#This Row],[Supplier name]], Supplier_master[Supplier name], Supplier_master[Category L2], 0)</f>
        <v>0</v>
      </c>
      <c r="J309" s="55"/>
      <c r="K309" s="54"/>
      <c r="L309" s="57">
        <f>IF(AP[[#This Row],[Spend category L1 - Override]] &lt;&gt; "", AP[[#This Row],[Spend category L1 - Override]], AP[[#This Row],[Spend category L1]])</f>
        <v>0</v>
      </c>
      <c r="M309" s="57">
        <f>IF(AP[[#This Row],[Spend category L2 - Override]] &lt;&gt; "", AP[[#This Row],[Spend category L2 - Override]], AP[[#This Row],[Spend category L2]])</f>
        <v>0</v>
      </c>
      <c r="N309" s="51">
        <f>Assumptions!$D$15</f>
        <v>0.1</v>
      </c>
      <c r="O309" s="45">
        <f>IF(AP[[#This Row],[GST applies?]] = "Yes", (AP[[#This Row],[Invoice value inc. GST]] / 1 + AP[[#This Row],[GST %]]) * AP[[#This Row],[GST %]], 0)</f>
        <v>0</v>
      </c>
      <c r="P309" s="31">
        <f>_xlfn.XLOOKUP(AP[[#This Row],[Supplier name]], Supplier_master[Supplier name], Supplier_master[EOM or Net], 0)</f>
        <v>0</v>
      </c>
      <c r="Q309" s="31">
        <f>_xlfn.XLOOKUP(AP[[#This Row],[Supplier name]], Supplier_master[Supplier name], Supplier_master[Terms days], 0)</f>
        <v>0</v>
      </c>
      <c r="R3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9" s="4"/>
      <c r="T309" s="46">
        <f>IF(AP[[#This Row],[Payment date - override (dd/mm/yyyy)]] &lt;&gt; "", AP[[#This Row],[Payment date - override (dd/mm/yyyy)]], AP[[#This Row],[Due date (dd/mm/yyyy)]])</f>
        <v>0</v>
      </c>
      <c r="U309" s="46">
        <f t="shared" si="4"/>
        <v>52</v>
      </c>
    </row>
    <row r="310" spans="3:21" x14ac:dyDescent="0.25">
      <c r="C310" s="28"/>
      <c r="D310" s="20"/>
      <c r="E310" s="4"/>
      <c r="F310" s="37"/>
      <c r="G310" s="24"/>
      <c r="H310" s="31">
        <f>_xlfn.XLOOKUP(AP[[#This Row],[Supplier name]], Supplier_master[Supplier name], Supplier_master[Category L1], 0)</f>
        <v>0</v>
      </c>
      <c r="I310" s="64">
        <f>_xlfn.XLOOKUP(AP[[#This Row],[Supplier name]], Supplier_master[Supplier name], Supplier_master[Category L2], 0)</f>
        <v>0</v>
      </c>
      <c r="J310" s="55"/>
      <c r="K310" s="54"/>
      <c r="L310" s="57">
        <f>IF(AP[[#This Row],[Spend category L1 - Override]] &lt;&gt; "", AP[[#This Row],[Spend category L1 - Override]], AP[[#This Row],[Spend category L1]])</f>
        <v>0</v>
      </c>
      <c r="M310" s="57">
        <f>IF(AP[[#This Row],[Spend category L2 - Override]] &lt;&gt; "", AP[[#This Row],[Spend category L2 - Override]], AP[[#This Row],[Spend category L2]])</f>
        <v>0</v>
      </c>
      <c r="N310" s="51">
        <f>Assumptions!$D$15</f>
        <v>0.1</v>
      </c>
      <c r="O310" s="45">
        <f>IF(AP[[#This Row],[GST applies?]] = "Yes", (AP[[#This Row],[Invoice value inc. GST]] / 1 + AP[[#This Row],[GST %]]) * AP[[#This Row],[GST %]], 0)</f>
        <v>0</v>
      </c>
      <c r="P310" s="31">
        <f>_xlfn.XLOOKUP(AP[[#This Row],[Supplier name]], Supplier_master[Supplier name], Supplier_master[EOM or Net], 0)</f>
        <v>0</v>
      </c>
      <c r="Q310" s="31">
        <f>_xlfn.XLOOKUP(AP[[#This Row],[Supplier name]], Supplier_master[Supplier name], Supplier_master[Terms days], 0)</f>
        <v>0</v>
      </c>
      <c r="R3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0" s="4"/>
      <c r="T310" s="46">
        <f>IF(AP[[#This Row],[Payment date - override (dd/mm/yyyy)]] &lt;&gt; "", AP[[#This Row],[Payment date - override (dd/mm/yyyy)]], AP[[#This Row],[Due date (dd/mm/yyyy)]])</f>
        <v>0</v>
      </c>
      <c r="U310" s="46">
        <f t="shared" si="4"/>
        <v>52</v>
      </c>
    </row>
    <row r="311" spans="3:21" x14ac:dyDescent="0.25">
      <c r="C311" s="28"/>
      <c r="D311" s="20"/>
      <c r="E311" s="4"/>
      <c r="F311" s="37"/>
      <c r="G311" s="24"/>
      <c r="H311" s="31">
        <f>_xlfn.XLOOKUP(AP[[#This Row],[Supplier name]], Supplier_master[Supplier name], Supplier_master[Category L1], 0)</f>
        <v>0</v>
      </c>
      <c r="I311" s="64">
        <f>_xlfn.XLOOKUP(AP[[#This Row],[Supplier name]], Supplier_master[Supplier name], Supplier_master[Category L2], 0)</f>
        <v>0</v>
      </c>
      <c r="J311" s="55"/>
      <c r="K311" s="54"/>
      <c r="L311" s="57">
        <f>IF(AP[[#This Row],[Spend category L1 - Override]] &lt;&gt; "", AP[[#This Row],[Spend category L1 - Override]], AP[[#This Row],[Spend category L1]])</f>
        <v>0</v>
      </c>
      <c r="M311" s="57">
        <f>IF(AP[[#This Row],[Spend category L2 - Override]] &lt;&gt; "", AP[[#This Row],[Spend category L2 - Override]], AP[[#This Row],[Spend category L2]])</f>
        <v>0</v>
      </c>
      <c r="N311" s="51">
        <f>Assumptions!$D$15</f>
        <v>0.1</v>
      </c>
      <c r="O311" s="45">
        <f>IF(AP[[#This Row],[GST applies?]] = "Yes", (AP[[#This Row],[Invoice value inc. GST]] / 1 + AP[[#This Row],[GST %]]) * AP[[#This Row],[GST %]], 0)</f>
        <v>0</v>
      </c>
      <c r="P311" s="31">
        <f>_xlfn.XLOOKUP(AP[[#This Row],[Supplier name]], Supplier_master[Supplier name], Supplier_master[EOM or Net], 0)</f>
        <v>0</v>
      </c>
      <c r="Q311" s="31">
        <f>_xlfn.XLOOKUP(AP[[#This Row],[Supplier name]], Supplier_master[Supplier name], Supplier_master[Terms days], 0)</f>
        <v>0</v>
      </c>
      <c r="R3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1" s="4"/>
      <c r="T311" s="46">
        <f>IF(AP[[#This Row],[Payment date - override (dd/mm/yyyy)]] &lt;&gt; "", AP[[#This Row],[Payment date - override (dd/mm/yyyy)]], AP[[#This Row],[Due date (dd/mm/yyyy)]])</f>
        <v>0</v>
      </c>
      <c r="U311" s="46">
        <f t="shared" si="4"/>
        <v>52</v>
      </c>
    </row>
    <row r="312" spans="3:21" x14ac:dyDescent="0.25">
      <c r="C312" s="28"/>
      <c r="D312" s="20"/>
      <c r="E312" s="4"/>
      <c r="F312" s="37"/>
      <c r="G312" s="24"/>
      <c r="H312" s="31">
        <f>_xlfn.XLOOKUP(AP[[#This Row],[Supplier name]], Supplier_master[Supplier name], Supplier_master[Category L1], 0)</f>
        <v>0</v>
      </c>
      <c r="I312" s="64">
        <f>_xlfn.XLOOKUP(AP[[#This Row],[Supplier name]], Supplier_master[Supplier name], Supplier_master[Category L2], 0)</f>
        <v>0</v>
      </c>
      <c r="J312" s="55"/>
      <c r="K312" s="54"/>
      <c r="L312" s="57">
        <f>IF(AP[[#This Row],[Spend category L1 - Override]] &lt;&gt; "", AP[[#This Row],[Spend category L1 - Override]], AP[[#This Row],[Spend category L1]])</f>
        <v>0</v>
      </c>
      <c r="M312" s="57">
        <f>IF(AP[[#This Row],[Spend category L2 - Override]] &lt;&gt; "", AP[[#This Row],[Spend category L2 - Override]], AP[[#This Row],[Spend category L2]])</f>
        <v>0</v>
      </c>
      <c r="N312" s="51">
        <f>Assumptions!$D$15</f>
        <v>0.1</v>
      </c>
      <c r="O312" s="45">
        <f>IF(AP[[#This Row],[GST applies?]] = "Yes", (AP[[#This Row],[Invoice value inc. GST]] / 1 + AP[[#This Row],[GST %]]) * AP[[#This Row],[GST %]], 0)</f>
        <v>0</v>
      </c>
      <c r="P312" s="31">
        <f>_xlfn.XLOOKUP(AP[[#This Row],[Supplier name]], Supplier_master[Supplier name], Supplier_master[EOM or Net], 0)</f>
        <v>0</v>
      </c>
      <c r="Q312" s="31">
        <f>_xlfn.XLOOKUP(AP[[#This Row],[Supplier name]], Supplier_master[Supplier name], Supplier_master[Terms days], 0)</f>
        <v>0</v>
      </c>
      <c r="R3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2" s="4"/>
      <c r="T312" s="46">
        <f>IF(AP[[#This Row],[Payment date - override (dd/mm/yyyy)]] &lt;&gt; "", AP[[#This Row],[Payment date - override (dd/mm/yyyy)]], AP[[#This Row],[Due date (dd/mm/yyyy)]])</f>
        <v>0</v>
      </c>
      <c r="U312" s="46">
        <f t="shared" si="4"/>
        <v>52</v>
      </c>
    </row>
    <row r="313" spans="3:21" x14ac:dyDescent="0.25">
      <c r="C313" s="28"/>
      <c r="D313" s="20"/>
      <c r="E313" s="4"/>
      <c r="F313" s="37"/>
      <c r="G313" s="24"/>
      <c r="H313" s="31">
        <f>_xlfn.XLOOKUP(AP[[#This Row],[Supplier name]], Supplier_master[Supplier name], Supplier_master[Category L1], 0)</f>
        <v>0</v>
      </c>
      <c r="I313" s="64">
        <f>_xlfn.XLOOKUP(AP[[#This Row],[Supplier name]], Supplier_master[Supplier name], Supplier_master[Category L2], 0)</f>
        <v>0</v>
      </c>
      <c r="J313" s="55"/>
      <c r="K313" s="54"/>
      <c r="L313" s="57">
        <f>IF(AP[[#This Row],[Spend category L1 - Override]] &lt;&gt; "", AP[[#This Row],[Spend category L1 - Override]], AP[[#This Row],[Spend category L1]])</f>
        <v>0</v>
      </c>
      <c r="M313" s="57">
        <f>IF(AP[[#This Row],[Spend category L2 - Override]] &lt;&gt; "", AP[[#This Row],[Spend category L2 - Override]], AP[[#This Row],[Spend category L2]])</f>
        <v>0</v>
      </c>
      <c r="N313" s="51">
        <f>Assumptions!$D$15</f>
        <v>0.1</v>
      </c>
      <c r="O313" s="45">
        <f>IF(AP[[#This Row],[GST applies?]] = "Yes", (AP[[#This Row],[Invoice value inc. GST]] / 1 + AP[[#This Row],[GST %]]) * AP[[#This Row],[GST %]], 0)</f>
        <v>0</v>
      </c>
      <c r="P313" s="31">
        <f>_xlfn.XLOOKUP(AP[[#This Row],[Supplier name]], Supplier_master[Supplier name], Supplier_master[EOM or Net], 0)</f>
        <v>0</v>
      </c>
      <c r="Q313" s="31">
        <f>_xlfn.XLOOKUP(AP[[#This Row],[Supplier name]], Supplier_master[Supplier name], Supplier_master[Terms days], 0)</f>
        <v>0</v>
      </c>
      <c r="R3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3" s="4"/>
      <c r="T313" s="46">
        <f>IF(AP[[#This Row],[Payment date - override (dd/mm/yyyy)]] &lt;&gt; "", AP[[#This Row],[Payment date - override (dd/mm/yyyy)]], AP[[#This Row],[Due date (dd/mm/yyyy)]])</f>
        <v>0</v>
      </c>
      <c r="U313" s="46">
        <f t="shared" si="4"/>
        <v>52</v>
      </c>
    </row>
    <row r="314" spans="3:21" x14ac:dyDescent="0.25">
      <c r="C314" s="28"/>
      <c r="D314" s="20"/>
      <c r="E314" s="4"/>
      <c r="F314" s="37"/>
      <c r="G314" s="24"/>
      <c r="H314" s="31">
        <f>_xlfn.XLOOKUP(AP[[#This Row],[Supplier name]], Supplier_master[Supplier name], Supplier_master[Category L1], 0)</f>
        <v>0</v>
      </c>
      <c r="I314" s="64">
        <f>_xlfn.XLOOKUP(AP[[#This Row],[Supplier name]], Supplier_master[Supplier name], Supplier_master[Category L2], 0)</f>
        <v>0</v>
      </c>
      <c r="J314" s="55"/>
      <c r="K314" s="54"/>
      <c r="L314" s="57">
        <f>IF(AP[[#This Row],[Spend category L1 - Override]] &lt;&gt; "", AP[[#This Row],[Spend category L1 - Override]], AP[[#This Row],[Spend category L1]])</f>
        <v>0</v>
      </c>
      <c r="M314" s="57">
        <f>IF(AP[[#This Row],[Spend category L2 - Override]] &lt;&gt; "", AP[[#This Row],[Spend category L2 - Override]], AP[[#This Row],[Spend category L2]])</f>
        <v>0</v>
      </c>
      <c r="N314" s="51">
        <f>Assumptions!$D$15</f>
        <v>0.1</v>
      </c>
      <c r="O314" s="45">
        <f>IF(AP[[#This Row],[GST applies?]] = "Yes", (AP[[#This Row],[Invoice value inc. GST]] / 1 + AP[[#This Row],[GST %]]) * AP[[#This Row],[GST %]], 0)</f>
        <v>0</v>
      </c>
      <c r="P314" s="31">
        <f>_xlfn.XLOOKUP(AP[[#This Row],[Supplier name]], Supplier_master[Supplier name], Supplier_master[EOM or Net], 0)</f>
        <v>0</v>
      </c>
      <c r="Q314" s="31">
        <f>_xlfn.XLOOKUP(AP[[#This Row],[Supplier name]], Supplier_master[Supplier name], Supplier_master[Terms days], 0)</f>
        <v>0</v>
      </c>
      <c r="R3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4" s="4"/>
      <c r="T314" s="46">
        <f>IF(AP[[#This Row],[Payment date - override (dd/mm/yyyy)]] &lt;&gt; "", AP[[#This Row],[Payment date - override (dd/mm/yyyy)]], AP[[#This Row],[Due date (dd/mm/yyyy)]])</f>
        <v>0</v>
      </c>
      <c r="U314" s="46">
        <f t="shared" si="4"/>
        <v>52</v>
      </c>
    </row>
    <row r="315" spans="3:21" x14ac:dyDescent="0.25">
      <c r="C315" s="28"/>
      <c r="D315" s="20"/>
      <c r="E315" s="4"/>
      <c r="F315" s="37"/>
      <c r="G315" s="24"/>
      <c r="H315" s="31">
        <f>_xlfn.XLOOKUP(AP[[#This Row],[Supplier name]], Supplier_master[Supplier name], Supplier_master[Category L1], 0)</f>
        <v>0</v>
      </c>
      <c r="I315" s="64">
        <f>_xlfn.XLOOKUP(AP[[#This Row],[Supplier name]], Supplier_master[Supplier name], Supplier_master[Category L2], 0)</f>
        <v>0</v>
      </c>
      <c r="J315" s="55"/>
      <c r="K315" s="54"/>
      <c r="L315" s="57">
        <f>IF(AP[[#This Row],[Spend category L1 - Override]] &lt;&gt; "", AP[[#This Row],[Spend category L1 - Override]], AP[[#This Row],[Spend category L1]])</f>
        <v>0</v>
      </c>
      <c r="M315" s="57">
        <f>IF(AP[[#This Row],[Spend category L2 - Override]] &lt;&gt; "", AP[[#This Row],[Spend category L2 - Override]], AP[[#This Row],[Spend category L2]])</f>
        <v>0</v>
      </c>
      <c r="N315" s="51">
        <f>Assumptions!$D$15</f>
        <v>0.1</v>
      </c>
      <c r="O315" s="45">
        <f>IF(AP[[#This Row],[GST applies?]] = "Yes", (AP[[#This Row],[Invoice value inc. GST]] / 1 + AP[[#This Row],[GST %]]) * AP[[#This Row],[GST %]], 0)</f>
        <v>0</v>
      </c>
      <c r="P315" s="31">
        <f>_xlfn.XLOOKUP(AP[[#This Row],[Supplier name]], Supplier_master[Supplier name], Supplier_master[EOM or Net], 0)</f>
        <v>0</v>
      </c>
      <c r="Q315" s="31">
        <f>_xlfn.XLOOKUP(AP[[#This Row],[Supplier name]], Supplier_master[Supplier name], Supplier_master[Terms days], 0)</f>
        <v>0</v>
      </c>
      <c r="R3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5" s="4"/>
      <c r="T315" s="46">
        <f>IF(AP[[#This Row],[Payment date - override (dd/mm/yyyy)]] &lt;&gt; "", AP[[#This Row],[Payment date - override (dd/mm/yyyy)]], AP[[#This Row],[Due date (dd/mm/yyyy)]])</f>
        <v>0</v>
      </c>
      <c r="U315" s="46">
        <f t="shared" si="4"/>
        <v>52</v>
      </c>
    </row>
    <row r="316" spans="3:21" x14ac:dyDescent="0.25">
      <c r="C316" s="28"/>
      <c r="D316" s="20"/>
      <c r="E316" s="4"/>
      <c r="F316" s="37"/>
      <c r="G316" s="24"/>
      <c r="H316" s="31">
        <f>_xlfn.XLOOKUP(AP[[#This Row],[Supplier name]], Supplier_master[Supplier name], Supplier_master[Category L1], 0)</f>
        <v>0</v>
      </c>
      <c r="I316" s="64">
        <f>_xlfn.XLOOKUP(AP[[#This Row],[Supplier name]], Supplier_master[Supplier name], Supplier_master[Category L2], 0)</f>
        <v>0</v>
      </c>
      <c r="J316" s="55"/>
      <c r="K316" s="54"/>
      <c r="L316" s="57">
        <f>IF(AP[[#This Row],[Spend category L1 - Override]] &lt;&gt; "", AP[[#This Row],[Spend category L1 - Override]], AP[[#This Row],[Spend category L1]])</f>
        <v>0</v>
      </c>
      <c r="M316" s="57">
        <f>IF(AP[[#This Row],[Spend category L2 - Override]] &lt;&gt; "", AP[[#This Row],[Spend category L2 - Override]], AP[[#This Row],[Spend category L2]])</f>
        <v>0</v>
      </c>
      <c r="N316" s="51">
        <f>Assumptions!$D$15</f>
        <v>0.1</v>
      </c>
      <c r="O316" s="45">
        <f>IF(AP[[#This Row],[GST applies?]] = "Yes", (AP[[#This Row],[Invoice value inc. GST]] / 1 + AP[[#This Row],[GST %]]) * AP[[#This Row],[GST %]], 0)</f>
        <v>0</v>
      </c>
      <c r="P316" s="31">
        <f>_xlfn.XLOOKUP(AP[[#This Row],[Supplier name]], Supplier_master[Supplier name], Supplier_master[EOM or Net], 0)</f>
        <v>0</v>
      </c>
      <c r="Q316" s="31">
        <f>_xlfn.XLOOKUP(AP[[#This Row],[Supplier name]], Supplier_master[Supplier name], Supplier_master[Terms days], 0)</f>
        <v>0</v>
      </c>
      <c r="R3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6" s="4"/>
      <c r="T316" s="46">
        <f>IF(AP[[#This Row],[Payment date - override (dd/mm/yyyy)]] &lt;&gt; "", AP[[#This Row],[Payment date - override (dd/mm/yyyy)]], AP[[#This Row],[Due date (dd/mm/yyyy)]])</f>
        <v>0</v>
      </c>
      <c r="U316" s="46">
        <f t="shared" si="4"/>
        <v>52</v>
      </c>
    </row>
    <row r="317" spans="3:21" x14ac:dyDescent="0.25">
      <c r="C317" s="28"/>
      <c r="D317" s="20"/>
      <c r="E317" s="4"/>
      <c r="F317" s="37"/>
      <c r="G317" s="24"/>
      <c r="H317" s="31">
        <f>_xlfn.XLOOKUP(AP[[#This Row],[Supplier name]], Supplier_master[Supplier name], Supplier_master[Category L1], 0)</f>
        <v>0</v>
      </c>
      <c r="I317" s="64">
        <f>_xlfn.XLOOKUP(AP[[#This Row],[Supplier name]], Supplier_master[Supplier name], Supplier_master[Category L2], 0)</f>
        <v>0</v>
      </c>
      <c r="J317" s="55"/>
      <c r="K317" s="54"/>
      <c r="L317" s="57">
        <f>IF(AP[[#This Row],[Spend category L1 - Override]] &lt;&gt; "", AP[[#This Row],[Spend category L1 - Override]], AP[[#This Row],[Spend category L1]])</f>
        <v>0</v>
      </c>
      <c r="M317" s="57">
        <f>IF(AP[[#This Row],[Spend category L2 - Override]] &lt;&gt; "", AP[[#This Row],[Spend category L2 - Override]], AP[[#This Row],[Spend category L2]])</f>
        <v>0</v>
      </c>
      <c r="N317" s="51">
        <f>Assumptions!$D$15</f>
        <v>0.1</v>
      </c>
      <c r="O317" s="45">
        <f>IF(AP[[#This Row],[GST applies?]] = "Yes", (AP[[#This Row],[Invoice value inc. GST]] / 1 + AP[[#This Row],[GST %]]) * AP[[#This Row],[GST %]], 0)</f>
        <v>0</v>
      </c>
      <c r="P317" s="31">
        <f>_xlfn.XLOOKUP(AP[[#This Row],[Supplier name]], Supplier_master[Supplier name], Supplier_master[EOM or Net], 0)</f>
        <v>0</v>
      </c>
      <c r="Q317" s="31">
        <f>_xlfn.XLOOKUP(AP[[#This Row],[Supplier name]], Supplier_master[Supplier name], Supplier_master[Terms days], 0)</f>
        <v>0</v>
      </c>
      <c r="R3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7" s="4"/>
      <c r="T317" s="46">
        <f>IF(AP[[#This Row],[Payment date - override (dd/mm/yyyy)]] &lt;&gt; "", AP[[#This Row],[Payment date - override (dd/mm/yyyy)]], AP[[#This Row],[Due date (dd/mm/yyyy)]])</f>
        <v>0</v>
      </c>
      <c r="U317" s="46">
        <f t="shared" si="4"/>
        <v>52</v>
      </c>
    </row>
    <row r="318" spans="3:21" x14ac:dyDescent="0.25">
      <c r="C318" s="28"/>
      <c r="D318" s="20"/>
      <c r="E318" s="4"/>
      <c r="F318" s="37"/>
      <c r="G318" s="24"/>
      <c r="H318" s="31">
        <f>_xlfn.XLOOKUP(AP[[#This Row],[Supplier name]], Supplier_master[Supplier name], Supplier_master[Category L1], 0)</f>
        <v>0</v>
      </c>
      <c r="I318" s="64">
        <f>_xlfn.XLOOKUP(AP[[#This Row],[Supplier name]], Supplier_master[Supplier name], Supplier_master[Category L2], 0)</f>
        <v>0</v>
      </c>
      <c r="J318" s="55"/>
      <c r="K318" s="54"/>
      <c r="L318" s="57">
        <f>IF(AP[[#This Row],[Spend category L1 - Override]] &lt;&gt; "", AP[[#This Row],[Spend category L1 - Override]], AP[[#This Row],[Spend category L1]])</f>
        <v>0</v>
      </c>
      <c r="M318" s="57">
        <f>IF(AP[[#This Row],[Spend category L2 - Override]] &lt;&gt; "", AP[[#This Row],[Spend category L2 - Override]], AP[[#This Row],[Spend category L2]])</f>
        <v>0</v>
      </c>
      <c r="N318" s="51">
        <f>Assumptions!$D$15</f>
        <v>0.1</v>
      </c>
      <c r="O318" s="45">
        <f>IF(AP[[#This Row],[GST applies?]] = "Yes", (AP[[#This Row],[Invoice value inc. GST]] / 1 + AP[[#This Row],[GST %]]) * AP[[#This Row],[GST %]], 0)</f>
        <v>0</v>
      </c>
      <c r="P318" s="31">
        <f>_xlfn.XLOOKUP(AP[[#This Row],[Supplier name]], Supplier_master[Supplier name], Supplier_master[EOM or Net], 0)</f>
        <v>0</v>
      </c>
      <c r="Q318" s="31">
        <f>_xlfn.XLOOKUP(AP[[#This Row],[Supplier name]], Supplier_master[Supplier name], Supplier_master[Terms days], 0)</f>
        <v>0</v>
      </c>
      <c r="R3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8" s="4"/>
      <c r="T318" s="46">
        <f>IF(AP[[#This Row],[Payment date - override (dd/mm/yyyy)]] &lt;&gt; "", AP[[#This Row],[Payment date - override (dd/mm/yyyy)]], AP[[#This Row],[Due date (dd/mm/yyyy)]])</f>
        <v>0</v>
      </c>
      <c r="U318" s="46">
        <f t="shared" si="4"/>
        <v>52</v>
      </c>
    </row>
    <row r="319" spans="3:21" x14ac:dyDescent="0.25">
      <c r="C319" s="28"/>
      <c r="D319" s="20"/>
      <c r="E319" s="4"/>
      <c r="F319" s="37"/>
      <c r="G319" s="24"/>
      <c r="H319" s="31">
        <f>_xlfn.XLOOKUP(AP[[#This Row],[Supplier name]], Supplier_master[Supplier name], Supplier_master[Category L1], 0)</f>
        <v>0</v>
      </c>
      <c r="I319" s="64">
        <f>_xlfn.XLOOKUP(AP[[#This Row],[Supplier name]], Supplier_master[Supplier name], Supplier_master[Category L2], 0)</f>
        <v>0</v>
      </c>
      <c r="J319" s="55"/>
      <c r="K319" s="54"/>
      <c r="L319" s="57">
        <f>IF(AP[[#This Row],[Spend category L1 - Override]] &lt;&gt; "", AP[[#This Row],[Spend category L1 - Override]], AP[[#This Row],[Spend category L1]])</f>
        <v>0</v>
      </c>
      <c r="M319" s="57">
        <f>IF(AP[[#This Row],[Spend category L2 - Override]] &lt;&gt; "", AP[[#This Row],[Spend category L2 - Override]], AP[[#This Row],[Spend category L2]])</f>
        <v>0</v>
      </c>
      <c r="N319" s="51">
        <f>Assumptions!$D$15</f>
        <v>0.1</v>
      </c>
      <c r="O319" s="45">
        <f>IF(AP[[#This Row],[GST applies?]] = "Yes", (AP[[#This Row],[Invoice value inc. GST]] / 1 + AP[[#This Row],[GST %]]) * AP[[#This Row],[GST %]], 0)</f>
        <v>0</v>
      </c>
      <c r="P319" s="31">
        <f>_xlfn.XLOOKUP(AP[[#This Row],[Supplier name]], Supplier_master[Supplier name], Supplier_master[EOM or Net], 0)</f>
        <v>0</v>
      </c>
      <c r="Q319" s="31">
        <f>_xlfn.XLOOKUP(AP[[#This Row],[Supplier name]], Supplier_master[Supplier name], Supplier_master[Terms days], 0)</f>
        <v>0</v>
      </c>
      <c r="R3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9" s="4"/>
      <c r="T319" s="46">
        <f>IF(AP[[#This Row],[Payment date - override (dd/mm/yyyy)]] &lt;&gt; "", AP[[#This Row],[Payment date - override (dd/mm/yyyy)]], AP[[#This Row],[Due date (dd/mm/yyyy)]])</f>
        <v>0</v>
      </c>
      <c r="U319" s="46">
        <f t="shared" si="4"/>
        <v>52</v>
      </c>
    </row>
    <row r="320" spans="3:21" x14ac:dyDescent="0.25">
      <c r="C320" s="28"/>
      <c r="D320" s="20"/>
      <c r="E320" s="4"/>
      <c r="F320" s="37"/>
      <c r="G320" s="24"/>
      <c r="H320" s="31">
        <f>_xlfn.XLOOKUP(AP[[#This Row],[Supplier name]], Supplier_master[Supplier name], Supplier_master[Category L1], 0)</f>
        <v>0</v>
      </c>
      <c r="I320" s="64">
        <f>_xlfn.XLOOKUP(AP[[#This Row],[Supplier name]], Supplier_master[Supplier name], Supplier_master[Category L2], 0)</f>
        <v>0</v>
      </c>
      <c r="J320" s="55"/>
      <c r="K320" s="54"/>
      <c r="L320" s="57">
        <f>IF(AP[[#This Row],[Spend category L1 - Override]] &lt;&gt; "", AP[[#This Row],[Spend category L1 - Override]], AP[[#This Row],[Spend category L1]])</f>
        <v>0</v>
      </c>
      <c r="M320" s="57">
        <f>IF(AP[[#This Row],[Spend category L2 - Override]] &lt;&gt; "", AP[[#This Row],[Spend category L2 - Override]], AP[[#This Row],[Spend category L2]])</f>
        <v>0</v>
      </c>
      <c r="N320" s="51">
        <f>Assumptions!$D$15</f>
        <v>0.1</v>
      </c>
      <c r="O320" s="45">
        <f>IF(AP[[#This Row],[GST applies?]] = "Yes", (AP[[#This Row],[Invoice value inc. GST]] / 1 + AP[[#This Row],[GST %]]) * AP[[#This Row],[GST %]], 0)</f>
        <v>0</v>
      </c>
      <c r="P320" s="31">
        <f>_xlfn.XLOOKUP(AP[[#This Row],[Supplier name]], Supplier_master[Supplier name], Supplier_master[EOM or Net], 0)</f>
        <v>0</v>
      </c>
      <c r="Q320" s="31">
        <f>_xlfn.XLOOKUP(AP[[#This Row],[Supplier name]], Supplier_master[Supplier name], Supplier_master[Terms days], 0)</f>
        <v>0</v>
      </c>
      <c r="R3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0" s="4"/>
      <c r="T320" s="46">
        <f>IF(AP[[#This Row],[Payment date - override (dd/mm/yyyy)]] &lt;&gt; "", AP[[#This Row],[Payment date - override (dd/mm/yyyy)]], AP[[#This Row],[Due date (dd/mm/yyyy)]])</f>
        <v>0</v>
      </c>
      <c r="U320" s="46">
        <f t="shared" si="4"/>
        <v>52</v>
      </c>
    </row>
    <row r="321" spans="3:21" x14ac:dyDescent="0.25">
      <c r="C321" s="28"/>
      <c r="D321" s="20"/>
      <c r="E321" s="4"/>
      <c r="F321" s="37"/>
      <c r="G321" s="24"/>
      <c r="H321" s="31">
        <f>_xlfn.XLOOKUP(AP[[#This Row],[Supplier name]], Supplier_master[Supplier name], Supplier_master[Category L1], 0)</f>
        <v>0</v>
      </c>
      <c r="I321" s="64">
        <f>_xlfn.XLOOKUP(AP[[#This Row],[Supplier name]], Supplier_master[Supplier name], Supplier_master[Category L2], 0)</f>
        <v>0</v>
      </c>
      <c r="J321" s="55"/>
      <c r="K321" s="54"/>
      <c r="L321" s="57">
        <f>IF(AP[[#This Row],[Spend category L1 - Override]] &lt;&gt; "", AP[[#This Row],[Spend category L1 - Override]], AP[[#This Row],[Spend category L1]])</f>
        <v>0</v>
      </c>
      <c r="M321" s="57">
        <f>IF(AP[[#This Row],[Spend category L2 - Override]] &lt;&gt; "", AP[[#This Row],[Spend category L2 - Override]], AP[[#This Row],[Spend category L2]])</f>
        <v>0</v>
      </c>
      <c r="N321" s="51">
        <f>Assumptions!$D$15</f>
        <v>0.1</v>
      </c>
      <c r="O321" s="45">
        <f>IF(AP[[#This Row],[GST applies?]] = "Yes", (AP[[#This Row],[Invoice value inc. GST]] / 1 + AP[[#This Row],[GST %]]) * AP[[#This Row],[GST %]], 0)</f>
        <v>0</v>
      </c>
      <c r="P321" s="31">
        <f>_xlfn.XLOOKUP(AP[[#This Row],[Supplier name]], Supplier_master[Supplier name], Supplier_master[EOM or Net], 0)</f>
        <v>0</v>
      </c>
      <c r="Q321" s="31">
        <f>_xlfn.XLOOKUP(AP[[#This Row],[Supplier name]], Supplier_master[Supplier name], Supplier_master[Terms days], 0)</f>
        <v>0</v>
      </c>
      <c r="R3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1" s="4"/>
      <c r="T321" s="46">
        <f>IF(AP[[#This Row],[Payment date - override (dd/mm/yyyy)]] &lt;&gt; "", AP[[#This Row],[Payment date - override (dd/mm/yyyy)]], AP[[#This Row],[Due date (dd/mm/yyyy)]])</f>
        <v>0</v>
      </c>
      <c r="U321" s="46">
        <f t="shared" si="4"/>
        <v>52</v>
      </c>
    </row>
    <row r="322" spans="3:21" x14ac:dyDescent="0.25">
      <c r="C322" s="28"/>
      <c r="D322" s="20"/>
      <c r="E322" s="4"/>
      <c r="F322" s="37"/>
      <c r="G322" s="24"/>
      <c r="H322" s="31">
        <f>_xlfn.XLOOKUP(AP[[#This Row],[Supplier name]], Supplier_master[Supplier name], Supplier_master[Category L1], 0)</f>
        <v>0</v>
      </c>
      <c r="I322" s="64">
        <f>_xlfn.XLOOKUP(AP[[#This Row],[Supplier name]], Supplier_master[Supplier name], Supplier_master[Category L2], 0)</f>
        <v>0</v>
      </c>
      <c r="J322" s="55"/>
      <c r="K322" s="54"/>
      <c r="L322" s="57">
        <f>IF(AP[[#This Row],[Spend category L1 - Override]] &lt;&gt; "", AP[[#This Row],[Spend category L1 - Override]], AP[[#This Row],[Spend category L1]])</f>
        <v>0</v>
      </c>
      <c r="M322" s="57">
        <f>IF(AP[[#This Row],[Spend category L2 - Override]] &lt;&gt; "", AP[[#This Row],[Spend category L2 - Override]], AP[[#This Row],[Spend category L2]])</f>
        <v>0</v>
      </c>
      <c r="N322" s="51">
        <f>Assumptions!$D$15</f>
        <v>0.1</v>
      </c>
      <c r="O322" s="45">
        <f>IF(AP[[#This Row],[GST applies?]] = "Yes", (AP[[#This Row],[Invoice value inc. GST]] / 1 + AP[[#This Row],[GST %]]) * AP[[#This Row],[GST %]], 0)</f>
        <v>0</v>
      </c>
      <c r="P322" s="31">
        <f>_xlfn.XLOOKUP(AP[[#This Row],[Supplier name]], Supplier_master[Supplier name], Supplier_master[EOM or Net], 0)</f>
        <v>0</v>
      </c>
      <c r="Q322" s="31">
        <f>_xlfn.XLOOKUP(AP[[#This Row],[Supplier name]], Supplier_master[Supplier name], Supplier_master[Terms days], 0)</f>
        <v>0</v>
      </c>
      <c r="R3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2" s="4"/>
      <c r="T322" s="46">
        <f>IF(AP[[#This Row],[Payment date - override (dd/mm/yyyy)]] &lt;&gt; "", AP[[#This Row],[Payment date - override (dd/mm/yyyy)]], AP[[#This Row],[Due date (dd/mm/yyyy)]])</f>
        <v>0</v>
      </c>
      <c r="U322" s="46">
        <f t="shared" si="4"/>
        <v>52</v>
      </c>
    </row>
    <row r="323" spans="3:21" x14ac:dyDescent="0.25">
      <c r="C323" s="28"/>
      <c r="D323" s="20"/>
      <c r="E323" s="4"/>
      <c r="F323" s="37"/>
      <c r="G323" s="24"/>
      <c r="H323" s="31">
        <f>_xlfn.XLOOKUP(AP[[#This Row],[Supplier name]], Supplier_master[Supplier name], Supplier_master[Category L1], 0)</f>
        <v>0</v>
      </c>
      <c r="I323" s="64">
        <f>_xlfn.XLOOKUP(AP[[#This Row],[Supplier name]], Supplier_master[Supplier name], Supplier_master[Category L2], 0)</f>
        <v>0</v>
      </c>
      <c r="J323" s="55"/>
      <c r="K323" s="54"/>
      <c r="L323" s="57">
        <f>IF(AP[[#This Row],[Spend category L1 - Override]] &lt;&gt; "", AP[[#This Row],[Spend category L1 - Override]], AP[[#This Row],[Spend category L1]])</f>
        <v>0</v>
      </c>
      <c r="M323" s="57">
        <f>IF(AP[[#This Row],[Spend category L2 - Override]] &lt;&gt; "", AP[[#This Row],[Spend category L2 - Override]], AP[[#This Row],[Spend category L2]])</f>
        <v>0</v>
      </c>
      <c r="N323" s="51">
        <f>Assumptions!$D$15</f>
        <v>0.1</v>
      </c>
      <c r="O323" s="45">
        <f>IF(AP[[#This Row],[GST applies?]] = "Yes", (AP[[#This Row],[Invoice value inc. GST]] / 1 + AP[[#This Row],[GST %]]) * AP[[#This Row],[GST %]], 0)</f>
        <v>0</v>
      </c>
      <c r="P323" s="31">
        <f>_xlfn.XLOOKUP(AP[[#This Row],[Supplier name]], Supplier_master[Supplier name], Supplier_master[EOM or Net], 0)</f>
        <v>0</v>
      </c>
      <c r="Q323" s="31">
        <f>_xlfn.XLOOKUP(AP[[#This Row],[Supplier name]], Supplier_master[Supplier name], Supplier_master[Terms days], 0)</f>
        <v>0</v>
      </c>
      <c r="R3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3" s="4"/>
      <c r="T323" s="46">
        <f>IF(AP[[#This Row],[Payment date - override (dd/mm/yyyy)]] &lt;&gt; "", AP[[#This Row],[Payment date - override (dd/mm/yyyy)]], AP[[#This Row],[Due date (dd/mm/yyyy)]])</f>
        <v>0</v>
      </c>
      <c r="U323" s="46">
        <f t="shared" si="4"/>
        <v>52</v>
      </c>
    </row>
    <row r="324" spans="3:21" x14ac:dyDescent="0.25">
      <c r="C324" s="28"/>
      <c r="D324" s="20"/>
      <c r="E324" s="4"/>
      <c r="F324" s="37"/>
      <c r="G324" s="24"/>
      <c r="H324" s="31">
        <f>_xlfn.XLOOKUP(AP[[#This Row],[Supplier name]], Supplier_master[Supplier name], Supplier_master[Category L1], 0)</f>
        <v>0</v>
      </c>
      <c r="I324" s="64">
        <f>_xlfn.XLOOKUP(AP[[#This Row],[Supplier name]], Supplier_master[Supplier name], Supplier_master[Category L2], 0)</f>
        <v>0</v>
      </c>
      <c r="J324" s="55"/>
      <c r="K324" s="54"/>
      <c r="L324" s="57">
        <f>IF(AP[[#This Row],[Spend category L1 - Override]] &lt;&gt; "", AP[[#This Row],[Spend category L1 - Override]], AP[[#This Row],[Spend category L1]])</f>
        <v>0</v>
      </c>
      <c r="M324" s="57">
        <f>IF(AP[[#This Row],[Spend category L2 - Override]] &lt;&gt; "", AP[[#This Row],[Spend category L2 - Override]], AP[[#This Row],[Spend category L2]])</f>
        <v>0</v>
      </c>
      <c r="N324" s="51">
        <f>Assumptions!$D$15</f>
        <v>0.1</v>
      </c>
      <c r="O324" s="45">
        <f>IF(AP[[#This Row],[GST applies?]] = "Yes", (AP[[#This Row],[Invoice value inc. GST]] / 1 + AP[[#This Row],[GST %]]) * AP[[#This Row],[GST %]], 0)</f>
        <v>0</v>
      </c>
      <c r="P324" s="31">
        <f>_xlfn.XLOOKUP(AP[[#This Row],[Supplier name]], Supplier_master[Supplier name], Supplier_master[EOM or Net], 0)</f>
        <v>0</v>
      </c>
      <c r="Q324" s="31">
        <f>_xlfn.XLOOKUP(AP[[#This Row],[Supplier name]], Supplier_master[Supplier name], Supplier_master[Terms days], 0)</f>
        <v>0</v>
      </c>
      <c r="R3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4" s="4"/>
      <c r="T324" s="46">
        <f>IF(AP[[#This Row],[Payment date - override (dd/mm/yyyy)]] &lt;&gt; "", AP[[#This Row],[Payment date - override (dd/mm/yyyy)]], AP[[#This Row],[Due date (dd/mm/yyyy)]])</f>
        <v>0</v>
      </c>
      <c r="U324" s="46">
        <f t="shared" si="4"/>
        <v>52</v>
      </c>
    </row>
    <row r="325" spans="3:21" x14ac:dyDescent="0.25">
      <c r="C325" s="28"/>
      <c r="D325" s="20"/>
      <c r="E325" s="4"/>
      <c r="F325" s="37"/>
      <c r="G325" s="24"/>
      <c r="H325" s="31">
        <f>_xlfn.XLOOKUP(AP[[#This Row],[Supplier name]], Supplier_master[Supplier name], Supplier_master[Category L1], 0)</f>
        <v>0</v>
      </c>
      <c r="I325" s="64">
        <f>_xlfn.XLOOKUP(AP[[#This Row],[Supplier name]], Supplier_master[Supplier name], Supplier_master[Category L2], 0)</f>
        <v>0</v>
      </c>
      <c r="J325" s="55"/>
      <c r="K325" s="54"/>
      <c r="L325" s="57">
        <f>IF(AP[[#This Row],[Spend category L1 - Override]] &lt;&gt; "", AP[[#This Row],[Spend category L1 - Override]], AP[[#This Row],[Spend category L1]])</f>
        <v>0</v>
      </c>
      <c r="M325" s="57">
        <f>IF(AP[[#This Row],[Spend category L2 - Override]] &lt;&gt; "", AP[[#This Row],[Spend category L2 - Override]], AP[[#This Row],[Spend category L2]])</f>
        <v>0</v>
      </c>
      <c r="N325" s="51">
        <f>Assumptions!$D$15</f>
        <v>0.1</v>
      </c>
      <c r="O325" s="45">
        <f>IF(AP[[#This Row],[GST applies?]] = "Yes", (AP[[#This Row],[Invoice value inc. GST]] / 1 + AP[[#This Row],[GST %]]) * AP[[#This Row],[GST %]], 0)</f>
        <v>0</v>
      </c>
      <c r="P325" s="31">
        <f>_xlfn.XLOOKUP(AP[[#This Row],[Supplier name]], Supplier_master[Supplier name], Supplier_master[EOM or Net], 0)</f>
        <v>0</v>
      </c>
      <c r="Q325" s="31">
        <f>_xlfn.XLOOKUP(AP[[#This Row],[Supplier name]], Supplier_master[Supplier name], Supplier_master[Terms days], 0)</f>
        <v>0</v>
      </c>
      <c r="R3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5" s="4"/>
      <c r="T325" s="46">
        <f>IF(AP[[#This Row],[Payment date - override (dd/mm/yyyy)]] &lt;&gt; "", AP[[#This Row],[Payment date - override (dd/mm/yyyy)]], AP[[#This Row],[Due date (dd/mm/yyyy)]])</f>
        <v>0</v>
      </c>
      <c r="U325" s="46">
        <f t="shared" si="4"/>
        <v>52</v>
      </c>
    </row>
    <row r="326" spans="3:21" x14ac:dyDescent="0.25">
      <c r="C326" s="28"/>
      <c r="D326" s="20"/>
      <c r="E326" s="4"/>
      <c r="F326" s="37"/>
      <c r="G326" s="24"/>
      <c r="H326" s="31">
        <f>_xlfn.XLOOKUP(AP[[#This Row],[Supplier name]], Supplier_master[Supplier name], Supplier_master[Category L1], 0)</f>
        <v>0</v>
      </c>
      <c r="I326" s="64">
        <f>_xlfn.XLOOKUP(AP[[#This Row],[Supplier name]], Supplier_master[Supplier name], Supplier_master[Category L2], 0)</f>
        <v>0</v>
      </c>
      <c r="J326" s="55"/>
      <c r="K326" s="54"/>
      <c r="L326" s="57">
        <f>IF(AP[[#This Row],[Spend category L1 - Override]] &lt;&gt; "", AP[[#This Row],[Spend category L1 - Override]], AP[[#This Row],[Spend category L1]])</f>
        <v>0</v>
      </c>
      <c r="M326" s="57">
        <f>IF(AP[[#This Row],[Spend category L2 - Override]] &lt;&gt; "", AP[[#This Row],[Spend category L2 - Override]], AP[[#This Row],[Spend category L2]])</f>
        <v>0</v>
      </c>
      <c r="N326" s="51">
        <f>Assumptions!$D$15</f>
        <v>0.1</v>
      </c>
      <c r="O326" s="45">
        <f>IF(AP[[#This Row],[GST applies?]] = "Yes", (AP[[#This Row],[Invoice value inc. GST]] / 1 + AP[[#This Row],[GST %]]) * AP[[#This Row],[GST %]], 0)</f>
        <v>0</v>
      </c>
      <c r="P326" s="31">
        <f>_xlfn.XLOOKUP(AP[[#This Row],[Supplier name]], Supplier_master[Supplier name], Supplier_master[EOM or Net], 0)</f>
        <v>0</v>
      </c>
      <c r="Q326" s="31">
        <f>_xlfn.XLOOKUP(AP[[#This Row],[Supplier name]], Supplier_master[Supplier name], Supplier_master[Terms days], 0)</f>
        <v>0</v>
      </c>
      <c r="R3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6" s="4"/>
      <c r="T326" s="46">
        <f>IF(AP[[#This Row],[Payment date - override (dd/mm/yyyy)]] &lt;&gt; "", AP[[#This Row],[Payment date - override (dd/mm/yyyy)]], AP[[#This Row],[Due date (dd/mm/yyyy)]])</f>
        <v>0</v>
      </c>
      <c r="U326" s="46">
        <f t="shared" si="4"/>
        <v>52</v>
      </c>
    </row>
    <row r="327" spans="3:21" x14ac:dyDescent="0.25">
      <c r="C327" s="28"/>
      <c r="D327" s="20"/>
      <c r="E327" s="4"/>
      <c r="F327" s="37"/>
      <c r="G327" s="24"/>
      <c r="H327" s="31">
        <f>_xlfn.XLOOKUP(AP[[#This Row],[Supplier name]], Supplier_master[Supplier name], Supplier_master[Category L1], 0)</f>
        <v>0</v>
      </c>
      <c r="I327" s="64">
        <f>_xlfn.XLOOKUP(AP[[#This Row],[Supplier name]], Supplier_master[Supplier name], Supplier_master[Category L2], 0)</f>
        <v>0</v>
      </c>
      <c r="J327" s="55"/>
      <c r="K327" s="54"/>
      <c r="L327" s="57">
        <f>IF(AP[[#This Row],[Spend category L1 - Override]] &lt;&gt; "", AP[[#This Row],[Spend category L1 - Override]], AP[[#This Row],[Spend category L1]])</f>
        <v>0</v>
      </c>
      <c r="M327" s="57">
        <f>IF(AP[[#This Row],[Spend category L2 - Override]] &lt;&gt; "", AP[[#This Row],[Spend category L2 - Override]], AP[[#This Row],[Spend category L2]])</f>
        <v>0</v>
      </c>
      <c r="N327" s="51">
        <f>Assumptions!$D$15</f>
        <v>0.1</v>
      </c>
      <c r="O327" s="45">
        <f>IF(AP[[#This Row],[GST applies?]] = "Yes", (AP[[#This Row],[Invoice value inc. GST]] / 1 + AP[[#This Row],[GST %]]) * AP[[#This Row],[GST %]], 0)</f>
        <v>0</v>
      </c>
      <c r="P327" s="31">
        <f>_xlfn.XLOOKUP(AP[[#This Row],[Supplier name]], Supplier_master[Supplier name], Supplier_master[EOM or Net], 0)</f>
        <v>0</v>
      </c>
      <c r="Q327" s="31">
        <f>_xlfn.XLOOKUP(AP[[#This Row],[Supplier name]], Supplier_master[Supplier name], Supplier_master[Terms days], 0)</f>
        <v>0</v>
      </c>
      <c r="R3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7" s="4"/>
      <c r="T327" s="46">
        <f>IF(AP[[#This Row],[Payment date - override (dd/mm/yyyy)]] &lt;&gt; "", AP[[#This Row],[Payment date - override (dd/mm/yyyy)]], AP[[#This Row],[Due date (dd/mm/yyyy)]])</f>
        <v>0</v>
      </c>
      <c r="U327" s="46">
        <f t="shared" si="4"/>
        <v>52</v>
      </c>
    </row>
    <row r="328" spans="3:21" x14ac:dyDescent="0.25">
      <c r="C328" s="28"/>
      <c r="D328" s="20"/>
      <c r="E328" s="4"/>
      <c r="F328" s="37"/>
      <c r="G328" s="24"/>
      <c r="H328" s="31">
        <f>_xlfn.XLOOKUP(AP[[#This Row],[Supplier name]], Supplier_master[Supplier name], Supplier_master[Category L1], 0)</f>
        <v>0</v>
      </c>
      <c r="I328" s="64">
        <f>_xlfn.XLOOKUP(AP[[#This Row],[Supplier name]], Supplier_master[Supplier name], Supplier_master[Category L2], 0)</f>
        <v>0</v>
      </c>
      <c r="J328" s="55"/>
      <c r="K328" s="54"/>
      <c r="L328" s="57">
        <f>IF(AP[[#This Row],[Spend category L1 - Override]] &lt;&gt; "", AP[[#This Row],[Spend category L1 - Override]], AP[[#This Row],[Spend category L1]])</f>
        <v>0</v>
      </c>
      <c r="M328" s="57">
        <f>IF(AP[[#This Row],[Spend category L2 - Override]] &lt;&gt; "", AP[[#This Row],[Spend category L2 - Override]], AP[[#This Row],[Spend category L2]])</f>
        <v>0</v>
      </c>
      <c r="N328" s="51">
        <f>Assumptions!$D$15</f>
        <v>0.1</v>
      </c>
      <c r="O328" s="45">
        <f>IF(AP[[#This Row],[GST applies?]] = "Yes", (AP[[#This Row],[Invoice value inc. GST]] / 1 + AP[[#This Row],[GST %]]) * AP[[#This Row],[GST %]], 0)</f>
        <v>0</v>
      </c>
      <c r="P328" s="31">
        <f>_xlfn.XLOOKUP(AP[[#This Row],[Supplier name]], Supplier_master[Supplier name], Supplier_master[EOM or Net], 0)</f>
        <v>0</v>
      </c>
      <c r="Q328" s="31">
        <f>_xlfn.XLOOKUP(AP[[#This Row],[Supplier name]], Supplier_master[Supplier name], Supplier_master[Terms days], 0)</f>
        <v>0</v>
      </c>
      <c r="R3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8" s="4"/>
      <c r="T328" s="46">
        <f>IF(AP[[#This Row],[Payment date - override (dd/mm/yyyy)]] &lt;&gt; "", AP[[#This Row],[Payment date - override (dd/mm/yyyy)]], AP[[#This Row],[Due date (dd/mm/yyyy)]])</f>
        <v>0</v>
      </c>
      <c r="U328" s="46">
        <f t="shared" si="4"/>
        <v>52</v>
      </c>
    </row>
    <row r="329" spans="3:21" x14ac:dyDescent="0.25">
      <c r="C329" s="28"/>
      <c r="D329" s="20"/>
      <c r="E329" s="4"/>
      <c r="F329" s="37"/>
      <c r="G329" s="24"/>
      <c r="H329" s="31">
        <f>_xlfn.XLOOKUP(AP[[#This Row],[Supplier name]], Supplier_master[Supplier name], Supplier_master[Category L1], 0)</f>
        <v>0</v>
      </c>
      <c r="I329" s="64">
        <f>_xlfn.XLOOKUP(AP[[#This Row],[Supplier name]], Supplier_master[Supplier name], Supplier_master[Category L2], 0)</f>
        <v>0</v>
      </c>
      <c r="J329" s="55"/>
      <c r="K329" s="54"/>
      <c r="L329" s="57">
        <f>IF(AP[[#This Row],[Spend category L1 - Override]] &lt;&gt; "", AP[[#This Row],[Spend category L1 - Override]], AP[[#This Row],[Spend category L1]])</f>
        <v>0</v>
      </c>
      <c r="M329" s="57">
        <f>IF(AP[[#This Row],[Spend category L2 - Override]] &lt;&gt; "", AP[[#This Row],[Spend category L2 - Override]], AP[[#This Row],[Spend category L2]])</f>
        <v>0</v>
      </c>
      <c r="N329" s="51">
        <f>Assumptions!$D$15</f>
        <v>0.1</v>
      </c>
      <c r="O329" s="45">
        <f>IF(AP[[#This Row],[GST applies?]] = "Yes", (AP[[#This Row],[Invoice value inc. GST]] / 1 + AP[[#This Row],[GST %]]) * AP[[#This Row],[GST %]], 0)</f>
        <v>0</v>
      </c>
      <c r="P329" s="31">
        <f>_xlfn.XLOOKUP(AP[[#This Row],[Supplier name]], Supplier_master[Supplier name], Supplier_master[EOM or Net], 0)</f>
        <v>0</v>
      </c>
      <c r="Q329" s="31">
        <f>_xlfn.XLOOKUP(AP[[#This Row],[Supplier name]], Supplier_master[Supplier name], Supplier_master[Terms days], 0)</f>
        <v>0</v>
      </c>
      <c r="R3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9" s="4"/>
      <c r="T329" s="46">
        <f>IF(AP[[#This Row],[Payment date - override (dd/mm/yyyy)]] &lt;&gt; "", AP[[#This Row],[Payment date - override (dd/mm/yyyy)]], AP[[#This Row],[Due date (dd/mm/yyyy)]])</f>
        <v>0</v>
      </c>
      <c r="U329" s="46">
        <f t="shared" ref="U329:U392" si="5">IF(GST_Freq="Monthly",
    DATE(YEAR(E329), MONTH(E329) + 1, 21),
    IF(GST_Freq="Quarterly",
        IF(MOD(MONTH(E329) + 2 - MOD(MOD(MONTH(E329) - GST_First_Month, 12), 3), 12) = 0,
            DATE(YEAR(E329), MONTH(E329) + 4 - MOD(MOD(MONTH(E329) - GST_First_Month, 12), 3), 28),
            DATE(YEAR(E329), MONTH(E329) + 3 - MOD(MOD(MONTH(E329) - GST_First_Month, 12), 3), 28)
        ),
        "Invalid frequency"
    )
)</f>
        <v>52</v>
      </c>
    </row>
    <row r="330" spans="3:21" x14ac:dyDescent="0.25">
      <c r="C330" s="28"/>
      <c r="D330" s="20"/>
      <c r="E330" s="4"/>
      <c r="F330" s="37"/>
      <c r="G330" s="24"/>
      <c r="H330" s="31">
        <f>_xlfn.XLOOKUP(AP[[#This Row],[Supplier name]], Supplier_master[Supplier name], Supplier_master[Category L1], 0)</f>
        <v>0</v>
      </c>
      <c r="I330" s="64">
        <f>_xlfn.XLOOKUP(AP[[#This Row],[Supplier name]], Supplier_master[Supplier name], Supplier_master[Category L2], 0)</f>
        <v>0</v>
      </c>
      <c r="J330" s="55"/>
      <c r="K330" s="54"/>
      <c r="L330" s="57">
        <f>IF(AP[[#This Row],[Spend category L1 - Override]] &lt;&gt; "", AP[[#This Row],[Spend category L1 - Override]], AP[[#This Row],[Spend category L1]])</f>
        <v>0</v>
      </c>
      <c r="M330" s="57">
        <f>IF(AP[[#This Row],[Spend category L2 - Override]] &lt;&gt; "", AP[[#This Row],[Spend category L2 - Override]], AP[[#This Row],[Spend category L2]])</f>
        <v>0</v>
      </c>
      <c r="N330" s="51">
        <f>Assumptions!$D$15</f>
        <v>0.1</v>
      </c>
      <c r="O330" s="45">
        <f>IF(AP[[#This Row],[GST applies?]] = "Yes", (AP[[#This Row],[Invoice value inc. GST]] / 1 + AP[[#This Row],[GST %]]) * AP[[#This Row],[GST %]], 0)</f>
        <v>0</v>
      </c>
      <c r="P330" s="31">
        <f>_xlfn.XLOOKUP(AP[[#This Row],[Supplier name]], Supplier_master[Supplier name], Supplier_master[EOM or Net], 0)</f>
        <v>0</v>
      </c>
      <c r="Q330" s="31">
        <f>_xlfn.XLOOKUP(AP[[#This Row],[Supplier name]], Supplier_master[Supplier name], Supplier_master[Terms days], 0)</f>
        <v>0</v>
      </c>
      <c r="R3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0" s="4"/>
      <c r="T330" s="46">
        <f>IF(AP[[#This Row],[Payment date - override (dd/mm/yyyy)]] &lt;&gt; "", AP[[#This Row],[Payment date - override (dd/mm/yyyy)]], AP[[#This Row],[Due date (dd/mm/yyyy)]])</f>
        <v>0</v>
      </c>
      <c r="U330" s="46">
        <f t="shared" si="5"/>
        <v>52</v>
      </c>
    </row>
    <row r="331" spans="3:21" x14ac:dyDescent="0.25">
      <c r="C331" s="28"/>
      <c r="D331" s="20"/>
      <c r="E331" s="4"/>
      <c r="F331" s="37"/>
      <c r="G331" s="24"/>
      <c r="H331" s="31">
        <f>_xlfn.XLOOKUP(AP[[#This Row],[Supplier name]], Supplier_master[Supplier name], Supplier_master[Category L1], 0)</f>
        <v>0</v>
      </c>
      <c r="I331" s="64">
        <f>_xlfn.XLOOKUP(AP[[#This Row],[Supplier name]], Supplier_master[Supplier name], Supplier_master[Category L2], 0)</f>
        <v>0</v>
      </c>
      <c r="J331" s="55"/>
      <c r="K331" s="54"/>
      <c r="L331" s="57">
        <f>IF(AP[[#This Row],[Spend category L1 - Override]] &lt;&gt; "", AP[[#This Row],[Spend category L1 - Override]], AP[[#This Row],[Spend category L1]])</f>
        <v>0</v>
      </c>
      <c r="M331" s="57">
        <f>IF(AP[[#This Row],[Spend category L2 - Override]] &lt;&gt; "", AP[[#This Row],[Spend category L2 - Override]], AP[[#This Row],[Spend category L2]])</f>
        <v>0</v>
      </c>
      <c r="N331" s="51">
        <f>Assumptions!$D$15</f>
        <v>0.1</v>
      </c>
      <c r="O331" s="45">
        <f>IF(AP[[#This Row],[GST applies?]] = "Yes", (AP[[#This Row],[Invoice value inc. GST]] / 1 + AP[[#This Row],[GST %]]) * AP[[#This Row],[GST %]], 0)</f>
        <v>0</v>
      </c>
      <c r="P331" s="31">
        <f>_xlfn.XLOOKUP(AP[[#This Row],[Supplier name]], Supplier_master[Supplier name], Supplier_master[EOM or Net], 0)</f>
        <v>0</v>
      </c>
      <c r="Q331" s="31">
        <f>_xlfn.XLOOKUP(AP[[#This Row],[Supplier name]], Supplier_master[Supplier name], Supplier_master[Terms days], 0)</f>
        <v>0</v>
      </c>
      <c r="R3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1" s="4"/>
      <c r="T331" s="46">
        <f>IF(AP[[#This Row],[Payment date - override (dd/mm/yyyy)]] &lt;&gt; "", AP[[#This Row],[Payment date - override (dd/mm/yyyy)]], AP[[#This Row],[Due date (dd/mm/yyyy)]])</f>
        <v>0</v>
      </c>
      <c r="U331" s="46">
        <f t="shared" si="5"/>
        <v>52</v>
      </c>
    </row>
    <row r="332" spans="3:21" x14ac:dyDescent="0.25">
      <c r="C332" s="28"/>
      <c r="D332" s="20"/>
      <c r="E332" s="4"/>
      <c r="F332" s="37"/>
      <c r="G332" s="24"/>
      <c r="H332" s="31">
        <f>_xlfn.XLOOKUP(AP[[#This Row],[Supplier name]], Supplier_master[Supplier name], Supplier_master[Category L1], 0)</f>
        <v>0</v>
      </c>
      <c r="I332" s="64">
        <f>_xlfn.XLOOKUP(AP[[#This Row],[Supplier name]], Supplier_master[Supplier name], Supplier_master[Category L2], 0)</f>
        <v>0</v>
      </c>
      <c r="J332" s="55"/>
      <c r="K332" s="54"/>
      <c r="L332" s="57">
        <f>IF(AP[[#This Row],[Spend category L1 - Override]] &lt;&gt; "", AP[[#This Row],[Spend category L1 - Override]], AP[[#This Row],[Spend category L1]])</f>
        <v>0</v>
      </c>
      <c r="M332" s="57">
        <f>IF(AP[[#This Row],[Spend category L2 - Override]] &lt;&gt; "", AP[[#This Row],[Spend category L2 - Override]], AP[[#This Row],[Spend category L2]])</f>
        <v>0</v>
      </c>
      <c r="N332" s="51">
        <f>Assumptions!$D$15</f>
        <v>0.1</v>
      </c>
      <c r="O332" s="45">
        <f>IF(AP[[#This Row],[GST applies?]] = "Yes", (AP[[#This Row],[Invoice value inc. GST]] / 1 + AP[[#This Row],[GST %]]) * AP[[#This Row],[GST %]], 0)</f>
        <v>0</v>
      </c>
      <c r="P332" s="31">
        <f>_xlfn.XLOOKUP(AP[[#This Row],[Supplier name]], Supplier_master[Supplier name], Supplier_master[EOM or Net], 0)</f>
        <v>0</v>
      </c>
      <c r="Q332" s="31">
        <f>_xlfn.XLOOKUP(AP[[#This Row],[Supplier name]], Supplier_master[Supplier name], Supplier_master[Terms days], 0)</f>
        <v>0</v>
      </c>
      <c r="R3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2" s="4"/>
      <c r="T332" s="46">
        <f>IF(AP[[#This Row],[Payment date - override (dd/mm/yyyy)]] &lt;&gt; "", AP[[#This Row],[Payment date - override (dd/mm/yyyy)]], AP[[#This Row],[Due date (dd/mm/yyyy)]])</f>
        <v>0</v>
      </c>
      <c r="U332" s="46">
        <f t="shared" si="5"/>
        <v>52</v>
      </c>
    </row>
    <row r="333" spans="3:21" x14ac:dyDescent="0.25">
      <c r="C333" s="28"/>
      <c r="D333" s="20"/>
      <c r="E333" s="4"/>
      <c r="F333" s="37"/>
      <c r="G333" s="24"/>
      <c r="H333" s="31">
        <f>_xlfn.XLOOKUP(AP[[#This Row],[Supplier name]], Supplier_master[Supplier name], Supplier_master[Category L1], 0)</f>
        <v>0</v>
      </c>
      <c r="I333" s="64">
        <f>_xlfn.XLOOKUP(AP[[#This Row],[Supplier name]], Supplier_master[Supplier name], Supplier_master[Category L2], 0)</f>
        <v>0</v>
      </c>
      <c r="J333" s="55"/>
      <c r="K333" s="54"/>
      <c r="L333" s="57">
        <f>IF(AP[[#This Row],[Spend category L1 - Override]] &lt;&gt; "", AP[[#This Row],[Spend category L1 - Override]], AP[[#This Row],[Spend category L1]])</f>
        <v>0</v>
      </c>
      <c r="M333" s="57">
        <f>IF(AP[[#This Row],[Spend category L2 - Override]] &lt;&gt; "", AP[[#This Row],[Spend category L2 - Override]], AP[[#This Row],[Spend category L2]])</f>
        <v>0</v>
      </c>
      <c r="N333" s="51">
        <f>Assumptions!$D$15</f>
        <v>0.1</v>
      </c>
      <c r="O333" s="45">
        <f>IF(AP[[#This Row],[GST applies?]] = "Yes", (AP[[#This Row],[Invoice value inc. GST]] / 1 + AP[[#This Row],[GST %]]) * AP[[#This Row],[GST %]], 0)</f>
        <v>0</v>
      </c>
      <c r="P333" s="31">
        <f>_xlfn.XLOOKUP(AP[[#This Row],[Supplier name]], Supplier_master[Supplier name], Supplier_master[EOM or Net], 0)</f>
        <v>0</v>
      </c>
      <c r="Q333" s="31">
        <f>_xlfn.XLOOKUP(AP[[#This Row],[Supplier name]], Supplier_master[Supplier name], Supplier_master[Terms days], 0)</f>
        <v>0</v>
      </c>
      <c r="R3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3" s="4"/>
      <c r="T333" s="46">
        <f>IF(AP[[#This Row],[Payment date - override (dd/mm/yyyy)]] &lt;&gt; "", AP[[#This Row],[Payment date - override (dd/mm/yyyy)]], AP[[#This Row],[Due date (dd/mm/yyyy)]])</f>
        <v>0</v>
      </c>
      <c r="U333" s="46">
        <f t="shared" si="5"/>
        <v>52</v>
      </c>
    </row>
    <row r="334" spans="3:21" x14ac:dyDescent="0.25">
      <c r="C334" s="28"/>
      <c r="D334" s="20"/>
      <c r="E334" s="4"/>
      <c r="F334" s="37"/>
      <c r="G334" s="24"/>
      <c r="H334" s="31">
        <f>_xlfn.XLOOKUP(AP[[#This Row],[Supplier name]], Supplier_master[Supplier name], Supplier_master[Category L1], 0)</f>
        <v>0</v>
      </c>
      <c r="I334" s="64">
        <f>_xlfn.XLOOKUP(AP[[#This Row],[Supplier name]], Supplier_master[Supplier name], Supplier_master[Category L2], 0)</f>
        <v>0</v>
      </c>
      <c r="J334" s="55"/>
      <c r="K334" s="54"/>
      <c r="L334" s="57">
        <f>IF(AP[[#This Row],[Spend category L1 - Override]] &lt;&gt; "", AP[[#This Row],[Spend category L1 - Override]], AP[[#This Row],[Spend category L1]])</f>
        <v>0</v>
      </c>
      <c r="M334" s="57">
        <f>IF(AP[[#This Row],[Spend category L2 - Override]] &lt;&gt; "", AP[[#This Row],[Spend category L2 - Override]], AP[[#This Row],[Spend category L2]])</f>
        <v>0</v>
      </c>
      <c r="N334" s="51">
        <f>Assumptions!$D$15</f>
        <v>0.1</v>
      </c>
      <c r="O334" s="45">
        <f>IF(AP[[#This Row],[GST applies?]] = "Yes", (AP[[#This Row],[Invoice value inc. GST]] / 1 + AP[[#This Row],[GST %]]) * AP[[#This Row],[GST %]], 0)</f>
        <v>0</v>
      </c>
      <c r="P334" s="31">
        <f>_xlfn.XLOOKUP(AP[[#This Row],[Supplier name]], Supplier_master[Supplier name], Supplier_master[EOM or Net], 0)</f>
        <v>0</v>
      </c>
      <c r="Q334" s="31">
        <f>_xlfn.XLOOKUP(AP[[#This Row],[Supplier name]], Supplier_master[Supplier name], Supplier_master[Terms days], 0)</f>
        <v>0</v>
      </c>
      <c r="R3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4" s="4"/>
      <c r="T334" s="46">
        <f>IF(AP[[#This Row],[Payment date - override (dd/mm/yyyy)]] &lt;&gt; "", AP[[#This Row],[Payment date - override (dd/mm/yyyy)]], AP[[#This Row],[Due date (dd/mm/yyyy)]])</f>
        <v>0</v>
      </c>
      <c r="U334" s="46">
        <f t="shared" si="5"/>
        <v>52</v>
      </c>
    </row>
    <row r="335" spans="3:21" x14ac:dyDescent="0.25">
      <c r="C335" s="28"/>
      <c r="D335" s="20"/>
      <c r="E335" s="4"/>
      <c r="F335" s="37"/>
      <c r="G335" s="24"/>
      <c r="H335" s="31">
        <f>_xlfn.XLOOKUP(AP[[#This Row],[Supplier name]], Supplier_master[Supplier name], Supplier_master[Category L1], 0)</f>
        <v>0</v>
      </c>
      <c r="I335" s="64">
        <f>_xlfn.XLOOKUP(AP[[#This Row],[Supplier name]], Supplier_master[Supplier name], Supplier_master[Category L2], 0)</f>
        <v>0</v>
      </c>
      <c r="J335" s="55"/>
      <c r="K335" s="54"/>
      <c r="L335" s="57">
        <f>IF(AP[[#This Row],[Spend category L1 - Override]] &lt;&gt; "", AP[[#This Row],[Spend category L1 - Override]], AP[[#This Row],[Spend category L1]])</f>
        <v>0</v>
      </c>
      <c r="M335" s="57">
        <f>IF(AP[[#This Row],[Spend category L2 - Override]] &lt;&gt; "", AP[[#This Row],[Spend category L2 - Override]], AP[[#This Row],[Spend category L2]])</f>
        <v>0</v>
      </c>
      <c r="N335" s="51">
        <f>Assumptions!$D$15</f>
        <v>0.1</v>
      </c>
      <c r="O335" s="45">
        <f>IF(AP[[#This Row],[GST applies?]] = "Yes", (AP[[#This Row],[Invoice value inc. GST]] / 1 + AP[[#This Row],[GST %]]) * AP[[#This Row],[GST %]], 0)</f>
        <v>0</v>
      </c>
      <c r="P335" s="31">
        <f>_xlfn.XLOOKUP(AP[[#This Row],[Supplier name]], Supplier_master[Supplier name], Supplier_master[EOM or Net], 0)</f>
        <v>0</v>
      </c>
      <c r="Q335" s="31">
        <f>_xlfn.XLOOKUP(AP[[#This Row],[Supplier name]], Supplier_master[Supplier name], Supplier_master[Terms days], 0)</f>
        <v>0</v>
      </c>
      <c r="R3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5" s="4"/>
      <c r="T335" s="46">
        <f>IF(AP[[#This Row],[Payment date - override (dd/mm/yyyy)]] &lt;&gt; "", AP[[#This Row],[Payment date - override (dd/mm/yyyy)]], AP[[#This Row],[Due date (dd/mm/yyyy)]])</f>
        <v>0</v>
      </c>
      <c r="U335" s="46">
        <f t="shared" si="5"/>
        <v>52</v>
      </c>
    </row>
    <row r="336" spans="3:21" x14ac:dyDescent="0.25">
      <c r="C336" s="28"/>
      <c r="D336" s="20"/>
      <c r="E336" s="4"/>
      <c r="F336" s="37"/>
      <c r="G336" s="24"/>
      <c r="H336" s="31">
        <f>_xlfn.XLOOKUP(AP[[#This Row],[Supplier name]], Supplier_master[Supplier name], Supplier_master[Category L1], 0)</f>
        <v>0</v>
      </c>
      <c r="I336" s="64">
        <f>_xlfn.XLOOKUP(AP[[#This Row],[Supplier name]], Supplier_master[Supplier name], Supplier_master[Category L2], 0)</f>
        <v>0</v>
      </c>
      <c r="J336" s="55"/>
      <c r="K336" s="54"/>
      <c r="L336" s="57">
        <f>IF(AP[[#This Row],[Spend category L1 - Override]] &lt;&gt; "", AP[[#This Row],[Spend category L1 - Override]], AP[[#This Row],[Spend category L1]])</f>
        <v>0</v>
      </c>
      <c r="M336" s="57">
        <f>IF(AP[[#This Row],[Spend category L2 - Override]] &lt;&gt; "", AP[[#This Row],[Spend category L2 - Override]], AP[[#This Row],[Spend category L2]])</f>
        <v>0</v>
      </c>
      <c r="N336" s="51">
        <f>Assumptions!$D$15</f>
        <v>0.1</v>
      </c>
      <c r="O336" s="45">
        <f>IF(AP[[#This Row],[GST applies?]] = "Yes", (AP[[#This Row],[Invoice value inc. GST]] / 1 + AP[[#This Row],[GST %]]) * AP[[#This Row],[GST %]], 0)</f>
        <v>0</v>
      </c>
      <c r="P336" s="31">
        <f>_xlfn.XLOOKUP(AP[[#This Row],[Supplier name]], Supplier_master[Supplier name], Supplier_master[EOM or Net], 0)</f>
        <v>0</v>
      </c>
      <c r="Q336" s="31">
        <f>_xlfn.XLOOKUP(AP[[#This Row],[Supplier name]], Supplier_master[Supplier name], Supplier_master[Terms days], 0)</f>
        <v>0</v>
      </c>
      <c r="R3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6" s="4"/>
      <c r="T336" s="46">
        <f>IF(AP[[#This Row],[Payment date - override (dd/mm/yyyy)]] &lt;&gt; "", AP[[#This Row],[Payment date - override (dd/mm/yyyy)]], AP[[#This Row],[Due date (dd/mm/yyyy)]])</f>
        <v>0</v>
      </c>
      <c r="U336" s="46">
        <f t="shared" si="5"/>
        <v>52</v>
      </c>
    </row>
    <row r="337" spans="3:21" x14ac:dyDescent="0.25">
      <c r="C337" s="28"/>
      <c r="D337" s="20"/>
      <c r="E337" s="4"/>
      <c r="F337" s="37"/>
      <c r="G337" s="24"/>
      <c r="H337" s="31">
        <f>_xlfn.XLOOKUP(AP[[#This Row],[Supplier name]], Supplier_master[Supplier name], Supplier_master[Category L1], 0)</f>
        <v>0</v>
      </c>
      <c r="I337" s="64">
        <f>_xlfn.XLOOKUP(AP[[#This Row],[Supplier name]], Supplier_master[Supplier name], Supplier_master[Category L2], 0)</f>
        <v>0</v>
      </c>
      <c r="J337" s="55"/>
      <c r="K337" s="54"/>
      <c r="L337" s="57">
        <f>IF(AP[[#This Row],[Spend category L1 - Override]] &lt;&gt; "", AP[[#This Row],[Spend category L1 - Override]], AP[[#This Row],[Spend category L1]])</f>
        <v>0</v>
      </c>
      <c r="M337" s="57">
        <f>IF(AP[[#This Row],[Spend category L2 - Override]] &lt;&gt; "", AP[[#This Row],[Spend category L2 - Override]], AP[[#This Row],[Spend category L2]])</f>
        <v>0</v>
      </c>
      <c r="N337" s="51">
        <f>Assumptions!$D$15</f>
        <v>0.1</v>
      </c>
      <c r="O337" s="45">
        <f>IF(AP[[#This Row],[GST applies?]] = "Yes", (AP[[#This Row],[Invoice value inc. GST]] / 1 + AP[[#This Row],[GST %]]) * AP[[#This Row],[GST %]], 0)</f>
        <v>0</v>
      </c>
      <c r="P337" s="31">
        <f>_xlfn.XLOOKUP(AP[[#This Row],[Supplier name]], Supplier_master[Supplier name], Supplier_master[EOM or Net], 0)</f>
        <v>0</v>
      </c>
      <c r="Q337" s="31">
        <f>_xlfn.XLOOKUP(AP[[#This Row],[Supplier name]], Supplier_master[Supplier name], Supplier_master[Terms days], 0)</f>
        <v>0</v>
      </c>
      <c r="R3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7" s="4"/>
      <c r="T337" s="46">
        <f>IF(AP[[#This Row],[Payment date - override (dd/mm/yyyy)]] &lt;&gt; "", AP[[#This Row],[Payment date - override (dd/mm/yyyy)]], AP[[#This Row],[Due date (dd/mm/yyyy)]])</f>
        <v>0</v>
      </c>
      <c r="U337" s="46">
        <f t="shared" si="5"/>
        <v>52</v>
      </c>
    </row>
    <row r="338" spans="3:21" x14ac:dyDescent="0.25">
      <c r="C338" s="28"/>
      <c r="D338" s="20"/>
      <c r="E338" s="4"/>
      <c r="F338" s="37"/>
      <c r="G338" s="24"/>
      <c r="H338" s="31">
        <f>_xlfn.XLOOKUP(AP[[#This Row],[Supplier name]], Supplier_master[Supplier name], Supplier_master[Category L1], 0)</f>
        <v>0</v>
      </c>
      <c r="I338" s="64">
        <f>_xlfn.XLOOKUP(AP[[#This Row],[Supplier name]], Supplier_master[Supplier name], Supplier_master[Category L2], 0)</f>
        <v>0</v>
      </c>
      <c r="J338" s="55"/>
      <c r="K338" s="54"/>
      <c r="L338" s="57">
        <f>IF(AP[[#This Row],[Spend category L1 - Override]] &lt;&gt; "", AP[[#This Row],[Spend category L1 - Override]], AP[[#This Row],[Spend category L1]])</f>
        <v>0</v>
      </c>
      <c r="M338" s="57">
        <f>IF(AP[[#This Row],[Spend category L2 - Override]] &lt;&gt; "", AP[[#This Row],[Spend category L2 - Override]], AP[[#This Row],[Spend category L2]])</f>
        <v>0</v>
      </c>
      <c r="N338" s="51">
        <f>Assumptions!$D$15</f>
        <v>0.1</v>
      </c>
      <c r="O338" s="45">
        <f>IF(AP[[#This Row],[GST applies?]] = "Yes", (AP[[#This Row],[Invoice value inc. GST]] / 1 + AP[[#This Row],[GST %]]) * AP[[#This Row],[GST %]], 0)</f>
        <v>0</v>
      </c>
      <c r="P338" s="31">
        <f>_xlfn.XLOOKUP(AP[[#This Row],[Supplier name]], Supplier_master[Supplier name], Supplier_master[EOM or Net], 0)</f>
        <v>0</v>
      </c>
      <c r="Q338" s="31">
        <f>_xlfn.XLOOKUP(AP[[#This Row],[Supplier name]], Supplier_master[Supplier name], Supplier_master[Terms days], 0)</f>
        <v>0</v>
      </c>
      <c r="R3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8" s="4"/>
      <c r="T338" s="46">
        <f>IF(AP[[#This Row],[Payment date - override (dd/mm/yyyy)]] &lt;&gt; "", AP[[#This Row],[Payment date - override (dd/mm/yyyy)]], AP[[#This Row],[Due date (dd/mm/yyyy)]])</f>
        <v>0</v>
      </c>
      <c r="U338" s="46">
        <f t="shared" si="5"/>
        <v>52</v>
      </c>
    </row>
    <row r="339" spans="3:21" x14ac:dyDescent="0.25">
      <c r="C339" s="28"/>
      <c r="D339" s="20"/>
      <c r="E339" s="4"/>
      <c r="F339" s="37"/>
      <c r="G339" s="24"/>
      <c r="H339" s="31">
        <f>_xlfn.XLOOKUP(AP[[#This Row],[Supplier name]], Supplier_master[Supplier name], Supplier_master[Category L1], 0)</f>
        <v>0</v>
      </c>
      <c r="I339" s="64">
        <f>_xlfn.XLOOKUP(AP[[#This Row],[Supplier name]], Supplier_master[Supplier name], Supplier_master[Category L2], 0)</f>
        <v>0</v>
      </c>
      <c r="J339" s="55"/>
      <c r="K339" s="54"/>
      <c r="L339" s="57">
        <f>IF(AP[[#This Row],[Spend category L1 - Override]] &lt;&gt; "", AP[[#This Row],[Spend category L1 - Override]], AP[[#This Row],[Spend category L1]])</f>
        <v>0</v>
      </c>
      <c r="M339" s="57">
        <f>IF(AP[[#This Row],[Spend category L2 - Override]] &lt;&gt; "", AP[[#This Row],[Spend category L2 - Override]], AP[[#This Row],[Spend category L2]])</f>
        <v>0</v>
      </c>
      <c r="N339" s="51">
        <f>Assumptions!$D$15</f>
        <v>0.1</v>
      </c>
      <c r="O339" s="45">
        <f>IF(AP[[#This Row],[GST applies?]] = "Yes", (AP[[#This Row],[Invoice value inc. GST]] / 1 + AP[[#This Row],[GST %]]) * AP[[#This Row],[GST %]], 0)</f>
        <v>0</v>
      </c>
      <c r="P339" s="31">
        <f>_xlfn.XLOOKUP(AP[[#This Row],[Supplier name]], Supplier_master[Supplier name], Supplier_master[EOM or Net], 0)</f>
        <v>0</v>
      </c>
      <c r="Q339" s="31">
        <f>_xlfn.XLOOKUP(AP[[#This Row],[Supplier name]], Supplier_master[Supplier name], Supplier_master[Terms days], 0)</f>
        <v>0</v>
      </c>
      <c r="R3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9" s="4"/>
      <c r="T339" s="46">
        <f>IF(AP[[#This Row],[Payment date - override (dd/mm/yyyy)]] &lt;&gt; "", AP[[#This Row],[Payment date - override (dd/mm/yyyy)]], AP[[#This Row],[Due date (dd/mm/yyyy)]])</f>
        <v>0</v>
      </c>
      <c r="U339" s="46">
        <f t="shared" si="5"/>
        <v>52</v>
      </c>
    </row>
    <row r="340" spans="3:21" x14ac:dyDescent="0.25">
      <c r="C340" s="28"/>
      <c r="D340" s="20"/>
      <c r="E340" s="4"/>
      <c r="F340" s="37"/>
      <c r="G340" s="24"/>
      <c r="H340" s="31">
        <f>_xlfn.XLOOKUP(AP[[#This Row],[Supplier name]], Supplier_master[Supplier name], Supplier_master[Category L1], 0)</f>
        <v>0</v>
      </c>
      <c r="I340" s="64">
        <f>_xlfn.XLOOKUP(AP[[#This Row],[Supplier name]], Supplier_master[Supplier name], Supplier_master[Category L2], 0)</f>
        <v>0</v>
      </c>
      <c r="J340" s="55"/>
      <c r="K340" s="54"/>
      <c r="L340" s="57">
        <f>IF(AP[[#This Row],[Spend category L1 - Override]] &lt;&gt; "", AP[[#This Row],[Spend category L1 - Override]], AP[[#This Row],[Spend category L1]])</f>
        <v>0</v>
      </c>
      <c r="M340" s="57">
        <f>IF(AP[[#This Row],[Spend category L2 - Override]] &lt;&gt; "", AP[[#This Row],[Spend category L2 - Override]], AP[[#This Row],[Spend category L2]])</f>
        <v>0</v>
      </c>
      <c r="N340" s="51">
        <f>Assumptions!$D$15</f>
        <v>0.1</v>
      </c>
      <c r="O340" s="45">
        <f>IF(AP[[#This Row],[GST applies?]] = "Yes", (AP[[#This Row],[Invoice value inc. GST]] / 1 + AP[[#This Row],[GST %]]) * AP[[#This Row],[GST %]], 0)</f>
        <v>0</v>
      </c>
      <c r="P340" s="31">
        <f>_xlfn.XLOOKUP(AP[[#This Row],[Supplier name]], Supplier_master[Supplier name], Supplier_master[EOM or Net], 0)</f>
        <v>0</v>
      </c>
      <c r="Q340" s="31">
        <f>_xlfn.XLOOKUP(AP[[#This Row],[Supplier name]], Supplier_master[Supplier name], Supplier_master[Terms days], 0)</f>
        <v>0</v>
      </c>
      <c r="R3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0" s="4"/>
      <c r="T340" s="46">
        <f>IF(AP[[#This Row],[Payment date - override (dd/mm/yyyy)]] &lt;&gt; "", AP[[#This Row],[Payment date - override (dd/mm/yyyy)]], AP[[#This Row],[Due date (dd/mm/yyyy)]])</f>
        <v>0</v>
      </c>
      <c r="U340" s="46">
        <f t="shared" si="5"/>
        <v>52</v>
      </c>
    </row>
    <row r="341" spans="3:21" x14ac:dyDescent="0.25">
      <c r="C341" s="28"/>
      <c r="D341" s="20"/>
      <c r="E341" s="4"/>
      <c r="F341" s="37"/>
      <c r="G341" s="24"/>
      <c r="H341" s="31">
        <f>_xlfn.XLOOKUP(AP[[#This Row],[Supplier name]], Supplier_master[Supplier name], Supplier_master[Category L1], 0)</f>
        <v>0</v>
      </c>
      <c r="I341" s="64">
        <f>_xlfn.XLOOKUP(AP[[#This Row],[Supplier name]], Supplier_master[Supplier name], Supplier_master[Category L2], 0)</f>
        <v>0</v>
      </c>
      <c r="J341" s="55"/>
      <c r="K341" s="54"/>
      <c r="L341" s="57">
        <f>IF(AP[[#This Row],[Spend category L1 - Override]] &lt;&gt; "", AP[[#This Row],[Spend category L1 - Override]], AP[[#This Row],[Spend category L1]])</f>
        <v>0</v>
      </c>
      <c r="M341" s="57">
        <f>IF(AP[[#This Row],[Spend category L2 - Override]] &lt;&gt; "", AP[[#This Row],[Spend category L2 - Override]], AP[[#This Row],[Spend category L2]])</f>
        <v>0</v>
      </c>
      <c r="N341" s="51">
        <f>Assumptions!$D$15</f>
        <v>0.1</v>
      </c>
      <c r="O341" s="45">
        <f>IF(AP[[#This Row],[GST applies?]] = "Yes", (AP[[#This Row],[Invoice value inc. GST]] / 1 + AP[[#This Row],[GST %]]) * AP[[#This Row],[GST %]], 0)</f>
        <v>0</v>
      </c>
      <c r="P341" s="31">
        <f>_xlfn.XLOOKUP(AP[[#This Row],[Supplier name]], Supplier_master[Supplier name], Supplier_master[EOM or Net], 0)</f>
        <v>0</v>
      </c>
      <c r="Q341" s="31">
        <f>_xlfn.XLOOKUP(AP[[#This Row],[Supplier name]], Supplier_master[Supplier name], Supplier_master[Terms days], 0)</f>
        <v>0</v>
      </c>
      <c r="R3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1" s="4"/>
      <c r="T341" s="46">
        <f>IF(AP[[#This Row],[Payment date - override (dd/mm/yyyy)]] &lt;&gt; "", AP[[#This Row],[Payment date - override (dd/mm/yyyy)]], AP[[#This Row],[Due date (dd/mm/yyyy)]])</f>
        <v>0</v>
      </c>
      <c r="U341" s="46">
        <f t="shared" si="5"/>
        <v>52</v>
      </c>
    </row>
    <row r="342" spans="3:21" x14ac:dyDescent="0.25">
      <c r="C342" s="28"/>
      <c r="D342" s="20"/>
      <c r="E342" s="4"/>
      <c r="F342" s="37"/>
      <c r="G342" s="24"/>
      <c r="H342" s="31">
        <f>_xlfn.XLOOKUP(AP[[#This Row],[Supplier name]], Supplier_master[Supplier name], Supplier_master[Category L1], 0)</f>
        <v>0</v>
      </c>
      <c r="I342" s="64">
        <f>_xlfn.XLOOKUP(AP[[#This Row],[Supplier name]], Supplier_master[Supplier name], Supplier_master[Category L2], 0)</f>
        <v>0</v>
      </c>
      <c r="J342" s="55"/>
      <c r="K342" s="54"/>
      <c r="L342" s="57">
        <f>IF(AP[[#This Row],[Spend category L1 - Override]] &lt;&gt; "", AP[[#This Row],[Spend category L1 - Override]], AP[[#This Row],[Spend category L1]])</f>
        <v>0</v>
      </c>
      <c r="M342" s="57">
        <f>IF(AP[[#This Row],[Spend category L2 - Override]] &lt;&gt; "", AP[[#This Row],[Spend category L2 - Override]], AP[[#This Row],[Spend category L2]])</f>
        <v>0</v>
      </c>
      <c r="N342" s="51">
        <f>Assumptions!$D$15</f>
        <v>0.1</v>
      </c>
      <c r="O342" s="45">
        <f>IF(AP[[#This Row],[GST applies?]] = "Yes", (AP[[#This Row],[Invoice value inc. GST]] / 1 + AP[[#This Row],[GST %]]) * AP[[#This Row],[GST %]], 0)</f>
        <v>0</v>
      </c>
      <c r="P342" s="31">
        <f>_xlfn.XLOOKUP(AP[[#This Row],[Supplier name]], Supplier_master[Supplier name], Supplier_master[EOM or Net], 0)</f>
        <v>0</v>
      </c>
      <c r="Q342" s="31">
        <f>_xlfn.XLOOKUP(AP[[#This Row],[Supplier name]], Supplier_master[Supplier name], Supplier_master[Terms days], 0)</f>
        <v>0</v>
      </c>
      <c r="R3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2" s="4"/>
      <c r="T342" s="46">
        <f>IF(AP[[#This Row],[Payment date - override (dd/mm/yyyy)]] &lt;&gt; "", AP[[#This Row],[Payment date - override (dd/mm/yyyy)]], AP[[#This Row],[Due date (dd/mm/yyyy)]])</f>
        <v>0</v>
      </c>
      <c r="U342" s="46">
        <f t="shared" si="5"/>
        <v>52</v>
      </c>
    </row>
    <row r="343" spans="3:21" x14ac:dyDescent="0.25">
      <c r="C343" s="28"/>
      <c r="D343" s="20"/>
      <c r="E343" s="4"/>
      <c r="F343" s="37"/>
      <c r="G343" s="24"/>
      <c r="H343" s="31">
        <f>_xlfn.XLOOKUP(AP[[#This Row],[Supplier name]], Supplier_master[Supplier name], Supplier_master[Category L1], 0)</f>
        <v>0</v>
      </c>
      <c r="I343" s="64">
        <f>_xlfn.XLOOKUP(AP[[#This Row],[Supplier name]], Supplier_master[Supplier name], Supplier_master[Category L2], 0)</f>
        <v>0</v>
      </c>
      <c r="J343" s="55"/>
      <c r="K343" s="54"/>
      <c r="L343" s="57">
        <f>IF(AP[[#This Row],[Spend category L1 - Override]] &lt;&gt; "", AP[[#This Row],[Spend category L1 - Override]], AP[[#This Row],[Spend category L1]])</f>
        <v>0</v>
      </c>
      <c r="M343" s="57">
        <f>IF(AP[[#This Row],[Spend category L2 - Override]] &lt;&gt; "", AP[[#This Row],[Spend category L2 - Override]], AP[[#This Row],[Spend category L2]])</f>
        <v>0</v>
      </c>
      <c r="N343" s="51">
        <f>Assumptions!$D$15</f>
        <v>0.1</v>
      </c>
      <c r="O343" s="45">
        <f>IF(AP[[#This Row],[GST applies?]] = "Yes", (AP[[#This Row],[Invoice value inc. GST]] / 1 + AP[[#This Row],[GST %]]) * AP[[#This Row],[GST %]], 0)</f>
        <v>0</v>
      </c>
      <c r="P343" s="31">
        <f>_xlfn.XLOOKUP(AP[[#This Row],[Supplier name]], Supplier_master[Supplier name], Supplier_master[EOM or Net], 0)</f>
        <v>0</v>
      </c>
      <c r="Q343" s="31">
        <f>_xlfn.XLOOKUP(AP[[#This Row],[Supplier name]], Supplier_master[Supplier name], Supplier_master[Terms days], 0)</f>
        <v>0</v>
      </c>
      <c r="R3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3" s="4"/>
      <c r="T343" s="46">
        <f>IF(AP[[#This Row],[Payment date - override (dd/mm/yyyy)]] &lt;&gt; "", AP[[#This Row],[Payment date - override (dd/mm/yyyy)]], AP[[#This Row],[Due date (dd/mm/yyyy)]])</f>
        <v>0</v>
      </c>
      <c r="U343" s="46">
        <f t="shared" si="5"/>
        <v>52</v>
      </c>
    </row>
    <row r="344" spans="3:21" x14ac:dyDescent="0.25">
      <c r="C344" s="28"/>
      <c r="D344" s="20"/>
      <c r="E344" s="4"/>
      <c r="F344" s="37"/>
      <c r="G344" s="24"/>
      <c r="H344" s="31">
        <f>_xlfn.XLOOKUP(AP[[#This Row],[Supplier name]], Supplier_master[Supplier name], Supplier_master[Category L1], 0)</f>
        <v>0</v>
      </c>
      <c r="I344" s="64">
        <f>_xlfn.XLOOKUP(AP[[#This Row],[Supplier name]], Supplier_master[Supplier name], Supplier_master[Category L2], 0)</f>
        <v>0</v>
      </c>
      <c r="J344" s="55"/>
      <c r="K344" s="54"/>
      <c r="L344" s="57">
        <f>IF(AP[[#This Row],[Spend category L1 - Override]] &lt;&gt; "", AP[[#This Row],[Spend category L1 - Override]], AP[[#This Row],[Spend category L1]])</f>
        <v>0</v>
      </c>
      <c r="M344" s="57">
        <f>IF(AP[[#This Row],[Spend category L2 - Override]] &lt;&gt; "", AP[[#This Row],[Spend category L2 - Override]], AP[[#This Row],[Spend category L2]])</f>
        <v>0</v>
      </c>
      <c r="N344" s="51">
        <f>Assumptions!$D$15</f>
        <v>0.1</v>
      </c>
      <c r="O344" s="45">
        <f>IF(AP[[#This Row],[GST applies?]] = "Yes", (AP[[#This Row],[Invoice value inc. GST]] / 1 + AP[[#This Row],[GST %]]) * AP[[#This Row],[GST %]], 0)</f>
        <v>0</v>
      </c>
      <c r="P344" s="31">
        <f>_xlfn.XLOOKUP(AP[[#This Row],[Supplier name]], Supplier_master[Supplier name], Supplier_master[EOM or Net], 0)</f>
        <v>0</v>
      </c>
      <c r="Q344" s="31">
        <f>_xlfn.XLOOKUP(AP[[#This Row],[Supplier name]], Supplier_master[Supplier name], Supplier_master[Terms days], 0)</f>
        <v>0</v>
      </c>
      <c r="R3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4" s="4"/>
      <c r="T344" s="46">
        <f>IF(AP[[#This Row],[Payment date - override (dd/mm/yyyy)]] &lt;&gt; "", AP[[#This Row],[Payment date - override (dd/mm/yyyy)]], AP[[#This Row],[Due date (dd/mm/yyyy)]])</f>
        <v>0</v>
      </c>
      <c r="U344" s="46">
        <f t="shared" si="5"/>
        <v>52</v>
      </c>
    </row>
    <row r="345" spans="3:21" x14ac:dyDescent="0.25">
      <c r="C345" s="28"/>
      <c r="D345" s="20"/>
      <c r="E345" s="4"/>
      <c r="F345" s="37"/>
      <c r="G345" s="24"/>
      <c r="H345" s="31">
        <f>_xlfn.XLOOKUP(AP[[#This Row],[Supplier name]], Supplier_master[Supplier name], Supplier_master[Category L1], 0)</f>
        <v>0</v>
      </c>
      <c r="I345" s="64">
        <f>_xlfn.XLOOKUP(AP[[#This Row],[Supplier name]], Supplier_master[Supplier name], Supplier_master[Category L2], 0)</f>
        <v>0</v>
      </c>
      <c r="J345" s="55"/>
      <c r="K345" s="54"/>
      <c r="L345" s="57">
        <f>IF(AP[[#This Row],[Spend category L1 - Override]] &lt;&gt; "", AP[[#This Row],[Spend category L1 - Override]], AP[[#This Row],[Spend category L1]])</f>
        <v>0</v>
      </c>
      <c r="M345" s="57">
        <f>IF(AP[[#This Row],[Spend category L2 - Override]] &lt;&gt; "", AP[[#This Row],[Spend category L2 - Override]], AP[[#This Row],[Spend category L2]])</f>
        <v>0</v>
      </c>
      <c r="N345" s="51">
        <f>Assumptions!$D$15</f>
        <v>0.1</v>
      </c>
      <c r="O345" s="45">
        <f>IF(AP[[#This Row],[GST applies?]] = "Yes", (AP[[#This Row],[Invoice value inc. GST]] / 1 + AP[[#This Row],[GST %]]) * AP[[#This Row],[GST %]], 0)</f>
        <v>0</v>
      </c>
      <c r="P345" s="31">
        <f>_xlfn.XLOOKUP(AP[[#This Row],[Supplier name]], Supplier_master[Supplier name], Supplier_master[EOM or Net], 0)</f>
        <v>0</v>
      </c>
      <c r="Q345" s="31">
        <f>_xlfn.XLOOKUP(AP[[#This Row],[Supplier name]], Supplier_master[Supplier name], Supplier_master[Terms days], 0)</f>
        <v>0</v>
      </c>
      <c r="R3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5" s="4"/>
      <c r="T345" s="46">
        <f>IF(AP[[#This Row],[Payment date - override (dd/mm/yyyy)]] &lt;&gt; "", AP[[#This Row],[Payment date - override (dd/mm/yyyy)]], AP[[#This Row],[Due date (dd/mm/yyyy)]])</f>
        <v>0</v>
      </c>
      <c r="U345" s="46">
        <f t="shared" si="5"/>
        <v>52</v>
      </c>
    </row>
    <row r="346" spans="3:21" x14ac:dyDescent="0.25">
      <c r="C346" s="28"/>
      <c r="D346" s="20"/>
      <c r="E346" s="4"/>
      <c r="F346" s="37"/>
      <c r="G346" s="24"/>
      <c r="H346" s="31">
        <f>_xlfn.XLOOKUP(AP[[#This Row],[Supplier name]], Supplier_master[Supplier name], Supplier_master[Category L1], 0)</f>
        <v>0</v>
      </c>
      <c r="I346" s="64">
        <f>_xlfn.XLOOKUP(AP[[#This Row],[Supplier name]], Supplier_master[Supplier name], Supplier_master[Category L2], 0)</f>
        <v>0</v>
      </c>
      <c r="J346" s="55"/>
      <c r="K346" s="54"/>
      <c r="L346" s="57">
        <f>IF(AP[[#This Row],[Spend category L1 - Override]] &lt;&gt; "", AP[[#This Row],[Spend category L1 - Override]], AP[[#This Row],[Spend category L1]])</f>
        <v>0</v>
      </c>
      <c r="M346" s="57">
        <f>IF(AP[[#This Row],[Spend category L2 - Override]] &lt;&gt; "", AP[[#This Row],[Spend category L2 - Override]], AP[[#This Row],[Spend category L2]])</f>
        <v>0</v>
      </c>
      <c r="N346" s="51">
        <f>Assumptions!$D$15</f>
        <v>0.1</v>
      </c>
      <c r="O346" s="45">
        <f>IF(AP[[#This Row],[GST applies?]] = "Yes", (AP[[#This Row],[Invoice value inc. GST]] / 1 + AP[[#This Row],[GST %]]) * AP[[#This Row],[GST %]], 0)</f>
        <v>0</v>
      </c>
      <c r="P346" s="31">
        <f>_xlfn.XLOOKUP(AP[[#This Row],[Supplier name]], Supplier_master[Supplier name], Supplier_master[EOM or Net], 0)</f>
        <v>0</v>
      </c>
      <c r="Q346" s="31">
        <f>_xlfn.XLOOKUP(AP[[#This Row],[Supplier name]], Supplier_master[Supplier name], Supplier_master[Terms days], 0)</f>
        <v>0</v>
      </c>
      <c r="R3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6" s="4"/>
      <c r="T346" s="46">
        <f>IF(AP[[#This Row],[Payment date - override (dd/mm/yyyy)]] &lt;&gt; "", AP[[#This Row],[Payment date - override (dd/mm/yyyy)]], AP[[#This Row],[Due date (dd/mm/yyyy)]])</f>
        <v>0</v>
      </c>
      <c r="U346" s="46">
        <f t="shared" si="5"/>
        <v>52</v>
      </c>
    </row>
    <row r="347" spans="3:21" x14ac:dyDescent="0.25">
      <c r="C347" s="28"/>
      <c r="D347" s="20"/>
      <c r="E347" s="4"/>
      <c r="F347" s="37"/>
      <c r="G347" s="24"/>
      <c r="H347" s="31">
        <f>_xlfn.XLOOKUP(AP[[#This Row],[Supplier name]], Supplier_master[Supplier name], Supplier_master[Category L1], 0)</f>
        <v>0</v>
      </c>
      <c r="I347" s="64">
        <f>_xlfn.XLOOKUP(AP[[#This Row],[Supplier name]], Supplier_master[Supplier name], Supplier_master[Category L2], 0)</f>
        <v>0</v>
      </c>
      <c r="J347" s="55"/>
      <c r="K347" s="54"/>
      <c r="L347" s="57">
        <f>IF(AP[[#This Row],[Spend category L1 - Override]] &lt;&gt; "", AP[[#This Row],[Spend category L1 - Override]], AP[[#This Row],[Spend category L1]])</f>
        <v>0</v>
      </c>
      <c r="M347" s="57">
        <f>IF(AP[[#This Row],[Spend category L2 - Override]] &lt;&gt; "", AP[[#This Row],[Spend category L2 - Override]], AP[[#This Row],[Spend category L2]])</f>
        <v>0</v>
      </c>
      <c r="N347" s="51">
        <f>Assumptions!$D$15</f>
        <v>0.1</v>
      </c>
      <c r="O347" s="45">
        <f>IF(AP[[#This Row],[GST applies?]] = "Yes", (AP[[#This Row],[Invoice value inc. GST]] / 1 + AP[[#This Row],[GST %]]) * AP[[#This Row],[GST %]], 0)</f>
        <v>0</v>
      </c>
      <c r="P347" s="31">
        <f>_xlfn.XLOOKUP(AP[[#This Row],[Supplier name]], Supplier_master[Supplier name], Supplier_master[EOM or Net], 0)</f>
        <v>0</v>
      </c>
      <c r="Q347" s="31">
        <f>_xlfn.XLOOKUP(AP[[#This Row],[Supplier name]], Supplier_master[Supplier name], Supplier_master[Terms days], 0)</f>
        <v>0</v>
      </c>
      <c r="R3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7" s="4"/>
      <c r="T347" s="46">
        <f>IF(AP[[#This Row],[Payment date - override (dd/mm/yyyy)]] &lt;&gt; "", AP[[#This Row],[Payment date - override (dd/mm/yyyy)]], AP[[#This Row],[Due date (dd/mm/yyyy)]])</f>
        <v>0</v>
      </c>
      <c r="U347" s="46">
        <f t="shared" si="5"/>
        <v>52</v>
      </c>
    </row>
    <row r="348" spans="3:21" x14ac:dyDescent="0.25">
      <c r="C348" s="28"/>
      <c r="D348" s="20"/>
      <c r="E348" s="4"/>
      <c r="F348" s="37"/>
      <c r="G348" s="24"/>
      <c r="H348" s="31">
        <f>_xlfn.XLOOKUP(AP[[#This Row],[Supplier name]], Supplier_master[Supplier name], Supplier_master[Category L1], 0)</f>
        <v>0</v>
      </c>
      <c r="I348" s="64">
        <f>_xlfn.XLOOKUP(AP[[#This Row],[Supplier name]], Supplier_master[Supplier name], Supplier_master[Category L2], 0)</f>
        <v>0</v>
      </c>
      <c r="J348" s="55"/>
      <c r="K348" s="54"/>
      <c r="L348" s="57">
        <f>IF(AP[[#This Row],[Spend category L1 - Override]] &lt;&gt; "", AP[[#This Row],[Spend category L1 - Override]], AP[[#This Row],[Spend category L1]])</f>
        <v>0</v>
      </c>
      <c r="M348" s="57">
        <f>IF(AP[[#This Row],[Spend category L2 - Override]] &lt;&gt; "", AP[[#This Row],[Spend category L2 - Override]], AP[[#This Row],[Spend category L2]])</f>
        <v>0</v>
      </c>
      <c r="N348" s="51">
        <f>Assumptions!$D$15</f>
        <v>0.1</v>
      </c>
      <c r="O348" s="45">
        <f>IF(AP[[#This Row],[GST applies?]] = "Yes", (AP[[#This Row],[Invoice value inc. GST]] / 1 + AP[[#This Row],[GST %]]) * AP[[#This Row],[GST %]], 0)</f>
        <v>0</v>
      </c>
      <c r="P348" s="31">
        <f>_xlfn.XLOOKUP(AP[[#This Row],[Supplier name]], Supplier_master[Supplier name], Supplier_master[EOM or Net], 0)</f>
        <v>0</v>
      </c>
      <c r="Q348" s="31">
        <f>_xlfn.XLOOKUP(AP[[#This Row],[Supplier name]], Supplier_master[Supplier name], Supplier_master[Terms days], 0)</f>
        <v>0</v>
      </c>
      <c r="R3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8" s="4"/>
      <c r="T348" s="46">
        <f>IF(AP[[#This Row],[Payment date - override (dd/mm/yyyy)]] &lt;&gt; "", AP[[#This Row],[Payment date - override (dd/mm/yyyy)]], AP[[#This Row],[Due date (dd/mm/yyyy)]])</f>
        <v>0</v>
      </c>
      <c r="U348" s="46">
        <f t="shared" si="5"/>
        <v>52</v>
      </c>
    </row>
    <row r="349" spans="3:21" x14ac:dyDescent="0.25">
      <c r="C349" s="28"/>
      <c r="D349" s="20"/>
      <c r="E349" s="4"/>
      <c r="F349" s="37"/>
      <c r="G349" s="24"/>
      <c r="H349" s="31">
        <f>_xlfn.XLOOKUP(AP[[#This Row],[Supplier name]], Supplier_master[Supplier name], Supplier_master[Category L1], 0)</f>
        <v>0</v>
      </c>
      <c r="I349" s="64">
        <f>_xlfn.XLOOKUP(AP[[#This Row],[Supplier name]], Supplier_master[Supplier name], Supplier_master[Category L2], 0)</f>
        <v>0</v>
      </c>
      <c r="J349" s="55"/>
      <c r="K349" s="54"/>
      <c r="L349" s="57">
        <f>IF(AP[[#This Row],[Spend category L1 - Override]] &lt;&gt; "", AP[[#This Row],[Spend category L1 - Override]], AP[[#This Row],[Spend category L1]])</f>
        <v>0</v>
      </c>
      <c r="M349" s="57">
        <f>IF(AP[[#This Row],[Spend category L2 - Override]] &lt;&gt; "", AP[[#This Row],[Spend category L2 - Override]], AP[[#This Row],[Spend category L2]])</f>
        <v>0</v>
      </c>
      <c r="N349" s="51">
        <f>Assumptions!$D$15</f>
        <v>0.1</v>
      </c>
      <c r="O349" s="45">
        <f>IF(AP[[#This Row],[GST applies?]] = "Yes", (AP[[#This Row],[Invoice value inc. GST]] / 1 + AP[[#This Row],[GST %]]) * AP[[#This Row],[GST %]], 0)</f>
        <v>0</v>
      </c>
      <c r="P349" s="31">
        <f>_xlfn.XLOOKUP(AP[[#This Row],[Supplier name]], Supplier_master[Supplier name], Supplier_master[EOM or Net], 0)</f>
        <v>0</v>
      </c>
      <c r="Q349" s="31">
        <f>_xlfn.XLOOKUP(AP[[#This Row],[Supplier name]], Supplier_master[Supplier name], Supplier_master[Terms days], 0)</f>
        <v>0</v>
      </c>
      <c r="R3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9" s="4"/>
      <c r="T349" s="46">
        <f>IF(AP[[#This Row],[Payment date - override (dd/mm/yyyy)]] &lt;&gt; "", AP[[#This Row],[Payment date - override (dd/mm/yyyy)]], AP[[#This Row],[Due date (dd/mm/yyyy)]])</f>
        <v>0</v>
      </c>
      <c r="U349" s="46">
        <f t="shared" si="5"/>
        <v>52</v>
      </c>
    </row>
    <row r="350" spans="3:21" x14ac:dyDescent="0.25">
      <c r="C350" s="28"/>
      <c r="D350" s="20"/>
      <c r="E350" s="4"/>
      <c r="F350" s="37"/>
      <c r="G350" s="24"/>
      <c r="H350" s="31">
        <f>_xlfn.XLOOKUP(AP[[#This Row],[Supplier name]], Supplier_master[Supplier name], Supplier_master[Category L1], 0)</f>
        <v>0</v>
      </c>
      <c r="I350" s="64">
        <f>_xlfn.XLOOKUP(AP[[#This Row],[Supplier name]], Supplier_master[Supplier name], Supplier_master[Category L2], 0)</f>
        <v>0</v>
      </c>
      <c r="J350" s="55"/>
      <c r="K350" s="54"/>
      <c r="L350" s="57">
        <f>IF(AP[[#This Row],[Spend category L1 - Override]] &lt;&gt; "", AP[[#This Row],[Spend category L1 - Override]], AP[[#This Row],[Spend category L1]])</f>
        <v>0</v>
      </c>
      <c r="M350" s="57">
        <f>IF(AP[[#This Row],[Spend category L2 - Override]] &lt;&gt; "", AP[[#This Row],[Spend category L2 - Override]], AP[[#This Row],[Spend category L2]])</f>
        <v>0</v>
      </c>
      <c r="N350" s="51">
        <f>Assumptions!$D$15</f>
        <v>0.1</v>
      </c>
      <c r="O350" s="45">
        <f>IF(AP[[#This Row],[GST applies?]] = "Yes", (AP[[#This Row],[Invoice value inc. GST]] / 1 + AP[[#This Row],[GST %]]) * AP[[#This Row],[GST %]], 0)</f>
        <v>0</v>
      </c>
      <c r="P350" s="31">
        <f>_xlfn.XLOOKUP(AP[[#This Row],[Supplier name]], Supplier_master[Supplier name], Supplier_master[EOM or Net], 0)</f>
        <v>0</v>
      </c>
      <c r="Q350" s="31">
        <f>_xlfn.XLOOKUP(AP[[#This Row],[Supplier name]], Supplier_master[Supplier name], Supplier_master[Terms days], 0)</f>
        <v>0</v>
      </c>
      <c r="R3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0" s="4"/>
      <c r="T350" s="46">
        <f>IF(AP[[#This Row],[Payment date - override (dd/mm/yyyy)]] &lt;&gt; "", AP[[#This Row],[Payment date - override (dd/mm/yyyy)]], AP[[#This Row],[Due date (dd/mm/yyyy)]])</f>
        <v>0</v>
      </c>
      <c r="U350" s="46">
        <f t="shared" si="5"/>
        <v>52</v>
      </c>
    </row>
    <row r="351" spans="3:21" x14ac:dyDescent="0.25">
      <c r="C351" s="28"/>
      <c r="D351" s="20"/>
      <c r="E351" s="4"/>
      <c r="F351" s="37"/>
      <c r="G351" s="24"/>
      <c r="H351" s="31">
        <f>_xlfn.XLOOKUP(AP[[#This Row],[Supplier name]], Supplier_master[Supplier name], Supplier_master[Category L1], 0)</f>
        <v>0</v>
      </c>
      <c r="I351" s="64">
        <f>_xlfn.XLOOKUP(AP[[#This Row],[Supplier name]], Supplier_master[Supplier name], Supplier_master[Category L2], 0)</f>
        <v>0</v>
      </c>
      <c r="J351" s="55"/>
      <c r="K351" s="54"/>
      <c r="L351" s="57">
        <f>IF(AP[[#This Row],[Spend category L1 - Override]] &lt;&gt; "", AP[[#This Row],[Spend category L1 - Override]], AP[[#This Row],[Spend category L1]])</f>
        <v>0</v>
      </c>
      <c r="M351" s="57">
        <f>IF(AP[[#This Row],[Spend category L2 - Override]] &lt;&gt; "", AP[[#This Row],[Spend category L2 - Override]], AP[[#This Row],[Spend category L2]])</f>
        <v>0</v>
      </c>
      <c r="N351" s="51">
        <f>Assumptions!$D$15</f>
        <v>0.1</v>
      </c>
      <c r="O351" s="45">
        <f>IF(AP[[#This Row],[GST applies?]] = "Yes", (AP[[#This Row],[Invoice value inc. GST]] / 1 + AP[[#This Row],[GST %]]) * AP[[#This Row],[GST %]], 0)</f>
        <v>0</v>
      </c>
      <c r="P351" s="31">
        <f>_xlfn.XLOOKUP(AP[[#This Row],[Supplier name]], Supplier_master[Supplier name], Supplier_master[EOM or Net], 0)</f>
        <v>0</v>
      </c>
      <c r="Q351" s="31">
        <f>_xlfn.XLOOKUP(AP[[#This Row],[Supplier name]], Supplier_master[Supplier name], Supplier_master[Terms days], 0)</f>
        <v>0</v>
      </c>
      <c r="R3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1" s="4"/>
      <c r="T351" s="46">
        <f>IF(AP[[#This Row],[Payment date - override (dd/mm/yyyy)]] &lt;&gt; "", AP[[#This Row],[Payment date - override (dd/mm/yyyy)]], AP[[#This Row],[Due date (dd/mm/yyyy)]])</f>
        <v>0</v>
      </c>
      <c r="U351" s="46">
        <f t="shared" si="5"/>
        <v>52</v>
      </c>
    </row>
    <row r="352" spans="3:21" x14ac:dyDescent="0.25">
      <c r="C352" s="28"/>
      <c r="D352" s="20"/>
      <c r="E352" s="4"/>
      <c r="F352" s="37"/>
      <c r="G352" s="24"/>
      <c r="H352" s="31">
        <f>_xlfn.XLOOKUP(AP[[#This Row],[Supplier name]], Supplier_master[Supplier name], Supplier_master[Category L1], 0)</f>
        <v>0</v>
      </c>
      <c r="I352" s="64">
        <f>_xlfn.XLOOKUP(AP[[#This Row],[Supplier name]], Supplier_master[Supplier name], Supplier_master[Category L2], 0)</f>
        <v>0</v>
      </c>
      <c r="J352" s="55"/>
      <c r="K352" s="54"/>
      <c r="L352" s="57">
        <f>IF(AP[[#This Row],[Spend category L1 - Override]] &lt;&gt; "", AP[[#This Row],[Spend category L1 - Override]], AP[[#This Row],[Spend category L1]])</f>
        <v>0</v>
      </c>
      <c r="M352" s="57">
        <f>IF(AP[[#This Row],[Spend category L2 - Override]] &lt;&gt; "", AP[[#This Row],[Spend category L2 - Override]], AP[[#This Row],[Spend category L2]])</f>
        <v>0</v>
      </c>
      <c r="N352" s="51">
        <f>Assumptions!$D$15</f>
        <v>0.1</v>
      </c>
      <c r="O352" s="45">
        <f>IF(AP[[#This Row],[GST applies?]] = "Yes", (AP[[#This Row],[Invoice value inc. GST]] / 1 + AP[[#This Row],[GST %]]) * AP[[#This Row],[GST %]], 0)</f>
        <v>0</v>
      </c>
      <c r="P352" s="31">
        <f>_xlfn.XLOOKUP(AP[[#This Row],[Supplier name]], Supplier_master[Supplier name], Supplier_master[EOM or Net], 0)</f>
        <v>0</v>
      </c>
      <c r="Q352" s="31">
        <f>_xlfn.XLOOKUP(AP[[#This Row],[Supplier name]], Supplier_master[Supplier name], Supplier_master[Terms days], 0)</f>
        <v>0</v>
      </c>
      <c r="R3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2" s="4"/>
      <c r="T352" s="46">
        <f>IF(AP[[#This Row],[Payment date - override (dd/mm/yyyy)]] &lt;&gt; "", AP[[#This Row],[Payment date - override (dd/mm/yyyy)]], AP[[#This Row],[Due date (dd/mm/yyyy)]])</f>
        <v>0</v>
      </c>
      <c r="U352" s="46">
        <f t="shared" si="5"/>
        <v>52</v>
      </c>
    </row>
    <row r="353" spans="3:21" x14ac:dyDescent="0.25">
      <c r="C353" s="28"/>
      <c r="D353" s="20"/>
      <c r="E353" s="4"/>
      <c r="F353" s="37"/>
      <c r="G353" s="24"/>
      <c r="H353" s="31">
        <f>_xlfn.XLOOKUP(AP[[#This Row],[Supplier name]], Supplier_master[Supplier name], Supplier_master[Category L1], 0)</f>
        <v>0</v>
      </c>
      <c r="I353" s="64">
        <f>_xlfn.XLOOKUP(AP[[#This Row],[Supplier name]], Supplier_master[Supplier name], Supplier_master[Category L2], 0)</f>
        <v>0</v>
      </c>
      <c r="J353" s="55"/>
      <c r="K353" s="54"/>
      <c r="L353" s="57">
        <f>IF(AP[[#This Row],[Spend category L1 - Override]] &lt;&gt; "", AP[[#This Row],[Spend category L1 - Override]], AP[[#This Row],[Spend category L1]])</f>
        <v>0</v>
      </c>
      <c r="M353" s="57">
        <f>IF(AP[[#This Row],[Spend category L2 - Override]] &lt;&gt; "", AP[[#This Row],[Spend category L2 - Override]], AP[[#This Row],[Spend category L2]])</f>
        <v>0</v>
      </c>
      <c r="N353" s="51">
        <f>Assumptions!$D$15</f>
        <v>0.1</v>
      </c>
      <c r="O353" s="45">
        <f>IF(AP[[#This Row],[GST applies?]] = "Yes", (AP[[#This Row],[Invoice value inc. GST]] / 1 + AP[[#This Row],[GST %]]) * AP[[#This Row],[GST %]], 0)</f>
        <v>0</v>
      </c>
      <c r="P353" s="31">
        <f>_xlfn.XLOOKUP(AP[[#This Row],[Supplier name]], Supplier_master[Supplier name], Supplier_master[EOM or Net], 0)</f>
        <v>0</v>
      </c>
      <c r="Q353" s="31">
        <f>_xlfn.XLOOKUP(AP[[#This Row],[Supplier name]], Supplier_master[Supplier name], Supplier_master[Terms days], 0)</f>
        <v>0</v>
      </c>
      <c r="R3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3" s="4"/>
      <c r="T353" s="46">
        <f>IF(AP[[#This Row],[Payment date - override (dd/mm/yyyy)]] &lt;&gt; "", AP[[#This Row],[Payment date - override (dd/mm/yyyy)]], AP[[#This Row],[Due date (dd/mm/yyyy)]])</f>
        <v>0</v>
      </c>
      <c r="U353" s="46">
        <f t="shared" si="5"/>
        <v>52</v>
      </c>
    </row>
    <row r="354" spans="3:21" x14ac:dyDescent="0.25">
      <c r="C354" s="28"/>
      <c r="D354" s="20"/>
      <c r="E354" s="4"/>
      <c r="F354" s="37"/>
      <c r="G354" s="24"/>
      <c r="H354" s="31">
        <f>_xlfn.XLOOKUP(AP[[#This Row],[Supplier name]], Supplier_master[Supplier name], Supplier_master[Category L1], 0)</f>
        <v>0</v>
      </c>
      <c r="I354" s="64">
        <f>_xlfn.XLOOKUP(AP[[#This Row],[Supplier name]], Supplier_master[Supplier name], Supplier_master[Category L2], 0)</f>
        <v>0</v>
      </c>
      <c r="J354" s="55"/>
      <c r="K354" s="54"/>
      <c r="L354" s="57">
        <f>IF(AP[[#This Row],[Spend category L1 - Override]] &lt;&gt; "", AP[[#This Row],[Spend category L1 - Override]], AP[[#This Row],[Spend category L1]])</f>
        <v>0</v>
      </c>
      <c r="M354" s="57">
        <f>IF(AP[[#This Row],[Spend category L2 - Override]] &lt;&gt; "", AP[[#This Row],[Spend category L2 - Override]], AP[[#This Row],[Spend category L2]])</f>
        <v>0</v>
      </c>
      <c r="N354" s="51">
        <f>Assumptions!$D$15</f>
        <v>0.1</v>
      </c>
      <c r="O354" s="45">
        <f>IF(AP[[#This Row],[GST applies?]] = "Yes", (AP[[#This Row],[Invoice value inc. GST]] / 1 + AP[[#This Row],[GST %]]) * AP[[#This Row],[GST %]], 0)</f>
        <v>0</v>
      </c>
      <c r="P354" s="31">
        <f>_xlfn.XLOOKUP(AP[[#This Row],[Supplier name]], Supplier_master[Supplier name], Supplier_master[EOM or Net], 0)</f>
        <v>0</v>
      </c>
      <c r="Q354" s="31">
        <f>_xlfn.XLOOKUP(AP[[#This Row],[Supplier name]], Supplier_master[Supplier name], Supplier_master[Terms days], 0)</f>
        <v>0</v>
      </c>
      <c r="R3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4" s="4"/>
      <c r="T354" s="46">
        <f>IF(AP[[#This Row],[Payment date - override (dd/mm/yyyy)]] &lt;&gt; "", AP[[#This Row],[Payment date - override (dd/mm/yyyy)]], AP[[#This Row],[Due date (dd/mm/yyyy)]])</f>
        <v>0</v>
      </c>
      <c r="U354" s="46">
        <f t="shared" si="5"/>
        <v>52</v>
      </c>
    </row>
    <row r="355" spans="3:21" x14ac:dyDescent="0.25">
      <c r="C355" s="28"/>
      <c r="D355" s="20"/>
      <c r="E355" s="4"/>
      <c r="F355" s="37"/>
      <c r="G355" s="24"/>
      <c r="H355" s="31">
        <f>_xlfn.XLOOKUP(AP[[#This Row],[Supplier name]], Supplier_master[Supplier name], Supplier_master[Category L1], 0)</f>
        <v>0</v>
      </c>
      <c r="I355" s="64">
        <f>_xlfn.XLOOKUP(AP[[#This Row],[Supplier name]], Supplier_master[Supplier name], Supplier_master[Category L2], 0)</f>
        <v>0</v>
      </c>
      <c r="J355" s="55"/>
      <c r="K355" s="54"/>
      <c r="L355" s="57">
        <f>IF(AP[[#This Row],[Spend category L1 - Override]] &lt;&gt; "", AP[[#This Row],[Spend category L1 - Override]], AP[[#This Row],[Spend category L1]])</f>
        <v>0</v>
      </c>
      <c r="M355" s="57">
        <f>IF(AP[[#This Row],[Spend category L2 - Override]] &lt;&gt; "", AP[[#This Row],[Spend category L2 - Override]], AP[[#This Row],[Spend category L2]])</f>
        <v>0</v>
      </c>
      <c r="N355" s="51">
        <f>Assumptions!$D$15</f>
        <v>0.1</v>
      </c>
      <c r="O355" s="45">
        <f>IF(AP[[#This Row],[GST applies?]] = "Yes", (AP[[#This Row],[Invoice value inc. GST]] / 1 + AP[[#This Row],[GST %]]) * AP[[#This Row],[GST %]], 0)</f>
        <v>0</v>
      </c>
      <c r="P355" s="31">
        <f>_xlfn.XLOOKUP(AP[[#This Row],[Supplier name]], Supplier_master[Supplier name], Supplier_master[EOM or Net], 0)</f>
        <v>0</v>
      </c>
      <c r="Q355" s="31">
        <f>_xlfn.XLOOKUP(AP[[#This Row],[Supplier name]], Supplier_master[Supplier name], Supplier_master[Terms days], 0)</f>
        <v>0</v>
      </c>
      <c r="R3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5" s="4"/>
      <c r="T355" s="46">
        <f>IF(AP[[#This Row],[Payment date - override (dd/mm/yyyy)]] &lt;&gt; "", AP[[#This Row],[Payment date - override (dd/mm/yyyy)]], AP[[#This Row],[Due date (dd/mm/yyyy)]])</f>
        <v>0</v>
      </c>
      <c r="U355" s="46">
        <f t="shared" si="5"/>
        <v>52</v>
      </c>
    </row>
    <row r="356" spans="3:21" x14ac:dyDescent="0.25">
      <c r="C356" s="28"/>
      <c r="D356" s="20"/>
      <c r="E356" s="4"/>
      <c r="F356" s="37"/>
      <c r="G356" s="24"/>
      <c r="H356" s="31">
        <f>_xlfn.XLOOKUP(AP[[#This Row],[Supplier name]], Supplier_master[Supplier name], Supplier_master[Category L1], 0)</f>
        <v>0</v>
      </c>
      <c r="I356" s="64">
        <f>_xlfn.XLOOKUP(AP[[#This Row],[Supplier name]], Supplier_master[Supplier name], Supplier_master[Category L2], 0)</f>
        <v>0</v>
      </c>
      <c r="J356" s="55"/>
      <c r="K356" s="54"/>
      <c r="L356" s="57">
        <f>IF(AP[[#This Row],[Spend category L1 - Override]] &lt;&gt; "", AP[[#This Row],[Spend category L1 - Override]], AP[[#This Row],[Spend category L1]])</f>
        <v>0</v>
      </c>
      <c r="M356" s="57">
        <f>IF(AP[[#This Row],[Spend category L2 - Override]] &lt;&gt; "", AP[[#This Row],[Spend category L2 - Override]], AP[[#This Row],[Spend category L2]])</f>
        <v>0</v>
      </c>
      <c r="N356" s="51">
        <f>Assumptions!$D$15</f>
        <v>0.1</v>
      </c>
      <c r="O356" s="45">
        <f>IF(AP[[#This Row],[GST applies?]] = "Yes", (AP[[#This Row],[Invoice value inc. GST]] / 1 + AP[[#This Row],[GST %]]) * AP[[#This Row],[GST %]], 0)</f>
        <v>0</v>
      </c>
      <c r="P356" s="31">
        <f>_xlfn.XLOOKUP(AP[[#This Row],[Supplier name]], Supplier_master[Supplier name], Supplier_master[EOM or Net], 0)</f>
        <v>0</v>
      </c>
      <c r="Q356" s="31">
        <f>_xlfn.XLOOKUP(AP[[#This Row],[Supplier name]], Supplier_master[Supplier name], Supplier_master[Terms days], 0)</f>
        <v>0</v>
      </c>
      <c r="R3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6" s="4"/>
      <c r="T356" s="46">
        <f>IF(AP[[#This Row],[Payment date - override (dd/mm/yyyy)]] &lt;&gt; "", AP[[#This Row],[Payment date - override (dd/mm/yyyy)]], AP[[#This Row],[Due date (dd/mm/yyyy)]])</f>
        <v>0</v>
      </c>
      <c r="U356" s="46">
        <f t="shared" si="5"/>
        <v>52</v>
      </c>
    </row>
    <row r="357" spans="3:21" x14ac:dyDescent="0.25">
      <c r="C357" s="28"/>
      <c r="D357" s="20"/>
      <c r="E357" s="4"/>
      <c r="F357" s="37"/>
      <c r="G357" s="24"/>
      <c r="H357" s="31">
        <f>_xlfn.XLOOKUP(AP[[#This Row],[Supplier name]], Supplier_master[Supplier name], Supplier_master[Category L1], 0)</f>
        <v>0</v>
      </c>
      <c r="I357" s="64">
        <f>_xlfn.XLOOKUP(AP[[#This Row],[Supplier name]], Supplier_master[Supplier name], Supplier_master[Category L2], 0)</f>
        <v>0</v>
      </c>
      <c r="J357" s="55"/>
      <c r="K357" s="54"/>
      <c r="L357" s="57">
        <f>IF(AP[[#This Row],[Spend category L1 - Override]] &lt;&gt; "", AP[[#This Row],[Spend category L1 - Override]], AP[[#This Row],[Spend category L1]])</f>
        <v>0</v>
      </c>
      <c r="M357" s="57">
        <f>IF(AP[[#This Row],[Spend category L2 - Override]] &lt;&gt; "", AP[[#This Row],[Spend category L2 - Override]], AP[[#This Row],[Spend category L2]])</f>
        <v>0</v>
      </c>
      <c r="N357" s="51">
        <f>Assumptions!$D$15</f>
        <v>0.1</v>
      </c>
      <c r="O357" s="45">
        <f>IF(AP[[#This Row],[GST applies?]] = "Yes", (AP[[#This Row],[Invoice value inc. GST]] / 1 + AP[[#This Row],[GST %]]) * AP[[#This Row],[GST %]], 0)</f>
        <v>0</v>
      </c>
      <c r="P357" s="31">
        <f>_xlfn.XLOOKUP(AP[[#This Row],[Supplier name]], Supplier_master[Supplier name], Supplier_master[EOM or Net], 0)</f>
        <v>0</v>
      </c>
      <c r="Q357" s="31">
        <f>_xlfn.XLOOKUP(AP[[#This Row],[Supplier name]], Supplier_master[Supplier name], Supplier_master[Terms days], 0)</f>
        <v>0</v>
      </c>
      <c r="R3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7" s="4"/>
      <c r="T357" s="46">
        <f>IF(AP[[#This Row],[Payment date - override (dd/mm/yyyy)]] &lt;&gt; "", AP[[#This Row],[Payment date - override (dd/mm/yyyy)]], AP[[#This Row],[Due date (dd/mm/yyyy)]])</f>
        <v>0</v>
      </c>
      <c r="U357" s="46">
        <f t="shared" si="5"/>
        <v>52</v>
      </c>
    </row>
    <row r="358" spans="3:21" x14ac:dyDescent="0.25">
      <c r="C358" s="28"/>
      <c r="D358" s="20"/>
      <c r="E358" s="4"/>
      <c r="F358" s="37"/>
      <c r="G358" s="24"/>
      <c r="H358" s="31">
        <f>_xlfn.XLOOKUP(AP[[#This Row],[Supplier name]], Supplier_master[Supplier name], Supplier_master[Category L1], 0)</f>
        <v>0</v>
      </c>
      <c r="I358" s="64">
        <f>_xlfn.XLOOKUP(AP[[#This Row],[Supplier name]], Supplier_master[Supplier name], Supplier_master[Category L2], 0)</f>
        <v>0</v>
      </c>
      <c r="J358" s="55"/>
      <c r="K358" s="54"/>
      <c r="L358" s="57">
        <f>IF(AP[[#This Row],[Spend category L1 - Override]] &lt;&gt; "", AP[[#This Row],[Spend category L1 - Override]], AP[[#This Row],[Spend category L1]])</f>
        <v>0</v>
      </c>
      <c r="M358" s="57">
        <f>IF(AP[[#This Row],[Spend category L2 - Override]] &lt;&gt; "", AP[[#This Row],[Spend category L2 - Override]], AP[[#This Row],[Spend category L2]])</f>
        <v>0</v>
      </c>
      <c r="N358" s="51">
        <f>Assumptions!$D$15</f>
        <v>0.1</v>
      </c>
      <c r="O358" s="45">
        <f>IF(AP[[#This Row],[GST applies?]] = "Yes", (AP[[#This Row],[Invoice value inc. GST]] / 1 + AP[[#This Row],[GST %]]) * AP[[#This Row],[GST %]], 0)</f>
        <v>0</v>
      </c>
      <c r="P358" s="31">
        <f>_xlfn.XLOOKUP(AP[[#This Row],[Supplier name]], Supplier_master[Supplier name], Supplier_master[EOM or Net], 0)</f>
        <v>0</v>
      </c>
      <c r="Q358" s="31">
        <f>_xlfn.XLOOKUP(AP[[#This Row],[Supplier name]], Supplier_master[Supplier name], Supplier_master[Terms days], 0)</f>
        <v>0</v>
      </c>
      <c r="R3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8" s="4"/>
      <c r="T358" s="46">
        <f>IF(AP[[#This Row],[Payment date - override (dd/mm/yyyy)]] &lt;&gt; "", AP[[#This Row],[Payment date - override (dd/mm/yyyy)]], AP[[#This Row],[Due date (dd/mm/yyyy)]])</f>
        <v>0</v>
      </c>
      <c r="U358" s="46">
        <f t="shared" si="5"/>
        <v>52</v>
      </c>
    </row>
    <row r="359" spans="3:21" x14ac:dyDescent="0.25">
      <c r="C359" s="28"/>
      <c r="D359" s="20"/>
      <c r="E359" s="4"/>
      <c r="F359" s="37"/>
      <c r="G359" s="24"/>
      <c r="H359" s="31">
        <f>_xlfn.XLOOKUP(AP[[#This Row],[Supplier name]], Supplier_master[Supplier name], Supplier_master[Category L1], 0)</f>
        <v>0</v>
      </c>
      <c r="I359" s="64">
        <f>_xlfn.XLOOKUP(AP[[#This Row],[Supplier name]], Supplier_master[Supplier name], Supplier_master[Category L2], 0)</f>
        <v>0</v>
      </c>
      <c r="J359" s="55"/>
      <c r="K359" s="54"/>
      <c r="L359" s="57">
        <f>IF(AP[[#This Row],[Spend category L1 - Override]] &lt;&gt; "", AP[[#This Row],[Spend category L1 - Override]], AP[[#This Row],[Spend category L1]])</f>
        <v>0</v>
      </c>
      <c r="M359" s="57">
        <f>IF(AP[[#This Row],[Spend category L2 - Override]] &lt;&gt; "", AP[[#This Row],[Spend category L2 - Override]], AP[[#This Row],[Spend category L2]])</f>
        <v>0</v>
      </c>
      <c r="N359" s="51">
        <f>Assumptions!$D$15</f>
        <v>0.1</v>
      </c>
      <c r="O359" s="45">
        <f>IF(AP[[#This Row],[GST applies?]] = "Yes", (AP[[#This Row],[Invoice value inc. GST]] / 1 + AP[[#This Row],[GST %]]) * AP[[#This Row],[GST %]], 0)</f>
        <v>0</v>
      </c>
      <c r="P359" s="31">
        <f>_xlfn.XLOOKUP(AP[[#This Row],[Supplier name]], Supplier_master[Supplier name], Supplier_master[EOM or Net], 0)</f>
        <v>0</v>
      </c>
      <c r="Q359" s="31">
        <f>_xlfn.XLOOKUP(AP[[#This Row],[Supplier name]], Supplier_master[Supplier name], Supplier_master[Terms days], 0)</f>
        <v>0</v>
      </c>
      <c r="R3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9" s="4"/>
      <c r="T359" s="46">
        <f>IF(AP[[#This Row],[Payment date - override (dd/mm/yyyy)]] &lt;&gt; "", AP[[#This Row],[Payment date - override (dd/mm/yyyy)]], AP[[#This Row],[Due date (dd/mm/yyyy)]])</f>
        <v>0</v>
      </c>
      <c r="U359" s="46">
        <f t="shared" si="5"/>
        <v>52</v>
      </c>
    </row>
    <row r="360" spans="3:21" x14ac:dyDescent="0.25">
      <c r="C360" s="28"/>
      <c r="D360" s="20"/>
      <c r="E360" s="4"/>
      <c r="F360" s="37"/>
      <c r="G360" s="24"/>
      <c r="H360" s="31">
        <f>_xlfn.XLOOKUP(AP[[#This Row],[Supplier name]], Supplier_master[Supplier name], Supplier_master[Category L1], 0)</f>
        <v>0</v>
      </c>
      <c r="I360" s="64">
        <f>_xlfn.XLOOKUP(AP[[#This Row],[Supplier name]], Supplier_master[Supplier name], Supplier_master[Category L2], 0)</f>
        <v>0</v>
      </c>
      <c r="J360" s="55"/>
      <c r="K360" s="54"/>
      <c r="L360" s="57">
        <f>IF(AP[[#This Row],[Spend category L1 - Override]] &lt;&gt; "", AP[[#This Row],[Spend category L1 - Override]], AP[[#This Row],[Spend category L1]])</f>
        <v>0</v>
      </c>
      <c r="M360" s="57">
        <f>IF(AP[[#This Row],[Spend category L2 - Override]] &lt;&gt; "", AP[[#This Row],[Spend category L2 - Override]], AP[[#This Row],[Spend category L2]])</f>
        <v>0</v>
      </c>
      <c r="N360" s="51">
        <f>Assumptions!$D$15</f>
        <v>0.1</v>
      </c>
      <c r="O360" s="45">
        <f>IF(AP[[#This Row],[GST applies?]] = "Yes", (AP[[#This Row],[Invoice value inc. GST]] / 1 + AP[[#This Row],[GST %]]) * AP[[#This Row],[GST %]], 0)</f>
        <v>0</v>
      </c>
      <c r="P360" s="31">
        <f>_xlfn.XLOOKUP(AP[[#This Row],[Supplier name]], Supplier_master[Supplier name], Supplier_master[EOM or Net], 0)</f>
        <v>0</v>
      </c>
      <c r="Q360" s="31">
        <f>_xlfn.XLOOKUP(AP[[#This Row],[Supplier name]], Supplier_master[Supplier name], Supplier_master[Terms days], 0)</f>
        <v>0</v>
      </c>
      <c r="R3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0" s="4"/>
      <c r="T360" s="46">
        <f>IF(AP[[#This Row],[Payment date - override (dd/mm/yyyy)]] &lt;&gt; "", AP[[#This Row],[Payment date - override (dd/mm/yyyy)]], AP[[#This Row],[Due date (dd/mm/yyyy)]])</f>
        <v>0</v>
      </c>
      <c r="U360" s="46">
        <f t="shared" si="5"/>
        <v>52</v>
      </c>
    </row>
    <row r="361" spans="3:21" x14ac:dyDescent="0.25">
      <c r="C361" s="28"/>
      <c r="D361" s="20"/>
      <c r="E361" s="4"/>
      <c r="F361" s="37"/>
      <c r="G361" s="24"/>
      <c r="H361" s="31">
        <f>_xlfn.XLOOKUP(AP[[#This Row],[Supplier name]], Supplier_master[Supplier name], Supplier_master[Category L1], 0)</f>
        <v>0</v>
      </c>
      <c r="I361" s="64">
        <f>_xlfn.XLOOKUP(AP[[#This Row],[Supplier name]], Supplier_master[Supplier name], Supplier_master[Category L2], 0)</f>
        <v>0</v>
      </c>
      <c r="J361" s="55"/>
      <c r="K361" s="54"/>
      <c r="L361" s="57">
        <f>IF(AP[[#This Row],[Spend category L1 - Override]] &lt;&gt; "", AP[[#This Row],[Spend category L1 - Override]], AP[[#This Row],[Spend category L1]])</f>
        <v>0</v>
      </c>
      <c r="M361" s="57">
        <f>IF(AP[[#This Row],[Spend category L2 - Override]] &lt;&gt; "", AP[[#This Row],[Spend category L2 - Override]], AP[[#This Row],[Spend category L2]])</f>
        <v>0</v>
      </c>
      <c r="N361" s="51">
        <f>Assumptions!$D$15</f>
        <v>0.1</v>
      </c>
      <c r="O361" s="45">
        <f>IF(AP[[#This Row],[GST applies?]] = "Yes", (AP[[#This Row],[Invoice value inc. GST]] / 1 + AP[[#This Row],[GST %]]) * AP[[#This Row],[GST %]], 0)</f>
        <v>0</v>
      </c>
      <c r="P361" s="31">
        <f>_xlfn.XLOOKUP(AP[[#This Row],[Supplier name]], Supplier_master[Supplier name], Supplier_master[EOM or Net], 0)</f>
        <v>0</v>
      </c>
      <c r="Q361" s="31">
        <f>_xlfn.XLOOKUP(AP[[#This Row],[Supplier name]], Supplier_master[Supplier name], Supplier_master[Terms days], 0)</f>
        <v>0</v>
      </c>
      <c r="R3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1" s="4"/>
      <c r="T361" s="46">
        <f>IF(AP[[#This Row],[Payment date - override (dd/mm/yyyy)]] &lt;&gt; "", AP[[#This Row],[Payment date - override (dd/mm/yyyy)]], AP[[#This Row],[Due date (dd/mm/yyyy)]])</f>
        <v>0</v>
      </c>
      <c r="U361" s="46">
        <f t="shared" si="5"/>
        <v>52</v>
      </c>
    </row>
    <row r="362" spans="3:21" x14ac:dyDescent="0.25">
      <c r="C362" s="28"/>
      <c r="D362" s="20"/>
      <c r="E362" s="4"/>
      <c r="F362" s="37"/>
      <c r="G362" s="24"/>
      <c r="H362" s="31">
        <f>_xlfn.XLOOKUP(AP[[#This Row],[Supplier name]], Supplier_master[Supplier name], Supplier_master[Category L1], 0)</f>
        <v>0</v>
      </c>
      <c r="I362" s="64">
        <f>_xlfn.XLOOKUP(AP[[#This Row],[Supplier name]], Supplier_master[Supplier name], Supplier_master[Category L2], 0)</f>
        <v>0</v>
      </c>
      <c r="J362" s="55"/>
      <c r="K362" s="54"/>
      <c r="L362" s="57">
        <f>IF(AP[[#This Row],[Spend category L1 - Override]] &lt;&gt; "", AP[[#This Row],[Spend category L1 - Override]], AP[[#This Row],[Spend category L1]])</f>
        <v>0</v>
      </c>
      <c r="M362" s="57">
        <f>IF(AP[[#This Row],[Spend category L2 - Override]] &lt;&gt; "", AP[[#This Row],[Spend category L2 - Override]], AP[[#This Row],[Spend category L2]])</f>
        <v>0</v>
      </c>
      <c r="N362" s="51">
        <f>Assumptions!$D$15</f>
        <v>0.1</v>
      </c>
      <c r="O362" s="45">
        <f>IF(AP[[#This Row],[GST applies?]] = "Yes", (AP[[#This Row],[Invoice value inc. GST]] / 1 + AP[[#This Row],[GST %]]) * AP[[#This Row],[GST %]], 0)</f>
        <v>0</v>
      </c>
      <c r="P362" s="31">
        <f>_xlfn.XLOOKUP(AP[[#This Row],[Supplier name]], Supplier_master[Supplier name], Supplier_master[EOM or Net], 0)</f>
        <v>0</v>
      </c>
      <c r="Q362" s="31">
        <f>_xlfn.XLOOKUP(AP[[#This Row],[Supplier name]], Supplier_master[Supplier name], Supplier_master[Terms days], 0)</f>
        <v>0</v>
      </c>
      <c r="R3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2" s="4"/>
      <c r="T362" s="46">
        <f>IF(AP[[#This Row],[Payment date - override (dd/mm/yyyy)]] &lt;&gt; "", AP[[#This Row],[Payment date - override (dd/mm/yyyy)]], AP[[#This Row],[Due date (dd/mm/yyyy)]])</f>
        <v>0</v>
      </c>
      <c r="U362" s="46">
        <f t="shared" si="5"/>
        <v>52</v>
      </c>
    </row>
    <row r="363" spans="3:21" x14ac:dyDescent="0.25">
      <c r="C363" s="28"/>
      <c r="D363" s="20"/>
      <c r="E363" s="4"/>
      <c r="F363" s="37"/>
      <c r="G363" s="24"/>
      <c r="H363" s="31">
        <f>_xlfn.XLOOKUP(AP[[#This Row],[Supplier name]], Supplier_master[Supplier name], Supplier_master[Category L1], 0)</f>
        <v>0</v>
      </c>
      <c r="I363" s="64">
        <f>_xlfn.XLOOKUP(AP[[#This Row],[Supplier name]], Supplier_master[Supplier name], Supplier_master[Category L2], 0)</f>
        <v>0</v>
      </c>
      <c r="J363" s="55"/>
      <c r="K363" s="54"/>
      <c r="L363" s="57">
        <f>IF(AP[[#This Row],[Spend category L1 - Override]] &lt;&gt; "", AP[[#This Row],[Spend category L1 - Override]], AP[[#This Row],[Spend category L1]])</f>
        <v>0</v>
      </c>
      <c r="M363" s="57">
        <f>IF(AP[[#This Row],[Spend category L2 - Override]] &lt;&gt; "", AP[[#This Row],[Spend category L2 - Override]], AP[[#This Row],[Spend category L2]])</f>
        <v>0</v>
      </c>
      <c r="N363" s="51">
        <f>Assumptions!$D$15</f>
        <v>0.1</v>
      </c>
      <c r="O363" s="45">
        <f>IF(AP[[#This Row],[GST applies?]] = "Yes", (AP[[#This Row],[Invoice value inc. GST]] / 1 + AP[[#This Row],[GST %]]) * AP[[#This Row],[GST %]], 0)</f>
        <v>0</v>
      </c>
      <c r="P363" s="31">
        <f>_xlfn.XLOOKUP(AP[[#This Row],[Supplier name]], Supplier_master[Supplier name], Supplier_master[EOM or Net], 0)</f>
        <v>0</v>
      </c>
      <c r="Q363" s="31">
        <f>_xlfn.XLOOKUP(AP[[#This Row],[Supplier name]], Supplier_master[Supplier name], Supplier_master[Terms days], 0)</f>
        <v>0</v>
      </c>
      <c r="R3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3" s="4"/>
      <c r="T363" s="46">
        <f>IF(AP[[#This Row],[Payment date - override (dd/mm/yyyy)]] &lt;&gt; "", AP[[#This Row],[Payment date - override (dd/mm/yyyy)]], AP[[#This Row],[Due date (dd/mm/yyyy)]])</f>
        <v>0</v>
      </c>
      <c r="U363" s="46">
        <f t="shared" si="5"/>
        <v>52</v>
      </c>
    </row>
    <row r="364" spans="3:21" x14ac:dyDescent="0.25">
      <c r="C364" s="28"/>
      <c r="D364" s="20"/>
      <c r="E364" s="4"/>
      <c r="F364" s="37"/>
      <c r="G364" s="24"/>
      <c r="H364" s="31">
        <f>_xlfn.XLOOKUP(AP[[#This Row],[Supplier name]], Supplier_master[Supplier name], Supplier_master[Category L1], 0)</f>
        <v>0</v>
      </c>
      <c r="I364" s="64">
        <f>_xlfn.XLOOKUP(AP[[#This Row],[Supplier name]], Supplier_master[Supplier name], Supplier_master[Category L2], 0)</f>
        <v>0</v>
      </c>
      <c r="J364" s="55"/>
      <c r="K364" s="54"/>
      <c r="L364" s="57">
        <f>IF(AP[[#This Row],[Spend category L1 - Override]] &lt;&gt; "", AP[[#This Row],[Spend category L1 - Override]], AP[[#This Row],[Spend category L1]])</f>
        <v>0</v>
      </c>
      <c r="M364" s="57">
        <f>IF(AP[[#This Row],[Spend category L2 - Override]] &lt;&gt; "", AP[[#This Row],[Spend category L2 - Override]], AP[[#This Row],[Spend category L2]])</f>
        <v>0</v>
      </c>
      <c r="N364" s="51">
        <f>Assumptions!$D$15</f>
        <v>0.1</v>
      </c>
      <c r="O364" s="45">
        <f>IF(AP[[#This Row],[GST applies?]] = "Yes", (AP[[#This Row],[Invoice value inc. GST]] / 1 + AP[[#This Row],[GST %]]) * AP[[#This Row],[GST %]], 0)</f>
        <v>0</v>
      </c>
      <c r="P364" s="31">
        <f>_xlfn.XLOOKUP(AP[[#This Row],[Supplier name]], Supplier_master[Supplier name], Supplier_master[EOM or Net], 0)</f>
        <v>0</v>
      </c>
      <c r="Q364" s="31">
        <f>_xlfn.XLOOKUP(AP[[#This Row],[Supplier name]], Supplier_master[Supplier name], Supplier_master[Terms days], 0)</f>
        <v>0</v>
      </c>
      <c r="R3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4" s="4"/>
      <c r="T364" s="46">
        <f>IF(AP[[#This Row],[Payment date - override (dd/mm/yyyy)]] &lt;&gt; "", AP[[#This Row],[Payment date - override (dd/mm/yyyy)]], AP[[#This Row],[Due date (dd/mm/yyyy)]])</f>
        <v>0</v>
      </c>
      <c r="U364" s="46">
        <f t="shared" si="5"/>
        <v>52</v>
      </c>
    </row>
    <row r="365" spans="3:21" x14ac:dyDescent="0.25">
      <c r="C365" s="28"/>
      <c r="D365" s="20"/>
      <c r="E365" s="4"/>
      <c r="F365" s="37"/>
      <c r="G365" s="24"/>
      <c r="H365" s="31">
        <f>_xlfn.XLOOKUP(AP[[#This Row],[Supplier name]], Supplier_master[Supplier name], Supplier_master[Category L1], 0)</f>
        <v>0</v>
      </c>
      <c r="I365" s="64">
        <f>_xlfn.XLOOKUP(AP[[#This Row],[Supplier name]], Supplier_master[Supplier name], Supplier_master[Category L2], 0)</f>
        <v>0</v>
      </c>
      <c r="J365" s="55"/>
      <c r="K365" s="54"/>
      <c r="L365" s="57">
        <f>IF(AP[[#This Row],[Spend category L1 - Override]] &lt;&gt; "", AP[[#This Row],[Spend category L1 - Override]], AP[[#This Row],[Spend category L1]])</f>
        <v>0</v>
      </c>
      <c r="M365" s="57">
        <f>IF(AP[[#This Row],[Spend category L2 - Override]] &lt;&gt; "", AP[[#This Row],[Spend category L2 - Override]], AP[[#This Row],[Spend category L2]])</f>
        <v>0</v>
      </c>
      <c r="N365" s="51">
        <f>Assumptions!$D$15</f>
        <v>0.1</v>
      </c>
      <c r="O365" s="45">
        <f>IF(AP[[#This Row],[GST applies?]] = "Yes", (AP[[#This Row],[Invoice value inc. GST]] / 1 + AP[[#This Row],[GST %]]) * AP[[#This Row],[GST %]], 0)</f>
        <v>0</v>
      </c>
      <c r="P365" s="31">
        <f>_xlfn.XLOOKUP(AP[[#This Row],[Supplier name]], Supplier_master[Supplier name], Supplier_master[EOM or Net], 0)</f>
        <v>0</v>
      </c>
      <c r="Q365" s="31">
        <f>_xlfn.XLOOKUP(AP[[#This Row],[Supplier name]], Supplier_master[Supplier name], Supplier_master[Terms days], 0)</f>
        <v>0</v>
      </c>
      <c r="R3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5" s="4"/>
      <c r="T365" s="46">
        <f>IF(AP[[#This Row],[Payment date - override (dd/mm/yyyy)]] &lt;&gt; "", AP[[#This Row],[Payment date - override (dd/mm/yyyy)]], AP[[#This Row],[Due date (dd/mm/yyyy)]])</f>
        <v>0</v>
      </c>
      <c r="U365" s="46">
        <f t="shared" si="5"/>
        <v>52</v>
      </c>
    </row>
    <row r="366" spans="3:21" x14ac:dyDescent="0.25">
      <c r="C366" s="28"/>
      <c r="D366" s="20"/>
      <c r="E366" s="4"/>
      <c r="F366" s="37"/>
      <c r="G366" s="24"/>
      <c r="H366" s="31">
        <f>_xlfn.XLOOKUP(AP[[#This Row],[Supplier name]], Supplier_master[Supplier name], Supplier_master[Category L1], 0)</f>
        <v>0</v>
      </c>
      <c r="I366" s="64">
        <f>_xlfn.XLOOKUP(AP[[#This Row],[Supplier name]], Supplier_master[Supplier name], Supplier_master[Category L2], 0)</f>
        <v>0</v>
      </c>
      <c r="J366" s="55"/>
      <c r="K366" s="54"/>
      <c r="L366" s="57">
        <f>IF(AP[[#This Row],[Spend category L1 - Override]] &lt;&gt; "", AP[[#This Row],[Spend category L1 - Override]], AP[[#This Row],[Spend category L1]])</f>
        <v>0</v>
      </c>
      <c r="M366" s="57">
        <f>IF(AP[[#This Row],[Spend category L2 - Override]] &lt;&gt; "", AP[[#This Row],[Spend category L2 - Override]], AP[[#This Row],[Spend category L2]])</f>
        <v>0</v>
      </c>
      <c r="N366" s="51">
        <f>Assumptions!$D$15</f>
        <v>0.1</v>
      </c>
      <c r="O366" s="45">
        <f>IF(AP[[#This Row],[GST applies?]] = "Yes", (AP[[#This Row],[Invoice value inc. GST]] / 1 + AP[[#This Row],[GST %]]) * AP[[#This Row],[GST %]], 0)</f>
        <v>0</v>
      </c>
      <c r="P366" s="31">
        <f>_xlfn.XLOOKUP(AP[[#This Row],[Supplier name]], Supplier_master[Supplier name], Supplier_master[EOM or Net], 0)</f>
        <v>0</v>
      </c>
      <c r="Q366" s="31">
        <f>_xlfn.XLOOKUP(AP[[#This Row],[Supplier name]], Supplier_master[Supplier name], Supplier_master[Terms days], 0)</f>
        <v>0</v>
      </c>
      <c r="R3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6" s="4"/>
      <c r="T366" s="46">
        <f>IF(AP[[#This Row],[Payment date - override (dd/mm/yyyy)]] &lt;&gt; "", AP[[#This Row],[Payment date - override (dd/mm/yyyy)]], AP[[#This Row],[Due date (dd/mm/yyyy)]])</f>
        <v>0</v>
      </c>
      <c r="U366" s="46">
        <f t="shared" si="5"/>
        <v>52</v>
      </c>
    </row>
    <row r="367" spans="3:21" x14ac:dyDescent="0.25">
      <c r="C367" s="28"/>
      <c r="D367" s="20"/>
      <c r="E367" s="4"/>
      <c r="F367" s="37"/>
      <c r="G367" s="24"/>
      <c r="H367" s="31">
        <f>_xlfn.XLOOKUP(AP[[#This Row],[Supplier name]], Supplier_master[Supplier name], Supplier_master[Category L1], 0)</f>
        <v>0</v>
      </c>
      <c r="I367" s="64">
        <f>_xlfn.XLOOKUP(AP[[#This Row],[Supplier name]], Supplier_master[Supplier name], Supplier_master[Category L2], 0)</f>
        <v>0</v>
      </c>
      <c r="J367" s="55"/>
      <c r="K367" s="54"/>
      <c r="L367" s="57">
        <f>IF(AP[[#This Row],[Spend category L1 - Override]] &lt;&gt; "", AP[[#This Row],[Spend category L1 - Override]], AP[[#This Row],[Spend category L1]])</f>
        <v>0</v>
      </c>
      <c r="M367" s="57">
        <f>IF(AP[[#This Row],[Spend category L2 - Override]] &lt;&gt; "", AP[[#This Row],[Spend category L2 - Override]], AP[[#This Row],[Spend category L2]])</f>
        <v>0</v>
      </c>
      <c r="N367" s="51">
        <f>Assumptions!$D$15</f>
        <v>0.1</v>
      </c>
      <c r="O367" s="45">
        <f>IF(AP[[#This Row],[GST applies?]] = "Yes", (AP[[#This Row],[Invoice value inc. GST]] / 1 + AP[[#This Row],[GST %]]) * AP[[#This Row],[GST %]], 0)</f>
        <v>0</v>
      </c>
      <c r="P367" s="31">
        <f>_xlfn.XLOOKUP(AP[[#This Row],[Supplier name]], Supplier_master[Supplier name], Supplier_master[EOM or Net], 0)</f>
        <v>0</v>
      </c>
      <c r="Q367" s="31">
        <f>_xlfn.XLOOKUP(AP[[#This Row],[Supplier name]], Supplier_master[Supplier name], Supplier_master[Terms days], 0)</f>
        <v>0</v>
      </c>
      <c r="R3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7" s="4"/>
      <c r="T367" s="46">
        <f>IF(AP[[#This Row],[Payment date - override (dd/mm/yyyy)]] &lt;&gt; "", AP[[#This Row],[Payment date - override (dd/mm/yyyy)]], AP[[#This Row],[Due date (dd/mm/yyyy)]])</f>
        <v>0</v>
      </c>
      <c r="U367" s="46">
        <f t="shared" si="5"/>
        <v>52</v>
      </c>
    </row>
    <row r="368" spans="3:21" x14ac:dyDescent="0.25">
      <c r="C368" s="28"/>
      <c r="D368" s="20"/>
      <c r="E368" s="4"/>
      <c r="F368" s="37"/>
      <c r="G368" s="24"/>
      <c r="H368" s="31">
        <f>_xlfn.XLOOKUP(AP[[#This Row],[Supplier name]], Supplier_master[Supplier name], Supplier_master[Category L1], 0)</f>
        <v>0</v>
      </c>
      <c r="I368" s="64">
        <f>_xlfn.XLOOKUP(AP[[#This Row],[Supplier name]], Supplier_master[Supplier name], Supplier_master[Category L2], 0)</f>
        <v>0</v>
      </c>
      <c r="J368" s="55"/>
      <c r="K368" s="54"/>
      <c r="L368" s="57">
        <f>IF(AP[[#This Row],[Spend category L1 - Override]] &lt;&gt; "", AP[[#This Row],[Spend category L1 - Override]], AP[[#This Row],[Spend category L1]])</f>
        <v>0</v>
      </c>
      <c r="M368" s="57">
        <f>IF(AP[[#This Row],[Spend category L2 - Override]] &lt;&gt; "", AP[[#This Row],[Spend category L2 - Override]], AP[[#This Row],[Spend category L2]])</f>
        <v>0</v>
      </c>
      <c r="N368" s="51">
        <f>Assumptions!$D$15</f>
        <v>0.1</v>
      </c>
      <c r="O368" s="45">
        <f>IF(AP[[#This Row],[GST applies?]] = "Yes", (AP[[#This Row],[Invoice value inc. GST]] / 1 + AP[[#This Row],[GST %]]) * AP[[#This Row],[GST %]], 0)</f>
        <v>0</v>
      </c>
      <c r="P368" s="31">
        <f>_xlfn.XLOOKUP(AP[[#This Row],[Supplier name]], Supplier_master[Supplier name], Supplier_master[EOM or Net], 0)</f>
        <v>0</v>
      </c>
      <c r="Q368" s="31">
        <f>_xlfn.XLOOKUP(AP[[#This Row],[Supplier name]], Supplier_master[Supplier name], Supplier_master[Terms days], 0)</f>
        <v>0</v>
      </c>
      <c r="R3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8" s="4"/>
      <c r="T368" s="46">
        <f>IF(AP[[#This Row],[Payment date - override (dd/mm/yyyy)]] &lt;&gt; "", AP[[#This Row],[Payment date - override (dd/mm/yyyy)]], AP[[#This Row],[Due date (dd/mm/yyyy)]])</f>
        <v>0</v>
      </c>
      <c r="U368" s="46">
        <f t="shared" si="5"/>
        <v>52</v>
      </c>
    </row>
    <row r="369" spans="3:21" x14ac:dyDescent="0.25">
      <c r="C369" s="28"/>
      <c r="D369" s="20"/>
      <c r="E369" s="4"/>
      <c r="F369" s="37"/>
      <c r="G369" s="24"/>
      <c r="H369" s="31">
        <f>_xlfn.XLOOKUP(AP[[#This Row],[Supplier name]], Supplier_master[Supplier name], Supplier_master[Category L1], 0)</f>
        <v>0</v>
      </c>
      <c r="I369" s="64">
        <f>_xlfn.XLOOKUP(AP[[#This Row],[Supplier name]], Supplier_master[Supplier name], Supplier_master[Category L2], 0)</f>
        <v>0</v>
      </c>
      <c r="J369" s="55"/>
      <c r="K369" s="54"/>
      <c r="L369" s="57">
        <f>IF(AP[[#This Row],[Spend category L1 - Override]] &lt;&gt; "", AP[[#This Row],[Spend category L1 - Override]], AP[[#This Row],[Spend category L1]])</f>
        <v>0</v>
      </c>
      <c r="M369" s="57">
        <f>IF(AP[[#This Row],[Spend category L2 - Override]] &lt;&gt; "", AP[[#This Row],[Spend category L2 - Override]], AP[[#This Row],[Spend category L2]])</f>
        <v>0</v>
      </c>
      <c r="N369" s="51">
        <f>Assumptions!$D$15</f>
        <v>0.1</v>
      </c>
      <c r="O369" s="45">
        <f>IF(AP[[#This Row],[GST applies?]] = "Yes", (AP[[#This Row],[Invoice value inc. GST]] / 1 + AP[[#This Row],[GST %]]) * AP[[#This Row],[GST %]], 0)</f>
        <v>0</v>
      </c>
      <c r="P369" s="31">
        <f>_xlfn.XLOOKUP(AP[[#This Row],[Supplier name]], Supplier_master[Supplier name], Supplier_master[EOM or Net], 0)</f>
        <v>0</v>
      </c>
      <c r="Q369" s="31">
        <f>_xlfn.XLOOKUP(AP[[#This Row],[Supplier name]], Supplier_master[Supplier name], Supplier_master[Terms days], 0)</f>
        <v>0</v>
      </c>
      <c r="R3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9" s="4"/>
      <c r="T369" s="46">
        <f>IF(AP[[#This Row],[Payment date - override (dd/mm/yyyy)]] &lt;&gt; "", AP[[#This Row],[Payment date - override (dd/mm/yyyy)]], AP[[#This Row],[Due date (dd/mm/yyyy)]])</f>
        <v>0</v>
      </c>
      <c r="U369" s="46">
        <f t="shared" si="5"/>
        <v>52</v>
      </c>
    </row>
    <row r="370" spans="3:21" x14ac:dyDescent="0.25">
      <c r="C370" s="28"/>
      <c r="D370" s="20"/>
      <c r="E370" s="4"/>
      <c r="F370" s="37"/>
      <c r="G370" s="24"/>
      <c r="H370" s="31">
        <f>_xlfn.XLOOKUP(AP[[#This Row],[Supplier name]], Supplier_master[Supplier name], Supplier_master[Category L1], 0)</f>
        <v>0</v>
      </c>
      <c r="I370" s="64">
        <f>_xlfn.XLOOKUP(AP[[#This Row],[Supplier name]], Supplier_master[Supplier name], Supplier_master[Category L2], 0)</f>
        <v>0</v>
      </c>
      <c r="J370" s="55"/>
      <c r="K370" s="54"/>
      <c r="L370" s="57">
        <f>IF(AP[[#This Row],[Spend category L1 - Override]] &lt;&gt; "", AP[[#This Row],[Spend category L1 - Override]], AP[[#This Row],[Spend category L1]])</f>
        <v>0</v>
      </c>
      <c r="M370" s="57">
        <f>IF(AP[[#This Row],[Spend category L2 - Override]] &lt;&gt; "", AP[[#This Row],[Spend category L2 - Override]], AP[[#This Row],[Spend category L2]])</f>
        <v>0</v>
      </c>
      <c r="N370" s="51">
        <f>Assumptions!$D$15</f>
        <v>0.1</v>
      </c>
      <c r="O370" s="45">
        <f>IF(AP[[#This Row],[GST applies?]] = "Yes", (AP[[#This Row],[Invoice value inc. GST]] / 1 + AP[[#This Row],[GST %]]) * AP[[#This Row],[GST %]], 0)</f>
        <v>0</v>
      </c>
      <c r="P370" s="31">
        <f>_xlfn.XLOOKUP(AP[[#This Row],[Supplier name]], Supplier_master[Supplier name], Supplier_master[EOM or Net], 0)</f>
        <v>0</v>
      </c>
      <c r="Q370" s="31">
        <f>_xlfn.XLOOKUP(AP[[#This Row],[Supplier name]], Supplier_master[Supplier name], Supplier_master[Terms days], 0)</f>
        <v>0</v>
      </c>
      <c r="R3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0" s="4"/>
      <c r="T370" s="46">
        <f>IF(AP[[#This Row],[Payment date - override (dd/mm/yyyy)]] &lt;&gt; "", AP[[#This Row],[Payment date - override (dd/mm/yyyy)]], AP[[#This Row],[Due date (dd/mm/yyyy)]])</f>
        <v>0</v>
      </c>
      <c r="U370" s="46">
        <f t="shared" si="5"/>
        <v>52</v>
      </c>
    </row>
    <row r="371" spans="3:21" x14ac:dyDescent="0.25">
      <c r="C371" s="28"/>
      <c r="D371" s="20"/>
      <c r="E371" s="4"/>
      <c r="F371" s="37"/>
      <c r="G371" s="24"/>
      <c r="H371" s="31">
        <f>_xlfn.XLOOKUP(AP[[#This Row],[Supplier name]], Supplier_master[Supplier name], Supplier_master[Category L1], 0)</f>
        <v>0</v>
      </c>
      <c r="I371" s="64">
        <f>_xlfn.XLOOKUP(AP[[#This Row],[Supplier name]], Supplier_master[Supplier name], Supplier_master[Category L2], 0)</f>
        <v>0</v>
      </c>
      <c r="J371" s="55"/>
      <c r="K371" s="54"/>
      <c r="L371" s="57">
        <f>IF(AP[[#This Row],[Spend category L1 - Override]] &lt;&gt; "", AP[[#This Row],[Spend category L1 - Override]], AP[[#This Row],[Spend category L1]])</f>
        <v>0</v>
      </c>
      <c r="M371" s="57">
        <f>IF(AP[[#This Row],[Spend category L2 - Override]] &lt;&gt; "", AP[[#This Row],[Spend category L2 - Override]], AP[[#This Row],[Spend category L2]])</f>
        <v>0</v>
      </c>
      <c r="N371" s="51">
        <f>Assumptions!$D$15</f>
        <v>0.1</v>
      </c>
      <c r="O371" s="45">
        <f>IF(AP[[#This Row],[GST applies?]] = "Yes", (AP[[#This Row],[Invoice value inc. GST]] / 1 + AP[[#This Row],[GST %]]) * AP[[#This Row],[GST %]], 0)</f>
        <v>0</v>
      </c>
      <c r="P371" s="31">
        <f>_xlfn.XLOOKUP(AP[[#This Row],[Supplier name]], Supplier_master[Supplier name], Supplier_master[EOM or Net], 0)</f>
        <v>0</v>
      </c>
      <c r="Q371" s="31">
        <f>_xlfn.XLOOKUP(AP[[#This Row],[Supplier name]], Supplier_master[Supplier name], Supplier_master[Terms days], 0)</f>
        <v>0</v>
      </c>
      <c r="R3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1" s="4"/>
      <c r="T371" s="46">
        <f>IF(AP[[#This Row],[Payment date - override (dd/mm/yyyy)]] &lt;&gt; "", AP[[#This Row],[Payment date - override (dd/mm/yyyy)]], AP[[#This Row],[Due date (dd/mm/yyyy)]])</f>
        <v>0</v>
      </c>
      <c r="U371" s="46">
        <f t="shared" si="5"/>
        <v>52</v>
      </c>
    </row>
    <row r="372" spans="3:21" x14ac:dyDescent="0.25">
      <c r="C372" s="28"/>
      <c r="D372" s="20"/>
      <c r="E372" s="4"/>
      <c r="F372" s="37"/>
      <c r="G372" s="24"/>
      <c r="H372" s="31">
        <f>_xlfn.XLOOKUP(AP[[#This Row],[Supplier name]], Supplier_master[Supplier name], Supplier_master[Category L1], 0)</f>
        <v>0</v>
      </c>
      <c r="I372" s="64">
        <f>_xlfn.XLOOKUP(AP[[#This Row],[Supplier name]], Supplier_master[Supplier name], Supplier_master[Category L2], 0)</f>
        <v>0</v>
      </c>
      <c r="J372" s="55"/>
      <c r="K372" s="54"/>
      <c r="L372" s="57">
        <f>IF(AP[[#This Row],[Spend category L1 - Override]] &lt;&gt; "", AP[[#This Row],[Spend category L1 - Override]], AP[[#This Row],[Spend category L1]])</f>
        <v>0</v>
      </c>
      <c r="M372" s="57">
        <f>IF(AP[[#This Row],[Spend category L2 - Override]] &lt;&gt; "", AP[[#This Row],[Spend category L2 - Override]], AP[[#This Row],[Spend category L2]])</f>
        <v>0</v>
      </c>
      <c r="N372" s="51">
        <f>Assumptions!$D$15</f>
        <v>0.1</v>
      </c>
      <c r="O372" s="45">
        <f>IF(AP[[#This Row],[GST applies?]] = "Yes", (AP[[#This Row],[Invoice value inc. GST]] / 1 + AP[[#This Row],[GST %]]) * AP[[#This Row],[GST %]], 0)</f>
        <v>0</v>
      </c>
      <c r="P372" s="31">
        <f>_xlfn.XLOOKUP(AP[[#This Row],[Supplier name]], Supplier_master[Supplier name], Supplier_master[EOM or Net], 0)</f>
        <v>0</v>
      </c>
      <c r="Q372" s="31">
        <f>_xlfn.XLOOKUP(AP[[#This Row],[Supplier name]], Supplier_master[Supplier name], Supplier_master[Terms days], 0)</f>
        <v>0</v>
      </c>
      <c r="R3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2" s="4"/>
      <c r="T372" s="46">
        <f>IF(AP[[#This Row],[Payment date - override (dd/mm/yyyy)]] &lt;&gt; "", AP[[#This Row],[Payment date - override (dd/mm/yyyy)]], AP[[#This Row],[Due date (dd/mm/yyyy)]])</f>
        <v>0</v>
      </c>
      <c r="U372" s="46">
        <f t="shared" si="5"/>
        <v>52</v>
      </c>
    </row>
    <row r="373" spans="3:21" x14ac:dyDescent="0.25">
      <c r="C373" s="28"/>
      <c r="D373" s="20"/>
      <c r="E373" s="4"/>
      <c r="F373" s="37"/>
      <c r="G373" s="24"/>
      <c r="H373" s="31">
        <f>_xlfn.XLOOKUP(AP[[#This Row],[Supplier name]], Supplier_master[Supplier name], Supplier_master[Category L1], 0)</f>
        <v>0</v>
      </c>
      <c r="I373" s="64">
        <f>_xlfn.XLOOKUP(AP[[#This Row],[Supplier name]], Supplier_master[Supplier name], Supplier_master[Category L2], 0)</f>
        <v>0</v>
      </c>
      <c r="J373" s="55"/>
      <c r="K373" s="54"/>
      <c r="L373" s="57">
        <f>IF(AP[[#This Row],[Spend category L1 - Override]] &lt;&gt; "", AP[[#This Row],[Spend category L1 - Override]], AP[[#This Row],[Spend category L1]])</f>
        <v>0</v>
      </c>
      <c r="M373" s="57">
        <f>IF(AP[[#This Row],[Spend category L2 - Override]] &lt;&gt; "", AP[[#This Row],[Spend category L2 - Override]], AP[[#This Row],[Spend category L2]])</f>
        <v>0</v>
      </c>
      <c r="N373" s="51">
        <f>Assumptions!$D$15</f>
        <v>0.1</v>
      </c>
      <c r="O373" s="45">
        <f>IF(AP[[#This Row],[GST applies?]] = "Yes", (AP[[#This Row],[Invoice value inc. GST]] / 1 + AP[[#This Row],[GST %]]) * AP[[#This Row],[GST %]], 0)</f>
        <v>0</v>
      </c>
      <c r="P373" s="31">
        <f>_xlfn.XLOOKUP(AP[[#This Row],[Supplier name]], Supplier_master[Supplier name], Supplier_master[EOM or Net], 0)</f>
        <v>0</v>
      </c>
      <c r="Q373" s="31">
        <f>_xlfn.XLOOKUP(AP[[#This Row],[Supplier name]], Supplier_master[Supplier name], Supplier_master[Terms days], 0)</f>
        <v>0</v>
      </c>
      <c r="R3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3" s="4"/>
      <c r="T373" s="46">
        <f>IF(AP[[#This Row],[Payment date - override (dd/mm/yyyy)]] &lt;&gt; "", AP[[#This Row],[Payment date - override (dd/mm/yyyy)]], AP[[#This Row],[Due date (dd/mm/yyyy)]])</f>
        <v>0</v>
      </c>
      <c r="U373" s="46">
        <f t="shared" si="5"/>
        <v>52</v>
      </c>
    </row>
    <row r="374" spans="3:21" x14ac:dyDescent="0.25">
      <c r="C374" s="28"/>
      <c r="D374" s="20"/>
      <c r="E374" s="4"/>
      <c r="F374" s="37"/>
      <c r="G374" s="24"/>
      <c r="H374" s="31">
        <f>_xlfn.XLOOKUP(AP[[#This Row],[Supplier name]], Supplier_master[Supplier name], Supplier_master[Category L1], 0)</f>
        <v>0</v>
      </c>
      <c r="I374" s="64">
        <f>_xlfn.XLOOKUP(AP[[#This Row],[Supplier name]], Supplier_master[Supplier name], Supplier_master[Category L2], 0)</f>
        <v>0</v>
      </c>
      <c r="J374" s="55"/>
      <c r="K374" s="54"/>
      <c r="L374" s="57">
        <f>IF(AP[[#This Row],[Spend category L1 - Override]] &lt;&gt; "", AP[[#This Row],[Spend category L1 - Override]], AP[[#This Row],[Spend category L1]])</f>
        <v>0</v>
      </c>
      <c r="M374" s="57">
        <f>IF(AP[[#This Row],[Spend category L2 - Override]] &lt;&gt; "", AP[[#This Row],[Spend category L2 - Override]], AP[[#This Row],[Spend category L2]])</f>
        <v>0</v>
      </c>
      <c r="N374" s="51">
        <f>Assumptions!$D$15</f>
        <v>0.1</v>
      </c>
      <c r="O374" s="45">
        <f>IF(AP[[#This Row],[GST applies?]] = "Yes", (AP[[#This Row],[Invoice value inc. GST]] / 1 + AP[[#This Row],[GST %]]) * AP[[#This Row],[GST %]], 0)</f>
        <v>0</v>
      </c>
      <c r="P374" s="31">
        <f>_xlfn.XLOOKUP(AP[[#This Row],[Supplier name]], Supplier_master[Supplier name], Supplier_master[EOM or Net], 0)</f>
        <v>0</v>
      </c>
      <c r="Q374" s="31">
        <f>_xlfn.XLOOKUP(AP[[#This Row],[Supplier name]], Supplier_master[Supplier name], Supplier_master[Terms days], 0)</f>
        <v>0</v>
      </c>
      <c r="R3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4" s="4"/>
      <c r="T374" s="46">
        <f>IF(AP[[#This Row],[Payment date - override (dd/mm/yyyy)]] &lt;&gt; "", AP[[#This Row],[Payment date - override (dd/mm/yyyy)]], AP[[#This Row],[Due date (dd/mm/yyyy)]])</f>
        <v>0</v>
      </c>
      <c r="U374" s="46">
        <f t="shared" si="5"/>
        <v>52</v>
      </c>
    </row>
    <row r="375" spans="3:21" x14ac:dyDescent="0.25">
      <c r="C375" s="28"/>
      <c r="D375" s="20"/>
      <c r="E375" s="4"/>
      <c r="F375" s="37"/>
      <c r="G375" s="24"/>
      <c r="H375" s="31">
        <f>_xlfn.XLOOKUP(AP[[#This Row],[Supplier name]], Supplier_master[Supplier name], Supplier_master[Category L1], 0)</f>
        <v>0</v>
      </c>
      <c r="I375" s="64">
        <f>_xlfn.XLOOKUP(AP[[#This Row],[Supplier name]], Supplier_master[Supplier name], Supplier_master[Category L2], 0)</f>
        <v>0</v>
      </c>
      <c r="J375" s="55"/>
      <c r="K375" s="54"/>
      <c r="L375" s="57">
        <f>IF(AP[[#This Row],[Spend category L1 - Override]] &lt;&gt; "", AP[[#This Row],[Spend category L1 - Override]], AP[[#This Row],[Spend category L1]])</f>
        <v>0</v>
      </c>
      <c r="M375" s="57">
        <f>IF(AP[[#This Row],[Spend category L2 - Override]] &lt;&gt; "", AP[[#This Row],[Spend category L2 - Override]], AP[[#This Row],[Spend category L2]])</f>
        <v>0</v>
      </c>
      <c r="N375" s="51">
        <f>Assumptions!$D$15</f>
        <v>0.1</v>
      </c>
      <c r="O375" s="45">
        <f>IF(AP[[#This Row],[GST applies?]] = "Yes", (AP[[#This Row],[Invoice value inc. GST]] / 1 + AP[[#This Row],[GST %]]) * AP[[#This Row],[GST %]], 0)</f>
        <v>0</v>
      </c>
      <c r="P375" s="31">
        <f>_xlfn.XLOOKUP(AP[[#This Row],[Supplier name]], Supplier_master[Supplier name], Supplier_master[EOM or Net], 0)</f>
        <v>0</v>
      </c>
      <c r="Q375" s="31">
        <f>_xlfn.XLOOKUP(AP[[#This Row],[Supplier name]], Supplier_master[Supplier name], Supplier_master[Terms days], 0)</f>
        <v>0</v>
      </c>
      <c r="R3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5" s="4"/>
      <c r="T375" s="46">
        <f>IF(AP[[#This Row],[Payment date - override (dd/mm/yyyy)]] &lt;&gt; "", AP[[#This Row],[Payment date - override (dd/mm/yyyy)]], AP[[#This Row],[Due date (dd/mm/yyyy)]])</f>
        <v>0</v>
      </c>
      <c r="U375" s="46">
        <f t="shared" si="5"/>
        <v>52</v>
      </c>
    </row>
    <row r="376" spans="3:21" x14ac:dyDescent="0.25">
      <c r="C376" s="28"/>
      <c r="D376" s="20"/>
      <c r="E376" s="4"/>
      <c r="F376" s="37"/>
      <c r="G376" s="24"/>
      <c r="H376" s="31">
        <f>_xlfn.XLOOKUP(AP[[#This Row],[Supplier name]], Supplier_master[Supplier name], Supplier_master[Category L1], 0)</f>
        <v>0</v>
      </c>
      <c r="I376" s="64">
        <f>_xlfn.XLOOKUP(AP[[#This Row],[Supplier name]], Supplier_master[Supplier name], Supplier_master[Category L2], 0)</f>
        <v>0</v>
      </c>
      <c r="J376" s="55"/>
      <c r="K376" s="54"/>
      <c r="L376" s="57">
        <f>IF(AP[[#This Row],[Spend category L1 - Override]] &lt;&gt; "", AP[[#This Row],[Spend category L1 - Override]], AP[[#This Row],[Spend category L1]])</f>
        <v>0</v>
      </c>
      <c r="M376" s="57">
        <f>IF(AP[[#This Row],[Spend category L2 - Override]] &lt;&gt; "", AP[[#This Row],[Spend category L2 - Override]], AP[[#This Row],[Spend category L2]])</f>
        <v>0</v>
      </c>
      <c r="N376" s="51">
        <f>Assumptions!$D$15</f>
        <v>0.1</v>
      </c>
      <c r="O376" s="45">
        <f>IF(AP[[#This Row],[GST applies?]] = "Yes", (AP[[#This Row],[Invoice value inc. GST]] / 1 + AP[[#This Row],[GST %]]) * AP[[#This Row],[GST %]], 0)</f>
        <v>0</v>
      </c>
      <c r="P376" s="31">
        <f>_xlfn.XLOOKUP(AP[[#This Row],[Supplier name]], Supplier_master[Supplier name], Supplier_master[EOM or Net], 0)</f>
        <v>0</v>
      </c>
      <c r="Q376" s="31">
        <f>_xlfn.XLOOKUP(AP[[#This Row],[Supplier name]], Supplier_master[Supplier name], Supplier_master[Terms days], 0)</f>
        <v>0</v>
      </c>
      <c r="R3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6" s="4"/>
      <c r="T376" s="46">
        <f>IF(AP[[#This Row],[Payment date - override (dd/mm/yyyy)]] &lt;&gt; "", AP[[#This Row],[Payment date - override (dd/mm/yyyy)]], AP[[#This Row],[Due date (dd/mm/yyyy)]])</f>
        <v>0</v>
      </c>
      <c r="U376" s="46">
        <f t="shared" si="5"/>
        <v>52</v>
      </c>
    </row>
    <row r="377" spans="3:21" x14ac:dyDescent="0.25">
      <c r="C377" s="28"/>
      <c r="D377" s="20"/>
      <c r="E377" s="4"/>
      <c r="F377" s="37"/>
      <c r="G377" s="24"/>
      <c r="H377" s="31">
        <f>_xlfn.XLOOKUP(AP[[#This Row],[Supplier name]], Supplier_master[Supplier name], Supplier_master[Category L1], 0)</f>
        <v>0</v>
      </c>
      <c r="I377" s="64">
        <f>_xlfn.XLOOKUP(AP[[#This Row],[Supplier name]], Supplier_master[Supplier name], Supplier_master[Category L2], 0)</f>
        <v>0</v>
      </c>
      <c r="J377" s="55"/>
      <c r="K377" s="54"/>
      <c r="L377" s="57">
        <f>IF(AP[[#This Row],[Spend category L1 - Override]] &lt;&gt; "", AP[[#This Row],[Spend category L1 - Override]], AP[[#This Row],[Spend category L1]])</f>
        <v>0</v>
      </c>
      <c r="M377" s="57">
        <f>IF(AP[[#This Row],[Spend category L2 - Override]] &lt;&gt; "", AP[[#This Row],[Spend category L2 - Override]], AP[[#This Row],[Spend category L2]])</f>
        <v>0</v>
      </c>
      <c r="N377" s="51">
        <f>Assumptions!$D$15</f>
        <v>0.1</v>
      </c>
      <c r="O377" s="45">
        <f>IF(AP[[#This Row],[GST applies?]] = "Yes", (AP[[#This Row],[Invoice value inc. GST]] / 1 + AP[[#This Row],[GST %]]) * AP[[#This Row],[GST %]], 0)</f>
        <v>0</v>
      </c>
      <c r="P377" s="31">
        <f>_xlfn.XLOOKUP(AP[[#This Row],[Supplier name]], Supplier_master[Supplier name], Supplier_master[EOM or Net], 0)</f>
        <v>0</v>
      </c>
      <c r="Q377" s="31">
        <f>_xlfn.XLOOKUP(AP[[#This Row],[Supplier name]], Supplier_master[Supplier name], Supplier_master[Terms days], 0)</f>
        <v>0</v>
      </c>
      <c r="R3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7" s="4"/>
      <c r="T377" s="46">
        <f>IF(AP[[#This Row],[Payment date - override (dd/mm/yyyy)]] &lt;&gt; "", AP[[#This Row],[Payment date - override (dd/mm/yyyy)]], AP[[#This Row],[Due date (dd/mm/yyyy)]])</f>
        <v>0</v>
      </c>
      <c r="U377" s="46">
        <f t="shared" si="5"/>
        <v>52</v>
      </c>
    </row>
    <row r="378" spans="3:21" x14ac:dyDescent="0.25">
      <c r="C378" s="28"/>
      <c r="D378" s="20"/>
      <c r="E378" s="4"/>
      <c r="F378" s="37"/>
      <c r="G378" s="24"/>
      <c r="H378" s="31">
        <f>_xlfn.XLOOKUP(AP[[#This Row],[Supplier name]], Supplier_master[Supplier name], Supplier_master[Category L1], 0)</f>
        <v>0</v>
      </c>
      <c r="I378" s="64">
        <f>_xlfn.XLOOKUP(AP[[#This Row],[Supplier name]], Supplier_master[Supplier name], Supplier_master[Category L2], 0)</f>
        <v>0</v>
      </c>
      <c r="J378" s="55"/>
      <c r="K378" s="54"/>
      <c r="L378" s="57">
        <f>IF(AP[[#This Row],[Spend category L1 - Override]] &lt;&gt; "", AP[[#This Row],[Spend category L1 - Override]], AP[[#This Row],[Spend category L1]])</f>
        <v>0</v>
      </c>
      <c r="M378" s="57">
        <f>IF(AP[[#This Row],[Spend category L2 - Override]] &lt;&gt; "", AP[[#This Row],[Spend category L2 - Override]], AP[[#This Row],[Spend category L2]])</f>
        <v>0</v>
      </c>
      <c r="N378" s="51">
        <f>Assumptions!$D$15</f>
        <v>0.1</v>
      </c>
      <c r="O378" s="45">
        <f>IF(AP[[#This Row],[GST applies?]] = "Yes", (AP[[#This Row],[Invoice value inc. GST]] / 1 + AP[[#This Row],[GST %]]) * AP[[#This Row],[GST %]], 0)</f>
        <v>0</v>
      </c>
      <c r="P378" s="31">
        <f>_xlfn.XLOOKUP(AP[[#This Row],[Supplier name]], Supplier_master[Supplier name], Supplier_master[EOM or Net], 0)</f>
        <v>0</v>
      </c>
      <c r="Q378" s="31">
        <f>_xlfn.XLOOKUP(AP[[#This Row],[Supplier name]], Supplier_master[Supplier name], Supplier_master[Terms days], 0)</f>
        <v>0</v>
      </c>
      <c r="R3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8" s="4"/>
      <c r="T378" s="46">
        <f>IF(AP[[#This Row],[Payment date - override (dd/mm/yyyy)]] &lt;&gt; "", AP[[#This Row],[Payment date - override (dd/mm/yyyy)]], AP[[#This Row],[Due date (dd/mm/yyyy)]])</f>
        <v>0</v>
      </c>
      <c r="U378" s="46">
        <f t="shared" si="5"/>
        <v>52</v>
      </c>
    </row>
    <row r="379" spans="3:21" x14ac:dyDescent="0.25">
      <c r="C379" s="28"/>
      <c r="D379" s="20"/>
      <c r="E379" s="4"/>
      <c r="F379" s="37"/>
      <c r="G379" s="24"/>
      <c r="H379" s="31">
        <f>_xlfn.XLOOKUP(AP[[#This Row],[Supplier name]], Supplier_master[Supplier name], Supplier_master[Category L1], 0)</f>
        <v>0</v>
      </c>
      <c r="I379" s="64">
        <f>_xlfn.XLOOKUP(AP[[#This Row],[Supplier name]], Supplier_master[Supplier name], Supplier_master[Category L2], 0)</f>
        <v>0</v>
      </c>
      <c r="J379" s="55"/>
      <c r="K379" s="54"/>
      <c r="L379" s="57">
        <f>IF(AP[[#This Row],[Spend category L1 - Override]] &lt;&gt; "", AP[[#This Row],[Spend category L1 - Override]], AP[[#This Row],[Spend category L1]])</f>
        <v>0</v>
      </c>
      <c r="M379" s="57">
        <f>IF(AP[[#This Row],[Spend category L2 - Override]] &lt;&gt; "", AP[[#This Row],[Spend category L2 - Override]], AP[[#This Row],[Spend category L2]])</f>
        <v>0</v>
      </c>
      <c r="N379" s="51">
        <f>Assumptions!$D$15</f>
        <v>0.1</v>
      </c>
      <c r="O379" s="45">
        <f>IF(AP[[#This Row],[GST applies?]] = "Yes", (AP[[#This Row],[Invoice value inc. GST]] / 1 + AP[[#This Row],[GST %]]) * AP[[#This Row],[GST %]], 0)</f>
        <v>0</v>
      </c>
      <c r="P379" s="31">
        <f>_xlfn.XLOOKUP(AP[[#This Row],[Supplier name]], Supplier_master[Supplier name], Supplier_master[EOM or Net], 0)</f>
        <v>0</v>
      </c>
      <c r="Q379" s="31">
        <f>_xlfn.XLOOKUP(AP[[#This Row],[Supplier name]], Supplier_master[Supplier name], Supplier_master[Terms days], 0)</f>
        <v>0</v>
      </c>
      <c r="R3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9" s="4"/>
      <c r="T379" s="46">
        <f>IF(AP[[#This Row],[Payment date - override (dd/mm/yyyy)]] &lt;&gt; "", AP[[#This Row],[Payment date - override (dd/mm/yyyy)]], AP[[#This Row],[Due date (dd/mm/yyyy)]])</f>
        <v>0</v>
      </c>
      <c r="U379" s="46">
        <f t="shared" si="5"/>
        <v>52</v>
      </c>
    </row>
    <row r="380" spans="3:21" x14ac:dyDescent="0.25">
      <c r="C380" s="28"/>
      <c r="D380" s="20"/>
      <c r="E380" s="4"/>
      <c r="F380" s="37"/>
      <c r="G380" s="24"/>
      <c r="H380" s="31">
        <f>_xlfn.XLOOKUP(AP[[#This Row],[Supplier name]], Supplier_master[Supplier name], Supplier_master[Category L1], 0)</f>
        <v>0</v>
      </c>
      <c r="I380" s="64">
        <f>_xlfn.XLOOKUP(AP[[#This Row],[Supplier name]], Supplier_master[Supplier name], Supplier_master[Category L2], 0)</f>
        <v>0</v>
      </c>
      <c r="J380" s="55"/>
      <c r="K380" s="54"/>
      <c r="L380" s="57">
        <f>IF(AP[[#This Row],[Spend category L1 - Override]] &lt;&gt; "", AP[[#This Row],[Spend category L1 - Override]], AP[[#This Row],[Spend category L1]])</f>
        <v>0</v>
      </c>
      <c r="M380" s="57">
        <f>IF(AP[[#This Row],[Spend category L2 - Override]] &lt;&gt; "", AP[[#This Row],[Spend category L2 - Override]], AP[[#This Row],[Spend category L2]])</f>
        <v>0</v>
      </c>
      <c r="N380" s="51">
        <f>Assumptions!$D$15</f>
        <v>0.1</v>
      </c>
      <c r="O380" s="45">
        <f>IF(AP[[#This Row],[GST applies?]] = "Yes", (AP[[#This Row],[Invoice value inc. GST]] / 1 + AP[[#This Row],[GST %]]) * AP[[#This Row],[GST %]], 0)</f>
        <v>0</v>
      </c>
      <c r="P380" s="31">
        <f>_xlfn.XLOOKUP(AP[[#This Row],[Supplier name]], Supplier_master[Supplier name], Supplier_master[EOM or Net], 0)</f>
        <v>0</v>
      </c>
      <c r="Q380" s="31">
        <f>_xlfn.XLOOKUP(AP[[#This Row],[Supplier name]], Supplier_master[Supplier name], Supplier_master[Terms days], 0)</f>
        <v>0</v>
      </c>
      <c r="R3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0" s="4"/>
      <c r="T380" s="46">
        <f>IF(AP[[#This Row],[Payment date - override (dd/mm/yyyy)]] &lt;&gt; "", AP[[#This Row],[Payment date - override (dd/mm/yyyy)]], AP[[#This Row],[Due date (dd/mm/yyyy)]])</f>
        <v>0</v>
      </c>
      <c r="U380" s="46">
        <f t="shared" si="5"/>
        <v>52</v>
      </c>
    </row>
    <row r="381" spans="3:21" x14ac:dyDescent="0.25">
      <c r="C381" s="28"/>
      <c r="D381" s="20"/>
      <c r="E381" s="4"/>
      <c r="F381" s="37"/>
      <c r="G381" s="24"/>
      <c r="H381" s="31">
        <f>_xlfn.XLOOKUP(AP[[#This Row],[Supplier name]], Supplier_master[Supplier name], Supplier_master[Category L1], 0)</f>
        <v>0</v>
      </c>
      <c r="I381" s="64">
        <f>_xlfn.XLOOKUP(AP[[#This Row],[Supplier name]], Supplier_master[Supplier name], Supplier_master[Category L2], 0)</f>
        <v>0</v>
      </c>
      <c r="J381" s="55"/>
      <c r="K381" s="54"/>
      <c r="L381" s="57">
        <f>IF(AP[[#This Row],[Spend category L1 - Override]] &lt;&gt; "", AP[[#This Row],[Spend category L1 - Override]], AP[[#This Row],[Spend category L1]])</f>
        <v>0</v>
      </c>
      <c r="M381" s="57">
        <f>IF(AP[[#This Row],[Spend category L2 - Override]] &lt;&gt; "", AP[[#This Row],[Spend category L2 - Override]], AP[[#This Row],[Spend category L2]])</f>
        <v>0</v>
      </c>
      <c r="N381" s="51">
        <f>Assumptions!$D$15</f>
        <v>0.1</v>
      </c>
      <c r="O381" s="45">
        <f>IF(AP[[#This Row],[GST applies?]] = "Yes", (AP[[#This Row],[Invoice value inc. GST]] / 1 + AP[[#This Row],[GST %]]) * AP[[#This Row],[GST %]], 0)</f>
        <v>0</v>
      </c>
      <c r="P381" s="31">
        <f>_xlfn.XLOOKUP(AP[[#This Row],[Supplier name]], Supplier_master[Supplier name], Supplier_master[EOM or Net], 0)</f>
        <v>0</v>
      </c>
      <c r="Q381" s="31">
        <f>_xlfn.XLOOKUP(AP[[#This Row],[Supplier name]], Supplier_master[Supplier name], Supplier_master[Terms days], 0)</f>
        <v>0</v>
      </c>
      <c r="R3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1" s="4"/>
      <c r="T381" s="46">
        <f>IF(AP[[#This Row],[Payment date - override (dd/mm/yyyy)]] &lt;&gt; "", AP[[#This Row],[Payment date - override (dd/mm/yyyy)]], AP[[#This Row],[Due date (dd/mm/yyyy)]])</f>
        <v>0</v>
      </c>
      <c r="U381" s="46">
        <f t="shared" si="5"/>
        <v>52</v>
      </c>
    </row>
    <row r="382" spans="3:21" x14ac:dyDescent="0.25">
      <c r="C382" s="28"/>
      <c r="D382" s="20"/>
      <c r="E382" s="4"/>
      <c r="F382" s="37"/>
      <c r="G382" s="24"/>
      <c r="H382" s="31">
        <f>_xlfn.XLOOKUP(AP[[#This Row],[Supplier name]], Supplier_master[Supplier name], Supplier_master[Category L1], 0)</f>
        <v>0</v>
      </c>
      <c r="I382" s="64">
        <f>_xlfn.XLOOKUP(AP[[#This Row],[Supplier name]], Supplier_master[Supplier name], Supplier_master[Category L2], 0)</f>
        <v>0</v>
      </c>
      <c r="J382" s="55"/>
      <c r="K382" s="54"/>
      <c r="L382" s="57">
        <f>IF(AP[[#This Row],[Spend category L1 - Override]] &lt;&gt; "", AP[[#This Row],[Spend category L1 - Override]], AP[[#This Row],[Spend category L1]])</f>
        <v>0</v>
      </c>
      <c r="M382" s="57">
        <f>IF(AP[[#This Row],[Spend category L2 - Override]] &lt;&gt; "", AP[[#This Row],[Spend category L2 - Override]], AP[[#This Row],[Spend category L2]])</f>
        <v>0</v>
      </c>
      <c r="N382" s="51">
        <f>Assumptions!$D$15</f>
        <v>0.1</v>
      </c>
      <c r="O382" s="45">
        <f>IF(AP[[#This Row],[GST applies?]] = "Yes", (AP[[#This Row],[Invoice value inc. GST]] / 1 + AP[[#This Row],[GST %]]) * AP[[#This Row],[GST %]], 0)</f>
        <v>0</v>
      </c>
      <c r="P382" s="31">
        <f>_xlfn.XLOOKUP(AP[[#This Row],[Supplier name]], Supplier_master[Supplier name], Supplier_master[EOM or Net], 0)</f>
        <v>0</v>
      </c>
      <c r="Q382" s="31">
        <f>_xlfn.XLOOKUP(AP[[#This Row],[Supplier name]], Supplier_master[Supplier name], Supplier_master[Terms days], 0)</f>
        <v>0</v>
      </c>
      <c r="R3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2" s="4"/>
      <c r="T382" s="46">
        <f>IF(AP[[#This Row],[Payment date - override (dd/mm/yyyy)]] &lt;&gt; "", AP[[#This Row],[Payment date - override (dd/mm/yyyy)]], AP[[#This Row],[Due date (dd/mm/yyyy)]])</f>
        <v>0</v>
      </c>
      <c r="U382" s="46">
        <f t="shared" si="5"/>
        <v>52</v>
      </c>
    </row>
    <row r="383" spans="3:21" x14ac:dyDescent="0.25">
      <c r="C383" s="28"/>
      <c r="D383" s="20"/>
      <c r="E383" s="4"/>
      <c r="F383" s="37"/>
      <c r="G383" s="24"/>
      <c r="H383" s="31">
        <f>_xlfn.XLOOKUP(AP[[#This Row],[Supplier name]], Supplier_master[Supplier name], Supplier_master[Category L1], 0)</f>
        <v>0</v>
      </c>
      <c r="I383" s="64">
        <f>_xlfn.XLOOKUP(AP[[#This Row],[Supplier name]], Supplier_master[Supplier name], Supplier_master[Category L2], 0)</f>
        <v>0</v>
      </c>
      <c r="J383" s="55"/>
      <c r="K383" s="54"/>
      <c r="L383" s="57">
        <f>IF(AP[[#This Row],[Spend category L1 - Override]] &lt;&gt; "", AP[[#This Row],[Spend category L1 - Override]], AP[[#This Row],[Spend category L1]])</f>
        <v>0</v>
      </c>
      <c r="M383" s="57">
        <f>IF(AP[[#This Row],[Spend category L2 - Override]] &lt;&gt; "", AP[[#This Row],[Spend category L2 - Override]], AP[[#This Row],[Spend category L2]])</f>
        <v>0</v>
      </c>
      <c r="N383" s="51">
        <f>Assumptions!$D$15</f>
        <v>0.1</v>
      </c>
      <c r="O383" s="45">
        <f>IF(AP[[#This Row],[GST applies?]] = "Yes", (AP[[#This Row],[Invoice value inc. GST]] / 1 + AP[[#This Row],[GST %]]) * AP[[#This Row],[GST %]], 0)</f>
        <v>0</v>
      </c>
      <c r="P383" s="31">
        <f>_xlfn.XLOOKUP(AP[[#This Row],[Supplier name]], Supplier_master[Supplier name], Supplier_master[EOM or Net], 0)</f>
        <v>0</v>
      </c>
      <c r="Q383" s="31">
        <f>_xlfn.XLOOKUP(AP[[#This Row],[Supplier name]], Supplier_master[Supplier name], Supplier_master[Terms days], 0)</f>
        <v>0</v>
      </c>
      <c r="R3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3" s="4"/>
      <c r="T383" s="46">
        <f>IF(AP[[#This Row],[Payment date - override (dd/mm/yyyy)]] &lt;&gt; "", AP[[#This Row],[Payment date - override (dd/mm/yyyy)]], AP[[#This Row],[Due date (dd/mm/yyyy)]])</f>
        <v>0</v>
      </c>
      <c r="U383" s="46">
        <f t="shared" si="5"/>
        <v>52</v>
      </c>
    </row>
    <row r="384" spans="3:21" x14ac:dyDescent="0.25">
      <c r="C384" s="28"/>
      <c r="D384" s="20"/>
      <c r="E384" s="4"/>
      <c r="F384" s="37"/>
      <c r="G384" s="24"/>
      <c r="H384" s="31">
        <f>_xlfn.XLOOKUP(AP[[#This Row],[Supplier name]], Supplier_master[Supplier name], Supplier_master[Category L1], 0)</f>
        <v>0</v>
      </c>
      <c r="I384" s="64">
        <f>_xlfn.XLOOKUP(AP[[#This Row],[Supplier name]], Supplier_master[Supplier name], Supplier_master[Category L2], 0)</f>
        <v>0</v>
      </c>
      <c r="J384" s="55"/>
      <c r="K384" s="54"/>
      <c r="L384" s="57">
        <f>IF(AP[[#This Row],[Spend category L1 - Override]] &lt;&gt; "", AP[[#This Row],[Spend category L1 - Override]], AP[[#This Row],[Spend category L1]])</f>
        <v>0</v>
      </c>
      <c r="M384" s="57">
        <f>IF(AP[[#This Row],[Spend category L2 - Override]] &lt;&gt; "", AP[[#This Row],[Spend category L2 - Override]], AP[[#This Row],[Spend category L2]])</f>
        <v>0</v>
      </c>
      <c r="N384" s="51">
        <f>Assumptions!$D$15</f>
        <v>0.1</v>
      </c>
      <c r="O384" s="45">
        <f>IF(AP[[#This Row],[GST applies?]] = "Yes", (AP[[#This Row],[Invoice value inc. GST]] / 1 + AP[[#This Row],[GST %]]) * AP[[#This Row],[GST %]], 0)</f>
        <v>0</v>
      </c>
      <c r="P384" s="31">
        <f>_xlfn.XLOOKUP(AP[[#This Row],[Supplier name]], Supplier_master[Supplier name], Supplier_master[EOM or Net], 0)</f>
        <v>0</v>
      </c>
      <c r="Q384" s="31">
        <f>_xlfn.XLOOKUP(AP[[#This Row],[Supplier name]], Supplier_master[Supplier name], Supplier_master[Terms days], 0)</f>
        <v>0</v>
      </c>
      <c r="R3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4" s="4"/>
      <c r="T384" s="46">
        <f>IF(AP[[#This Row],[Payment date - override (dd/mm/yyyy)]] &lt;&gt; "", AP[[#This Row],[Payment date - override (dd/mm/yyyy)]], AP[[#This Row],[Due date (dd/mm/yyyy)]])</f>
        <v>0</v>
      </c>
      <c r="U384" s="46">
        <f t="shared" si="5"/>
        <v>52</v>
      </c>
    </row>
    <row r="385" spans="3:21" x14ac:dyDescent="0.25">
      <c r="C385" s="28"/>
      <c r="D385" s="20"/>
      <c r="E385" s="4"/>
      <c r="F385" s="37"/>
      <c r="G385" s="24"/>
      <c r="H385" s="31">
        <f>_xlfn.XLOOKUP(AP[[#This Row],[Supplier name]], Supplier_master[Supplier name], Supplier_master[Category L1], 0)</f>
        <v>0</v>
      </c>
      <c r="I385" s="64">
        <f>_xlfn.XLOOKUP(AP[[#This Row],[Supplier name]], Supplier_master[Supplier name], Supplier_master[Category L2], 0)</f>
        <v>0</v>
      </c>
      <c r="J385" s="55"/>
      <c r="K385" s="54"/>
      <c r="L385" s="57">
        <f>IF(AP[[#This Row],[Spend category L1 - Override]] &lt;&gt; "", AP[[#This Row],[Spend category L1 - Override]], AP[[#This Row],[Spend category L1]])</f>
        <v>0</v>
      </c>
      <c r="M385" s="57">
        <f>IF(AP[[#This Row],[Spend category L2 - Override]] &lt;&gt; "", AP[[#This Row],[Spend category L2 - Override]], AP[[#This Row],[Spend category L2]])</f>
        <v>0</v>
      </c>
      <c r="N385" s="51">
        <f>Assumptions!$D$15</f>
        <v>0.1</v>
      </c>
      <c r="O385" s="45">
        <f>IF(AP[[#This Row],[GST applies?]] = "Yes", (AP[[#This Row],[Invoice value inc. GST]] / 1 + AP[[#This Row],[GST %]]) * AP[[#This Row],[GST %]], 0)</f>
        <v>0</v>
      </c>
      <c r="P385" s="31">
        <f>_xlfn.XLOOKUP(AP[[#This Row],[Supplier name]], Supplier_master[Supplier name], Supplier_master[EOM or Net], 0)</f>
        <v>0</v>
      </c>
      <c r="Q385" s="31">
        <f>_xlfn.XLOOKUP(AP[[#This Row],[Supplier name]], Supplier_master[Supplier name], Supplier_master[Terms days], 0)</f>
        <v>0</v>
      </c>
      <c r="R3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5" s="4"/>
      <c r="T385" s="46">
        <f>IF(AP[[#This Row],[Payment date - override (dd/mm/yyyy)]] &lt;&gt; "", AP[[#This Row],[Payment date - override (dd/mm/yyyy)]], AP[[#This Row],[Due date (dd/mm/yyyy)]])</f>
        <v>0</v>
      </c>
      <c r="U385" s="46">
        <f t="shared" si="5"/>
        <v>52</v>
      </c>
    </row>
    <row r="386" spans="3:21" x14ac:dyDescent="0.25">
      <c r="C386" s="28"/>
      <c r="D386" s="20"/>
      <c r="E386" s="4"/>
      <c r="F386" s="37"/>
      <c r="G386" s="24"/>
      <c r="H386" s="31">
        <f>_xlfn.XLOOKUP(AP[[#This Row],[Supplier name]], Supplier_master[Supplier name], Supplier_master[Category L1], 0)</f>
        <v>0</v>
      </c>
      <c r="I386" s="64">
        <f>_xlfn.XLOOKUP(AP[[#This Row],[Supplier name]], Supplier_master[Supplier name], Supplier_master[Category L2], 0)</f>
        <v>0</v>
      </c>
      <c r="J386" s="55"/>
      <c r="K386" s="54"/>
      <c r="L386" s="57">
        <f>IF(AP[[#This Row],[Spend category L1 - Override]] &lt;&gt; "", AP[[#This Row],[Spend category L1 - Override]], AP[[#This Row],[Spend category L1]])</f>
        <v>0</v>
      </c>
      <c r="M386" s="57">
        <f>IF(AP[[#This Row],[Spend category L2 - Override]] &lt;&gt; "", AP[[#This Row],[Spend category L2 - Override]], AP[[#This Row],[Spend category L2]])</f>
        <v>0</v>
      </c>
      <c r="N386" s="51">
        <f>Assumptions!$D$15</f>
        <v>0.1</v>
      </c>
      <c r="O386" s="45">
        <f>IF(AP[[#This Row],[GST applies?]] = "Yes", (AP[[#This Row],[Invoice value inc. GST]] / 1 + AP[[#This Row],[GST %]]) * AP[[#This Row],[GST %]], 0)</f>
        <v>0</v>
      </c>
      <c r="P386" s="31">
        <f>_xlfn.XLOOKUP(AP[[#This Row],[Supplier name]], Supplier_master[Supplier name], Supplier_master[EOM or Net], 0)</f>
        <v>0</v>
      </c>
      <c r="Q386" s="31">
        <f>_xlfn.XLOOKUP(AP[[#This Row],[Supplier name]], Supplier_master[Supplier name], Supplier_master[Terms days], 0)</f>
        <v>0</v>
      </c>
      <c r="R3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6" s="4"/>
      <c r="T386" s="46">
        <f>IF(AP[[#This Row],[Payment date - override (dd/mm/yyyy)]] &lt;&gt; "", AP[[#This Row],[Payment date - override (dd/mm/yyyy)]], AP[[#This Row],[Due date (dd/mm/yyyy)]])</f>
        <v>0</v>
      </c>
      <c r="U386" s="46">
        <f t="shared" si="5"/>
        <v>52</v>
      </c>
    </row>
    <row r="387" spans="3:21" x14ac:dyDescent="0.25">
      <c r="C387" s="28"/>
      <c r="D387" s="20"/>
      <c r="E387" s="4"/>
      <c r="F387" s="37"/>
      <c r="G387" s="24"/>
      <c r="H387" s="31">
        <f>_xlfn.XLOOKUP(AP[[#This Row],[Supplier name]], Supplier_master[Supplier name], Supplier_master[Category L1], 0)</f>
        <v>0</v>
      </c>
      <c r="I387" s="64">
        <f>_xlfn.XLOOKUP(AP[[#This Row],[Supplier name]], Supplier_master[Supplier name], Supplier_master[Category L2], 0)</f>
        <v>0</v>
      </c>
      <c r="J387" s="55"/>
      <c r="K387" s="54"/>
      <c r="L387" s="57">
        <f>IF(AP[[#This Row],[Spend category L1 - Override]] &lt;&gt; "", AP[[#This Row],[Spend category L1 - Override]], AP[[#This Row],[Spend category L1]])</f>
        <v>0</v>
      </c>
      <c r="M387" s="57">
        <f>IF(AP[[#This Row],[Spend category L2 - Override]] &lt;&gt; "", AP[[#This Row],[Spend category L2 - Override]], AP[[#This Row],[Spend category L2]])</f>
        <v>0</v>
      </c>
      <c r="N387" s="51">
        <f>Assumptions!$D$15</f>
        <v>0.1</v>
      </c>
      <c r="O387" s="45">
        <f>IF(AP[[#This Row],[GST applies?]] = "Yes", (AP[[#This Row],[Invoice value inc. GST]] / 1 + AP[[#This Row],[GST %]]) * AP[[#This Row],[GST %]], 0)</f>
        <v>0</v>
      </c>
      <c r="P387" s="31">
        <f>_xlfn.XLOOKUP(AP[[#This Row],[Supplier name]], Supplier_master[Supplier name], Supplier_master[EOM or Net], 0)</f>
        <v>0</v>
      </c>
      <c r="Q387" s="31">
        <f>_xlfn.XLOOKUP(AP[[#This Row],[Supplier name]], Supplier_master[Supplier name], Supplier_master[Terms days], 0)</f>
        <v>0</v>
      </c>
      <c r="R3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7" s="4"/>
      <c r="T387" s="46">
        <f>IF(AP[[#This Row],[Payment date - override (dd/mm/yyyy)]] &lt;&gt; "", AP[[#This Row],[Payment date - override (dd/mm/yyyy)]], AP[[#This Row],[Due date (dd/mm/yyyy)]])</f>
        <v>0</v>
      </c>
      <c r="U387" s="46">
        <f t="shared" si="5"/>
        <v>52</v>
      </c>
    </row>
    <row r="388" spans="3:21" x14ac:dyDescent="0.25">
      <c r="C388" s="28"/>
      <c r="D388" s="20"/>
      <c r="E388" s="4"/>
      <c r="F388" s="37"/>
      <c r="G388" s="24"/>
      <c r="H388" s="31">
        <f>_xlfn.XLOOKUP(AP[[#This Row],[Supplier name]], Supplier_master[Supplier name], Supplier_master[Category L1], 0)</f>
        <v>0</v>
      </c>
      <c r="I388" s="64">
        <f>_xlfn.XLOOKUP(AP[[#This Row],[Supplier name]], Supplier_master[Supplier name], Supplier_master[Category L2], 0)</f>
        <v>0</v>
      </c>
      <c r="J388" s="55"/>
      <c r="K388" s="54"/>
      <c r="L388" s="57">
        <f>IF(AP[[#This Row],[Spend category L1 - Override]] &lt;&gt; "", AP[[#This Row],[Spend category L1 - Override]], AP[[#This Row],[Spend category L1]])</f>
        <v>0</v>
      </c>
      <c r="M388" s="57">
        <f>IF(AP[[#This Row],[Spend category L2 - Override]] &lt;&gt; "", AP[[#This Row],[Spend category L2 - Override]], AP[[#This Row],[Spend category L2]])</f>
        <v>0</v>
      </c>
      <c r="N388" s="51">
        <f>Assumptions!$D$15</f>
        <v>0.1</v>
      </c>
      <c r="O388" s="45">
        <f>IF(AP[[#This Row],[GST applies?]] = "Yes", (AP[[#This Row],[Invoice value inc. GST]] / 1 + AP[[#This Row],[GST %]]) * AP[[#This Row],[GST %]], 0)</f>
        <v>0</v>
      </c>
      <c r="P388" s="31">
        <f>_xlfn.XLOOKUP(AP[[#This Row],[Supplier name]], Supplier_master[Supplier name], Supplier_master[EOM or Net], 0)</f>
        <v>0</v>
      </c>
      <c r="Q388" s="31">
        <f>_xlfn.XLOOKUP(AP[[#This Row],[Supplier name]], Supplier_master[Supplier name], Supplier_master[Terms days], 0)</f>
        <v>0</v>
      </c>
      <c r="R3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8" s="4"/>
      <c r="T388" s="46">
        <f>IF(AP[[#This Row],[Payment date - override (dd/mm/yyyy)]] &lt;&gt; "", AP[[#This Row],[Payment date - override (dd/mm/yyyy)]], AP[[#This Row],[Due date (dd/mm/yyyy)]])</f>
        <v>0</v>
      </c>
      <c r="U388" s="46">
        <f t="shared" si="5"/>
        <v>52</v>
      </c>
    </row>
    <row r="389" spans="3:21" x14ac:dyDescent="0.25">
      <c r="C389" s="28"/>
      <c r="D389" s="20"/>
      <c r="E389" s="4"/>
      <c r="F389" s="37"/>
      <c r="G389" s="24"/>
      <c r="H389" s="31">
        <f>_xlfn.XLOOKUP(AP[[#This Row],[Supplier name]], Supplier_master[Supplier name], Supplier_master[Category L1], 0)</f>
        <v>0</v>
      </c>
      <c r="I389" s="64">
        <f>_xlfn.XLOOKUP(AP[[#This Row],[Supplier name]], Supplier_master[Supplier name], Supplier_master[Category L2], 0)</f>
        <v>0</v>
      </c>
      <c r="J389" s="55"/>
      <c r="K389" s="54"/>
      <c r="L389" s="57">
        <f>IF(AP[[#This Row],[Spend category L1 - Override]] &lt;&gt; "", AP[[#This Row],[Spend category L1 - Override]], AP[[#This Row],[Spend category L1]])</f>
        <v>0</v>
      </c>
      <c r="M389" s="57">
        <f>IF(AP[[#This Row],[Spend category L2 - Override]] &lt;&gt; "", AP[[#This Row],[Spend category L2 - Override]], AP[[#This Row],[Spend category L2]])</f>
        <v>0</v>
      </c>
      <c r="N389" s="51">
        <f>Assumptions!$D$15</f>
        <v>0.1</v>
      </c>
      <c r="O389" s="45">
        <f>IF(AP[[#This Row],[GST applies?]] = "Yes", (AP[[#This Row],[Invoice value inc. GST]] / 1 + AP[[#This Row],[GST %]]) * AP[[#This Row],[GST %]], 0)</f>
        <v>0</v>
      </c>
      <c r="P389" s="31">
        <f>_xlfn.XLOOKUP(AP[[#This Row],[Supplier name]], Supplier_master[Supplier name], Supplier_master[EOM or Net], 0)</f>
        <v>0</v>
      </c>
      <c r="Q389" s="31">
        <f>_xlfn.XLOOKUP(AP[[#This Row],[Supplier name]], Supplier_master[Supplier name], Supplier_master[Terms days], 0)</f>
        <v>0</v>
      </c>
      <c r="R3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9" s="4"/>
      <c r="T389" s="46">
        <f>IF(AP[[#This Row],[Payment date - override (dd/mm/yyyy)]] &lt;&gt; "", AP[[#This Row],[Payment date - override (dd/mm/yyyy)]], AP[[#This Row],[Due date (dd/mm/yyyy)]])</f>
        <v>0</v>
      </c>
      <c r="U389" s="46">
        <f t="shared" si="5"/>
        <v>52</v>
      </c>
    </row>
    <row r="390" spans="3:21" x14ac:dyDescent="0.25">
      <c r="C390" s="28"/>
      <c r="D390" s="20"/>
      <c r="E390" s="4"/>
      <c r="F390" s="37"/>
      <c r="G390" s="24"/>
      <c r="H390" s="31">
        <f>_xlfn.XLOOKUP(AP[[#This Row],[Supplier name]], Supplier_master[Supplier name], Supplier_master[Category L1], 0)</f>
        <v>0</v>
      </c>
      <c r="I390" s="64">
        <f>_xlfn.XLOOKUP(AP[[#This Row],[Supplier name]], Supplier_master[Supplier name], Supplier_master[Category L2], 0)</f>
        <v>0</v>
      </c>
      <c r="J390" s="55"/>
      <c r="K390" s="54"/>
      <c r="L390" s="57">
        <f>IF(AP[[#This Row],[Spend category L1 - Override]] &lt;&gt; "", AP[[#This Row],[Spend category L1 - Override]], AP[[#This Row],[Spend category L1]])</f>
        <v>0</v>
      </c>
      <c r="M390" s="57">
        <f>IF(AP[[#This Row],[Spend category L2 - Override]] &lt;&gt; "", AP[[#This Row],[Spend category L2 - Override]], AP[[#This Row],[Spend category L2]])</f>
        <v>0</v>
      </c>
      <c r="N390" s="51">
        <f>Assumptions!$D$15</f>
        <v>0.1</v>
      </c>
      <c r="O390" s="45">
        <f>IF(AP[[#This Row],[GST applies?]] = "Yes", (AP[[#This Row],[Invoice value inc. GST]] / 1 + AP[[#This Row],[GST %]]) * AP[[#This Row],[GST %]], 0)</f>
        <v>0</v>
      </c>
      <c r="P390" s="31">
        <f>_xlfn.XLOOKUP(AP[[#This Row],[Supplier name]], Supplier_master[Supplier name], Supplier_master[EOM or Net], 0)</f>
        <v>0</v>
      </c>
      <c r="Q390" s="31">
        <f>_xlfn.XLOOKUP(AP[[#This Row],[Supplier name]], Supplier_master[Supplier name], Supplier_master[Terms days], 0)</f>
        <v>0</v>
      </c>
      <c r="R3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0" s="4"/>
      <c r="T390" s="46">
        <f>IF(AP[[#This Row],[Payment date - override (dd/mm/yyyy)]] &lt;&gt; "", AP[[#This Row],[Payment date - override (dd/mm/yyyy)]], AP[[#This Row],[Due date (dd/mm/yyyy)]])</f>
        <v>0</v>
      </c>
      <c r="U390" s="46">
        <f t="shared" si="5"/>
        <v>52</v>
      </c>
    </row>
    <row r="391" spans="3:21" x14ac:dyDescent="0.25">
      <c r="C391" s="28"/>
      <c r="D391" s="20"/>
      <c r="E391" s="4"/>
      <c r="F391" s="37"/>
      <c r="G391" s="24"/>
      <c r="H391" s="31">
        <f>_xlfn.XLOOKUP(AP[[#This Row],[Supplier name]], Supplier_master[Supplier name], Supplier_master[Category L1], 0)</f>
        <v>0</v>
      </c>
      <c r="I391" s="64">
        <f>_xlfn.XLOOKUP(AP[[#This Row],[Supplier name]], Supplier_master[Supplier name], Supplier_master[Category L2], 0)</f>
        <v>0</v>
      </c>
      <c r="J391" s="55"/>
      <c r="K391" s="54"/>
      <c r="L391" s="57">
        <f>IF(AP[[#This Row],[Spend category L1 - Override]] &lt;&gt; "", AP[[#This Row],[Spend category L1 - Override]], AP[[#This Row],[Spend category L1]])</f>
        <v>0</v>
      </c>
      <c r="M391" s="57">
        <f>IF(AP[[#This Row],[Spend category L2 - Override]] &lt;&gt; "", AP[[#This Row],[Spend category L2 - Override]], AP[[#This Row],[Spend category L2]])</f>
        <v>0</v>
      </c>
      <c r="N391" s="51">
        <f>Assumptions!$D$15</f>
        <v>0.1</v>
      </c>
      <c r="O391" s="45">
        <f>IF(AP[[#This Row],[GST applies?]] = "Yes", (AP[[#This Row],[Invoice value inc. GST]] / 1 + AP[[#This Row],[GST %]]) * AP[[#This Row],[GST %]], 0)</f>
        <v>0</v>
      </c>
      <c r="P391" s="31">
        <f>_xlfn.XLOOKUP(AP[[#This Row],[Supplier name]], Supplier_master[Supplier name], Supplier_master[EOM or Net], 0)</f>
        <v>0</v>
      </c>
      <c r="Q391" s="31">
        <f>_xlfn.XLOOKUP(AP[[#This Row],[Supplier name]], Supplier_master[Supplier name], Supplier_master[Terms days], 0)</f>
        <v>0</v>
      </c>
      <c r="R3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1" s="4"/>
      <c r="T391" s="46">
        <f>IF(AP[[#This Row],[Payment date - override (dd/mm/yyyy)]] &lt;&gt; "", AP[[#This Row],[Payment date - override (dd/mm/yyyy)]], AP[[#This Row],[Due date (dd/mm/yyyy)]])</f>
        <v>0</v>
      </c>
      <c r="U391" s="46">
        <f t="shared" si="5"/>
        <v>52</v>
      </c>
    </row>
    <row r="392" spans="3:21" x14ac:dyDescent="0.25">
      <c r="C392" s="28"/>
      <c r="D392" s="20"/>
      <c r="E392" s="4"/>
      <c r="F392" s="37"/>
      <c r="G392" s="24"/>
      <c r="H392" s="31">
        <f>_xlfn.XLOOKUP(AP[[#This Row],[Supplier name]], Supplier_master[Supplier name], Supplier_master[Category L1], 0)</f>
        <v>0</v>
      </c>
      <c r="I392" s="64">
        <f>_xlfn.XLOOKUP(AP[[#This Row],[Supplier name]], Supplier_master[Supplier name], Supplier_master[Category L2], 0)</f>
        <v>0</v>
      </c>
      <c r="J392" s="55"/>
      <c r="K392" s="54"/>
      <c r="L392" s="57">
        <f>IF(AP[[#This Row],[Spend category L1 - Override]] &lt;&gt; "", AP[[#This Row],[Spend category L1 - Override]], AP[[#This Row],[Spend category L1]])</f>
        <v>0</v>
      </c>
      <c r="M392" s="57">
        <f>IF(AP[[#This Row],[Spend category L2 - Override]] &lt;&gt; "", AP[[#This Row],[Spend category L2 - Override]], AP[[#This Row],[Spend category L2]])</f>
        <v>0</v>
      </c>
      <c r="N392" s="51">
        <f>Assumptions!$D$15</f>
        <v>0.1</v>
      </c>
      <c r="O392" s="45">
        <f>IF(AP[[#This Row],[GST applies?]] = "Yes", (AP[[#This Row],[Invoice value inc. GST]] / 1 + AP[[#This Row],[GST %]]) * AP[[#This Row],[GST %]], 0)</f>
        <v>0</v>
      </c>
      <c r="P392" s="31">
        <f>_xlfn.XLOOKUP(AP[[#This Row],[Supplier name]], Supplier_master[Supplier name], Supplier_master[EOM or Net], 0)</f>
        <v>0</v>
      </c>
      <c r="Q392" s="31">
        <f>_xlfn.XLOOKUP(AP[[#This Row],[Supplier name]], Supplier_master[Supplier name], Supplier_master[Terms days], 0)</f>
        <v>0</v>
      </c>
      <c r="R3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2" s="4"/>
      <c r="T392" s="46">
        <f>IF(AP[[#This Row],[Payment date - override (dd/mm/yyyy)]] &lt;&gt; "", AP[[#This Row],[Payment date - override (dd/mm/yyyy)]], AP[[#This Row],[Due date (dd/mm/yyyy)]])</f>
        <v>0</v>
      </c>
      <c r="U392" s="46">
        <f t="shared" si="5"/>
        <v>52</v>
      </c>
    </row>
    <row r="393" spans="3:21" x14ac:dyDescent="0.25">
      <c r="C393" s="28"/>
      <c r="D393" s="20"/>
      <c r="E393" s="4"/>
      <c r="F393" s="37"/>
      <c r="G393" s="24"/>
      <c r="H393" s="31">
        <f>_xlfn.XLOOKUP(AP[[#This Row],[Supplier name]], Supplier_master[Supplier name], Supplier_master[Category L1], 0)</f>
        <v>0</v>
      </c>
      <c r="I393" s="64">
        <f>_xlfn.XLOOKUP(AP[[#This Row],[Supplier name]], Supplier_master[Supplier name], Supplier_master[Category L2], 0)</f>
        <v>0</v>
      </c>
      <c r="J393" s="55"/>
      <c r="K393" s="54"/>
      <c r="L393" s="57">
        <f>IF(AP[[#This Row],[Spend category L1 - Override]] &lt;&gt; "", AP[[#This Row],[Spend category L1 - Override]], AP[[#This Row],[Spend category L1]])</f>
        <v>0</v>
      </c>
      <c r="M393" s="57">
        <f>IF(AP[[#This Row],[Spend category L2 - Override]] &lt;&gt; "", AP[[#This Row],[Spend category L2 - Override]], AP[[#This Row],[Spend category L2]])</f>
        <v>0</v>
      </c>
      <c r="N393" s="51">
        <f>Assumptions!$D$15</f>
        <v>0.1</v>
      </c>
      <c r="O393" s="45">
        <f>IF(AP[[#This Row],[GST applies?]] = "Yes", (AP[[#This Row],[Invoice value inc. GST]] / 1 + AP[[#This Row],[GST %]]) * AP[[#This Row],[GST %]], 0)</f>
        <v>0</v>
      </c>
      <c r="P393" s="31">
        <f>_xlfn.XLOOKUP(AP[[#This Row],[Supplier name]], Supplier_master[Supplier name], Supplier_master[EOM or Net], 0)</f>
        <v>0</v>
      </c>
      <c r="Q393" s="31">
        <f>_xlfn.XLOOKUP(AP[[#This Row],[Supplier name]], Supplier_master[Supplier name], Supplier_master[Terms days], 0)</f>
        <v>0</v>
      </c>
      <c r="R3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3" s="4"/>
      <c r="T393" s="46">
        <f>IF(AP[[#This Row],[Payment date - override (dd/mm/yyyy)]] &lt;&gt; "", AP[[#This Row],[Payment date - override (dd/mm/yyyy)]], AP[[#This Row],[Due date (dd/mm/yyyy)]])</f>
        <v>0</v>
      </c>
      <c r="U393" s="46">
        <f t="shared" ref="U393:U456" si="6">IF(GST_Freq="Monthly",
    DATE(YEAR(E393), MONTH(E393) + 1, 21),
    IF(GST_Freq="Quarterly",
        IF(MOD(MONTH(E393) + 2 - MOD(MOD(MONTH(E393) - GST_First_Month, 12), 3), 12) = 0,
            DATE(YEAR(E393), MONTH(E393) + 4 - MOD(MOD(MONTH(E393) - GST_First_Month, 12), 3), 28),
            DATE(YEAR(E393), MONTH(E393) + 3 - MOD(MOD(MONTH(E393) - GST_First_Month, 12), 3), 28)
        ),
        "Invalid frequency"
    )
)</f>
        <v>52</v>
      </c>
    </row>
    <row r="394" spans="3:21" x14ac:dyDescent="0.25">
      <c r="C394" s="28"/>
      <c r="D394" s="20"/>
      <c r="E394" s="4"/>
      <c r="F394" s="37"/>
      <c r="G394" s="24"/>
      <c r="H394" s="31">
        <f>_xlfn.XLOOKUP(AP[[#This Row],[Supplier name]], Supplier_master[Supplier name], Supplier_master[Category L1], 0)</f>
        <v>0</v>
      </c>
      <c r="I394" s="64">
        <f>_xlfn.XLOOKUP(AP[[#This Row],[Supplier name]], Supplier_master[Supplier name], Supplier_master[Category L2], 0)</f>
        <v>0</v>
      </c>
      <c r="J394" s="55"/>
      <c r="K394" s="54"/>
      <c r="L394" s="57">
        <f>IF(AP[[#This Row],[Spend category L1 - Override]] &lt;&gt; "", AP[[#This Row],[Spend category L1 - Override]], AP[[#This Row],[Spend category L1]])</f>
        <v>0</v>
      </c>
      <c r="M394" s="57">
        <f>IF(AP[[#This Row],[Spend category L2 - Override]] &lt;&gt; "", AP[[#This Row],[Spend category L2 - Override]], AP[[#This Row],[Spend category L2]])</f>
        <v>0</v>
      </c>
      <c r="N394" s="51">
        <f>Assumptions!$D$15</f>
        <v>0.1</v>
      </c>
      <c r="O394" s="45">
        <f>IF(AP[[#This Row],[GST applies?]] = "Yes", (AP[[#This Row],[Invoice value inc. GST]] / 1 + AP[[#This Row],[GST %]]) * AP[[#This Row],[GST %]], 0)</f>
        <v>0</v>
      </c>
      <c r="P394" s="31">
        <f>_xlfn.XLOOKUP(AP[[#This Row],[Supplier name]], Supplier_master[Supplier name], Supplier_master[EOM or Net], 0)</f>
        <v>0</v>
      </c>
      <c r="Q394" s="31">
        <f>_xlfn.XLOOKUP(AP[[#This Row],[Supplier name]], Supplier_master[Supplier name], Supplier_master[Terms days], 0)</f>
        <v>0</v>
      </c>
      <c r="R3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4" s="4"/>
      <c r="T394" s="46">
        <f>IF(AP[[#This Row],[Payment date - override (dd/mm/yyyy)]] &lt;&gt; "", AP[[#This Row],[Payment date - override (dd/mm/yyyy)]], AP[[#This Row],[Due date (dd/mm/yyyy)]])</f>
        <v>0</v>
      </c>
      <c r="U394" s="46">
        <f t="shared" si="6"/>
        <v>52</v>
      </c>
    </row>
    <row r="395" spans="3:21" x14ac:dyDescent="0.25">
      <c r="C395" s="28"/>
      <c r="D395" s="20"/>
      <c r="E395" s="4"/>
      <c r="F395" s="37"/>
      <c r="G395" s="24"/>
      <c r="H395" s="31">
        <f>_xlfn.XLOOKUP(AP[[#This Row],[Supplier name]], Supplier_master[Supplier name], Supplier_master[Category L1], 0)</f>
        <v>0</v>
      </c>
      <c r="I395" s="64">
        <f>_xlfn.XLOOKUP(AP[[#This Row],[Supplier name]], Supplier_master[Supplier name], Supplier_master[Category L2], 0)</f>
        <v>0</v>
      </c>
      <c r="J395" s="55"/>
      <c r="K395" s="54"/>
      <c r="L395" s="57">
        <f>IF(AP[[#This Row],[Spend category L1 - Override]] &lt;&gt; "", AP[[#This Row],[Spend category L1 - Override]], AP[[#This Row],[Spend category L1]])</f>
        <v>0</v>
      </c>
      <c r="M395" s="57">
        <f>IF(AP[[#This Row],[Spend category L2 - Override]] &lt;&gt; "", AP[[#This Row],[Spend category L2 - Override]], AP[[#This Row],[Spend category L2]])</f>
        <v>0</v>
      </c>
      <c r="N395" s="51">
        <f>Assumptions!$D$15</f>
        <v>0.1</v>
      </c>
      <c r="O395" s="45">
        <f>IF(AP[[#This Row],[GST applies?]] = "Yes", (AP[[#This Row],[Invoice value inc. GST]] / 1 + AP[[#This Row],[GST %]]) * AP[[#This Row],[GST %]], 0)</f>
        <v>0</v>
      </c>
      <c r="P395" s="31">
        <f>_xlfn.XLOOKUP(AP[[#This Row],[Supplier name]], Supplier_master[Supplier name], Supplier_master[EOM or Net], 0)</f>
        <v>0</v>
      </c>
      <c r="Q395" s="31">
        <f>_xlfn.XLOOKUP(AP[[#This Row],[Supplier name]], Supplier_master[Supplier name], Supplier_master[Terms days], 0)</f>
        <v>0</v>
      </c>
      <c r="R3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5" s="4"/>
      <c r="T395" s="46">
        <f>IF(AP[[#This Row],[Payment date - override (dd/mm/yyyy)]] &lt;&gt; "", AP[[#This Row],[Payment date - override (dd/mm/yyyy)]], AP[[#This Row],[Due date (dd/mm/yyyy)]])</f>
        <v>0</v>
      </c>
      <c r="U395" s="46">
        <f t="shared" si="6"/>
        <v>52</v>
      </c>
    </row>
    <row r="396" spans="3:21" x14ac:dyDescent="0.25">
      <c r="C396" s="28"/>
      <c r="D396" s="20"/>
      <c r="E396" s="4"/>
      <c r="F396" s="37"/>
      <c r="G396" s="24"/>
      <c r="H396" s="31">
        <f>_xlfn.XLOOKUP(AP[[#This Row],[Supplier name]], Supplier_master[Supplier name], Supplier_master[Category L1], 0)</f>
        <v>0</v>
      </c>
      <c r="I396" s="64">
        <f>_xlfn.XLOOKUP(AP[[#This Row],[Supplier name]], Supplier_master[Supplier name], Supplier_master[Category L2], 0)</f>
        <v>0</v>
      </c>
      <c r="J396" s="55"/>
      <c r="K396" s="54"/>
      <c r="L396" s="57">
        <f>IF(AP[[#This Row],[Spend category L1 - Override]] &lt;&gt; "", AP[[#This Row],[Spend category L1 - Override]], AP[[#This Row],[Spend category L1]])</f>
        <v>0</v>
      </c>
      <c r="M396" s="57">
        <f>IF(AP[[#This Row],[Spend category L2 - Override]] &lt;&gt; "", AP[[#This Row],[Spend category L2 - Override]], AP[[#This Row],[Spend category L2]])</f>
        <v>0</v>
      </c>
      <c r="N396" s="51">
        <f>Assumptions!$D$15</f>
        <v>0.1</v>
      </c>
      <c r="O396" s="45">
        <f>IF(AP[[#This Row],[GST applies?]] = "Yes", (AP[[#This Row],[Invoice value inc. GST]] / 1 + AP[[#This Row],[GST %]]) * AP[[#This Row],[GST %]], 0)</f>
        <v>0</v>
      </c>
      <c r="P396" s="31">
        <f>_xlfn.XLOOKUP(AP[[#This Row],[Supplier name]], Supplier_master[Supplier name], Supplier_master[EOM or Net], 0)</f>
        <v>0</v>
      </c>
      <c r="Q396" s="31">
        <f>_xlfn.XLOOKUP(AP[[#This Row],[Supplier name]], Supplier_master[Supplier name], Supplier_master[Terms days], 0)</f>
        <v>0</v>
      </c>
      <c r="R3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6" s="4"/>
      <c r="T396" s="46">
        <f>IF(AP[[#This Row],[Payment date - override (dd/mm/yyyy)]] &lt;&gt; "", AP[[#This Row],[Payment date - override (dd/mm/yyyy)]], AP[[#This Row],[Due date (dd/mm/yyyy)]])</f>
        <v>0</v>
      </c>
      <c r="U396" s="46">
        <f t="shared" si="6"/>
        <v>52</v>
      </c>
    </row>
    <row r="397" spans="3:21" x14ac:dyDescent="0.25">
      <c r="C397" s="28"/>
      <c r="D397" s="20"/>
      <c r="E397" s="4"/>
      <c r="F397" s="37"/>
      <c r="G397" s="24"/>
      <c r="H397" s="31">
        <f>_xlfn.XLOOKUP(AP[[#This Row],[Supplier name]], Supplier_master[Supplier name], Supplier_master[Category L1], 0)</f>
        <v>0</v>
      </c>
      <c r="I397" s="64">
        <f>_xlfn.XLOOKUP(AP[[#This Row],[Supplier name]], Supplier_master[Supplier name], Supplier_master[Category L2], 0)</f>
        <v>0</v>
      </c>
      <c r="J397" s="55"/>
      <c r="K397" s="54"/>
      <c r="L397" s="57">
        <f>IF(AP[[#This Row],[Spend category L1 - Override]] &lt;&gt; "", AP[[#This Row],[Spend category L1 - Override]], AP[[#This Row],[Spend category L1]])</f>
        <v>0</v>
      </c>
      <c r="M397" s="57">
        <f>IF(AP[[#This Row],[Spend category L2 - Override]] &lt;&gt; "", AP[[#This Row],[Spend category L2 - Override]], AP[[#This Row],[Spend category L2]])</f>
        <v>0</v>
      </c>
      <c r="N397" s="51">
        <f>Assumptions!$D$15</f>
        <v>0.1</v>
      </c>
      <c r="O397" s="45">
        <f>IF(AP[[#This Row],[GST applies?]] = "Yes", (AP[[#This Row],[Invoice value inc. GST]] / 1 + AP[[#This Row],[GST %]]) * AP[[#This Row],[GST %]], 0)</f>
        <v>0</v>
      </c>
      <c r="P397" s="31">
        <f>_xlfn.XLOOKUP(AP[[#This Row],[Supplier name]], Supplier_master[Supplier name], Supplier_master[EOM or Net], 0)</f>
        <v>0</v>
      </c>
      <c r="Q397" s="31">
        <f>_xlfn.XLOOKUP(AP[[#This Row],[Supplier name]], Supplier_master[Supplier name], Supplier_master[Terms days], 0)</f>
        <v>0</v>
      </c>
      <c r="R3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7" s="4"/>
      <c r="T397" s="46">
        <f>IF(AP[[#This Row],[Payment date - override (dd/mm/yyyy)]] &lt;&gt; "", AP[[#This Row],[Payment date - override (dd/mm/yyyy)]], AP[[#This Row],[Due date (dd/mm/yyyy)]])</f>
        <v>0</v>
      </c>
      <c r="U397" s="46">
        <f t="shared" si="6"/>
        <v>52</v>
      </c>
    </row>
    <row r="398" spans="3:21" x14ac:dyDescent="0.25">
      <c r="C398" s="28"/>
      <c r="D398" s="20"/>
      <c r="E398" s="4"/>
      <c r="F398" s="37"/>
      <c r="G398" s="24"/>
      <c r="H398" s="31">
        <f>_xlfn.XLOOKUP(AP[[#This Row],[Supplier name]], Supplier_master[Supplier name], Supplier_master[Category L1], 0)</f>
        <v>0</v>
      </c>
      <c r="I398" s="64">
        <f>_xlfn.XLOOKUP(AP[[#This Row],[Supplier name]], Supplier_master[Supplier name], Supplier_master[Category L2], 0)</f>
        <v>0</v>
      </c>
      <c r="J398" s="55"/>
      <c r="K398" s="54"/>
      <c r="L398" s="57">
        <f>IF(AP[[#This Row],[Spend category L1 - Override]] &lt;&gt; "", AP[[#This Row],[Spend category L1 - Override]], AP[[#This Row],[Spend category L1]])</f>
        <v>0</v>
      </c>
      <c r="M398" s="57">
        <f>IF(AP[[#This Row],[Spend category L2 - Override]] &lt;&gt; "", AP[[#This Row],[Spend category L2 - Override]], AP[[#This Row],[Spend category L2]])</f>
        <v>0</v>
      </c>
      <c r="N398" s="51">
        <f>Assumptions!$D$15</f>
        <v>0.1</v>
      </c>
      <c r="O398" s="45">
        <f>IF(AP[[#This Row],[GST applies?]] = "Yes", (AP[[#This Row],[Invoice value inc. GST]] / 1 + AP[[#This Row],[GST %]]) * AP[[#This Row],[GST %]], 0)</f>
        <v>0</v>
      </c>
      <c r="P398" s="31">
        <f>_xlfn.XLOOKUP(AP[[#This Row],[Supplier name]], Supplier_master[Supplier name], Supplier_master[EOM or Net], 0)</f>
        <v>0</v>
      </c>
      <c r="Q398" s="31">
        <f>_xlfn.XLOOKUP(AP[[#This Row],[Supplier name]], Supplier_master[Supplier name], Supplier_master[Terms days], 0)</f>
        <v>0</v>
      </c>
      <c r="R3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8" s="4"/>
      <c r="T398" s="46">
        <f>IF(AP[[#This Row],[Payment date - override (dd/mm/yyyy)]] &lt;&gt; "", AP[[#This Row],[Payment date - override (dd/mm/yyyy)]], AP[[#This Row],[Due date (dd/mm/yyyy)]])</f>
        <v>0</v>
      </c>
      <c r="U398" s="46">
        <f t="shared" si="6"/>
        <v>52</v>
      </c>
    </row>
    <row r="399" spans="3:21" x14ac:dyDescent="0.25">
      <c r="C399" s="28"/>
      <c r="D399" s="20"/>
      <c r="E399" s="4"/>
      <c r="F399" s="37"/>
      <c r="G399" s="24"/>
      <c r="H399" s="31">
        <f>_xlfn.XLOOKUP(AP[[#This Row],[Supplier name]], Supplier_master[Supplier name], Supplier_master[Category L1], 0)</f>
        <v>0</v>
      </c>
      <c r="I399" s="64">
        <f>_xlfn.XLOOKUP(AP[[#This Row],[Supplier name]], Supplier_master[Supplier name], Supplier_master[Category L2], 0)</f>
        <v>0</v>
      </c>
      <c r="J399" s="55"/>
      <c r="K399" s="54"/>
      <c r="L399" s="57">
        <f>IF(AP[[#This Row],[Spend category L1 - Override]] &lt;&gt; "", AP[[#This Row],[Spend category L1 - Override]], AP[[#This Row],[Spend category L1]])</f>
        <v>0</v>
      </c>
      <c r="M399" s="57">
        <f>IF(AP[[#This Row],[Spend category L2 - Override]] &lt;&gt; "", AP[[#This Row],[Spend category L2 - Override]], AP[[#This Row],[Spend category L2]])</f>
        <v>0</v>
      </c>
      <c r="N399" s="51">
        <f>Assumptions!$D$15</f>
        <v>0.1</v>
      </c>
      <c r="O399" s="45">
        <f>IF(AP[[#This Row],[GST applies?]] = "Yes", (AP[[#This Row],[Invoice value inc. GST]] / 1 + AP[[#This Row],[GST %]]) * AP[[#This Row],[GST %]], 0)</f>
        <v>0</v>
      </c>
      <c r="P399" s="31">
        <f>_xlfn.XLOOKUP(AP[[#This Row],[Supplier name]], Supplier_master[Supplier name], Supplier_master[EOM or Net], 0)</f>
        <v>0</v>
      </c>
      <c r="Q399" s="31">
        <f>_xlfn.XLOOKUP(AP[[#This Row],[Supplier name]], Supplier_master[Supplier name], Supplier_master[Terms days], 0)</f>
        <v>0</v>
      </c>
      <c r="R3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9" s="4"/>
      <c r="T399" s="46">
        <f>IF(AP[[#This Row],[Payment date - override (dd/mm/yyyy)]] &lt;&gt; "", AP[[#This Row],[Payment date - override (dd/mm/yyyy)]], AP[[#This Row],[Due date (dd/mm/yyyy)]])</f>
        <v>0</v>
      </c>
      <c r="U399" s="46">
        <f t="shared" si="6"/>
        <v>52</v>
      </c>
    </row>
    <row r="400" spans="3:21" x14ac:dyDescent="0.25">
      <c r="C400" s="28"/>
      <c r="D400" s="20"/>
      <c r="E400" s="4"/>
      <c r="F400" s="37"/>
      <c r="G400" s="24"/>
      <c r="H400" s="31">
        <f>_xlfn.XLOOKUP(AP[[#This Row],[Supplier name]], Supplier_master[Supplier name], Supplier_master[Category L1], 0)</f>
        <v>0</v>
      </c>
      <c r="I400" s="64">
        <f>_xlfn.XLOOKUP(AP[[#This Row],[Supplier name]], Supplier_master[Supplier name], Supplier_master[Category L2], 0)</f>
        <v>0</v>
      </c>
      <c r="J400" s="55"/>
      <c r="K400" s="54"/>
      <c r="L400" s="57">
        <f>IF(AP[[#This Row],[Spend category L1 - Override]] &lt;&gt; "", AP[[#This Row],[Spend category L1 - Override]], AP[[#This Row],[Spend category L1]])</f>
        <v>0</v>
      </c>
      <c r="M400" s="57">
        <f>IF(AP[[#This Row],[Spend category L2 - Override]] &lt;&gt; "", AP[[#This Row],[Spend category L2 - Override]], AP[[#This Row],[Spend category L2]])</f>
        <v>0</v>
      </c>
      <c r="N400" s="51">
        <f>Assumptions!$D$15</f>
        <v>0.1</v>
      </c>
      <c r="O400" s="45">
        <f>IF(AP[[#This Row],[GST applies?]] = "Yes", (AP[[#This Row],[Invoice value inc. GST]] / 1 + AP[[#This Row],[GST %]]) * AP[[#This Row],[GST %]], 0)</f>
        <v>0</v>
      </c>
      <c r="P400" s="31">
        <f>_xlfn.XLOOKUP(AP[[#This Row],[Supplier name]], Supplier_master[Supplier name], Supplier_master[EOM or Net], 0)</f>
        <v>0</v>
      </c>
      <c r="Q400" s="31">
        <f>_xlfn.XLOOKUP(AP[[#This Row],[Supplier name]], Supplier_master[Supplier name], Supplier_master[Terms days], 0)</f>
        <v>0</v>
      </c>
      <c r="R4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0" s="4"/>
      <c r="T400" s="46">
        <f>IF(AP[[#This Row],[Payment date - override (dd/mm/yyyy)]] &lt;&gt; "", AP[[#This Row],[Payment date - override (dd/mm/yyyy)]], AP[[#This Row],[Due date (dd/mm/yyyy)]])</f>
        <v>0</v>
      </c>
      <c r="U400" s="46">
        <f t="shared" si="6"/>
        <v>52</v>
      </c>
    </row>
    <row r="401" spans="3:21" x14ac:dyDescent="0.25">
      <c r="C401" s="28"/>
      <c r="D401" s="20"/>
      <c r="E401" s="4"/>
      <c r="F401" s="37"/>
      <c r="G401" s="24"/>
      <c r="H401" s="31">
        <f>_xlfn.XLOOKUP(AP[[#This Row],[Supplier name]], Supplier_master[Supplier name], Supplier_master[Category L1], 0)</f>
        <v>0</v>
      </c>
      <c r="I401" s="64">
        <f>_xlfn.XLOOKUP(AP[[#This Row],[Supplier name]], Supplier_master[Supplier name], Supplier_master[Category L2], 0)</f>
        <v>0</v>
      </c>
      <c r="J401" s="55"/>
      <c r="K401" s="54"/>
      <c r="L401" s="57">
        <f>IF(AP[[#This Row],[Spend category L1 - Override]] &lt;&gt; "", AP[[#This Row],[Spend category L1 - Override]], AP[[#This Row],[Spend category L1]])</f>
        <v>0</v>
      </c>
      <c r="M401" s="57">
        <f>IF(AP[[#This Row],[Spend category L2 - Override]] &lt;&gt; "", AP[[#This Row],[Spend category L2 - Override]], AP[[#This Row],[Spend category L2]])</f>
        <v>0</v>
      </c>
      <c r="N401" s="51">
        <f>Assumptions!$D$15</f>
        <v>0.1</v>
      </c>
      <c r="O401" s="45">
        <f>IF(AP[[#This Row],[GST applies?]] = "Yes", (AP[[#This Row],[Invoice value inc. GST]] / 1 + AP[[#This Row],[GST %]]) * AP[[#This Row],[GST %]], 0)</f>
        <v>0</v>
      </c>
      <c r="P401" s="31">
        <f>_xlfn.XLOOKUP(AP[[#This Row],[Supplier name]], Supplier_master[Supplier name], Supplier_master[EOM or Net], 0)</f>
        <v>0</v>
      </c>
      <c r="Q401" s="31">
        <f>_xlfn.XLOOKUP(AP[[#This Row],[Supplier name]], Supplier_master[Supplier name], Supplier_master[Terms days], 0)</f>
        <v>0</v>
      </c>
      <c r="R4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1" s="4"/>
      <c r="T401" s="46">
        <f>IF(AP[[#This Row],[Payment date - override (dd/mm/yyyy)]] &lt;&gt; "", AP[[#This Row],[Payment date - override (dd/mm/yyyy)]], AP[[#This Row],[Due date (dd/mm/yyyy)]])</f>
        <v>0</v>
      </c>
      <c r="U401" s="46">
        <f t="shared" si="6"/>
        <v>52</v>
      </c>
    </row>
    <row r="402" spans="3:21" x14ac:dyDescent="0.25">
      <c r="C402" s="28"/>
      <c r="D402" s="20"/>
      <c r="E402" s="4"/>
      <c r="F402" s="37"/>
      <c r="G402" s="24"/>
      <c r="H402" s="31">
        <f>_xlfn.XLOOKUP(AP[[#This Row],[Supplier name]], Supplier_master[Supplier name], Supplier_master[Category L1], 0)</f>
        <v>0</v>
      </c>
      <c r="I402" s="64">
        <f>_xlfn.XLOOKUP(AP[[#This Row],[Supplier name]], Supplier_master[Supplier name], Supplier_master[Category L2], 0)</f>
        <v>0</v>
      </c>
      <c r="J402" s="55"/>
      <c r="K402" s="54"/>
      <c r="L402" s="57">
        <f>IF(AP[[#This Row],[Spend category L1 - Override]] &lt;&gt; "", AP[[#This Row],[Spend category L1 - Override]], AP[[#This Row],[Spend category L1]])</f>
        <v>0</v>
      </c>
      <c r="M402" s="57">
        <f>IF(AP[[#This Row],[Spend category L2 - Override]] &lt;&gt; "", AP[[#This Row],[Spend category L2 - Override]], AP[[#This Row],[Spend category L2]])</f>
        <v>0</v>
      </c>
      <c r="N402" s="51">
        <f>Assumptions!$D$15</f>
        <v>0.1</v>
      </c>
      <c r="O402" s="45">
        <f>IF(AP[[#This Row],[GST applies?]] = "Yes", (AP[[#This Row],[Invoice value inc. GST]] / 1 + AP[[#This Row],[GST %]]) * AP[[#This Row],[GST %]], 0)</f>
        <v>0</v>
      </c>
      <c r="P402" s="31">
        <f>_xlfn.XLOOKUP(AP[[#This Row],[Supplier name]], Supplier_master[Supplier name], Supplier_master[EOM or Net], 0)</f>
        <v>0</v>
      </c>
      <c r="Q402" s="31">
        <f>_xlfn.XLOOKUP(AP[[#This Row],[Supplier name]], Supplier_master[Supplier name], Supplier_master[Terms days], 0)</f>
        <v>0</v>
      </c>
      <c r="R4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2" s="4"/>
      <c r="T402" s="46">
        <f>IF(AP[[#This Row],[Payment date - override (dd/mm/yyyy)]] &lt;&gt; "", AP[[#This Row],[Payment date - override (dd/mm/yyyy)]], AP[[#This Row],[Due date (dd/mm/yyyy)]])</f>
        <v>0</v>
      </c>
      <c r="U402" s="46">
        <f t="shared" si="6"/>
        <v>52</v>
      </c>
    </row>
    <row r="403" spans="3:21" x14ac:dyDescent="0.25">
      <c r="C403" s="28"/>
      <c r="D403" s="20"/>
      <c r="E403" s="4"/>
      <c r="F403" s="37"/>
      <c r="G403" s="24"/>
      <c r="H403" s="31">
        <f>_xlfn.XLOOKUP(AP[[#This Row],[Supplier name]], Supplier_master[Supplier name], Supplier_master[Category L1], 0)</f>
        <v>0</v>
      </c>
      <c r="I403" s="64">
        <f>_xlfn.XLOOKUP(AP[[#This Row],[Supplier name]], Supplier_master[Supplier name], Supplier_master[Category L2], 0)</f>
        <v>0</v>
      </c>
      <c r="J403" s="55"/>
      <c r="K403" s="54"/>
      <c r="L403" s="57">
        <f>IF(AP[[#This Row],[Spend category L1 - Override]] &lt;&gt; "", AP[[#This Row],[Spend category L1 - Override]], AP[[#This Row],[Spend category L1]])</f>
        <v>0</v>
      </c>
      <c r="M403" s="57">
        <f>IF(AP[[#This Row],[Spend category L2 - Override]] &lt;&gt; "", AP[[#This Row],[Spend category L2 - Override]], AP[[#This Row],[Spend category L2]])</f>
        <v>0</v>
      </c>
      <c r="N403" s="51">
        <f>Assumptions!$D$15</f>
        <v>0.1</v>
      </c>
      <c r="O403" s="45">
        <f>IF(AP[[#This Row],[GST applies?]] = "Yes", (AP[[#This Row],[Invoice value inc. GST]] / 1 + AP[[#This Row],[GST %]]) * AP[[#This Row],[GST %]], 0)</f>
        <v>0</v>
      </c>
      <c r="P403" s="31">
        <f>_xlfn.XLOOKUP(AP[[#This Row],[Supplier name]], Supplier_master[Supplier name], Supplier_master[EOM or Net], 0)</f>
        <v>0</v>
      </c>
      <c r="Q403" s="31">
        <f>_xlfn.XLOOKUP(AP[[#This Row],[Supplier name]], Supplier_master[Supplier name], Supplier_master[Terms days], 0)</f>
        <v>0</v>
      </c>
      <c r="R4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3" s="4"/>
      <c r="T403" s="46">
        <f>IF(AP[[#This Row],[Payment date - override (dd/mm/yyyy)]] &lt;&gt; "", AP[[#This Row],[Payment date - override (dd/mm/yyyy)]], AP[[#This Row],[Due date (dd/mm/yyyy)]])</f>
        <v>0</v>
      </c>
      <c r="U403" s="46">
        <f t="shared" si="6"/>
        <v>52</v>
      </c>
    </row>
    <row r="404" spans="3:21" x14ac:dyDescent="0.25">
      <c r="C404" s="28"/>
      <c r="D404" s="20"/>
      <c r="E404" s="4"/>
      <c r="F404" s="37"/>
      <c r="G404" s="24"/>
      <c r="H404" s="31">
        <f>_xlfn.XLOOKUP(AP[[#This Row],[Supplier name]], Supplier_master[Supplier name], Supplier_master[Category L1], 0)</f>
        <v>0</v>
      </c>
      <c r="I404" s="64">
        <f>_xlfn.XLOOKUP(AP[[#This Row],[Supplier name]], Supplier_master[Supplier name], Supplier_master[Category L2], 0)</f>
        <v>0</v>
      </c>
      <c r="J404" s="55"/>
      <c r="K404" s="54"/>
      <c r="L404" s="57">
        <f>IF(AP[[#This Row],[Spend category L1 - Override]] &lt;&gt; "", AP[[#This Row],[Spend category L1 - Override]], AP[[#This Row],[Spend category L1]])</f>
        <v>0</v>
      </c>
      <c r="M404" s="57">
        <f>IF(AP[[#This Row],[Spend category L2 - Override]] &lt;&gt; "", AP[[#This Row],[Spend category L2 - Override]], AP[[#This Row],[Spend category L2]])</f>
        <v>0</v>
      </c>
      <c r="N404" s="51">
        <f>Assumptions!$D$15</f>
        <v>0.1</v>
      </c>
      <c r="O404" s="45">
        <f>IF(AP[[#This Row],[GST applies?]] = "Yes", (AP[[#This Row],[Invoice value inc. GST]] / 1 + AP[[#This Row],[GST %]]) * AP[[#This Row],[GST %]], 0)</f>
        <v>0</v>
      </c>
      <c r="P404" s="31">
        <f>_xlfn.XLOOKUP(AP[[#This Row],[Supplier name]], Supplier_master[Supplier name], Supplier_master[EOM or Net], 0)</f>
        <v>0</v>
      </c>
      <c r="Q404" s="31">
        <f>_xlfn.XLOOKUP(AP[[#This Row],[Supplier name]], Supplier_master[Supplier name], Supplier_master[Terms days], 0)</f>
        <v>0</v>
      </c>
      <c r="R4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4" s="4"/>
      <c r="T404" s="46">
        <f>IF(AP[[#This Row],[Payment date - override (dd/mm/yyyy)]] &lt;&gt; "", AP[[#This Row],[Payment date - override (dd/mm/yyyy)]], AP[[#This Row],[Due date (dd/mm/yyyy)]])</f>
        <v>0</v>
      </c>
      <c r="U404" s="46">
        <f t="shared" si="6"/>
        <v>52</v>
      </c>
    </row>
    <row r="405" spans="3:21" x14ac:dyDescent="0.25">
      <c r="C405" s="28"/>
      <c r="D405" s="20"/>
      <c r="E405" s="4"/>
      <c r="F405" s="37"/>
      <c r="G405" s="24"/>
      <c r="H405" s="31">
        <f>_xlfn.XLOOKUP(AP[[#This Row],[Supplier name]], Supplier_master[Supplier name], Supplier_master[Category L1], 0)</f>
        <v>0</v>
      </c>
      <c r="I405" s="64">
        <f>_xlfn.XLOOKUP(AP[[#This Row],[Supplier name]], Supplier_master[Supplier name], Supplier_master[Category L2], 0)</f>
        <v>0</v>
      </c>
      <c r="J405" s="55"/>
      <c r="K405" s="54"/>
      <c r="L405" s="57">
        <f>IF(AP[[#This Row],[Spend category L1 - Override]] &lt;&gt; "", AP[[#This Row],[Spend category L1 - Override]], AP[[#This Row],[Spend category L1]])</f>
        <v>0</v>
      </c>
      <c r="M405" s="57">
        <f>IF(AP[[#This Row],[Spend category L2 - Override]] &lt;&gt; "", AP[[#This Row],[Spend category L2 - Override]], AP[[#This Row],[Spend category L2]])</f>
        <v>0</v>
      </c>
      <c r="N405" s="51">
        <f>Assumptions!$D$15</f>
        <v>0.1</v>
      </c>
      <c r="O405" s="45">
        <f>IF(AP[[#This Row],[GST applies?]] = "Yes", (AP[[#This Row],[Invoice value inc. GST]] / 1 + AP[[#This Row],[GST %]]) * AP[[#This Row],[GST %]], 0)</f>
        <v>0</v>
      </c>
      <c r="P405" s="31">
        <f>_xlfn.XLOOKUP(AP[[#This Row],[Supplier name]], Supplier_master[Supplier name], Supplier_master[EOM or Net], 0)</f>
        <v>0</v>
      </c>
      <c r="Q405" s="31">
        <f>_xlfn.XLOOKUP(AP[[#This Row],[Supplier name]], Supplier_master[Supplier name], Supplier_master[Terms days], 0)</f>
        <v>0</v>
      </c>
      <c r="R4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5" s="4"/>
      <c r="T405" s="46">
        <f>IF(AP[[#This Row],[Payment date - override (dd/mm/yyyy)]] &lt;&gt; "", AP[[#This Row],[Payment date - override (dd/mm/yyyy)]], AP[[#This Row],[Due date (dd/mm/yyyy)]])</f>
        <v>0</v>
      </c>
      <c r="U405" s="46">
        <f t="shared" si="6"/>
        <v>52</v>
      </c>
    </row>
    <row r="406" spans="3:21" x14ac:dyDescent="0.25">
      <c r="C406" s="28"/>
      <c r="D406" s="20"/>
      <c r="E406" s="4"/>
      <c r="F406" s="37"/>
      <c r="G406" s="24"/>
      <c r="H406" s="31">
        <f>_xlfn.XLOOKUP(AP[[#This Row],[Supplier name]], Supplier_master[Supplier name], Supplier_master[Category L1], 0)</f>
        <v>0</v>
      </c>
      <c r="I406" s="64">
        <f>_xlfn.XLOOKUP(AP[[#This Row],[Supplier name]], Supplier_master[Supplier name], Supplier_master[Category L2], 0)</f>
        <v>0</v>
      </c>
      <c r="J406" s="55"/>
      <c r="K406" s="54"/>
      <c r="L406" s="57">
        <f>IF(AP[[#This Row],[Spend category L1 - Override]] &lt;&gt; "", AP[[#This Row],[Spend category L1 - Override]], AP[[#This Row],[Spend category L1]])</f>
        <v>0</v>
      </c>
      <c r="M406" s="57">
        <f>IF(AP[[#This Row],[Spend category L2 - Override]] &lt;&gt; "", AP[[#This Row],[Spend category L2 - Override]], AP[[#This Row],[Spend category L2]])</f>
        <v>0</v>
      </c>
      <c r="N406" s="51">
        <f>Assumptions!$D$15</f>
        <v>0.1</v>
      </c>
      <c r="O406" s="45">
        <f>IF(AP[[#This Row],[GST applies?]] = "Yes", (AP[[#This Row],[Invoice value inc. GST]] / 1 + AP[[#This Row],[GST %]]) * AP[[#This Row],[GST %]], 0)</f>
        <v>0</v>
      </c>
      <c r="P406" s="31">
        <f>_xlfn.XLOOKUP(AP[[#This Row],[Supplier name]], Supplier_master[Supplier name], Supplier_master[EOM or Net], 0)</f>
        <v>0</v>
      </c>
      <c r="Q406" s="31">
        <f>_xlfn.XLOOKUP(AP[[#This Row],[Supplier name]], Supplier_master[Supplier name], Supplier_master[Terms days], 0)</f>
        <v>0</v>
      </c>
      <c r="R4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6" s="4"/>
      <c r="T406" s="46">
        <f>IF(AP[[#This Row],[Payment date - override (dd/mm/yyyy)]] &lt;&gt; "", AP[[#This Row],[Payment date - override (dd/mm/yyyy)]], AP[[#This Row],[Due date (dd/mm/yyyy)]])</f>
        <v>0</v>
      </c>
      <c r="U406" s="46">
        <f t="shared" si="6"/>
        <v>52</v>
      </c>
    </row>
    <row r="407" spans="3:21" x14ac:dyDescent="0.25">
      <c r="C407" s="28"/>
      <c r="D407" s="20"/>
      <c r="E407" s="4"/>
      <c r="F407" s="37"/>
      <c r="G407" s="24"/>
      <c r="H407" s="31">
        <f>_xlfn.XLOOKUP(AP[[#This Row],[Supplier name]], Supplier_master[Supplier name], Supplier_master[Category L1], 0)</f>
        <v>0</v>
      </c>
      <c r="I407" s="64">
        <f>_xlfn.XLOOKUP(AP[[#This Row],[Supplier name]], Supplier_master[Supplier name], Supplier_master[Category L2], 0)</f>
        <v>0</v>
      </c>
      <c r="J407" s="55"/>
      <c r="K407" s="54"/>
      <c r="L407" s="57">
        <f>IF(AP[[#This Row],[Spend category L1 - Override]] &lt;&gt; "", AP[[#This Row],[Spend category L1 - Override]], AP[[#This Row],[Spend category L1]])</f>
        <v>0</v>
      </c>
      <c r="M407" s="57">
        <f>IF(AP[[#This Row],[Spend category L2 - Override]] &lt;&gt; "", AP[[#This Row],[Spend category L2 - Override]], AP[[#This Row],[Spend category L2]])</f>
        <v>0</v>
      </c>
      <c r="N407" s="51">
        <f>Assumptions!$D$15</f>
        <v>0.1</v>
      </c>
      <c r="O407" s="45">
        <f>IF(AP[[#This Row],[GST applies?]] = "Yes", (AP[[#This Row],[Invoice value inc. GST]] / 1 + AP[[#This Row],[GST %]]) * AP[[#This Row],[GST %]], 0)</f>
        <v>0</v>
      </c>
      <c r="P407" s="31">
        <f>_xlfn.XLOOKUP(AP[[#This Row],[Supplier name]], Supplier_master[Supplier name], Supplier_master[EOM or Net], 0)</f>
        <v>0</v>
      </c>
      <c r="Q407" s="31">
        <f>_xlfn.XLOOKUP(AP[[#This Row],[Supplier name]], Supplier_master[Supplier name], Supplier_master[Terms days], 0)</f>
        <v>0</v>
      </c>
      <c r="R4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7" s="4"/>
      <c r="T407" s="46">
        <f>IF(AP[[#This Row],[Payment date - override (dd/mm/yyyy)]] &lt;&gt; "", AP[[#This Row],[Payment date - override (dd/mm/yyyy)]], AP[[#This Row],[Due date (dd/mm/yyyy)]])</f>
        <v>0</v>
      </c>
      <c r="U407" s="46">
        <f t="shared" si="6"/>
        <v>52</v>
      </c>
    </row>
    <row r="408" spans="3:21" x14ac:dyDescent="0.25">
      <c r="C408" s="28"/>
      <c r="D408" s="20"/>
      <c r="E408" s="4"/>
      <c r="F408" s="37"/>
      <c r="G408" s="24"/>
      <c r="H408" s="31">
        <f>_xlfn.XLOOKUP(AP[[#This Row],[Supplier name]], Supplier_master[Supplier name], Supplier_master[Category L1], 0)</f>
        <v>0</v>
      </c>
      <c r="I408" s="64">
        <f>_xlfn.XLOOKUP(AP[[#This Row],[Supplier name]], Supplier_master[Supplier name], Supplier_master[Category L2], 0)</f>
        <v>0</v>
      </c>
      <c r="J408" s="55"/>
      <c r="K408" s="54"/>
      <c r="L408" s="57">
        <f>IF(AP[[#This Row],[Spend category L1 - Override]] &lt;&gt; "", AP[[#This Row],[Spend category L1 - Override]], AP[[#This Row],[Spend category L1]])</f>
        <v>0</v>
      </c>
      <c r="M408" s="57">
        <f>IF(AP[[#This Row],[Spend category L2 - Override]] &lt;&gt; "", AP[[#This Row],[Spend category L2 - Override]], AP[[#This Row],[Spend category L2]])</f>
        <v>0</v>
      </c>
      <c r="N408" s="51">
        <f>Assumptions!$D$15</f>
        <v>0.1</v>
      </c>
      <c r="O408" s="45">
        <f>IF(AP[[#This Row],[GST applies?]] = "Yes", (AP[[#This Row],[Invoice value inc. GST]] / 1 + AP[[#This Row],[GST %]]) * AP[[#This Row],[GST %]], 0)</f>
        <v>0</v>
      </c>
      <c r="P408" s="31">
        <f>_xlfn.XLOOKUP(AP[[#This Row],[Supplier name]], Supplier_master[Supplier name], Supplier_master[EOM or Net], 0)</f>
        <v>0</v>
      </c>
      <c r="Q408" s="31">
        <f>_xlfn.XLOOKUP(AP[[#This Row],[Supplier name]], Supplier_master[Supplier name], Supplier_master[Terms days], 0)</f>
        <v>0</v>
      </c>
      <c r="R4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8" s="4"/>
      <c r="T408" s="46">
        <f>IF(AP[[#This Row],[Payment date - override (dd/mm/yyyy)]] &lt;&gt; "", AP[[#This Row],[Payment date - override (dd/mm/yyyy)]], AP[[#This Row],[Due date (dd/mm/yyyy)]])</f>
        <v>0</v>
      </c>
      <c r="U408" s="46">
        <f t="shared" si="6"/>
        <v>52</v>
      </c>
    </row>
    <row r="409" spans="3:21" x14ac:dyDescent="0.25">
      <c r="C409" s="28"/>
      <c r="D409" s="20"/>
      <c r="E409" s="4"/>
      <c r="F409" s="37"/>
      <c r="G409" s="24"/>
      <c r="H409" s="31">
        <f>_xlfn.XLOOKUP(AP[[#This Row],[Supplier name]], Supplier_master[Supplier name], Supplier_master[Category L1], 0)</f>
        <v>0</v>
      </c>
      <c r="I409" s="64">
        <f>_xlfn.XLOOKUP(AP[[#This Row],[Supplier name]], Supplier_master[Supplier name], Supplier_master[Category L2], 0)</f>
        <v>0</v>
      </c>
      <c r="J409" s="55"/>
      <c r="K409" s="54"/>
      <c r="L409" s="57">
        <f>IF(AP[[#This Row],[Spend category L1 - Override]] &lt;&gt; "", AP[[#This Row],[Spend category L1 - Override]], AP[[#This Row],[Spend category L1]])</f>
        <v>0</v>
      </c>
      <c r="M409" s="57">
        <f>IF(AP[[#This Row],[Spend category L2 - Override]] &lt;&gt; "", AP[[#This Row],[Spend category L2 - Override]], AP[[#This Row],[Spend category L2]])</f>
        <v>0</v>
      </c>
      <c r="N409" s="51">
        <f>Assumptions!$D$15</f>
        <v>0.1</v>
      </c>
      <c r="O409" s="45">
        <f>IF(AP[[#This Row],[GST applies?]] = "Yes", (AP[[#This Row],[Invoice value inc. GST]] / 1 + AP[[#This Row],[GST %]]) * AP[[#This Row],[GST %]], 0)</f>
        <v>0</v>
      </c>
      <c r="P409" s="31">
        <f>_xlfn.XLOOKUP(AP[[#This Row],[Supplier name]], Supplier_master[Supplier name], Supplier_master[EOM or Net], 0)</f>
        <v>0</v>
      </c>
      <c r="Q409" s="31">
        <f>_xlfn.XLOOKUP(AP[[#This Row],[Supplier name]], Supplier_master[Supplier name], Supplier_master[Terms days], 0)</f>
        <v>0</v>
      </c>
      <c r="R4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9" s="4"/>
      <c r="T409" s="46">
        <f>IF(AP[[#This Row],[Payment date - override (dd/mm/yyyy)]] &lt;&gt; "", AP[[#This Row],[Payment date - override (dd/mm/yyyy)]], AP[[#This Row],[Due date (dd/mm/yyyy)]])</f>
        <v>0</v>
      </c>
      <c r="U409" s="46">
        <f t="shared" si="6"/>
        <v>52</v>
      </c>
    </row>
    <row r="410" spans="3:21" x14ac:dyDescent="0.25">
      <c r="C410" s="28"/>
      <c r="D410" s="20"/>
      <c r="E410" s="4"/>
      <c r="F410" s="37"/>
      <c r="G410" s="24"/>
      <c r="H410" s="31">
        <f>_xlfn.XLOOKUP(AP[[#This Row],[Supplier name]], Supplier_master[Supplier name], Supplier_master[Category L1], 0)</f>
        <v>0</v>
      </c>
      <c r="I410" s="64">
        <f>_xlfn.XLOOKUP(AP[[#This Row],[Supplier name]], Supplier_master[Supplier name], Supplier_master[Category L2], 0)</f>
        <v>0</v>
      </c>
      <c r="J410" s="55"/>
      <c r="K410" s="54"/>
      <c r="L410" s="57">
        <f>IF(AP[[#This Row],[Spend category L1 - Override]] &lt;&gt; "", AP[[#This Row],[Spend category L1 - Override]], AP[[#This Row],[Spend category L1]])</f>
        <v>0</v>
      </c>
      <c r="M410" s="57">
        <f>IF(AP[[#This Row],[Spend category L2 - Override]] &lt;&gt; "", AP[[#This Row],[Spend category L2 - Override]], AP[[#This Row],[Spend category L2]])</f>
        <v>0</v>
      </c>
      <c r="N410" s="51">
        <f>Assumptions!$D$15</f>
        <v>0.1</v>
      </c>
      <c r="O410" s="45">
        <f>IF(AP[[#This Row],[GST applies?]] = "Yes", (AP[[#This Row],[Invoice value inc. GST]] / 1 + AP[[#This Row],[GST %]]) * AP[[#This Row],[GST %]], 0)</f>
        <v>0</v>
      </c>
      <c r="P410" s="31">
        <f>_xlfn.XLOOKUP(AP[[#This Row],[Supplier name]], Supplier_master[Supplier name], Supplier_master[EOM or Net], 0)</f>
        <v>0</v>
      </c>
      <c r="Q410" s="31">
        <f>_xlfn.XLOOKUP(AP[[#This Row],[Supplier name]], Supplier_master[Supplier name], Supplier_master[Terms days], 0)</f>
        <v>0</v>
      </c>
      <c r="R4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0" s="4"/>
      <c r="T410" s="46">
        <f>IF(AP[[#This Row],[Payment date - override (dd/mm/yyyy)]] &lt;&gt; "", AP[[#This Row],[Payment date - override (dd/mm/yyyy)]], AP[[#This Row],[Due date (dd/mm/yyyy)]])</f>
        <v>0</v>
      </c>
      <c r="U410" s="46">
        <f t="shared" si="6"/>
        <v>52</v>
      </c>
    </row>
    <row r="411" spans="3:21" x14ac:dyDescent="0.25">
      <c r="C411" s="28"/>
      <c r="D411" s="20"/>
      <c r="E411" s="4"/>
      <c r="F411" s="37"/>
      <c r="G411" s="24"/>
      <c r="H411" s="31">
        <f>_xlfn.XLOOKUP(AP[[#This Row],[Supplier name]], Supplier_master[Supplier name], Supplier_master[Category L1], 0)</f>
        <v>0</v>
      </c>
      <c r="I411" s="64">
        <f>_xlfn.XLOOKUP(AP[[#This Row],[Supplier name]], Supplier_master[Supplier name], Supplier_master[Category L2], 0)</f>
        <v>0</v>
      </c>
      <c r="J411" s="55"/>
      <c r="K411" s="54"/>
      <c r="L411" s="57">
        <f>IF(AP[[#This Row],[Spend category L1 - Override]] &lt;&gt; "", AP[[#This Row],[Spend category L1 - Override]], AP[[#This Row],[Spend category L1]])</f>
        <v>0</v>
      </c>
      <c r="M411" s="57">
        <f>IF(AP[[#This Row],[Spend category L2 - Override]] &lt;&gt; "", AP[[#This Row],[Spend category L2 - Override]], AP[[#This Row],[Spend category L2]])</f>
        <v>0</v>
      </c>
      <c r="N411" s="51">
        <f>Assumptions!$D$15</f>
        <v>0.1</v>
      </c>
      <c r="O411" s="45">
        <f>IF(AP[[#This Row],[GST applies?]] = "Yes", (AP[[#This Row],[Invoice value inc. GST]] / 1 + AP[[#This Row],[GST %]]) * AP[[#This Row],[GST %]], 0)</f>
        <v>0</v>
      </c>
      <c r="P411" s="31">
        <f>_xlfn.XLOOKUP(AP[[#This Row],[Supplier name]], Supplier_master[Supplier name], Supplier_master[EOM or Net], 0)</f>
        <v>0</v>
      </c>
      <c r="Q411" s="31">
        <f>_xlfn.XLOOKUP(AP[[#This Row],[Supplier name]], Supplier_master[Supplier name], Supplier_master[Terms days], 0)</f>
        <v>0</v>
      </c>
      <c r="R4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1" s="4"/>
      <c r="T411" s="46">
        <f>IF(AP[[#This Row],[Payment date - override (dd/mm/yyyy)]] &lt;&gt; "", AP[[#This Row],[Payment date - override (dd/mm/yyyy)]], AP[[#This Row],[Due date (dd/mm/yyyy)]])</f>
        <v>0</v>
      </c>
      <c r="U411" s="46">
        <f t="shared" si="6"/>
        <v>52</v>
      </c>
    </row>
    <row r="412" spans="3:21" x14ac:dyDescent="0.25">
      <c r="C412" s="28"/>
      <c r="D412" s="20"/>
      <c r="E412" s="4"/>
      <c r="F412" s="37"/>
      <c r="G412" s="24"/>
      <c r="H412" s="31">
        <f>_xlfn.XLOOKUP(AP[[#This Row],[Supplier name]], Supplier_master[Supplier name], Supplier_master[Category L1], 0)</f>
        <v>0</v>
      </c>
      <c r="I412" s="64">
        <f>_xlfn.XLOOKUP(AP[[#This Row],[Supplier name]], Supplier_master[Supplier name], Supplier_master[Category L2], 0)</f>
        <v>0</v>
      </c>
      <c r="J412" s="55"/>
      <c r="K412" s="54"/>
      <c r="L412" s="57">
        <f>IF(AP[[#This Row],[Spend category L1 - Override]] &lt;&gt; "", AP[[#This Row],[Spend category L1 - Override]], AP[[#This Row],[Spend category L1]])</f>
        <v>0</v>
      </c>
      <c r="M412" s="57">
        <f>IF(AP[[#This Row],[Spend category L2 - Override]] &lt;&gt; "", AP[[#This Row],[Spend category L2 - Override]], AP[[#This Row],[Spend category L2]])</f>
        <v>0</v>
      </c>
      <c r="N412" s="51">
        <f>Assumptions!$D$15</f>
        <v>0.1</v>
      </c>
      <c r="O412" s="45">
        <f>IF(AP[[#This Row],[GST applies?]] = "Yes", (AP[[#This Row],[Invoice value inc. GST]] / 1 + AP[[#This Row],[GST %]]) * AP[[#This Row],[GST %]], 0)</f>
        <v>0</v>
      </c>
      <c r="P412" s="31">
        <f>_xlfn.XLOOKUP(AP[[#This Row],[Supplier name]], Supplier_master[Supplier name], Supplier_master[EOM or Net], 0)</f>
        <v>0</v>
      </c>
      <c r="Q412" s="31">
        <f>_xlfn.XLOOKUP(AP[[#This Row],[Supplier name]], Supplier_master[Supplier name], Supplier_master[Terms days], 0)</f>
        <v>0</v>
      </c>
      <c r="R4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2" s="4"/>
      <c r="T412" s="46">
        <f>IF(AP[[#This Row],[Payment date - override (dd/mm/yyyy)]] &lt;&gt; "", AP[[#This Row],[Payment date - override (dd/mm/yyyy)]], AP[[#This Row],[Due date (dd/mm/yyyy)]])</f>
        <v>0</v>
      </c>
      <c r="U412" s="46">
        <f t="shared" si="6"/>
        <v>52</v>
      </c>
    </row>
    <row r="413" spans="3:21" x14ac:dyDescent="0.25">
      <c r="C413" s="28"/>
      <c r="D413" s="20"/>
      <c r="E413" s="4"/>
      <c r="F413" s="37"/>
      <c r="G413" s="24"/>
      <c r="H413" s="31">
        <f>_xlfn.XLOOKUP(AP[[#This Row],[Supplier name]], Supplier_master[Supplier name], Supplier_master[Category L1], 0)</f>
        <v>0</v>
      </c>
      <c r="I413" s="64">
        <f>_xlfn.XLOOKUP(AP[[#This Row],[Supplier name]], Supplier_master[Supplier name], Supplier_master[Category L2], 0)</f>
        <v>0</v>
      </c>
      <c r="J413" s="55"/>
      <c r="K413" s="54"/>
      <c r="L413" s="57">
        <f>IF(AP[[#This Row],[Spend category L1 - Override]] &lt;&gt; "", AP[[#This Row],[Spend category L1 - Override]], AP[[#This Row],[Spend category L1]])</f>
        <v>0</v>
      </c>
      <c r="M413" s="57">
        <f>IF(AP[[#This Row],[Spend category L2 - Override]] &lt;&gt; "", AP[[#This Row],[Spend category L2 - Override]], AP[[#This Row],[Spend category L2]])</f>
        <v>0</v>
      </c>
      <c r="N413" s="51">
        <f>Assumptions!$D$15</f>
        <v>0.1</v>
      </c>
      <c r="O413" s="45">
        <f>IF(AP[[#This Row],[GST applies?]] = "Yes", (AP[[#This Row],[Invoice value inc. GST]] / 1 + AP[[#This Row],[GST %]]) * AP[[#This Row],[GST %]], 0)</f>
        <v>0</v>
      </c>
      <c r="P413" s="31">
        <f>_xlfn.XLOOKUP(AP[[#This Row],[Supplier name]], Supplier_master[Supplier name], Supplier_master[EOM or Net], 0)</f>
        <v>0</v>
      </c>
      <c r="Q413" s="31">
        <f>_xlfn.XLOOKUP(AP[[#This Row],[Supplier name]], Supplier_master[Supplier name], Supplier_master[Terms days], 0)</f>
        <v>0</v>
      </c>
      <c r="R4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3" s="4"/>
      <c r="T413" s="46">
        <f>IF(AP[[#This Row],[Payment date - override (dd/mm/yyyy)]] &lt;&gt; "", AP[[#This Row],[Payment date - override (dd/mm/yyyy)]], AP[[#This Row],[Due date (dd/mm/yyyy)]])</f>
        <v>0</v>
      </c>
      <c r="U413" s="46">
        <f t="shared" si="6"/>
        <v>52</v>
      </c>
    </row>
    <row r="414" spans="3:21" x14ac:dyDescent="0.25">
      <c r="C414" s="28"/>
      <c r="D414" s="20"/>
      <c r="E414" s="4"/>
      <c r="F414" s="37"/>
      <c r="G414" s="24"/>
      <c r="H414" s="31">
        <f>_xlfn.XLOOKUP(AP[[#This Row],[Supplier name]], Supplier_master[Supplier name], Supplier_master[Category L1], 0)</f>
        <v>0</v>
      </c>
      <c r="I414" s="64">
        <f>_xlfn.XLOOKUP(AP[[#This Row],[Supplier name]], Supplier_master[Supplier name], Supplier_master[Category L2], 0)</f>
        <v>0</v>
      </c>
      <c r="J414" s="55"/>
      <c r="K414" s="54"/>
      <c r="L414" s="57">
        <f>IF(AP[[#This Row],[Spend category L1 - Override]] &lt;&gt; "", AP[[#This Row],[Spend category L1 - Override]], AP[[#This Row],[Spend category L1]])</f>
        <v>0</v>
      </c>
      <c r="M414" s="57">
        <f>IF(AP[[#This Row],[Spend category L2 - Override]] &lt;&gt; "", AP[[#This Row],[Spend category L2 - Override]], AP[[#This Row],[Spend category L2]])</f>
        <v>0</v>
      </c>
      <c r="N414" s="51">
        <f>Assumptions!$D$15</f>
        <v>0.1</v>
      </c>
      <c r="O414" s="45">
        <f>IF(AP[[#This Row],[GST applies?]] = "Yes", (AP[[#This Row],[Invoice value inc. GST]] / 1 + AP[[#This Row],[GST %]]) * AP[[#This Row],[GST %]], 0)</f>
        <v>0</v>
      </c>
      <c r="P414" s="31">
        <f>_xlfn.XLOOKUP(AP[[#This Row],[Supplier name]], Supplier_master[Supplier name], Supplier_master[EOM or Net], 0)</f>
        <v>0</v>
      </c>
      <c r="Q414" s="31">
        <f>_xlfn.XLOOKUP(AP[[#This Row],[Supplier name]], Supplier_master[Supplier name], Supplier_master[Terms days], 0)</f>
        <v>0</v>
      </c>
      <c r="R4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4" s="4"/>
      <c r="T414" s="46">
        <f>IF(AP[[#This Row],[Payment date - override (dd/mm/yyyy)]] &lt;&gt; "", AP[[#This Row],[Payment date - override (dd/mm/yyyy)]], AP[[#This Row],[Due date (dd/mm/yyyy)]])</f>
        <v>0</v>
      </c>
      <c r="U414" s="46">
        <f t="shared" si="6"/>
        <v>52</v>
      </c>
    </row>
    <row r="415" spans="3:21" x14ac:dyDescent="0.25">
      <c r="C415" s="28"/>
      <c r="D415" s="20"/>
      <c r="E415" s="4"/>
      <c r="F415" s="37"/>
      <c r="G415" s="24"/>
      <c r="H415" s="31">
        <f>_xlfn.XLOOKUP(AP[[#This Row],[Supplier name]], Supplier_master[Supplier name], Supplier_master[Category L1], 0)</f>
        <v>0</v>
      </c>
      <c r="I415" s="64">
        <f>_xlfn.XLOOKUP(AP[[#This Row],[Supplier name]], Supplier_master[Supplier name], Supplier_master[Category L2], 0)</f>
        <v>0</v>
      </c>
      <c r="J415" s="55"/>
      <c r="K415" s="54"/>
      <c r="L415" s="57">
        <f>IF(AP[[#This Row],[Spend category L1 - Override]] &lt;&gt; "", AP[[#This Row],[Spend category L1 - Override]], AP[[#This Row],[Spend category L1]])</f>
        <v>0</v>
      </c>
      <c r="M415" s="57">
        <f>IF(AP[[#This Row],[Spend category L2 - Override]] &lt;&gt; "", AP[[#This Row],[Spend category L2 - Override]], AP[[#This Row],[Spend category L2]])</f>
        <v>0</v>
      </c>
      <c r="N415" s="51">
        <f>Assumptions!$D$15</f>
        <v>0.1</v>
      </c>
      <c r="O415" s="45">
        <f>IF(AP[[#This Row],[GST applies?]] = "Yes", (AP[[#This Row],[Invoice value inc. GST]] / 1 + AP[[#This Row],[GST %]]) * AP[[#This Row],[GST %]], 0)</f>
        <v>0</v>
      </c>
      <c r="P415" s="31">
        <f>_xlfn.XLOOKUP(AP[[#This Row],[Supplier name]], Supplier_master[Supplier name], Supplier_master[EOM or Net], 0)</f>
        <v>0</v>
      </c>
      <c r="Q415" s="31">
        <f>_xlfn.XLOOKUP(AP[[#This Row],[Supplier name]], Supplier_master[Supplier name], Supplier_master[Terms days], 0)</f>
        <v>0</v>
      </c>
      <c r="R4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5" s="4"/>
      <c r="T415" s="46">
        <f>IF(AP[[#This Row],[Payment date - override (dd/mm/yyyy)]] &lt;&gt; "", AP[[#This Row],[Payment date - override (dd/mm/yyyy)]], AP[[#This Row],[Due date (dd/mm/yyyy)]])</f>
        <v>0</v>
      </c>
      <c r="U415" s="46">
        <f t="shared" si="6"/>
        <v>52</v>
      </c>
    </row>
    <row r="416" spans="3:21" x14ac:dyDescent="0.25">
      <c r="C416" s="28"/>
      <c r="D416" s="20"/>
      <c r="E416" s="4"/>
      <c r="F416" s="37"/>
      <c r="G416" s="24"/>
      <c r="H416" s="31">
        <f>_xlfn.XLOOKUP(AP[[#This Row],[Supplier name]], Supplier_master[Supplier name], Supplier_master[Category L1], 0)</f>
        <v>0</v>
      </c>
      <c r="I416" s="64">
        <f>_xlfn.XLOOKUP(AP[[#This Row],[Supplier name]], Supplier_master[Supplier name], Supplier_master[Category L2], 0)</f>
        <v>0</v>
      </c>
      <c r="J416" s="55"/>
      <c r="K416" s="54"/>
      <c r="L416" s="57">
        <f>IF(AP[[#This Row],[Spend category L1 - Override]] &lt;&gt; "", AP[[#This Row],[Spend category L1 - Override]], AP[[#This Row],[Spend category L1]])</f>
        <v>0</v>
      </c>
      <c r="M416" s="57">
        <f>IF(AP[[#This Row],[Spend category L2 - Override]] &lt;&gt; "", AP[[#This Row],[Spend category L2 - Override]], AP[[#This Row],[Spend category L2]])</f>
        <v>0</v>
      </c>
      <c r="N416" s="51">
        <f>Assumptions!$D$15</f>
        <v>0.1</v>
      </c>
      <c r="O416" s="45">
        <f>IF(AP[[#This Row],[GST applies?]] = "Yes", (AP[[#This Row],[Invoice value inc. GST]] / 1 + AP[[#This Row],[GST %]]) * AP[[#This Row],[GST %]], 0)</f>
        <v>0</v>
      </c>
      <c r="P416" s="31">
        <f>_xlfn.XLOOKUP(AP[[#This Row],[Supplier name]], Supplier_master[Supplier name], Supplier_master[EOM or Net], 0)</f>
        <v>0</v>
      </c>
      <c r="Q416" s="31">
        <f>_xlfn.XLOOKUP(AP[[#This Row],[Supplier name]], Supplier_master[Supplier name], Supplier_master[Terms days], 0)</f>
        <v>0</v>
      </c>
      <c r="R4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6" s="4"/>
      <c r="T416" s="46">
        <f>IF(AP[[#This Row],[Payment date - override (dd/mm/yyyy)]] &lt;&gt; "", AP[[#This Row],[Payment date - override (dd/mm/yyyy)]], AP[[#This Row],[Due date (dd/mm/yyyy)]])</f>
        <v>0</v>
      </c>
      <c r="U416" s="46">
        <f t="shared" si="6"/>
        <v>52</v>
      </c>
    </row>
    <row r="417" spans="3:21" x14ac:dyDescent="0.25">
      <c r="C417" s="28"/>
      <c r="D417" s="20"/>
      <c r="E417" s="4"/>
      <c r="F417" s="37"/>
      <c r="G417" s="24"/>
      <c r="H417" s="31">
        <f>_xlfn.XLOOKUP(AP[[#This Row],[Supplier name]], Supplier_master[Supplier name], Supplier_master[Category L1], 0)</f>
        <v>0</v>
      </c>
      <c r="I417" s="64">
        <f>_xlfn.XLOOKUP(AP[[#This Row],[Supplier name]], Supplier_master[Supplier name], Supplier_master[Category L2], 0)</f>
        <v>0</v>
      </c>
      <c r="J417" s="55"/>
      <c r="K417" s="54"/>
      <c r="L417" s="57">
        <f>IF(AP[[#This Row],[Spend category L1 - Override]] &lt;&gt; "", AP[[#This Row],[Spend category L1 - Override]], AP[[#This Row],[Spend category L1]])</f>
        <v>0</v>
      </c>
      <c r="M417" s="57">
        <f>IF(AP[[#This Row],[Spend category L2 - Override]] &lt;&gt; "", AP[[#This Row],[Spend category L2 - Override]], AP[[#This Row],[Spend category L2]])</f>
        <v>0</v>
      </c>
      <c r="N417" s="51">
        <f>Assumptions!$D$15</f>
        <v>0.1</v>
      </c>
      <c r="O417" s="45">
        <f>IF(AP[[#This Row],[GST applies?]] = "Yes", (AP[[#This Row],[Invoice value inc. GST]] / 1 + AP[[#This Row],[GST %]]) * AP[[#This Row],[GST %]], 0)</f>
        <v>0</v>
      </c>
      <c r="P417" s="31">
        <f>_xlfn.XLOOKUP(AP[[#This Row],[Supplier name]], Supplier_master[Supplier name], Supplier_master[EOM or Net], 0)</f>
        <v>0</v>
      </c>
      <c r="Q417" s="31">
        <f>_xlfn.XLOOKUP(AP[[#This Row],[Supplier name]], Supplier_master[Supplier name], Supplier_master[Terms days], 0)</f>
        <v>0</v>
      </c>
      <c r="R4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7" s="4"/>
      <c r="T417" s="46">
        <f>IF(AP[[#This Row],[Payment date - override (dd/mm/yyyy)]] &lt;&gt; "", AP[[#This Row],[Payment date - override (dd/mm/yyyy)]], AP[[#This Row],[Due date (dd/mm/yyyy)]])</f>
        <v>0</v>
      </c>
      <c r="U417" s="46">
        <f t="shared" si="6"/>
        <v>52</v>
      </c>
    </row>
    <row r="418" spans="3:21" x14ac:dyDescent="0.25">
      <c r="C418" s="28"/>
      <c r="D418" s="20"/>
      <c r="E418" s="4"/>
      <c r="F418" s="37"/>
      <c r="G418" s="24"/>
      <c r="H418" s="31">
        <f>_xlfn.XLOOKUP(AP[[#This Row],[Supplier name]], Supplier_master[Supplier name], Supplier_master[Category L1], 0)</f>
        <v>0</v>
      </c>
      <c r="I418" s="64">
        <f>_xlfn.XLOOKUP(AP[[#This Row],[Supplier name]], Supplier_master[Supplier name], Supplier_master[Category L2], 0)</f>
        <v>0</v>
      </c>
      <c r="J418" s="55"/>
      <c r="K418" s="54"/>
      <c r="L418" s="57">
        <f>IF(AP[[#This Row],[Spend category L1 - Override]] &lt;&gt; "", AP[[#This Row],[Spend category L1 - Override]], AP[[#This Row],[Spend category L1]])</f>
        <v>0</v>
      </c>
      <c r="M418" s="57">
        <f>IF(AP[[#This Row],[Spend category L2 - Override]] &lt;&gt; "", AP[[#This Row],[Spend category L2 - Override]], AP[[#This Row],[Spend category L2]])</f>
        <v>0</v>
      </c>
      <c r="N418" s="51">
        <f>Assumptions!$D$15</f>
        <v>0.1</v>
      </c>
      <c r="O418" s="45">
        <f>IF(AP[[#This Row],[GST applies?]] = "Yes", (AP[[#This Row],[Invoice value inc. GST]] / 1 + AP[[#This Row],[GST %]]) * AP[[#This Row],[GST %]], 0)</f>
        <v>0</v>
      </c>
      <c r="P418" s="31">
        <f>_xlfn.XLOOKUP(AP[[#This Row],[Supplier name]], Supplier_master[Supplier name], Supplier_master[EOM or Net], 0)</f>
        <v>0</v>
      </c>
      <c r="Q418" s="31">
        <f>_xlfn.XLOOKUP(AP[[#This Row],[Supplier name]], Supplier_master[Supplier name], Supplier_master[Terms days], 0)</f>
        <v>0</v>
      </c>
      <c r="R4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8" s="4"/>
      <c r="T418" s="46">
        <f>IF(AP[[#This Row],[Payment date - override (dd/mm/yyyy)]] &lt;&gt; "", AP[[#This Row],[Payment date - override (dd/mm/yyyy)]], AP[[#This Row],[Due date (dd/mm/yyyy)]])</f>
        <v>0</v>
      </c>
      <c r="U418" s="46">
        <f t="shared" si="6"/>
        <v>52</v>
      </c>
    </row>
    <row r="419" spans="3:21" x14ac:dyDescent="0.25">
      <c r="C419" s="28"/>
      <c r="D419" s="20"/>
      <c r="E419" s="4"/>
      <c r="F419" s="37"/>
      <c r="G419" s="24"/>
      <c r="H419" s="31">
        <f>_xlfn.XLOOKUP(AP[[#This Row],[Supplier name]], Supplier_master[Supplier name], Supplier_master[Category L1], 0)</f>
        <v>0</v>
      </c>
      <c r="I419" s="64">
        <f>_xlfn.XLOOKUP(AP[[#This Row],[Supplier name]], Supplier_master[Supplier name], Supplier_master[Category L2], 0)</f>
        <v>0</v>
      </c>
      <c r="J419" s="55"/>
      <c r="K419" s="54"/>
      <c r="L419" s="57">
        <f>IF(AP[[#This Row],[Spend category L1 - Override]] &lt;&gt; "", AP[[#This Row],[Spend category L1 - Override]], AP[[#This Row],[Spend category L1]])</f>
        <v>0</v>
      </c>
      <c r="M419" s="57">
        <f>IF(AP[[#This Row],[Spend category L2 - Override]] &lt;&gt; "", AP[[#This Row],[Spend category L2 - Override]], AP[[#This Row],[Spend category L2]])</f>
        <v>0</v>
      </c>
      <c r="N419" s="51">
        <f>Assumptions!$D$15</f>
        <v>0.1</v>
      </c>
      <c r="O419" s="45">
        <f>IF(AP[[#This Row],[GST applies?]] = "Yes", (AP[[#This Row],[Invoice value inc. GST]] / 1 + AP[[#This Row],[GST %]]) * AP[[#This Row],[GST %]], 0)</f>
        <v>0</v>
      </c>
      <c r="P419" s="31">
        <f>_xlfn.XLOOKUP(AP[[#This Row],[Supplier name]], Supplier_master[Supplier name], Supplier_master[EOM or Net], 0)</f>
        <v>0</v>
      </c>
      <c r="Q419" s="31">
        <f>_xlfn.XLOOKUP(AP[[#This Row],[Supplier name]], Supplier_master[Supplier name], Supplier_master[Terms days], 0)</f>
        <v>0</v>
      </c>
      <c r="R4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9" s="4"/>
      <c r="T419" s="46">
        <f>IF(AP[[#This Row],[Payment date - override (dd/mm/yyyy)]] &lt;&gt; "", AP[[#This Row],[Payment date - override (dd/mm/yyyy)]], AP[[#This Row],[Due date (dd/mm/yyyy)]])</f>
        <v>0</v>
      </c>
      <c r="U419" s="46">
        <f t="shared" si="6"/>
        <v>52</v>
      </c>
    </row>
    <row r="420" spans="3:21" x14ac:dyDescent="0.25">
      <c r="C420" s="28"/>
      <c r="D420" s="20"/>
      <c r="E420" s="4"/>
      <c r="F420" s="37"/>
      <c r="G420" s="24"/>
      <c r="H420" s="31">
        <f>_xlfn.XLOOKUP(AP[[#This Row],[Supplier name]], Supplier_master[Supplier name], Supplier_master[Category L1], 0)</f>
        <v>0</v>
      </c>
      <c r="I420" s="64">
        <f>_xlfn.XLOOKUP(AP[[#This Row],[Supplier name]], Supplier_master[Supplier name], Supplier_master[Category L2], 0)</f>
        <v>0</v>
      </c>
      <c r="J420" s="55"/>
      <c r="K420" s="54"/>
      <c r="L420" s="57">
        <f>IF(AP[[#This Row],[Spend category L1 - Override]] &lt;&gt; "", AP[[#This Row],[Spend category L1 - Override]], AP[[#This Row],[Spend category L1]])</f>
        <v>0</v>
      </c>
      <c r="M420" s="57">
        <f>IF(AP[[#This Row],[Spend category L2 - Override]] &lt;&gt; "", AP[[#This Row],[Spend category L2 - Override]], AP[[#This Row],[Spend category L2]])</f>
        <v>0</v>
      </c>
      <c r="N420" s="51">
        <f>Assumptions!$D$15</f>
        <v>0.1</v>
      </c>
      <c r="O420" s="45">
        <f>IF(AP[[#This Row],[GST applies?]] = "Yes", (AP[[#This Row],[Invoice value inc. GST]] / 1 + AP[[#This Row],[GST %]]) * AP[[#This Row],[GST %]], 0)</f>
        <v>0</v>
      </c>
      <c r="P420" s="31">
        <f>_xlfn.XLOOKUP(AP[[#This Row],[Supplier name]], Supplier_master[Supplier name], Supplier_master[EOM or Net], 0)</f>
        <v>0</v>
      </c>
      <c r="Q420" s="31">
        <f>_xlfn.XLOOKUP(AP[[#This Row],[Supplier name]], Supplier_master[Supplier name], Supplier_master[Terms days], 0)</f>
        <v>0</v>
      </c>
      <c r="R4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0" s="4"/>
      <c r="T420" s="46">
        <f>IF(AP[[#This Row],[Payment date - override (dd/mm/yyyy)]] &lt;&gt; "", AP[[#This Row],[Payment date - override (dd/mm/yyyy)]], AP[[#This Row],[Due date (dd/mm/yyyy)]])</f>
        <v>0</v>
      </c>
      <c r="U420" s="46">
        <f t="shared" si="6"/>
        <v>52</v>
      </c>
    </row>
    <row r="421" spans="3:21" x14ac:dyDescent="0.25">
      <c r="C421" s="28"/>
      <c r="D421" s="20"/>
      <c r="E421" s="4"/>
      <c r="F421" s="37"/>
      <c r="G421" s="24"/>
      <c r="H421" s="31">
        <f>_xlfn.XLOOKUP(AP[[#This Row],[Supplier name]], Supplier_master[Supplier name], Supplier_master[Category L1], 0)</f>
        <v>0</v>
      </c>
      <c r="I421" s="64">
        <f>_xlfn.XLOOKUP(AP[[#This Row],[Supplier name]], Supplier_master[Supplier name], Supplier_master[Category L2], 0)</f>
        <v>0</v>
      </c>
      <c r="J421" s="55"/>
      <c r="K421" s="54"/>
      <c r="L421" s="57">
        <f>IF(AP[[#This Row],[Spend category L1 - Override]] &lt;&gt; "", AP[[#This Row],[Spend category L1 - Override]], AP[[#This Row],[Spend category L1]])</f>
        <v>0</v>
      </c>
      <c r="M421" s="57">
        <f>IF(AP[[#This Row],[Spend category L2 - Override]] &lt;&gt; "", AP[[#This Row],[Spend category L2 - Override]], AP[[#This Row],[Spend category L2]])</f>
        <v>0</v>
      </c>
      <c r="N421" s="51">
        <f>Assumptions!$D$15</f>
        <v>0.1</v>
      </c>
      <c r="O421" s="45">
        <f>IF(AP[[#This Row],[GST applies?]] = "Yes", (AP[[#This Row],[Invoice value inc. GST]] / 1 + AP[[#This Row],[GST %]]) * AP[[#This Row],[GST %]], 0)</f>
        <v>0</v>
      </c>
      <c r="P421" s="31">
        <f>_xlfn.XLOOKUP(AP[[#This Row],[Supplier name]], Supplier_master[Supplier name], Supplier_master[EOM or Net], 0)</f>
        <v>0</v>
      </c>
      <c r="Q421" s="31">
        <f>_xlfn.XLOOKUP(AP[[#This Row],[Supplier name]], Supplier_master[Supplier name], Supplier_master[Terms days], 0)</f>
        <v>0</v>
      </c>
      <c r="R4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1" s="4"/>
      <c r="T421" s="46">
        <f>IF(AP[[#This Row],[Payment date - override (dd/mm/yyyy)]] &lt;&gt; "", AP[[#This Row],[Payment date - override (dd/mm/yyyy)]], AP[[#This Row],[Due date (dd/mm/yyyy)]])</f>
        <v>0</v>
      </c>
      <c r="U421" s="46">
        <f t="shared" si="6"/>
        <v>52</v>
      </c>
    </row>
    <row r="422" spans="3:21" x14ac:dyDescent="0.25">
      <c r="C422" s="28"/>
      <c r="D422" s="20"/>
      <c r="E422" s="4"/>
      <c r="F422" s="37"/>
      <c r="G422" s="24"/>
      <c r="H422" s="31">
        <f>_xlfn.XLOOKUP(AP[[#This Row],[Supplier name]], Supplier_master[Supplier name], Supplier_master[Category L1], 0)</f>
        <v>0</v>
      </c>
      <c r="I422" s="64">
        <f>_xlfn.XLOOKUP(AP[[#This Row],[Supplier name]], Supplier_master[Supplier name], Supplier_master[Category L2], 0)</f>
        <v>0</v>
      </c>
      <c r="J422" s="55"/>
      <c r="K422" s="54"/>
      <c r="L422" s="57">
        <f>IF(AP[[#This Row],[Spend category L1 - Override]] &lt;&gt; "", AP[[#This Row],[Spend category L1 - Override]], AP[[#This Row],[Spend category L1]])</f>
        <v>0</v>
      </c>
      <c r="M422" s="57">
        <f>IF(AP[[#This Row],[Spend category L2 - Override]] &lt;&gt; "", AP[[#This Row],[Spend category L2 - Override]], AP[[#This Row],[Spend category L2]])</f>
        <v>0</v>
      </c>
      <c r="N422" s="51">
        <f>Assumptions!$D$15</f>
        <v>0.1</v>
      </c>
      <c r="O422" s="45">
        <f>IF(AP[[#This Row],[GST applies?]] = "Yes", (AP[[#This Row],[Invoice value inc. GST]] / 1 + AP[[#This Row],[GST %]]) * AP[[#This Row],[GST %]], 0)</f>
        <v>0</v>
      </c>
      <c r="P422" s="31">
        <f>_xlfn.XLOOKUP(AP[[#This Row],[Supplier name]], Supplier_master[Supplier name], Supplier_master[EOM or Net], 0)</f>
        <v>0</v>
      </c>
      <c r="Q422" s="31">
        <f>_xlfn.XLOOKUP(AP[[#This Row],[Supplier name]], Supplier_master[Supplier name], Supplier_master[Terms days], 0)</f>
        <v>0</v>
      </c>
      <c r="R4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2" s="4"/>
      <c r="T422" s="46">
        <f>IF(AP[[#This Row],[Payment date - override (dd/mm/yyyy)]] &lt;&gt; "", AP[[#This Row],[Payment date - override (dd/mm/yyyy)]], AP[[#This Row],[Due date (dd/mm/yyyy)]])</f>
        <v>0</v>
      </c>
      <c r="U422" s="46">
        <f t="shared" si="6"/>
        <v>52</v>
      </c>
    </row>
    <row r="423" spans="3:21" x14ac:dyDescent="0.25">
      <c r="C423" s="28"/>
      <c r="D423" s="20"/>
      <c r="E423" s="4"/>
      <c r="F423" s="37"/>
      <c r="G423" s="24"/>
      <c r="H423" s="31">
        <f>_xlfn.XLOOKUP(AP[[#This Row],[Supplier name]], Supplier_master[Supplier name], Supplier_master[Category L1], 0)</f>
        <v>0</v>
      </c>
      <c r="I423" s="64">
        <f>_xlfn.XLOOKUP(AP[[#This Row],[Supplier name]], Supplier_master[Supplier name], Supplier_master[Category L2], 0)</f>
        <v>0</v>
      </c>
      <c r="J423" s="55"/>
      <c r="K423" s="54"/>
      <c r="L423" s="57">
        <f>IF(AP[[#This Row],[Spend category L1 - Override]] &lt;&gt; "", AP[[#This Row],[Spend category L1 - Override]], AP[[#This Row],[Spend category L1]])</f>
        <v>0</v>
      </c>
      <c r="M423" s="57">
        <f>IF(AP[[#This Row],[Spend category L2 - Override]] &lt;&gt; "", AP[[#This Row],[Spend category L2 - Override]], AP[[#This Row],[Spend category L2]])</f>
        <v>0</v>
      </c>
      <c r="N423" s="51">
        <f>Assumptions!$D$15</f>
        <v>0.1</v>
      </c>
      <c r="O423" s="45">
        <f>IF(AP[[#This Row],[GST applies?]] = "Yes", (AP[[#This Row],[Invoice value inc. GST]] / 1 + AP[[#This Row],[GST %]]) * AP[[#This Row],[GST %]], 0)</f>
        <v>0</v>
      </c>
      <c r="P423" s="31">
        <f>_xlfn.XLOOKUP(AP[[#This Row],[Supplier name]], Supplier_master[Supplier name], Supplier_master[EOM or Net], 0)</f>
        <v>0</v>
      </c>
      <c r="Q423" s="31">
        <f>_xlfn.XLOOKUP(AP[[#This Row],[Supplier name]], Supplier_master[Supplier name], Supplier_master[Terms days], 0)</f>
        <v>0</v>
      </c>
      <c r="R4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3" s="4"/>
      <c r="T423" s="46">
        <f>IF(AP[[#This Row],[Payment date - override (dd/mm/yyyy)]] &lt;&gt; "", AP[[#This Row],[Payment date - override (dd/mm/yyyy)]], AP[[#This Row],[Due date (dd/mm/yyyy)]])</f>
        <v>0</v>
      </c>
      <c r="U423" s="46">
        <f t="shared" si="6"/>
        <v>52</v>
      </c>
    </row>
    <row r="424" spans="3:21" x14ac:dyDescent="0.25">
      <c r="C424" s="28"/>
      <c r="D424" s="20"/>
      <c r="E424" s="4"/>
      <c r="F424" s="37"/>
      <c r="G424" s="24"/>
      <c r="H424" s="31">
        <f>_xlfn.XLOOKUP(AP[[#This Row],[Supplier name]], Supplier_master[Supplier name], Supplier_master[Category L1], 0)</f>
        <v>0</v>
      </c>
      <c r="I424" s="64">
        <f>_xlfn.XLOOKUP(AP[[#This Row],[Supplier name]], Supplier_master[Supplier name], Supplier_master[Category L2], 0)</f>
        <v>0</v>
      </c>
      <c r="J424" s="55"/>
      <c r="K424" s="54"/>
      <c r="L424" s="57">
        <f>IF(AP[[#This Row],[Spend category L1 - Override]] &lt;&gt; "", AP[[#This Row],[Spend category L1 - Override]], AP[[#This Row],[Spend category L1]])</f>
        <v>0</v>
      </c>
      <c r="M424" s="57">
        <f>IF(AP[[#This Row],[Spend category L2 - Override]] &lt;&gt; "", AP[[#This Row],[Spend category L2 - Override]], AP[[#This Row],[Spend category L2]])</f>
        <v>0</v>
      </c>
      <c r="N424" s="51">
        <f>Assumptions!$D$15</f>
        <v>0.1</v>
      </c>
      <c r="O424" s="45">
        <f>IF(AP[[#This Row],[GST applies?]] = "Yes", (AP[[#This Row],[Invoice value inc. GST]] / 1 + AP[[#This Row],[GST %]]) * AP[[#This Row],[GST %]], 0)</f>
        <v>0</v>
      </c>
      <c r="P424" s="31">
        <f>_xlfn.XLOOKUP(AP[[#This Row],[Supplier name]], Supplier_master[Supplier name], Supplier_master[EOM or Net], 0)</f>
        <v>0</v>
      </c>
      <c r="Q424" s="31">
        <f>_xlfn.XLOOKUP(AP[[#This Row],[Supplier name]], Supplier_master[Supplier name], Supplier_master[Terms days], 0)</f>
        <v>0</v>
      </c>
      <c r="R4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4" s="4"/>
      <c r="T424" s="46">
        <f>IF(AP[[#This Row],[Payment date - override (dd/mm/yyyy)]] &lt;&gt; "", AP[[#This Row],[Payment date - override (dd/mm/yyyy)]], AP[[#This Row],[Due date (dd/mm/yyyy)]])</f>
        <v>0</v>
      </c>
      <c r="U424" s="46">
        <f t="shared" si="6"/>
        <v>52</v>
      </c>
    </row>
    <row r="425" spans="3:21" x14ac:dyDescent="0.25">
      <c r="C425" s="28"/>
      <c r="D425" s="20"/>
      <c r="E425" s="4"/>
      <c r="F425" s="37"/>
      <c r="G425" s="24"/>
      <c r="H425" s="31">
        <f>_xlfn.XLOOKUP(AP[[#This Row],[Supplier name]], Supplier_master[Supplier name], Supplier_master[Category L1], 0)</f>
        <v>0</v>
      </c>
      <c r="I425" s="64">
        <f>_xlfn.XLOOKUP(AP[[#This Row],[Supplier name]], Supplier_master[Supplier name], Supplier_master[Category L2], 0)</f>
        <v>0</v>
      </c>
      <c r="J425" s="55"/>
      <c r="K425" s="54"/>
      <c r="L425" s="57">
        <f>IF(AP[[#This Row],[Spend category L1 - Override]] &lt;&gt; "", AP[[#This Row],[Spend category L1 - Override]], AP[[#This Row],[Spend category L1]])</f>
        <v>0</v>
      </c>
      <c r="M425" s="57">
        <f>IF(AP[[#This Row],[Spend category L2 - Override]] &lt;&gt; "", AP[[#This Row],[Spend category L2 - Override]], AP[[#This Row],[Spend category L2]])</f>
        <v>0</v>
      </c>
      <c r="N425" s="51">
        <f>Assumptions!$D$15</f>
        <v>0.1</v>
      </c>
      <c r="O425" s="45">
        <f>IF(AP[[#This Row],[GST applies?]] = "Yes", (AP[[#This Row],[Invoice value inc. GST]] / 1 + AP[[#This Row],[GST %]]) * AP[[#This Row],[GST %]], 0)</f>
        <v>0</v>
      </c>
      <c r="P425" s="31">
        <f>_xlfn.XLOOKUP(AP[[#This Row],[Supplier name]], Supplier_master[Supplier name], Supplier_master[EOM or Net], 0)</f>
        <v>0</v>
      </c>
      <c r="Q425" s="31">
        <f>_xlfn.XLOOKUP(AP[[#This Row],[Supplier name]], Supplier_master[Supplier name], Supplier_master[Terms days], 0)</f>
        <v>0</v>
      </c>
      <c r="R4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5" s="4"/>
      <c r="T425" s="46">
        <f>IF(AP[[#This Row],[Payment date - override (dd/mm/yyyy)]] &lt;&gt; "", AP[[#This Row],[Payment date - override (dd/mm/yyyy)]], AP[[#This Row],[Due date (dd/mm/yyyy)]])</f>
        <v>0</v>
      </c>
      <c r="U425" s="46">
        <f t="shared" si="6"/>
        <v>52</v>
      </c>
    </row>
    <row r="426" spans="3:21" x14ac:dyDescent="0.25">
      <c r="C426" s="28"/>
      <c r="D426" s="20"/>
      <c r="E426" s="4"/>
      <c r="F426" s="37"/>
      <c r="G426" s="24"/>
      <c r="H426" s="31">
        <f>_xlfn.XLOOKUP(AP[[#This Row],[Supplier name]], Supplier_master[Supplier name], Supplier_master[Category L1], 0)</f>
        <v>0</v>
      </c>
      <c r="I426" s="64">
        <f>_xlfn.XLOOKUP(AP[[#This Row],[Supplier name]], Supplier_master[Supplier name], Supplier_master[Category L2], 0)</f>
        <v>0</v>
      </c>
      <c r="J426" s="55"/>
      <c r="K426" s="54"/>
      <c r="L426" s="57">
        <f>IF(AP[[#This Row],[Spend category L1 - Override]] &lt;&gt; "", AP[[#This Row],[Spend category L1 - Override]], AP[[#This Row],[Spend category L1]])</f>
        <v>0</v>
      </c>
      <c r="M426" s="57">
        <f>IF(AP[[#This Row],[Spend category L2 - Override]] &lt;&gt; "", AP[[#This Row],[Spend category L2 - Override]], AP[[#This Row],[Spend category L2]])</f>
        <v>0</v>
      </c>
      <c r="N426" s="51">
        <f>Assumptions!$D$15</f>
        <v>0.1</v>
      </c>
      <c r="O426" s="45">
        <f>IF(AP[[#This Row],[GST applies?]] = "Yes", (AP[[#This Row],[Invoice value inc. GST]] / 1 + AP[[#This Row],[GST %]]) * AP[[#This Row],[GST %]], 0)</f>
        <v>0</v>
      </c>
      <c r="P426" s="31">
        <f>_xlfn.XLOOKUP(AP[[#This Row],[Supplier name]], Supplier_master[Supplier name], Supplier_master[EOM or Net], 0)</f>
        <v>0</v>
      </c>
      <c r="Q426" s="31">
        <f>_xlfn.XLOOKUP(AP[[#This Row],[Supplier name]], Supplier_master[Supplier name], Supplier_master[Terms days], 0)</f>
        <v>0</v>
      </c>
      <c r="R4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6" s="4"/>
      <c r="T426" s="46">
        <f>IF(AP[[#This Row],[Payment date - override (dd/mm/yyyy)]] &lt;&gt; "", AP[[#This Row],[Payment date - override (dd/mm/yyyy)]], AP[[#This Row],[Due date (dd/mm/yyyy)]])</f>
        <v>0</v>
      </c>
      <c r="U426" s="46">
        <f t="shared" si="6"/>
        <v>52</v>
      </c>
    </row>
    <row r="427" spans="3:21" x14ac:dyDescent="0.25">
      <c r="C427" s="28"/>
      <c r="D427" s="20"/>
      <c r="E427" s="4"/>
      <c r="F427" s="37"/>
      <c r="G427" s="24"/>
      <c r="H427" s="31">
        <f>_xlfn.XLOOKUP(AP[[#This Row],[Supplier name]], Supplier_master[Supplier name], Supplier_master[Category L1], 0)</f>
        <v>0</v>
      </c>
      <c r="I427" s="64">
        <f>_xlfn.XLOOKUP(AP[[#This Row],[Supplier name]], Supplier_master[Supplier name], Supplier_master[Category L2], 0)</f>
        <v>0</v>
      </c>
      <c r="J427" s="55"/>
      <c r="K427" s="54"/>
      <c r="L427" s="57">
        <f>IF(AP[[#This Row],[Spend category L1 - Override]] &lt;&gt; "", AP[[#This Row],[Spend category L1 - Override]], AP[[#This Row],[Spend category L1]])</f>
        <v>0</v>
      </c>
      <c r="M427" s="57">
        <f>IF(AP[[#This Row],[Spend category L2 - Override]] &lt;&gt; "", AP[[#This Row],[Spend category L2 - Override]], AP[[#This Row],[Spend category L2]])</f>
        <v>0</v>
      </c>
      <c r="N427" s="51">
        <f>Assumptions!$D$15</f>
        <v>0.1</v>
      </c>
      <c r="O427" s="45">
        <f>IF(AP[[#This Row],[GST applies?]] = "Yes", (AP[[#This Row],[Invoice value inc. GST]] / 1 + AP[[#This Row],[GST %]]) * AP[[#This Row],[GST %]], 0)</f>
        <v>0</v>
      </c>
      <c r="P427" s="31">
        <f>_xlfn.XLOOKUP(AP[[#This Row],[Supplier name]], Supplier_master[Supplier name], Supplier_master[EOM or Net], 0)</f>
        <v>0</v>
      </c>
      <c r="Q427" s="31">
        <f>_xlfn.XLOOKUP(AP[[#This Row],[Supplier name]], Supplier_master[Supplier name], Supplier_master[Terms days], 0)</f>
        <v>0</v>
      </c>
      <c r="R4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7" s="4"/>
      <c r="T427" s="46">
        <f>IF(AP[[#This Row],[Payment date - override (dd/mm/yyyy)]] &lt;&gt; "", AP[[#This Row],[Payment date - override (dd/mm/yyyy)]], AP[[#This Row],[Due date (dd/mm/yyyy)]])</f>
        <v>0</v>
      </c>
      <c r="U427" s="46">
        <f t="shared" si="6"/>
        <v>52</v>
      </c>
    </row>
    <row r="428" spans="3:21" x14ac:dyDescent="0.25">
      <c r="C428" s="28"/>
      <c r="D428" s="20"/>
      <c r="E428" s="4"/>
      <c r="F428" s="37"/>
      <c r="G428" s="24"/>
      <c r="H428" s="31">
        <f>_xlfn.XLOOKUP(AP[[#This Row],[Supplier name]], Supplier_master[Supplier name], Supplier_master[Category L1], 0)</f>
        <v>0</v>
      </c>
      <c r="I428" s="64">
        <f>_xlfn.XLOOKUP(AP[[#This Row],[Supplier name]], Supplier_master[Supplier name], Supplier_master[Category L2], 0)</f>
        <v>0</v>
      </c>
      <c r="J428" s="55"/>
      <c r="K428" s="54"/>
      <c r="L428" s="57">
        <f>IF(AP[[#This Row],[Spend category L1 - Override]] &lt;&gt; "", AP[[#This Row],[Spend category L1 - Override]], AP[[#This Row],[Spend category L1]])</f>
        <v>0</v>
      </c>
      <c r="M428" s="57">
        <f>IF(AP[[#This Row],[Spend category L2 - Override]] &lt;&gt; "", AP[[#This Row],[Spend category L2 - Override]], AP[[#This Row],[Spend category L2]])</f>
        <v>0</v>
      </c>
      <c r="N428" s="51">
        <f>Assumptions!$D$15</f>
        <v>0.1</v>
      </c>
      <c r="O428" s="45">
        <f>IF(AP[[#This Row],[GST applies?]] = "Yes", (AP[[#This Row],[Invoice value inc. GST]] / 1 + AP[[#This Row],[GST %]]) * AP[[#This Row],[GST %]], 0)</f>
        <v>0</v>
      </c>
      <c r="P428" s="31">
        <f>_xlfn.XLOOKUP(AP[[#This Row],[Supplier name]], Supplier_master[Supplier name], Supplier_master[EOM or Net], 0)</f>
        <v>0</v>
      </c>
      <c r="Q428" s="31">
        <f>_xlfn.XLOOKUP(AP[[#This Row],[Supplier name]], Supplier_master[Supplier name], Supplier_master[Terms days], 0)</f>
        <v>0</v>
      </c>
      <c r="R4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8" s="4"/>
      <c r="T428" s="46">
        <f>IF(AP[[#This Row],[Payment date - override (dd/mm/yyyy)]] &lt;&gt; "", AP[[#This Row],[Payment date - override (dd/mm/yyyy)]], AP[[#This Row],[Due date (dd/mm/yyyy)]])</f>
        <v>0</v>
      </c>
      <c r="U428" s="46">
        <f t="shared" si="6"/>
        <v>52</v>
      </c>
    </row>
    <row r="429" spans="3:21" x14ac:dyDescent="0.25">
      <c r="C429" s="28"/>
      <c r="D429" s="20"/>
      <c r="E429" s="4"/>
      <c r="F429" s="37"/>
      <c r="G429" s="24"/>
      <c r="H429" s="31">
        <f>_xlfn.XLOOKUP(AP[[#This Row],[Supplier name]], Supplier_master[Supplier name], Supplier_master[Category L1], 0)</f>
        <v>0</v>
      </c>
      <c r="I429" s="64">
        <f>_xlfn.XLOOKUP(AP[[#This Row],[Supplier name]], Supplier_master[Supplier name], Supplier_master[Category L2], 0)</f>
        <v>0</v>
      </c>
      <c r="J429" s="55"/>
      <c r="K429" s="54"/>
      <c r="L429" s="57">
        <f>IF(AP[[#This Row],[Spend category L1 - Override]] &lt;&gt; "", AP[[#This Row],[Spend category L1 - Override]], AP[[#This Row],[Spend category L1]])</f>
        <v>0</v>
      </c>
      <c r="M429" s="57">
        <f>IF(AP[[#This Row],[Spend category L2 - Override]] &lt;&gt; "", AP[[#This Row],[Spend category L2 - Override]], AP[[#This Row],[Spend category L2]])</f>
        <v>0</v>
      </c>
      <c r="N429" s="51">
        <f>Assumptions!$D$15</f>
        <v>0.1</v>
      </c>
      <c r="O429" s="45">
        <f>IF(AP[[#This Row],[GST applies?]] = "Yes", (AP[[#This Row],[Invoice value inc. GST]] / 1 + AP[[#This Row],[GST %]]) * AP[[#This Row],[GST %]], 0)</f>
        <v>0</v>
      </c>
      <c r="P429" s="31">
        <f>_xlfn.XLOOKUP(AP[[#This Row],[Supplier name]], Supplier_master[Supplier name], Supplier_master[EOM or Net], 0)</f>
        <v>0</v>
      </c>
      <c r="Q429" s="31">
        <f>_xlfn.XLOOKUP(AP[[#This Row],[Supplier name]], Supplier_master[Supplier name], Supplier_master[Terms days], 0)</f>
        <v>0</v>
      </c>
      <c r="R4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9" s="4"/>
      <c r="T429" s="46">
        <f>IF(AP[[#This Row],[Payment date - override (dd/mm/yyyy)]] &lt;&gt; "", AP[[#This Row],[Payment date - override (dd/mm/yyyy)]], AP[[#This Row],[Due date (dd/mm/yyyy)]])</f>
        <v>0</v>
      </c>
      <c r="U429" s="46">
        <f t="shared" si="6"/>
        <v>52</v>
      </c>
    </row>
    <row r="430" spans="3:21" x14ac:dyDescent="0.25">
      <c r="C430" s="28"/>
      <c r="D430" s="20"/>
      <c r="E430" s="4"/>
      <c r="F430" s="37"/>
      <c r="G430" s="24"/>
      <c r="H430" s="31">
        <f>_xlfn.XLOOKUP(AP[[#This Row],[Supplier name]], Supplier_master[Supplier name], Supplier_master[Category L1], 0)</f>
        <v>0</v>
      </c>
      <c r="I430" s="64">
        <f>_xlfn.XLOOKUP(AP[[#This Row],[Supplier name]], Supplier_master[Supplier name], Supplier_master[Category L2], 0)</f>
        <v>0</v>
      </c>
      <c r="J430" s="55"/>
      <c r="K430" s="54"/>
      <c r="L430" s="57">
        <f>IF(AP[[#This Row],[Spend category L1 - Override]] &lt;&gt; "", AP[[#This Row],[Spend category L1 - Override]], AP[[#This Row],[Spend category L1]])</f>
        <v>0</v>
      </c>
      <c r="M430" s="57">
        <f>IF(AP[[#This Row],[Spend category L2 - Override]] &lt;&gt; "", AP[[#This Row],[Spend category L2 - Override]], AP[[#This Row],[Spend category L2]])</f>
        <v>0</v>
      </c>
      <c r="N430" s="51">
        <f>Assumptions!$D$15</f>
        <v>0.1</v>
      </c>
      <c r="O430" s="45">
        <f>IF(AP[[#This Row],[GST applies?]] = "Yes", (AP[[#This Row],[Invoice value inc. GST]] / 1 + AP[[#This Row],[GST %]]) * AP[[#This Row],[GST %]], 0)</f>
        <v>0</v>
      </c>
      <c r="P430" s="31">
        <f>_xlfn.XLOOKUP(AP[[#This Row],[Supplier name]], Supplier_master[Supplier name], Supplier_master[EOM or Net], 0)</f>
        <v>0</v>
      </c>
      <c r="Q430" s="31">
        <f>_xlfn.XLOOKUP(AP[[#This Row],[Supplier name]], Supplier_master[Supplier name], Supplier_master[Terms days], 0)</f>
        <v>0</v>
      </c>
      <c r="R4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0" s="4"/>
      <c r="T430" s="46">
        <f>IF(AP[[#This Row],[Payment date - override (dd/mm/yyyy)]] &lt;&gt; "", AP[[#This Row],[Payment date - override (dd/mm/yyyy)]], AP[[#This Row],[Due date (dd/mm/yyyy)]])</f>
        <v>0</v>
      </c>
      <c r="U430" s="46">
        <f t="shared" si="6"/>
        <v>52</v>
      </c>
    </row>
    <row r="431" spans="3:21" x14ac:dyDescent="0.25">
      <c r="C431" s="28"/>
      <c r="D431" s="20"/>
      <c r="E431" s="4"/>
      <c r="F431" s="37"/>
      <c r="G431" s="24"/>
      <c r="H431" s="31">
        <f>_xlfn.XLOOKUP(AP[[#This Row],[Supplier name]], Supplier_master[Supplier name], Supplier_master[Category L1], 0)</f>
        <v>0</v>
      </c>
      <c r="I431" s="64">
        <f>_xlfn.XLOOKUP(AP[[#This Row],[Supplier name]], Supplier_master[Supplier name], Supplier_master[Category L2], 0)</f>
        <v>0</v>
      </c>
      <c r="J431" s="55"/>
      <c r="K431" s="54"/>
      <c r="L431" s="57">
        <f>IF(AP[[#This Row],[Spend category L1 - Override]] &lt;&gt; "", AP[[#This Row],[Spend category L1 - Override]], AP[[#This Row],[Spend category L1]])</f>
        <v>0</v>
      </c>
      <c r="M431" s="57">
        <f>IF(AP[[#This Row],[Spend category L2 - Override]] &lt;&gt; "", AP[[#This Row],[Spend category L2 - Override]], AP[[#This Row],[Spend category L2]])</f>
        <v>0</v>
      </c>
      <c r="N431" s="51">
        <f>Assumptions!$D$15</f>
        <v>0.1</v>
      </c>
      <c r="O431" s="45">
        <f>IF(AP[[#This Row],[GST applies?]] = "Yes", (AP[[#This Row],[Invoice value inc. GST]] / 1 + AP[[#This Row],[GST %]]) * AP[[#This Row],[GST %]], 0)</f>
        <v>0</v>
      </c>
      <c r="P431" s="31">
        <f>_xlfn.XLOOKUP(AP[[#This Row],[Supplier name]], Supplier_master[Supplier name], Supplier_master[EOM or Net], 0)</f>
        <v>0</v>
      </c>
      <c r="Q431" s="31">
        <f>_xlfn.XLOOKUP(AP[[#This Row],[Supplier name]], Supplier_master[Supplier name], Supplier_master[Terms days], 0)</f>
        <v>0</v>
      </c>
      <c r="R4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1" s="4"/>
      <c r="T431" s="46">
        <f>IF(AP[[#This Row],[Payment date - override (dd/mm/yyyy)]] &lt;&gt; "", AP[[#This Row],[Payment date - override (dd/mm/yyyy)]], AP[[#This Row],[Due date (dd/mm/yyyy)]])</f>
        <v>0</v>
      </c>
      <c r="U431" s="46">
        <f t="shared" si="6"/>
        <v>52</v>
      </c>
    </row>
    <row r="432" spans="3:21" x14ac:dyDescent="0.25">
      <c r="C432" s="28"/>
      <c r="D432" s="20"/>
      <c r="E432" s="4"/>
      <c r="F432" s="37"/>
      <c r="G432" s="24"/>
      <c r="H432" s="31">
        <f>_xlfn.XLOOKUP(AP[[#This Row],[Supplier name]], Supplier_master[Supplier name], Supplier_master[Category L1], 0)</f>
        <v>0</v>
      </c>
      <c r="I432" s="64">
        <f>_xlfn.XLOOKUP(AP[[#This Row],[Supplier name]], Supplier_master[Supplier name], Supplier_master[Category L2], 0)</f>
        <v>0</v>
      </c>
      <c r="J432" s="55"/>
      <c r="K432" s="54"/>
      <c r="L432" s="57">
        <f>IF(AP[[#This Row],[Spend category L1 - Override]] &lt;&gt; "", AP[[#This Row],[Spend category L1 - Override]], AP[[#This Row],[Spend category L1]])</f>
        <v>0</v>
      </c>
      <c r="M432" s="57">
        <f>IF(AP[[#This Row],[Spend category L2 - Override]] &lt;&gt; "", AP[[#This Row],[Spend category L2 - Override]], AP[[#This Row],[Spend category L2]])</f>
        <v>0</v>
      </c>
      <c r="N432" s="51">
        <f>Assumptions!$D$15</f>
        <v>0.1</v>
      </c>
      <c r="O432" s="45">
        <f>IF(AP[[#This Row],[GST applies?]] = "Yes", (AP[[#This Row],[Invoice value inc. GST]] / 1 + AP[[#This Row],[GST %]]) * AP[[#This Row],[GST %]], 0)</f>
        <v>0</v>
      </c>
      <c r="P432" s="31">
        <f>_xlfn.XLOOKUP(AP[[#This Row],[Supplier name]], Supplier_master[Supplier name], Supplier_master[EOM or Net], 0)</f>
        <v>0</v>
      </c>
      <c r="Q432" s="31">
        <f>_xlfn.XLOOKUP(AP[[#This Row],[Supplier name]], Supplier_master[Supplier name], Supplier_master[Terms days], 0)</f>
        <v>0</v>
      </c>
      <c r="R4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2" s="4"/>
      <c r="T432" s="46">
        <f>IF(AP[[#This Row],[Payment date - override (dd/mm/yyyy)]] &lt;&gt; "", AP[[#This Row],[Payment date - override (dd/mm/yyyy)]], AP[[#This Row],[Due date (dd/mm/yyyy)]])</f>
        <v>0</v>
      </c>
      <c r="U432" s="46">
        <f t="shared" si="6"/>
        <v>52</v>
      </c>
    </row>
    <row r="433" spans="3:21" x14ac:dyDescent="0.25">
      <c r="C433" s="28"/>
      <c r="D433" s="20"/>
      <c r="E433" s="4"/>
      <c r="F433" s="37"/>
      <c r="G433" s="24"/>
      <c r="H433" s="31">
        <f>_xlfn.XLOOKUP(AP[[#This Row],[Supplier name]], Supplier_master[Supplier name], Supplier_master[Category L1], 0)</f>
        <v>0</v>
      </c>
      <c r="I433" s="64">
        <f>_xlfn.XLOOKUP(AP[[#This Row],[Supplier name]], Supplier_master[Supplier name], Supplier_master[Category L2], 0)</f>
        <v>0</v>
      </c>
      <c r="J433" s="55"/>
      <c r="K433" s="54"/>
      <c r="L433" s="57">
        <f>IF(AP[[#This Row],[Spend category L1 - Override]] &lt;&gt; "", AP[[#This Row],[Spend category L1 - Override]], AP[[#This Row],[Spend category L1]])</f>
        <v>0</v>
      </c>
      <c r="M433" s="57">
        <f>IF(AP[[#This Row],[Spend category L2 - Override]] &lt;&gt; "", AP[[#This Row],[Spend category L2 - Override]], AP[[#This Row],[Spend category L2]])</f>
        <v>0</v>
      </c>
      <c r="N433" s="51">
        <f>Assumptions!$D$15</f>
        <v>0.1</v>
      </c>
      <c r="O433" s="45">
        <f>IF(AP[[#This Row],[GST applies?]] = "Yes", (AP[[#This Row],[Invoice value inc. GST]] / 1 + AP[[#This Row],[GST %]]) * AP[[#This Row],[GST %]], 0)</f>
        <v>0</v>
      </c>
      <c r="P433" s="31">
        <f>_xlfn.XLOOKUP(AP[[#This Row],[Supplier name]], Supplier_master[Supplier name], Supplier_master[EOM or Net], 0)</f>
        <v>0</v>
      </c>
      <c r="Q433" s="31">
        <f>_xlfn.XLOOKUP(AP[[#This Row],[Supplier name]], Supplier_master[Supplier name], Supplier_master[Terms days], 0)</f>
        <v>0</v>
      </c>
      <c r="R4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3" s="4"/>
      <c r="T433" s="46">
        <f>IF(AP[[#This Row],[Payment date - override (dd/mm/yyyy)]] &lt;&gt; "", AP[[#This Row],[Payment date - override (dd/mm/yyyy)]], AP[[#This Row],[Due date (dd/mm/yyyy)]])</f>
        <v>0</v>
      </c>
      <c r="U433" s="46">
        <f t="shared" si="6"/>
        <v>52</v>
      </c>
    </row>
    <row r="434" spans="3:21" x14ac:dyDescent="0.25">
      <c r="C434" s="28"/>
      <c r="D434" s="20"/>
      <c r="E434" s="4"/>
      <c r="F434" s="37"/>
      <c r="G434" s="24"/>
      <c r="H434" s="31">
        <f>_xlfn.XLOOKUP(AP[[#This Row],[Supplier name]], Supplier_master[Supplier name], Supplier_master[Category L1], 0)</f>
        <v>0</v>
      </c>
      <c r="I434" s="64">
        <f>_xlfn.XLOOKUP(AP[[#This Row],[Supplier name]], Supplier_master[Supplier name], Supplier_master[Category L2], 0)</f>
        <v>0</v>
      </c>
      <c r="J434" s="55"/>
      <c r="K434" s="54"/>
      <c r="L434" s="57">
        <f>IF(AP[[#This Row],[Spend category L1 - Override]] &lt;&gt; "", AP[[#This Row],[Spend category L1 - Override]], AP[[#This Row],[Spend category L1]])</f>
        <v>0</v>
      </c>
      <c r="M434" s="57">
        <f>IF(AP[[#This Row],[Spend category L2 - Override]] &lt;&gt; "", AP[[#This Row],[Spend category L2 - Override]], AP[[#This Row],[Spend category L2]])</f>
        <v>0</v>
      </c>
      <c r="N434" s="51">
        <f>Assumptions!$D$15</f>
        <v>0.1</v>
      </c>
      <c r="O434" s="45">
        <f>IF(AP[[#This Row],[GST applies?]] = "Yes", (AP[[#This Row],[Invoice value inc. GST]] / 1 + AP[[#This Row],[GST %]]) * AP[[#This Row],[GST %]], 0)</f>
        <v>0</v>
      </c>
      <c r="P434" s="31">
        <f>_xlfn.XLOOKUP(AP[[#This Row],[Supplier name]], Supplier_master[Supplier name], Supplier_master[EOM or Net], 0)</f>
        <v>0</v>
      </c>
      <c r="Q434" s="31">
        <f>_xlfn.XLOOKUP(AP[[#This Row],[Supplier name]], Supplier_master[Supplier name], Supplier_master[Terms days], 0)</f>
        <v>0</v>
      </c>
      <c r="R4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4" s="4"/>
      <c r="T434" s="46">
        <f>IF(AP[[#This Row],[Payment date - override (dd/mm/yyyy)]] &lt;&gt; "", AP[[#This Row],[Payment date - override (dd/mm/yyyy)]], AP[[#This Row],[Due date (dd/mm/yyyy)]])</f>
        <v>0</v>
      </c>
      <c r="U434" s="46">
        <f t="shared" si="6"/>
        <v>52</v>
      </c>
    </row>
    <row r="435" spans="3:21" x14ac:dyDescent="0.25">
      <c r="C435" s="28"/>
      <c r="D435" s="20"/>
      <c r="E435" s="4"/>
      <c r="F435" s="37"/>
      <c r="G435" s="24"/>
      <c r="H435" s="31">
        <f>_xlfn.XLOOKUP(AP[[#This Row],[Supplier name]], Supplier_master[Supplier name], Supplier_master[Category L1], 0)</f>
        <v>0</v>
      </c>
      <c r="I435" s="64">
        <f>_xlfn.XLOOKUP(AP[[#This Row],[Supplier name]], Supplier_master[Supplier name], Supplier_master[Category L2], 0)</f>
        <v>0</v>
      </c>
      <c r="J435" s="55"/>
      <c r="K435" s="54"/>
      <c r="L435" s="57">
        <f>IF(AP[[#This Row],[Spend category L1 - Override]] &lt;&gt; "", AP[[#This Row],[Spend category L1 - Override]], AP[[#This Row],[Spend category L1]])</f>
        <v>0</v>
      </c>
      <c r="M435" s="57">
        <f>IF(AP[[#This Row],[Spend category L2 - Override]] &lt;&gt; "", AP[[#This Row],[Spend category L2 - Override]], AP[[#This Row],[Spend category L2]])</f>
        <v>0</v>
      </c>
      <c r="N435" s="51">
        <f>Assumptions!$D$15</f>
        <v>0.1</v>
      </c>
      <c r="O435" s="45">
        <f>IF(AP[[#This Row],[GST applies?]] = "Yes", (AP[[#This Row],[Invoice value inc. GST]] / 1 + AP[[#This Row],[GST %]]) * AP[[#This Row],[GST %]], 0)</f>
        <v>0</v>
      </c>
      <c r="P435" s="31">
        <f>_xlfn.XLOOKUP(AP[[#This Row],[Supplier name]], Supplier_master[Supplier name], Supplier_master[EOM or Net], 0)</f>
        <v>0</v>
      </c>
      <c r="Q435" s="31">
        <f>_xlfn.XLOOKUP(AP[[#This Row],[Supplier name]], Supplier_master[Supplier name], Supplier_master[Terms days], 0)</f>
        <v>0</v>
      </c>
      <c r="R4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5" s="4"/>
      <c r="T435" s="46">
        <f>IF(AP[[#This Row],[Payment date - override (dd/mm/yyyy)]] &lt;&gt; "", AP[[#This Row],[Payment date - override (dd/mm/yyyy)]], AP[[#This Row],[Due date (dd/mm/yyyy)]])</f>
        <v>0</v>
      </c>
      <c r="U435" s="46">
        <f t="shared" si="6"/>
        <v>52</v>
      </c>
    </row>
    <row r="436" spans="3:21" x14ac:dyDescent="0.25">
      <c r="C436" s="28"/>
      <c r="D436" s="20"/>
      <c r="E436" s="4"/>
      <c r="F436" s="37"/>
      <c r="G436" s="24"/>
      <c r="H436" s="31">
        <f>_xlfn.XLOOKUP(AP[[#This Row],[Supplier name]], Supplier_master[Supplier name], Supplier_master[Category L1], 0)</f>
        <v>0</v>
      </c>
      <c r="I436" s="64">
        <f>_xlfn.XLOOKUP(AP[[#This Row],[Supplier name]], Supplier_master[Supplier name], Supplier_master[Category L2], 0)</f>
        <v>0</v>
      </c>
      <c r="J436" s="55"/>
      <c r="K436" s="54"/>
      <c r="L436" s="57">
        <f>IF(AP[[#This Row],[Spend category L1 - Override]] &lt;&gt; "", AP[[#This Row],[Spend category L1 - Override]], AP[[#This Row],[Spend category L1]])</f>
        <v>0</v>
      </c>
      <c r="M436" s="57">
        <f>IF(AP[[#This Row],[Spend category L2 - Override]] &lt;&gt; "", AP[[#This Row],[Spend category L2 - Override]], AP[[#This Row],[Spend category L2]])</f>
        <v>0</v>
      </c>
      <c r="N436" s="51">
        <f>Assumptions!$D$15</f>
        <v>0.1</v>
      </c>
      <c r="O436" s="45">
        <f>IF(AP[[#This Row],[GST applies?]] = "Yes", (AP[[#This Row],[Invoice value inc. GST]] / 1 + AP[[#This Row],[GST %]]) * AP[[#This Row],[GST %]], 0)</f>
        <v>0</v>
      </c>
      <c r="P436" s="31">
        <f>_xlfn.XLOOKUP(AP[[#This Row],[Supplier name]], Supplier_master[Supplier name], Supplier_master[EOM or Net], 0)</f>
        <v>0</v>
      </c>
      <c r="Q436" s="31">
        <f>_xlfn.XLOOKUP(AP[[#This Row],[Supplier name]], Supplier_master[Supplier name], Supplier_master[Terms days], 0)</f>
        <v>0</v>
      </c>
      <c r="R4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6" s="4"/>
      <c r="T436" s="46">
        <f>IF(AP[[#This Row],[Payment date - override (dd/mm/yyyy)]] &lt;&gt; "", AP[[#This Row],[Payment date - override (dd/mm/yyyy)]], AP[[#This Row],[Due date (dd/mm/yyyy)]])</f>
        <v>0</v>
      </c>
      <c r="U436" s="46">
        <f t="shared" si="6"/>
        <v>52</v>
      </c>
    </row>
    <row r="437" spans="3:21" x14ac:dyDescent="0.25">
      <c r="C437" s="28"/>
      <c r="D437" s="20"/>
      <c r="E437" s="4"/>
      <c r="F437" s="37"/>
      <c r="G437" s="24"/>
      <c r="H437" s="31">
        <f>_xlfn.XLOOKUP(AP[[#This Row],[Supplier name]], Supplier_master[Supplier name], Supplier_master[Category L1], 0)</f>
        <v>0</v>
      </c>
      <c r="I437" s="64">
        <f>_xlfn.XLOOKUP(AP[[#This Row],[Supplier name]], Supplier_master[Supplier name], Supplier_master[Category L2], 0)</f>
        <v>0</v>
      </c>
      <c r="J437" s="55"/>
      <c r="K437" s="54"/>
      <c r="L437" s="57">
        <f>IF(AP[[#This Row],[Spend category L1 - Override]] &lt;&gt; "", AP[[#This Row],[Spend category L1 - Override]], AP[[#This Row],[Spend category L1]])</f>
        <v>0</v>
      </c>
      <c r="M437" s="57">
        <f>IF(AP[[#This Row],[Spend category L2 - Override]] &lt;&gt; "", AP[[#This Row],[Spend category L2 - Override]], AP[[#This Row],[Spend category L2]])</f>
        <v>0</v>
      </c>
      <c r="N437" s="51">
        <f>Assumptions!$D$15</f>
        <v>0.1</v>
      </c>
      <c r="O437" s="45">
        <f>IF(AP[[#This Row],[GST applies?]] = "Yes", (AP[[#This Row],[Invoice value inc. GST]] / 1 + AP[[#This Row],[GST %]]) * AP[[#This Row],[GST %]], 0)</f>
        <v>0</v>
      </c>
      <c r="P437" s="31">
        <f>_xlfn.XLOOKUP(AP[[#This Row],[Supplier name]], Supplier_master[Supplier name], Supplier_master[EOM or Net], 0)</f>
        <v>0</v>
      </c>
      <c r="Q437" s="31">
        <f>_xlfn.XLOOKUP(AP[[#This Row],[Supplier name]], Supplier_master[Supplier name], Supplier_master[Terms days], 0)</f>
        <v>0</v>
      </c>
      <c r="R4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7" s="4"/>
      <c r="T437" s="46">
        <f>IF(AP[[#This Row],[Payment date - override (dd/mm/yyyy)]] &lt;&gt; "", AP[[#This Row],[Payment date - override (dd/mm/yyyy)]], AP[[#This Row],[Due date (dd/mm/yyyy)]])</f>
        <v>0</v>
      </c>
      <c r="U437" s="46">
        <f t="shared" si="6"/>
        <v>52</v>
      </c>
    </row>
    <row r="438" spans="3:21" x14ac:dyDescent="0.25">
      <c r="C438" s="28"/>
      <c r="D438" s="20"/>
      <c r="E438" s="4"/>
      <c r="F438" s="37"/>
      <c r="G438" s="24"/>
      <c r="H438" s="31">
        <f>_xlfn.XLOOKUP(AP[[#This Row],[Supplier name]], Supplier_master[Supplier name], Supplier_master[Category L1], 0)</f>
        <v>0</v>
      </c>
      <c r="I438" s="64">
        <f>_xlfn.XLOOKUP(AP[[#This Row],[Supplier name]], Supplier_master[Supplier name], Supplier_master[Category L2], 0)</f>
        <v>0</v>
      </c>
      <c r="J438" s="55"/>
      <c r="K438" s="54"/>
      <c r="L438" s="57">
        <f>IF(AP[[#This Row],[Spend category L1 - Override]] &lt;&gt; "", AP[[#This Row],[Spend category L1 - Override]], AP[[#This Row],[Spend category L1]])</f>
        <v>0</v>
      </c>
      <c r="M438" s="57">
        <f>IF(AP[[#This Row],[Spend category L2 - Override]] &lt;&gt; "", AP[[#This Row],[Spend category L2 - Override]], AP[[#This Row],[Spend category L2]])</f>
        <v>0</v>
      </c>
      <c r="N438" s="51">
        <f>Assumptions!$D$15</f>
        <v>0.1</v>
      </c>
      <c r="O438" s="45">
        <f>IF(AP[[#This Row],[GST applies?]] = "Yes", (AP[[#This Row],[Invoice value inc. GST]] / 1 + AP[[#This Row],[GST %]]) * AP[[#This Row],[GST %]], 0)</f>
        <v>0</v>
      </c>
      <c r="P438" s="31">
        <f>_xlfn.XLOOKUP(AP[[#This Row],[Supplier name]], Supplier_master[Supplier name], Supplier_master[EOM or Net], 0)</f>
        <v>0</v>
      </c>
      <c r="Q438" s="31">
        <f>_xlfn.XLOOKUP(AP[[#This Row],[Supplier name]], Supplier_master[Supplier name], Supplier_master[Terms days], 0)</f>
        <v>0</v>
      </c>
      <c r="R4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8" s="4"/>
      <c r="T438" s="46">
        <f>IF(AP[[#This Row],[Payment date - override (dd/mm/yyyy)]] &lt;&gt; "", AP[[#This Row],[Payment date - override (dd/mm/yyyy)]], AP[[#This Row],[Due date (dd/mm/yyyy)]])</f>
        <v>0</v>
      </c>
      <c r="U438" s="46">
        <f t="shared" si="6"/>
        <v>52</v>
      </c>
    </row>
    <row r="439" spans="3:21" x14ac:dyDescent="0.25">
      <c r="C439" s="28"/>
      <c r="D439" s="20"/>
      <c r="E439" s="4"/>
      <c r="F439" s="37"/>
      <c r="G439" s="24"/>
      <c r="H439" s="31">
        <f>_xlfn.XLOOKUP(AP[[#This Row],[Supplier name]], Supplier_master[Supplier name], Supplier_master[Category L1], 0)</f>
        <v>0</v>
      </c>
      <c r="I439" s="64">
        <f>_xlfn.XLOOKUP(AP[[#This Row],[Supplier name]], Supplier_master[Supplier name], Supplier_master[Category L2], 0)</f>
        <v>0</v>
      </c>
      <c r="J439" s="55"/>
      <c r="K439" s="54"/>
      <c r="L439" s="57">
        <f>IF(AP[[#This Row],[Spend category L1 - Override]] &lt;&gt; "", AP[[#This Row],[Spend category L1 - Override]], AP[[#This Row],[Spend category L1]])</f>
        <v>0</v>
      </c>
      <c r="M439" s="57">
        <f>IF(AP[[#This Row],[Spend category L2 - Override]] &lt;&gt; "", AP[[#This Row],[Spend category L2 - Override]], AP[[#This Row],[Spend category L2]])</f>
        <v>0</v>
      </c>
      <c r="N439" s="51">
        <f>Assumptions!$D$15</f>
        <v>0.1</v>
      </c>
      <c r="O439" s="45">
        <f>IF(AP[[#This Row],[GST applies?]] = "Yes", (AP[[#This Row],[Invoice value inc. GST]] / 1 + AP[[#This Row],[GST %]]) * AP[[#This Row],[GST %]], 0)</f>
        <v>0</v>
      </c>
      <c r="P439" s="31">
        <f>_xlfn.XLOOKUP(AP[[#This Row],[Supplier name]], Supplier_master[Supplier name], Supplier_master[EOM or Net], 0)</f>
        <v>0</v>
      </c>
      <c r="Q439" s="31">
        <f>_xlfn.XLOOKUP(AP[[#This Row],[Supplier name]], Supplier_master[Supplier name], Supplier_master[Terms days], 0)</f>
        <v>0</v>
      </c>
      <c r="R4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9" s="4"/>
      <c r="T439" s="46">
        <f>IF(AP[[#This Row],[Payment date - override (dd/mm/yyyy)]] &lt;&gt; "", AP[[#This Row],[Payment date - override (dd/mm/yyyy)]], AP[[#This Row],[Due date (dd/mm/yyyy)]])</f>
        <v>0</v>
      </c>
      <c r="U439" s="46">
        <f t="shared" si="6"/>
        <v>52</v>
      </c>
    </row>
    <row r="440" spans="3:21" x14ac:dyDescent="0.25">
      <c r="C440" s="28"/>
      <c r="D440" s="20"/>
      <c r="E440" s="4"/>
      <c r="F440" s="37"/>
      <c r="G440" s="24"/>
      <c r="H440" s="31">
        <f>_xlfn.XLOOKUP(AP[[#This Row],[Supplier name]], Supplier_master[Supplier name], Supplier_master[Category L1], 0)</f>
        <v>0</v>
      </c>
      <c r="I440" s="64">
        <f>_xlfn.XLOOKUP(AP[[#This Row],[Supplier name]], Supplier_master[Supplier name], Supplier_master[Category L2], 0)</f>
        <v>0</v>
      </c>
      <c r="J440" s="55"/>
      <c r="K440" s="54"/>
      <c r="L440" s="57">
        <f>IF(AP[[#This Row],[Spend category L1 - Override]] &lt;&gt; "", AP[[#This Row],[Spend category L1 - Override]], AP[[#This Row],[Spend category L1]])</f>
        <v>0</v>
      </c>
      <c r="M440" s="57">
        <f>IF(AP[[#This Row],[Spend category L2 - Override]] &lt;&gt; "", AP[[#This Row],[Spend category L2 - Override]], AP[[#This Row],[Spend category L2]])</f>
        <v>0</v>
      </c>
      <c r="N440" s="51">
        <f>Assumptions!$D$15</f>
        <v>0.1</v>
      </c>
      <c r="O440" s="45">
        <f>IF(AP[[#This Row],[GST applies?]] = "Yes", (AP[[#This Row],[Invoice value inc. GST]] / 1 + AP[[#This Row],[GST %]]) * AP[[#This Row],[GST %]], 0)</f>
        <v>0</v>
      </c>
      <c r="P440" s="31">
        <f>_xlfn.XLOOKUP(AP[[#This Row],[Supplier name]], Supplier_master[Supplier name], Supplier_master[EOM or Net], 0)</f>
        <v>0</v>
      </c>
      <c r="Q440" s="31">
        <f>_xlfn.XLOOKUP(AP[[#This Row],[Supplier name]], Supplier_master[Supplier name], Supplier_master[Terms days], 0)</f>
        <v>0</v>
      </c>
      <c r="R4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0" s="4"/>
      <c r="T440" s="46">
        <f>IF(AP[[#This Row],[Payment date - override (dd/mm/yyyy)]] &lt;&gt; "", AP[[#This Row],[Payment date - override (dd/mm/yyyy)]], AP[[#This Row],[Due date (dd/mm/yyyy)]])</f>
        <v>0</v>
      </c>
      <c r="U440" s="46">
        <f t="shared" si="6"/>
        <v>52</v>
      </c>
    </row>
    <row r="441" spans="3:21" x14ac:dyDescent="0.25">
      <c r="C441" s="28"/>
      <c r="D441" s="20"/>
      <c r="E441" s="4"/>
      <c r="F441" s="37"/>
      <c r="G441" s="24"/>
      <c r="H441" s="31">
        <f>_xlfn.XLOOKUP(AP[[#This Row],[Supplier name]], Supplier_master[Supplier name], Supplier_master[Category L1], 0)</f>
        <v>0</v>
      </c>
      <c r="I441" s="64">
        <f>_xlfn.XLOOKUP(AP[[#This Row],[Supplier name]], Supplier_master[Supplier name], Supplier_master[Category L2], 0)</f>
        <v>0</v>
      </c>
      <c r="J441" s="55"/>
      <c r="K441" s="54"/>
      <c r="L441" s="57">
        <f>IF(AP[[#This Row],[Spend category L1 - Override]] &lt;&gt; "", AP[[#This Row],[Spend category L1 - Override]], AP[[#This Row],[Spend category L1]])</f>
        <v>0</v>
      </c>
      <c r="M441" s="57">
        <f>IF(AP[[#This Row],[Spend category L2 - Override]] &lt;&gt; "", AP[[#This Row],[Spend category L2 - Override]], AP[[#This Row],[Spend category L2]])</f>
        <v>0</v>
      </c>
      <c r="N441" s="51">
        <f>Assumptions!$D$15</f>
        <v>0.1</v>
      </c>
      <c r="O441" s="45">
        <f>IF(AP[[#This Row],[GST applies?]] = "Yes", (AP[[#This Row],[Invoice value inc. GST]] / 1 + AP[[#This Row],[GST %]]) * AP[[#This Row],[GST %]], 0)</f>
        <v>0</v>
      </c>
      <c r="P441" s="31">
        <f>_xlfn.XLOOKUP(AP[[#This Row],[Supplier name]], Supplier_master[Supplier name], Supplier_master[EOM or Net], 0)</f>
        <v>0</v>
      </c>
      <c r="Q441" s="31">
        <f>_xlfn.XLOOKUP(AP[[#This Row],[Supplier name]], Supplier_master[Supplier name], Supplier_master[Terms days], 0)</f>
        <v>0</v>
      </c>
      <c r="R4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1" s="4"/>
      <c r="T441" s="46">
        <f>IF(AP[[#This Row],[Payment date - override (dd/mm/yyyy)]] &lt;&gt; "", AP[[#This Row],[Payment date - override (dd/mm/yyyy)]], AP[[#This Row],[Due date (dd/mm/yyyy)]])</f>
        <v>0</v>
      </c>
      <c r="U441" s="46">
        <f t="shared" si="6"/>
        <v>52</v>
      </c>
    </row>
    <row r="442" spans="3:21" x14ac:dyDescent="0.25">
      <c r="C442" s="28"/>
      <c r="D442" s="20"/>
      <c r="E442" s="4"/>
      <c r="F442" s="37"/>
      <c r="G442" s="24"/>
      <c r="H442" s="31">
        <f>_xlfn.XLOOKUP(AP[[#This Row],[Supplier name]], Supplier_master[Supplier name], Supplier_master[Category L1], 0)</f>
        <v>0</v>
      </c>
      <c r="I442" s="64">
        <f>_xlfn.XLOOKUP(AP[[#This Row],[Supplier name]], Supplier_master[Supplier name], Supplier_master[Category L2], 0)</f>
        <v>0</v>
      </c>
      <c r="J442" s="55"/>
      <c r="K442" s="54"/>
      <c r="L442" s="57">
        <f>IF(AP[[#This Row],[Spend category L1 - Override]] &lt;&gt; "", AP[[#This Row],[Spend category L1 - Override]], AP[[#This Row],[Spend category L1]])</f>
        <v>0</v>
      </c>
      <c r="M442" s="57">
        <f>IF(AP[[#This Row],[Spend category L2 - Override]] &lt;&gt; "", AP[[#This Row],[Spend category L2 - Override]], AP[[#This Row],[Spend category L2]])</f>
        <v>0</v>
      </c>
      <c r="N442" s="51">
        <f>Assumptions!$D$15</f>
        <v>0.1</v>
      </c>
      <c r="O442" s="45">
        <f>IF(AP[[#This Row],[GST applies?]] = "Yes", (AP[[#This Row],[Invoice value inc. GST]] / 1 + AP[[#This Row],[GST %]]) * AP[[#This Row],[GST %]], 0)</f>
        <v>0</v>
      </c>
      <c r="P442" s="31">
        <f>_xlfn.XLOOKUP(AP[[#This Row],[Supplier name]], Supplier_master[Supplier name], Supplier_master[EOM or Net], 0)</f>
        <v>0</v>
      </c>
      <c r="Q442" s="31">
        <f>_xlfn.XLOOKUP(AP[[#This Row],[Supplier name]], Supplier_master[Supplier name], Supplier_master[Terms days], 0)</f>
        <v>0</v>
      </c>
      <c r="R4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2" s="4"/>
      <c r="T442" s="46">
        <f>IF(AP[[#This Row],[Payment date - override (dd/mm/yyyy)]] &lt;&gt; "", AP[[#This Row],[Payment date - override (dd/mm/yyyy)]], AP[[#This Row],[Due date (dd/mm/yyyy)]])</f>
        <v>0</v>
      </c>
      <c r="U442" s="46">
        <f t="shared" si="6"/>
        <v>52</v>
      </c>
    </row>
    <row r="443" spans="3:21" x14ac:dyDescent="0.25">
      <c r="C443" s="28"/>
      <c r="D443" s="20"/>
      <c r="E443" s="4"/>
      <c r="F443" s="37"/>
      <c r="G443" s="24"/>
      <c r="H443" s="31">
        <f>_xlfn.XLOOKUP(AP[[#This Row],[Supplier name]], Supplier_master[Supplier name], Supplier_master[Category L1], 0)</f>
        <v>0</v>
      </c>
      <c r="I443" s="64">
        <f>_xlfn.XLOOKUP(AP[[#This Row],[Supplier name]], Supplier_master[Supplier name], Supplier_master[Category L2], 0)</f>
        <v>0</v>
      </c>
      <c r="J443" s="55"/>
      <c r="K443" s="54"/>
      <c r="L443" s="57">
        <f>IF(AP[[#This Row],[Spend category L1 - Override]] &lt;&gt; "", AP[[#This Row],[Spend category L1 - Override]], AP[[#This Row],[Spend category L1]])</f>
        <v>0</v>
      </c>
      <c r="M443" s="57">
        <f>IF(AP[[#This Row],[Spend category L2 - Override]] &lt;&gt; "", AP[[#This Row],[Spend category L2 - Override]], AP[[#This Row],[Spend category L2]])</f>
        <v>0</v>
      </c>
      <c r="N443" s="51">
        <f>Assumptions!$D$15</f>
        <v>0.1</v>
      </c>
      <c r="O443" s="45">
        <f>IF(AP[[#This Row],[GST applies?]] = "Yes", (AP[[#This Row],[Invoice value inc. GST]] / 1 + AP[[#This Row],[GST %]]) * AP[[#This Row],[GST %]], 0)</f>
        <v>0</v>
      </c>
      <c r="P443" s="31">
        <f>_xlfn.XLOOKUP(AP[[#This Row],[Supplier name]], Supplier_master[Supplier name], Supplier_master[EOM or Net], 0)</f>
        <v>0</v>
      </c>
      <c r="Q443" s="31">
        <f>_xlfn.XLOOKUP(AP[[#This Row],[Supplier name]], Supplier_master[Supplier name], Supplier_master[Terms days], 0)</f>
        <v>0</v>
      </c>
      <c r="R4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3" s="4"/>
      <c r="T443" s="46">
        <f>IF(AP[[#This Row],[Payment date - override (dd/mm/yyyy)]] &lt;&gt; "", AP[[#This Row],[Payment date - override (dd/mm/yyyy)]], AP[[#This Row],[Due date (dd/mm/yyyy)]])</f>
        <v>0</v>
      </c>
      <c r="U443" s="46">
        <f t="shared" si="6"/>
        <v>52</v>
      </c>
    </row>
    <row r="444" spans="3:21" x14ac:dyDescent="0.25">
      <c r="C444" s="28"/>
      <c r="D444" s="20"/>
      <c r="E444" s="4"/>
      <c r="F444" s="37"/>
      <c r="G444" s="24"/>
      <c r="H444" s="31">
        <f>_xlfn.XLOOKUP(AP[[#This Row],[Supplier name]], Supplier_master[Supplier name], Supplier_master[Category L1], 0)</f>
        <v>0</v>
      </c>
      <c r="I444" s="64">
        <f>_xlfn.XLOOKUP(AP[[#This Row],[Supplier name]], Supplier_master[Supplier name], Supplier_master[Category L2], 0)</f>
        <v>0</v>
      </c>
      <c r="J444" s="55"/>
      <c r="K444" s="54"/>
      <c r="L444" s="57">
        <f>IF(AP[[#This Row],[Spend category L1 - Override]] &lt;&gt; "", AP[[#This Row],[Spend category L1 - Override]], AP[[#This Row],[Spend category L1]])</f>
        <v>0</v>
      </c>
      <c r="M444" s="57">
        <f>IF(AP[[#This Row],[Spend category L2 - Override]] &lt;&gt; "", AP[[#This Row],[Spend category L2 - Override]], AP[[#This Row],[Spend category L2]])</f>
        <v>0</v>
      </c>
      <c r="N444" s="51">
        <f>Assumptions!$D$15</f>
        <v>0.1</v>
      </c>
      <c r="O444" s="45">
        <f>IF(AP[[#This Row],[GST applies?]] = "Yes", (AP[[#This Row],[Invoice value inc. GST]] / 1 + AP[[#This Row],[GST %]]) * AP[[#This Row],[GST %]], 0)</f>
        <v>0</v>
      </c>
      <c r="P444" s="31">
        <f>_xlfn.XLOOKUP(AP[[#This Row],[Supplier name]], Supplier_master[Supplier name], Supplier_master[EOM or Net], 0)</f>
        <v>0</v>
      </c>
      <c r="Q444" s="31">
        <f>_xlfn.XLOOKUP(AP[[#This Row],[Supplier name]], Supplier_master[Supplier name], Supplier_master[Terms days], 0)</f>
        <v>0</v>
      </c>
      <c r="R4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4" s="4"/>
      <c r="T444" s="46">
        <f>IF(AP[[#This Row],[Payment date - override (dd/mm/yyyy)]] &lt;&gt; "", AP[[#This Row],[Payment date - override (dd/mm/yyyy)]], AP[[#This Row],[Due date (dd/mm/yyyy)]])</f>
        <v>0</v>
      </c>
      <c r="U444" s="46">
        <f t="shared" si="6"/>
        <v>52</v>
      </c>
    </row>
    <row r="445" spans="3:21" x14ac:dyDescent="0.25">
      <c r="C445" s="28"/>
      <c r="D445" s="20"/>
      <c r="E445" s="4"/>
      <c r="F445" s="37"/>
      <c r="G445" s="24"/>
      <c r="H445" s="31">
        <f>_xlfn.XLOOKUP(AP[[#This Row],[Supplier name]], Supplier_master[Supplier name], Supplier_master[Category L1], 0)</f>
        <v>0</v>
      </c>
      <c r="I445" s="64">
        <f>_xlfn.XLOOKUP(AP[[#This Row],[Supplier name]], Supplier_master[Supplier name], Supplier_master[Category L2], 0)</f>
        <v>0</v>
      </c>
      <c r="J445" s="55"/>
      <c r="K445" s="54"/>
      <c r="L445" s="57">
        <f>IF(AP[[#This Row],[Spend category L1 - Override]] &lt;&gt; "", AP[[#This Row],[Spend category L1 - Override]], AP[[#This Row],[Spend category L1]])</f>
        <v>0</v>
      </c>
      <c r="M445" s="57">
        <f>IF(AP[[#This Row],[Spend category L2 - Override]] &lt;&gt; "", AP[[#This Row],[Spend category L2 - Override]], AP[[#This Row],[Spend category L2]])</f>
        <v>0</v>
      </c>
      <c r="N445" s="51">
        <f>Assumptions!$D$15</f>
        <v>0.1</v>
      </c>
      <c r="O445" s="45">
        <f>IF(AP[[#This Row],[GST applies?]] = "Yes", (AP[[#This Row],[Invoice value inc. GST]] / 1 + AP[[#This Row],[GST %]]) * AP[[#This Row],[GST %]], 0)</f>
        <v>0</v>
      </c>
      <c r="P445" s="31">
        <f>_xlfn.XLOOKUP(AP[[#This Row],[Supplier name]], Supplier_master[Supplier name], Supplier_master[EOM or Net], 0)</f>
        <v>0</v>
      </c>
      <c r="Q445" s="31">
        <f>_xlfn.XLOOKUP(AP[[#This Row],[Supplier name]], Supplier_master[Supplier name], Supplier_master[Terms days], 0)</f>
        <v>0</v>
      </c>
      <c r="R4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5" s="4"/>
      <c r="T445" s="46">
        <f>IF(AP[[#This Row],[Payment date - override (dd/mm/yyyy)]] &lt;&gt; "", AP[[#This Row],[Payment date - override (dd/mm/yyyy)]], AP[[#This Row],[Due date (dd/mm/yyyy)]])</f>
        <v>0</v>
      </c>
      <c r="U445" s="46">
        <f t="shared" si="6"/>
        <v>52</v>
      </c>
    </row>
    <row r="446" spans="3:21" x14ac:dyDescent="0.25">
      <c r="C446" s="28"/>
      <c r="D446" s="20"/>
      <c r="E446" s="4"/>
      <c r="F446" s="37"/>
      <c r="G446" s="24"/>
      <c r="H446" s="31">
        <f>_xlfn.XLOOKUP(AP[[#This Row],[Supplier name]], Supplier_master[Supplier name], Supplier_master[Category L1], 0)</f>
        <v>0</v>
      </c>
      <c r="I446" s="64">
        <f>_xlfn.XLOOKUP(AP[[#This Row],[Supplier name]], Supplier_master[Supplier name], Supplier_master[Category L2], 0)</f>
        <v>0</v>
      </c>
      <c r="J446" s="55"/>
      <c r="K446" s="54"/>
      <c r="L446" s="57">
        <f>IF(AP[[#This Row],[Spend category L1 - Override]] &lt;&gt; "", AP[[#This Row],[Spend category L1 - Override]], AP[[#This Row],[Spend category L1]])</f>
        <v>0</v>
      </c>
      <c r="M446" s="57">
        <f>IF(AP[[#This Row],[Spend category L2 - Override]] &lt;&gt; "", AP[[#This Row],[Spend category L2 - Override]], AP[[#This Row],[Spend category L2]])</f>
        <v>0</v>
      </c>
      <c r="N446" s="51">
        <f>Assumptions!$D$15</f>
        <v>0.1</v>
      </c>
      <c r="O446" s="45">
        <f>IF(AP[[#This Row],[GST applies?]] = "Yes", (AP[[#This Row],[Invoice value inc. GST]] / 1 + AP[[#This Row],[GST %]]) * AP[[#This Row],[GST %]], 0)</f>
        <v>0</v>
      </c>
      <c r="P446" s="31">
        <f>_xlfn.XLOOKUP(AP[[#This Row],[Supplier name]], Supplier_master[Supplier name], Supplier_master[EOM or Net], 0)</f>
        <v>0</v>
      </c>
      <c r="Q446" s="31">
        <f>_xlfn.XLOOKUP(AP[[#This Row],[Supplier name]], Supplier_master[Supplier name], Supplier_master[Terms days], 0)</f>
        <v>0</v>
      </c>
      <c r="R4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6" s="4"/>
      <c r="T446" s="46">
        <f>IF(AP[[#This Row],[Payment date - override (dd/mm/yyyy)]] &lt;&gt; "", AP[[#This Row],[Payment date - override (dd/mm/yyyy)]], AP[[#This Row],[Due date (dd/mm/yyyy)]])</f>
        <v>0</v>
      </c>
      <c r="U446" s="46">
        <f t="shared" si="6"/>
        <v>52</v>
      </c>
    </row>
    <row r="447" spans="3:21" x14ac:dyDescent="0.25">
      <c r="C447" s="28"/>
      <c r="D447" s="20"/>
      <c r="E447" s="4"/>
      <c r="F447" s="37"/>
      <c r="G447" s="24"/>
      <c r="H447" s="31">
        <f>_xlfn.XLOOKUP(AP[[#This Row],[Supplier name]], Supplier_master[Supplier name], Supplier_master[Category L1], 0)</f>
        <v>0</v>
      </c>
      <c r="I447" s="64">
        <f>_xlfn.XLOOKUP(AP[[#This Row],[Supplier name]], Supplier_master[Supplier name], Supplier_master[Category L2], 0)</f>
        <v>0</v>
      </c>
      <c r="J447" s="55"/>
      <c r="K447" s="54"/>
      <c r="L447" s="57">
        <f>IF(AP[[#This Row],[Spend category L1 - Override]] &lt;&gt; "", AP[[#This Row],[Spend category L1 - Override]], AP[[#This Row],[Spend category L1]])</f>
        <v>0</v>
      </c>
      <c r="M447" s="57">
        <f>IF(AP[[#This Row],[Spend category L2 - Override]] &lt;&gt; "", AP[[#This Row],[Spend category L2 - Override]], AP[[#This Row],[Spend category L2]])</f>
        <v>0</v>
      </c>
      <c r="N447" s="51">
        <f>Assumptions!$D$15</f>
        <v>0.1</v>
      </c>
      <c r="O447" s="45">
        <f>IF(AP[[#This Row],[GST applies?]] = "Yes", (AP[[#This Row],[Invoice value inc. GST]] / 1 + AP[[#This Row],[GST %]]) * AP[[#This Row],[GST %]], 0)</f>
        <v>0</v>
      </c>
      <c r="P447" s="31">
        <f>_xlfn.XLOOKUP(AP[[#This Row],[Supplier name]], Supplier_master[Supplier name], Supplier_master[EOM or Net], 0)</f>
        <v>0</v>
      </c>
      <c r="Q447" s="31">
        <f>_xlfn.XLOOKUP(AP[[#This Row],[Supplier name]], Supplier_master[Supplier name], Supplier_master[Terms days], 0)</f>
        <v>0</v>
      </c>
      <c r="R4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7" s="4"/>
      <c r="T447" s="46">
        <f>IF(AP[[#This Row],[Payment date - override (dd/mm/yyyy)]] &lt;&gt; "", AP[[#This Row],[Payment date - override (dd/mm/yyyy)]], AP[[#This Row],[Due date (dd/mm/yyyy)]])</f>
        <v>0</v>
      </c>
      <c r="U447" s="46">
        <f t="shared" si="6"/>
        <v>52</v>
      </c>
    </row>
    <row r="448" spans="3:21" x14ac:dyDescent="0.25">
      <c r="C448" s="28"/>
      <c r="D448" s="20"/>
      <c r="E448" s="4"/>
      <c r="F448" s="37"/>
      <c r="G448" s="24"/>
      <c r="H448" s="31">
        <f>_xlfn.XLOOKUP(AP[[#This Row],[Supplier name]], Supplier_master[Supplier name], Supplier_master[Category L1], 0)</f>
        <v>0</v>
      </c>
      <c r="I448" s="64">
        <f>_xlfn.XLOOKUP(AP[[#This Row],[Supplier name]], Supplier_master[Supplier name], Supplier_master[Category L2], 0)</f>
        <v>0</v>
      </c>
      <c r="J448" s="55"/>
      <c r="K448" s="54"/>
      <c r="L448" s="57">
        <f>IF(AP[[#This Row],[Spend category L1 - Override]] &lt;&gt; "", AP[[#This Row],[Spend category L1 - Override]], AP[[#This Row],[Spend category L1]])</f>
        <v>0</v>
      </c>
      <c r="M448" s="57">
        <f>IF(AP[[#This Row],[Spend category L2 - Override]] &lt;&gt; "", AP[[#This Row],[Spend category L2 - Override]], AP[[#This Row],[Spend category L2]])</f>
        <v>0</v>
      </c>
      <c r="N448" s="51">
        <f>Assumptions!$D$15</f>
        <v>0.1</v>
      </c>
      <c r="O448" s="45">
        <f>IF(AP[[#This Row],[GST applies?]] = "Yes", (AP[[#This Row],[Invoice value inc. GST]] / 1 + AP[[#This Row],[GST %]]) * AP[[#This Row],[GST %]], 0)</f>
        <v>0</v>
      </c>
      <c r="P448" s="31">
        <f>_xlfn.XLOOKUP(AP[[#This Row],[Supplier name]], Supplier_master[Supplier name], Supplier_master[EOM or Net], 0)</f>
        <v>0</v>
      </c>
      <c r="Q448" s="31">
        <f>_xlfn.XLOOKUP(AP[[#This Row],[Supplier name]], Supplier_master[Supplier name], Supplier_master[Terms days], 0)</f>
        <v>0</v>
      </c>
      <c r="R4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8" s="4"/>
      <c r="T448" s="46">
        <f>IF(AP[[#This Row],[Payment date - override (dd/mm/yyyy)]] &lt;&gt; "", AP[[#This Row],[Payment date - override (dd/mm/yyyy)]], AP[[#This Row],[Due date (dd/mm/yyyy)]])</f>
        <v>0</v>
      </c>
      <c r="U448" s="46">
        <f t="shared" si="6"/>
        <v>52</v>
      </c>
    </row>
    <row r="449" spans="3:21" x14ac:dyDescent="0.25">
      <c r="C449" s="28"/>
      <c r="D449" s="20"/>
      <c r="E449" s="4"/>
      <c r="F449" s="37"/>
      <c r="G449" s="24"/>
      <c r="H449" s="31">
        <f>_xlfn.XLOOKUP(AP[[#This Row],[Supplier name]], Supplier_master[Supplier name], Supplier_master[Category L1], 0)</f>
        <v>0</v>
      </c>
      <c r="I449" s="64">
        <f>_xlfn.XLOOKUP(AP[[#This Row],[Supplier name]], Supplier_master[Supplier name], Supplier_master[Category L2], 0)</f>
        <v>0</v>
      </c>
      <c r="J449" s="55"/>
      <c r="K449" s="54"/>
      <c r="L449" s="57">
        <f>IF(AP[[#This Row],[Spend category L1 - Override]] &lt;&gt; "", AP[[#This Row],[Spend category L1 - Override]], AP[[#This Row],[Spend category L1]])</f>
        <v>0</v>
      </c>
      <c r="M449" s="57">
        <f>IF(AP[[#This Row],[Spend category L2 - Override]] &lt;&gt; "", AP[[#This Row],[Spend category L2 - Override]], AP[[#This Row],[Spend category L2]])</f>
        <v>0</v>
      </c>
      <c r="N449" s="51">
        <f>Assumptions!$D$15</f>
        <v>0.1</v>
      </c>
      <c r="O449" s="45">
        <f>IF(AP[[#This Row],[GST applies?]] = "Yes", (AP[[#This Row],[Invoice value inc. GST]] / 1 + AP[[#This Row],[GST %]]) * AP[[#This Row],[GST %]], 0)</f>
        <v>0</v>
      </c>
      <c r="P449" s="31">
        <f>_xlfn.XLOOKUP(AP[[#This Row],[Supplier name]], Supplier_master[Supplier name], Supplier_master[EOM or Net], 0)</f>
        <v>0</v>
      </c>
      <c r="Q449" s="31">
        <f>_xlfn.XLOOKUP(AP[[#This Row],[Supplier name]], Supplier_master[Supplier name], Supplier_master[Terms days], 0)</f>
        <v>0</v>
      </c>
      <c r="R4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9" s="4"/>
      <c r="T449" s="46">
        <f>IF(AP[[#This Row],[Payment date - override (dd/mm/yyyy)]] &lt;&gt; "", AP[[#This Row],[Payment date - override (dd/mm/yyyy)]], AP[[#This Row],[Due date (dd/mm/yyyy)]])</f>
        <v>0</v>
      </c>
      <c r="U449" s="46">
        <f t="shared" si="6"/>
        <v>52</v>
      </c>
    </row>
    <row r="450" spans="3:21" x14ac:dyDescent="0.25">
      <c r="C450" s="28"/>
      <c r="D450" s="20"/>
      <c r="E450" s="4"/>
      <c r="F450" s="37"/>
      <c r="G450" s="24"/>
      <c r="H450" s="31">
        <f>_xlfn.XLOOKUP(AP[[#This Row],[Supplier name]], Supplier_master[Supplier name], Supplier_master[Category L1], 0)</f>
        <v>0</v>
      </c>
      <c r="I450" s="64">
        <f>_xlfn.XLOOKUP(AP[[#This Row],[Supplier name]], Supplier_master[Supplier name], Supplier_master[Category L2], 0)</f>
        <v>0</v>
      </c>
      <c r="J450" s="55"/>
      <c r="K450" s="54"/>
      <c r="L450" s="57">
        <f>IF(AP[[#This Row],[Spend category L1 - Override]] &lt;&gt; "", AP[[#This Row],[Spend category L1 - Override]], AP[[#This Row],[Spend category L1]])</f>
        <v>0</v>
      </c>
      <c r="M450" s="57">
        <f>IF(AP[[#This Row],[Spend category L2 - Override]] &lt;&gt; "", AP[[#This Row],[Spend category L2 - Override]], AP[[#This Row],[Spend category L2]])</f>
        <v>0</v>
      </c>
      <c r="N450" s="51">
        <f>Assumptions!$D$15</f>
        <v>0.1</v>
      </c>
      <c r="O450" s="45">
        <f>IF(AP[[#This Row],[GST applies?]] = "Yes", (AP[[#This Row],[Invoice value inc. GST]] / 1 + AP[[#This Row],[GST %]]) * AP[[#This Row],[GST %]], 0)</f>
        <v>0</v>
      </c>
      <c r="P450" s="31">
        <f>_xlfn.XLOOKUP(AP[[#This Row],[Supplier name]], Supplier_master[Supplier name], Supplier_master[EOM or Net], 0)</f>
        <v>0</v>
      </c>
      <c r="Q450" s="31">
        <f>_xlfn.XLOOKUP(AP[[#This Row],[Supplier name]], Supplier_master[Supplier name], Supplier_master[Terms days], 0)</f>
        <v>0</v>
      </c>
      <c r="R4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0" s="4"/>
      <c r="T450" s="46">
        <f>IF(AP[[#This Row],[Payment date - override (dd/mm/yyyy)]] &lt;&gt; "", AP[[#This Row],[Payment date - override (dd/mm/yyyy)]], AP[[#This Row],[Due date (dd/mm/yyyy)]])</f>
        <v>0</v>
      </c>
      <c r="U450" s="46">
        <f t="shared" si="6"/>
        <v>52</v>
      </c>
    </row>
    <row r="451" spans="3:21" x14ac:dyDescent="0.25">
      <c r="C451" s="28"/>
      <c r="D451" s="20"/>
      <c r="E451" s="4"/>
      <c r="F451" s="37"/>
      <c r="G451" s="24"/>
      <c r="H451" s="31">
        <f>_xlfn.XLOOKUP(AP[[#This Row],[Supplier name]], Supplier_master[Supplier name], Supplier_master[Category L1], 0)</f>
        <v>0</v>
      </c>
      <c r="I451" s="64">
        <f>_xlfn.XLOOKUP(AP[[#This Row],[Supplier name]], Supplier_master[Supplier name], Supplier_master[Category L2], 0)</f>
        <v>0</v>
      </c>
      <c r="J451" s="55"/>
      <c r="K451" s="54"/>
      <c r="L451" s="57">
        <f>IF(AP[[#This Row],[Spend category L1 - Override]] &lt;&gt; "", AP[[#This Row],[Spend category L1 - Override]], AP[[#This Row],[Spend category L1]])</f>
        <v>0</v>
      </c>
      <c r="M451" s="57">
        <f>IF(AP[[#This Row],[Spend category L2 - Override]] &lt;&gt; "", AP[[#This Row],[Spend category L2 - Override]], AP[[#This Row],[Spend category L2]])</f>
        <v>0</v>
      </c>
      <c r="N451" s="51">
        <f>Assumptions!$D$15</f>
        <v>0.1</v>
      </c>
      <c r="O451" s="45">
        <f>IF(AP[[#This Row],[GST applies?]] = "Yes", (AP[[#This Row],[Invoice value inc. GST]] / 1 + AP[[#This Row],[GST %]]) * AP[[#This Row],[GST %]], 0)</f>
        <v>0</v>
      </c>
      <c r="P451" s="31">
        <f>_xlfn.XLOOKUP(AP[[#This Row],[Supplier name]], Supplier_master[Supplier name], Supplier_master[EOM or Net], 0)</f>
        <v>0</v>
      </c>
      <c r="Q451" s="31">
        <f>_xlfn.XLOOKUP(AP[[#This Row],[Supplier name]], Supplier_master[Supplier name], Supplier_master[Terms days], 0)</f>
        <v>0</v>
      </c>
      <c r="R4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1" s="4"/>
      <c r="T451" s="46">
        <f>IF(AP[[#This Row],[Payment date - override (dd/mm/yyyy)]] &lt;&gt; "", AP[[#This Row],[Payment date - override (dd/mm/yyyy)]], AP[[#This Row],[Due date (dd/mm/yyyy)]])</f>
        <v>0</v>
      </c>
      <c r="U451" s="46">
        <f t="shared" si="6"/>
        <v>52</v>
      </c>
    </row>
    <row r="452" spans="3:21" x14ac:dyDescent="0.25">
      <c r="C452" s="28"/>
      <c r="D452" s="20"/>
      <c r="E452" s="4"/>
      <c r="F452" s="37"/>
      <c r="G452" s="24"/>
      <c r="H452" s="31">
        <f>_xlfn.XLOOKUP(AP[[#This Row],[Supplier name]], Supplier_master[Supplier name], Supplier_master[Category L1], 0)</f>
        <v>0</v>
      </c>
      <c r="I452" s="64">
        <f>_xlfn.XLOOKUP(AP[[#This Row],[Supplier name]], Supplier_master[Supplier name], Supplier_master[Category L2], 0)</f>
        <v>0</v>
      </c>
      <c r="J452" s="55"/>
      <c r="K452" s="54"/>
      <c r="L452" s="57">
        <f>IF(AP[[#This Row],[Spend category L1 - Override]] &lt;&gt; "", AP[[#This Row],[Spend category L1 - Override]], AP[[#This Row],[Spend category L1]])</f>
        <v>0</v>
      </c>
      <c r="M452" s="57">
        <f>IF(AP[[#This Row],[Spend category L2 - Override]] &lt;&gt; "", AP[[#This Row],[Spend category L2 - Override]], AP[[#This Row],[Spend category L2]])</f>
        <v>0</v>
      </c>
      <c r="N452" s="51">
        <f>Assumptions!$D$15</f>
        <v>0.1</v>
      </c>
      <c r="O452" s="45">
        <f>IF(AP[[#This Row],[GST applies?]] = "Yes", (AP[[#This Row],[Invoice value inc. GST]] / 1 + AP[[#This Row],[GST %]]) * AP[[#This Row],[GST %]], 0)</f>
        <v>0</v>
      </c>
      <c r="P452" s="31">
        <f>_xlfn.XLOOKUP(AP[[#This Row],[Supplier name]], Supplier_master[Supplier name], Supplier_master[EOM or Net], 0)</f>
        <v>0</v>
      </c>
      <c r="Q452" s="31">
        <f>_xlfn.XLOOKUP(AP[[#This Row],[Supplier name]], Supplier_master[Supplier name], Supplier_master[Terms days], 0)</f>
        <v>0</v>
      </c>
      <c r="R4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2" s="4"/>
      <c r="T452" s="46">
        <f>IF(AP[[#This Row],[Payment date - override (dd/mm/yyyy)]] &lt;&gt; "", AP[[#This Row],[Payment date - override (dd/mm/yyyy)]], AP[[#This Row],[Due date (dd/mm/yyyy)]])</f>
        <v>0</v>
      </c>
      <c r="U452" s="46">
        <f t="shared" si="6"/>
        <v>52</v>
      </c>
    </row>
    <row r="453" spans="3:21" x14ac:dyDescent="0.25">
      <c r="C453" s="28"/>
      <c r="D453" s="20"/>
      <c r="E453" s="4"/>
      <c r="F453" s="37"/>
      <c r="G453" s="24"/>
      <c r="H453" s="31">
        <f>_xlfn.XLOOKUP(AP[[#This Row],[Supplier name]], Supplier_master[Supplier name], Supplier_master[Category L1], 0)</f>
        <v>0</v>
      </c>
      <c r="I453" s="64">
        <f>_xlfn.XLOOKUP(AP[[#This Row],[Supplier name]], Supplier_master[Supplier name], Supplier_master[Category L2], 0)</f>
        <v>0</v>
      </c>
      <c r="J453" s="55"/>
      <c r="K453" s="54"/>
      <c r="L453" s="57">
        <f>IF(AP[[#This Row],[Spend category L1 - Override]] &lt;&gt; "", AP[[#This Row],[Spend category L1 - Override]], AP[[#This Row],[Spend category L1]])</f>
        <v>0</v>
      </c>
      <c r="M453" s="57">
        <f>IF(AP[[#This Row],[Spend category L2 - Override]] &lt;&gt; "", AP[[#This Row],[Spend category L2 - Override]], AP[[#This Row],[Spend category L2]])</f>
        <v>0</v>
      </c>
      <c r="N453" s="51">
        <f>Assumptions!$D$15</f>
        <v>0.1</v>
      </c>
      <c r="O453" s="45">
        <f>IF(AP[[#This Row],[GST applies?]] = "Yes", (AP[[#This Row],[Invoice value inc. GST]] / 1 + AP[[#This Row],[GST %]]) * AP[[#This Row],[GST %]], 0)</f>
        <v>0</v>
      </c>
      <c r="P453" s="31">
        <f>_xlfn.XLOOKUP(AP[[#This Row],[Supplier name]], Supplier_master[Supplier name], Supplier_master[EOM or Net], 0)</f>
        <v>0</v>
      </c>
      <c r="Q453" s="31">
        <f>_xlfn.XLOOKUP(AP[[#This Row],[Supplier name]], Supplier_master[Supplier name], Supplier_master[Terms days], 0)</f>
        <v>0</v>
      </c>
      <c r="R4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3" s="4"/>
      <c r="T453" s="46">
        <f>IF(AP[[#This Row],[Payment date - override (dd/mm/yyyy)]] &lt;&gt; "", AP[[#This Row],[Payment date - override (dd/mm/yyyy)]], AP[[#This Row],[Due date (dd/mm/yyyy)]])</f>
        <v>0</v>
      </c>
      <c r="U453" s="46">
        <f t="shared" si="6"/>
        <v>52</v>
      </c>
    </row>
    <row r="454" spans="3:21" x14ac:dyDescent="0.25">
      <c r="C454" s="28"/>
      <c r="D454" s="20"/>
      <c r="E454" s="4"/>
      <c r="F454" s="37"/>
      <c r="G454" s="24"/>
      <c r="H454" s="31">
        <f>_xlfn.XLOOKUP(AP[[#This Row],[Supplier name]], Supplier_master[Supplier name], Supplier_master[Category L1], 0)</f>
        <v>0</v>
      </c>
      <c r="I454" s="64">
        <f>_xlfn.XLOOKUP(AP[[#This Row],[Supplier name]], Supplier_master[Supplier name], Supplier_master[Category L2], 0)</f>
        <v>0</v>
      </c>
      <c r="J454" s="55"/>
      <c r="K454" s="54"/>
      <c r="L454" s="57">
        <f>IF(AP[[#This Row],[Spend category L1 - Override]] &lt;&gt; "", AP[[#This Row],[Spend category L1 - Override]], AP[[#This Row],[Spend category L1]])</f>
        <v>0</v>
      </c>
      <c r="M454" s="57">
        <f>IF(AP[[#This Row],[Spend category L2 - Override]] &lt;&gt; "", AP[[#This Row],[Spend category L2 - Override]], AP[[#This Row],[Spend category L2]])</f>
        <v>0</v>
      </c>
      <c r="N454" s="51">
        <f>Assumptions!$D$15</f>
        <v>0.1</v>
      </c>
      <c r="O454" s="45">
        <f>IF(AP[[#This Row],[GST applies?]] = "Yes", (AP[[#This Row],[Invoice value inc. GST]] / 1 + AP[[#This Row],[GST %]]) * AP[[#This Row],[GST %]], 0)</f>
        <v>0</v>
      </c>
      <c r="P454" s="31">
        <f>_xlfn.XLOOKUP(AP[[#This Row],[Supplier name]], Supplier_master[Supplier name], Supplier_master[EOM or Net], 0)</f>
        <v>0</v>
      </c>
      <c r="Q454" s="31">
        <f>_xlfn.XLOOKUP(AP[[#This Row],[Supplier name]], Supplier_master[Supplier name], Supplier_master[Terms days], 0)</f>
        <v>0</v>
      </c>
      <c r="R4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4" s="4"/>
      <c r="T454" s="46">
        <f>IF(AP[[#This Row],[Payment date - override (dd/mm/yyyy)]] &lt;&gt; "", AP[[#This Row],[Payment date - override (dd/mm/yyyy)]], AP[[#This Row],[Due date (dd/mm/yyyy)]])</f>
        <v>0</v>
      </c>
      <c r="U454" s="46">
        <f t="shared" si="6"/>
        <v>52</v>
      </c>
    </row>
    <row r="455" spans="3:21" x14ac:dyDescent="0.25">
      <c r="C455" s="28"/>
      <c r="D455" s="20"/>
      <c r="E455" s="4"/>
      <c r="F455" s="37"/>
      <c r="G455" s="24"/>
      <c r="H455" s="31">
        <f>_xlfn.XLOOKUP(AP[[#This Row],[Supplier name]], Supplier_master[Supplier name], Supplier_master[Category L1], 0)</f>
        <v>0</v>
      </c>
      <c r="I455" s="64">
        <f>_xlfn.XLOOKUP(AP[[#This Row],[Supplier name]], Supplier_master[Supplier name], Supplier_master[Category L2], 0)</f>
        <v>0</v>
      </c>
      <c r="J455" s="55"/>
      <c r="K455" s="54"/>
      <c r="L455" s="57">
        <f>IF(AP[[#This Row],[Spend category L1 - Override]] &lt;&gt; "", AP[[#This Row],[Spend category L1 - Override]], AP[[#This Row],[Spend category L1]])</f>
        <v>0</v>
      </c>
      <c r="M455" s="57">
        <f>IF(AP[[#This Row],[Spend category L2 - Override]] &lt;&gt; "", AP[[#This Row],[Spend category L2 - Override]], AP[[#This Row],[Spend category L2]])</f>
        <v>0</v>
      </c>
      <c r="N455" s="51">
        <f>Assumptions!$D$15</f>
        <v>0.1</v>
      </c>
      <c r="O455" s="45">
        <f>IF(AP[[#This Row],[GST applies?]] = "Yes", (AP[[#This Row],[Invoice value inc. GST]] / 1 + AP[[#This Row],[GST %]]) * AP[[#This Row],[GST %]], 0)</f>
        <v>0</v>
      </c>
      <c r="P455" s="31">
        <f>_xlfn.XLOOKUP(AP[[#This Row],[Supplier name]], Supplier_master[Supplier name], Supplier_master[EOM or Net], 0)</f>
        <v>0</v>
      </c>
      <c r="Q455" s="31">
        <f>_xlfn.XLOOKUP(AP[[#This Row],[Supplier name]], Supplier_master[Supplier name], Supplier_master[Terms days], 0)</f>
        <v>0</v>
      </c>
      <c r="R4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5" s="4"/>
      <c r="T455" s="46">
        <f>IF(AP[[#This Row],[Payment date - override (dd/mm/yyyy)]] &lt;&gt; "", AP[[#This Row],[Payment date - override (dd/mm/yyyy)]], AP[[#This Row],[Due date (dd/mm/yyyy)]])</f>
        <v>0</v>
      </c>
      <c r="U455" s="46">
        <f t="shared" si="6"/>
        <v>52</v>
      </c>
    </row>
    <row r="456" spans="3:21" x14ac:dyDescent="0.25">
      <c r="C456" s="28"/>
      <c r="D456" s="20"/>
      <c r="E456" s="4"/>
      <c r="F456" s="37"/>
      <c r="G456" s="24"/>
      <c r="H456" s="31">
        <f>_xlfn.XLOOKUP(AP[[#This Row],[Supplier name]], Supplier_master[Supplier name], Supplier_master[Category L1], 0)</f>
        <v>0</v>
      </c>
      <c r="I456" s="64">
        <f>_xlfn.XLOOKUP(AP[[#This Row],[Supplier name]], Supplier_master[Supplier name], Supplier_master[Category L2], 0)</f>
        <v>0</v>
      </c>
      <c r="J456" s="55"/>
      <c r="K456" s="54"/>
      <c r="L456" s="57">
        <f>IF(AP[[#This Row],[Spend category L1 - Override]] &lt;&gt; "", AP[[#This Row],[Spend category L1 - Override]], AP[[#This Row],[Spend category L1]])</f>
        <v>0</v>
      </c>
      <c r="M456" s="57">
        <f>IF(AP[[#This Row],[Spend category L2 - Override]] &lt;&gt; "", AP[[#This Row],[Spend category L2 - Override]], AP[[#This Row],[Spend category L2]])</f>
        <v>0</v>
      </c>
      <c r="N456" s="51">
        <f>Assumptions!$D$15</f>
        <v>0.1</v>
      </c>
      <c r="O456" s="45">
        <f>IF(AP[[#This Row],[GST applies?]] = "Yes", (AP[[#This Row],[Invoice value inc. GST]] / 1 + AP[[#This Row],[GST %]]) * AP[[#This Row],[GST %]], 0)</f>
        <v>0</v>
      </c>
      <c r="P456" s="31">
        <f>_xlfn.XLOOKUP(AP[[#This Row],[Supplier name]], Supplier_master[Supplier name], Supplier_master[EOM or Net], 0)</f>
        <v>0</v>
      </c>
      <c r="Q456" s="31">
        <f>_xlfn.XLOOKUP(AP[[#This Row],[Supplier name]], Supplier_master[Supplier name], Supplier_master[Terms days], 0)</f>
        <v>0</v>
      </c>
      <c r="R4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6" s="4"/>
      <c r="T456" s="46">
        <f>IF(AP[[#This Row],[Payment date - override (dd/mm/yyyy)]] &lt;&gt; "", AP[[#This Row],[Payment date - override (dd/mm/yyyy)]], AP[[#This Row],[Due date (dd/mm/yyyy)]])</f>
        <v>0</v>
      </c>
      <c r="U456" s="46">
        <f t="shared" si="6"/>
        <v>52</v>
      </c>
    </row>
    <row r="457" spans="3:21" x14ac:dyDescent="0.25">
      <c r="C457" s="28"/>
      <c r="D457" s="20"/>
      <c r="E457" s="4"/>
      <c r="F457" s="37"/>
      <c r="G457" s="24"/>
      <c r="H457" s="31">
        <f>_xlfn.XLOOKUP(AP[[#This Row],[Supplier name]], Supplier_master[Supplier name], Supplier_master[Category L1], 0)</f>
        <v>0</v>
      </c>
      <c r="I457" s="64">
        <f>_xlfn.XLOOKUP(AP[[#This Row],[Supplier name]], Supplier_master[Supplier name], Supplier_master[Category L2], 0)</f>
        <v>0</v>
      </c>
      <c r="J457" s="55"/>
      <c r="K457" s="54"/>
      <c r="L457" s="57">
        <f>IF(AP[[#This Row],[Spend category L1 - Override]] &lt;&gt; "", AP[[#This Row],[Spend category L1 - Override]], AP[[#This Row],[Spend category L1]])</f>
        <v>0</v>
      </c>
      <c r="M457" s="57">
        <f>IF(AP[[#This Row],[Spend category L2 - Override]] &lt;&gt; "", AP[[#This Row],[Spend category L2 - Override]], AP[[#This Row],[Spend category L2]])</f>
        <v>0</v>
      </c>
      <c r="N457" s="51">
        <f>Assumptions!$D$15</f>
        <v>0.1</v>
      </c>
      <c r="O457" s="45">
        <f>IF(AP[[#This Row],[GST applies?]] = "Yes", (AP[[#This Row],[Invoice value inc. GST]] / 1 + AP[[#This Row],[GST %]]) * AP[[#This Row],[GST %]], 0)</f>
        <v>0</v>
      </c>
      <c r="P457" s="31">
        <f>_xlfn.XLOOKUP(AP[[#This Row],[Supplier name]], Supplier_master[Supplier name], Supplier_master[EOM or Net], 0)</f>
        <v>0</v>
      </c>
      <c r="Q457" s="31">
        <f>_xlfn.XLOOKUP(AP[[#This Row],[Supplier name]], Supplier_master[Supplier name], Supplier_master[Terms days], 0)</f>
        <v>0</v>
      </c>
      <c r="R4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7" s="4"/>
      <c r="T457" s="46">
        <f>IF(AP[[#This Row],[Payment date - override (dd/mm/yyyy)]] &lt;&gt; "", AP[[#This Row],[Payment date - override (dd/mm/yyyy)]], AP[[#This Row],[Due date (dd/mm/yyyy)]])</f>
        <v>0</v>
      </c>
      <c r="U457" s="46">
        <f t="shared" ref="U457:U520" si="7">IF(GST_Freq="Monthly",
    DATE(YEAR(E457), MONTH(E457) + 1, 21),
    IF(GST_Freq="Quarterly",
        IF(MOD(MONTH(E457) + 2 - MOD(MOD(MONTH(E457) - GST_First_Month, 12), 3), 12) = 0,
            DATE(YEAR(E457), MONTH(E457) + 4 - MOD(MOD(MONTH(E457) - GST_First_Month, 12), 3), 28),
            DATE(YEAR(E457), MONTH(E457) + 3 - MOD(MOD(MONTH(E457) - GST_First_Month, 12), 3), 28)
        ),
        "Invalid frequency"
    )
)</f>
        <v>52</v>
      </c>
    </row>
    <row r="458" spans="3:21" x14ac:dyDescent="0.25">
      <c r="C458" s="28"/>
      <c r="D458" s="20"/>
      <c r="E458" s="4"/>
      <c r="F458" s="37"/>
      <c r="G458" s="24"/>
      <c r="H458" s="31">
        <f>_xlfn.XLOOKUP(AP[[#This Row],[Supplier name]], Supplier_master[Supplier name], Supplier_master[Category L1], 0)</f>
        <v>0</v>
      </c>
      <c r="I458" s="64">
        <f>_xlfn.XLOOKUP(AP[[#This Row],[Supplier name]], Supplier_master[Supplier name], Supplier_master[Category L2], 0)</f>
        <v>0</v>
      </c>
      <c r="J458" s="55"/>
      <c r="K458" s="54"/>
      <c r="L458" s="57">
        <f>IF(AP[[#This Row],[Spend category L1 - Override]] &lt;&gt; "", AP[[#This Row],[Spend category L1 - Override]], AP[[#This Row],[Spend category L1]])</f>
        <v>0</v>
      </c>
      <c r="M458" s="57">
        <f>IF(AP[[#This Row],[Spend category L2 - Override]] &lt;&gt; "", AP[[#This Row],[Spend category L2 - Override]], AP[[#This Row],[Spend category L2]])</f>
        <v>0</v>
      </c>
      <c r="N458" s="51">
        <f>Assumptions!$D$15</f>
        <v>0.1</v>
      </c>
      <c r="O458" s="45">
        <f>IF(AP[[#This Row],[GST applies?]] = "Yes", (AP[[#This Row],[Invoice value inc. GST]] / 1 + AP[[#This Row],[GST %]]) * AP[[#This Row],[GST %]], 0)</f>
        <v>0</v>
      </c>
      <c r="P458" s="31">
        <f>_xlfn.XLOOKUP(AP[[#This Row],[Supplier name]], Supplier_master[Supplier name], Supplier_master[EOM or Net], 0)</f>
        <v>0</v>
      </c>
      <c r="Q458" s="31">
        <f>_xlfn.XLOOKUP(AP[[#This Row],[Supplier name]], Supplier_master[Supplier name], Supplier_master[Terms days], 0)</f>
        <v>0</v>
      </c>
      <c r="R4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8" s="4"/>
      <c r="T458" s="46">
        <f>IF(AP[[#This Row],[Payment date - override (dd/mm/yyyy)]] &lt;&gt; "", AP[[#This Row],[Payment date - override (dd/mm/yyyy)]], AP[[#This Row],[Due date (dd/mm/yyyy)]])</f>
        <v>0</v>
      </c>
      <c r="U458" s="46">
        <f t="shared" si="7"/>
        <v>52</v>
      </c>
    </row>
    <row r="459" spans="3:21" x14ac:dyDescent="0.25">
      <c r="C459" s="28"/>
      <c r="D459" s="20"/>
      <c r="E459" s="4"/>
      <c r="F459" s="37"/>
      <c r="G459" s="24"/>
      <c r="H459" s="31">
        <f>_xlfn.XLOOKUP(AP[[#This Row],[Supplier name]], Supplier_master[Supplier name], Supplier_master[Category L1], 0)</f>
        <v>0</v>
      </c>
      <c r="I459" s="64">
        <f>_xlfn.XLOOKUP(AP[[#This Row],[Supplier name]], Supplier_master[Supplier name], Supplier_master[Category L2], 0)</f>
        <v>0</v>
      </c>
      <c r="J459" s="55"/>
      <c r="K459" s="54"/>
      <c r="L459" s="57">
        <f>IF(AP[[#This Row],[Spend category L1 - Override]] &lt;&gt; "", AP[[#This Row],[Spend category L1 - Override]], AP[[#This Row],[Spend category L1]])</f>
        <v>0</v>
      </c>
      <c r="M459" s="57">
        <f>IF(AP[[#This Row],[Spend category L2 - Override]] &lt;&gt; "", AP[[#This Row],[Spend category L2 - Override]], AP[[#This Row],[Spend category L2]])</f>
        <v>0</v>
      </c>
      <c r="N459" s="51">
        <f>Assumptions!$D$15</f>
        <v>0.1</v>
      </c>
      <c r="O459" s="45">
        <f>IF(AP[[#This Row],[GST applies?]] = "Yes", (AP[[#This Row],[Invoice value inc. GST]] / 1 + AP[[#This Row],[GST %]]) * AP[[#This Row],[GST %]], 0)</f>
        <v>0</v>
      </c>
      <c r="P459" s="31">
        <f>_xlfn.XLOOKUP(AP[[#This Row],[Supplier name]], Supplier_master[Supplier name], Supplier_master[EOM or Net], 0)</f>
        <v>0</v>
      </c>
      <c r="Q459" s="31">
        <f>_xlfn.XLOOKUP(AP[[#This Row],[Supplier name]], Supplier_master[Supplier name], Supplier_master[Terms days], 0)</f>
        <v>0</v>
      </c>
      <c r="R4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9" s="4"/>
      <c r="T459" s="46">
        <f>IF(AP[[#This Row],[Payment date - override (dd/mm/yyyy)]] &lt;&gt; "", AP[[#This Row],[Payment date - override (dd/mm/yyyy)]], AP[[#This Row],[Due date (dd/mm/yyyy)]])</f>
        <v>0</v>
      </c>
      <c r="U459" s="46">
        <f t="shared" si="7"/>
        <v>52</v>
      </c>
    </row>
    <row r="460" spans="3:21" x14ac:dyDescent="0.25">
      <c r="C460" s="28"/>
      <c r="D460" s="20"/>
      <c r="E460" s="4"/>
      <c r="F460" s="37"/>
      <c r="G460" s="24"/>
      <c r="H460" s="31">
        <f>_xlfn.XLOOKUP(AP[[#This Row],[Supplier name]], Supplier_master[Supplier name], Supplier_master[Category L1], 0)</f>
        <v>0</v>
      </c>
      <c r="I460" s="64">
        <f>_xlfn.XLOOKUP(AP[[#This Row],[Supplier name]], Supplier_master[Supplier name], Supplier_master[Category L2], 0)</f>
        <v>0</v>
      </c>
      <c r="J460" s="55"/>
      <c r="K460" s="54"/>
      <c r="L460" s="57">
        <f>IF(AP[[#This Row],[Spend category L1 - Override]] &lt;&gt; "", AP[[#This Row],[Spend category L1 - Override]], AP[[#This Row],[Spend category L1]])</f>
        <v>0</v>
      </c>
      <c r="M460" s="57">
        <f>IF(AP[[#This Row],[Spend category L2 - Override]] &lt;&gt; "", AP[[#This Row],[Spend category L2 - Override]], AP[[#This Row],[Spend category L2]])</f>
        <v>0</v>
      </c>
      <c r="N460" s="51">
        <f>Assumptions!$D$15</f>
        <v>0.1</v>
      </c>
      <c r="O460" s="45">
        <f>IF(AP[[#This Row],[GST applies?]] = "Yes", (AP[[#This Row],[Invoice value inc. GST]] / 1 + AP[[#This Row],[GST %]]) * AP[[#This Row],[GST %]], 0)</f>
        <v>0</v>
      </c>
      <c r="P460" s="31">
        <f>_xlfn.XLOOKUP(AP[[#This Row],[Supplier name]], Supplier_master[Supplier name], Supplier_master[EOM or Net], 0)</f>
        <v>0</v>
      </c>
      <c r="Q460" s="31">
        <f>_xlfn.XLOOKUP(AP[[#This Row],[Supplier name]], Supplier_master[Supplier name], Supplier_master[Terms days], 0)</f>
        <v>0</v>
      </c>
      <c r="R4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0" s="4"/>
      <c r="T460" s="46">
        <f>IF(AP[[#This Row],[Payment date - override (dd/mm/yyyy)]] &lt;&gt; "", AP[[#This Row],[Payment date - override (dd/mm/yyyy)]], AP[[#This Row],[Due date (dd/mm/yyyy)]])</f>
        <v>0</v>
      </c>
      <c r="U460" s="46">
        <f t="shared" si="7"/>
        <v>52</v>
      </c>
    </row>
    <row r="461" spans="3:21" x14ac:dyDescent="0.25">
      <c r="C461" s="28"/>
      <c r="D461" s="20"/>
      <c r="E461" s="4"/>
      <c r="F461" s="37"/>
      <c r="G461" s="24"/>
      <c r="H461" s="31">
        <f>_xlfn.XLOOKUP(AP[[#This Row],[Supplier name]], Supplier_master[Supplier name], Supplier_master[Category L1], 0)</f>
        <v>0</v>
      </c>
      <c r="I461" s="64">
        <f>_xlfn.XLOOKUP(AP[[#This Row],[Supplier name]], Supplier_master[Supplier name], Supplier_master[Category L2], 0)</f>
        <v>0</v>
      </c>
      <c r="J461" s="55"/>
      <c r="K461" s="54"/>
      <c r="L461" s="57">
        <f>IF(AP[[#This Row],[Spend category L1 - Override]] &lt;&gt; "", AP[[#This Row],[Spend category L1 - Override]], AP[[#This Row],[Spend category L1]])</f>
        <v>0</v>
      </c>
      <c r="M461" s="57">
        <f>IF(AP[[#This Row],[Spend category L2 - Override]] &lt;&gt; "", AP[[#This Row],[Spend category L2 - Override]], AP[[#This Row],[Spend category L2]])</f>
        <v>0</v>
      </c>
      <c r="N461" s="51">
        <f>Assumptions!$D$15</f>
        <v>0.1</v>
      </c>
      <c r="O461" s="45">
        <f>IF(AP[[#This Row],[GST applies?]] = "Yes", (AP[[#This Row],[Invoice value inc. GST]] / 1 + AP[[#This Row],[GST %]]) * AP[[#This Row],[GST %]], 0)</f>
        <v>0</v>
      </c>
      <c r="P461" s="31">
        <f>_xlfn.XLOOKUP(AP[[#This Row],[Supplier name]], Supplier_master[Supplier name], Supplier_master[EOM or Net], 0)</f>
        <v>0</v>
      </c>
      <c r="Q461" s="31">
        <f>_xlfn.XLOOKUP(AP[[#This Row],[Supplier name]], Supplier_master[Supplier name], Supplier_master[Terms days], 0)</f>
        <v>0</v>
      </c>
      <c r="R4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1" s="4"/>
      <c r="T461" s="46">
        <f>IF(AP[[#This Row],[Payment date - override (dd/mm/yyyy)]] &lt;&gt; "", AP[[#This Row],[Payment date - override (dd/mm/yyyy)]], AP[[#This Row],[Due date (dd/mm/yyyy)]])</f>
        <v>0</v>
      </c>
      <c r="U461" s="46">
        <f t="shared" si="7"/>
        <v>52</v>
      </c>
    </row>
    <row r="462" spans="3:21" x14ac:dyDescent="0.25">
      <c r="C462" s="28"/>
      <c r="D462" s="20"/>
      <c r="E462" s="4"/>
      <c r="F462" s="37"/>
      <c r="G462" s="24"/>
      <c r="H462" s="31">
        <f>_xlfn.XLOOKUP(AP[[#This Row],[Supplier name]], Supplier_master[Supplier name], Supplier_master[Category L1], 0)</f>
        <v>0</v>
      </c>
      <c r="I462" s="64">
        <f>_xlfn.XLOOKUP(AP[[#This Row],[Supplier name]], Supplier_master[Supplier name], Supplier_master[Category L2], 0)</f>
        <v>0</v>
      </c>
      <c r="J462" s="55"/>
      <c r="K462" s="54"/>
      <c r="L462" s="57">
        <f>IF(AP[[#This Row],[Spend category L1 - Override]] &lt;&gt; "", AP[[#This Row],[Spend category L1 - Override]], AP[[#This Row],[Spend category L1]])</f>
        <v>0</v>
      </c>
      <c r="M462" s="57">
        <f>IF(AP[[#This Row],[Spend category L2 - Override]] &lt;&gt; "", AP[[#This Row],[Spend category L2 - Override]], AP[[#This Row],[Spend category L2]])</f>
        <v>0</v>
      </c>
      <c r="N462" s="51">
        <f>Assumptions!$D$15</f>
        <v>0.1</v>
      </c>
      <c r="O462" s="45">
        <f>IF(AP[[#This Row],[GST applies?]] = "Yes", (AP[[#This Row],[Invoice value inc. GST]] / 1 + AP[[#This Row],[GST %]]) * AP[[#This Row],[GST %]], 0)</f>
        <v>0</v>
      </c>
      <c r="P462" s="31">
        <f>_xlfn.XLOOKUP(AP[[#This Row],[Supplier name]], Supplier_master[Supplier name], Supplier_master[EOM or Net], 0)</f>
        <v>0</v>
      </c>
      <c r="Q462" s="31">
        <f>_xlfn.XLOOKUP(AP[[#This Row],[Supplier name]], Supplier_master[Supplier name], Supplier_master[Terms days], 0)</f>
        <v>0</v>
      </c>
      <c r="R4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2" s="4"/>
      <c r="T462" s="46">
        <f>IF(AP[[#This Row],[Payment date - override (dd/mm/yyyy)]] &lt;&gt; "", AP[[#This Row],[Payment date - override (dd/mm/yyyy)]], AP[[#This Row],[Due date (dd/mm/yyyy)]])</f>
        <v>0</v>
      </c>
      <c r="U462" s="46">
        <f t="shared" si="7"/>
        <v>52</v>
      </c>
    </row>
    <row r="463" spans="3:21" x14ac:dyDescent="0.25">
      <c r="C463" s="28"/>
      <c r="D463" s="20"/>
      <c r="E463" s="4"/>
      <c r="F463" s="37"/>
      <c r="G463" s="24"/>
      <c r="H463" s="31">
        <f>_xlfn.XLOOKUP(AP[[#This Row],[Supplier name]], Supplier_master[Supplier name], Supplier_master[Category L1], 0)</f>
        <v>0</v>
      </c>
      <c r="I463" s="64">
        <f>_xlfn.XLOOKUP(AP[[#This Row],[Supplier name]], Supplier_master[Supplier name], Supplier_master[Category L2], 0)</f>
        <v>0</v>
      </c>
      <c r="J463" s="55"/>
      <c r="K463" s="54"/>
      <c r="L463" s="57">
        <f>IF(AP[[#This Row],[Spend category L1 - Override]] &lt;&gt; "", AP[[#This Row],[Spend category L1 - Override]], AP[[#This Row],[Spend category L1]])</f>
        <v>0</v>
      </c>
      <c r="M463" s="57">
        <f>IF(AP[[#This Row],[Spend category L2 - Override]] &lt;&gt; "", AP[[#This Row],[Spend category L2 - Override]], AP[[#This Row],[Spend category L2]])</f>
        <v>0</v>
      </c>
      <c r="N463" s="51">
        <f>Assumptions!$D$15</f>
        <v>0.1</v>
      </c>
      <c r="O463" s="45">
        <f>IF(AP[[#This Row],[GST applies?]] = "Yes", (AP[[#This Row],[Invoice value inc. GST]] / 1 + AP[[#This Row],[GST %]]) * AP[[#This Row],[GST %]], 0)</f>
        <v>0</v>
      </c>
      <c r="P463" s="31">
        <f>_xlfn.XLOOKUP(AP[[#This Row],[Supplier name]], Supplier_master[Supplier name], Supplier_master[EOM or Net], 0)</f>
        <v>0</v>
      </c>
      <c r="Q463" s="31">
        <f>_xlfn.XLOOKUP(AP[[#This Row],[Supplier name]], Supplier_master[Supplier name], Supplier_master[Terms days], 0)</f>
        <v>0</v>
      </c>
      <c r="R4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3" s="4"/>
      <c r="T463" s="46">
        <f>IF(AP[[#This Row],[Payment date - override (dd/mm/yyyy)]] &lt;&gt; "", AP[[#This Row],[Payment date - override (dd/mm/yyyy)]], AP[[#This Row],[Due date (dd/mm/yyyy)]])</f>
        <v>0</v>
      </c>
      <c r="U463" s="46">
        <f t="shared" si="7"/>
        <v>52</v>
      </c>
    </row>
    <row r="464" spans="3:21" x14ac:dyDescent="0.25">
      <c r="C464" s="28"/>
      <c r="D464" s="20"/>
      <c r="E464" s="4"/>
      <c r="F464" s="37"/>
      <c r="G464" s="24"/>
      <c r="H464" s="31">
        <f>_xlfn.XLOOKUP(AP[[#This Row],[Supplier name]], Supplier_master[Supplier name], Supplier_master[Category L1], 0)</f>
        <v>0</v>
      </c>
      <c r="I464" s="64">
        <f>_xlfn.XLOOKUP(AP[[#This Row],[Supplier name]], Supplier_master[Supplier name], Supplier_master[Category L2], 0)</f>
        <v>0</v>
      </c>
      <c r="J464" s="55"/>
      <c r="K464" s="54"/>
      <c r="L464" s="57">
        <f>IF(AP[[#This Row],[Spend category L1 - Override]] &lt;&gt; "", AP[[#This Row],[Spend category L1 - Override]], AP[[#This Row],[Spend category L1]])</f>
        <v>0</v>
      </c>
      <c r="M464" s="57">
        <f>IF(AP[[#This Row],[Spend category L2 - Override]] &lt;&gt; "", AP[[#This Row],[Spend category L2 - Override]], AP[[#This Row],[Spend category L2]])</f>
        <v>0</v>
      </c>
      <c r="N464" s="51">
        <f>Assumptions!$D$15</f>
        <v>0.1</v>
      </c>
      <c r="O464" s="45">
        <f>IF(AP[[#This Row],[GST applies?]] = "Yes", (AP[[#This Row],[Invoice value inc. GST]] / 1 + AP[[#This Row],[GST %]]) * AP[[#This Row],[GST %]], 0)</f>
        <v>0</v>
      </c>
      <c r="P464" s="31">
        <f>_xlfn.XLOOKUP(AP[[#This Row],[Supplier name]], Supplier_master[Supplier name], Supplier_master[EOM or Net], 0)</f>
        <v>0</v>
      </c>
      <c r="Q464" s="31">
        <f>_xlfn.XLOOKUP(AP[[#This Row],[Supplier name]], Supplier_master[Supplier name], Supplier_master[Terms days], 0)</f>
        <v>0</v>
      </c>
      <c r="R4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4" s="4"/>
      <c r="T464" s="46">
        <f>IF(AP[[#This Row],[Payment date - override (dd/mm/yyyy)]] &lt;&gt; "", AP[[#This Row],[Payment date - override (dd/mm/yyyy)]], AP[[#This Row],[Due date (dd/mm/yyyy)]])</f>
        <v>0</v>
      </c>
      <c r="U464" s="46">
        <f t="shared" si="7"/>
        <v>52</v>
      </c>
    </row>
    <row r="465" spans="3:21" x14ac:dyDescent="0.25">
      <c r="C465" s="28"/>
      <c r="D465" s="20"/>
      <c r="E465" s="4"/>
      <c r="F465" s="37"/>
      <c r="G465" s="24"/>
      <c r="H465" s="31">
        <f>_xlfn.XLOOKUP(AP[[#This Row],[Supplier name]], Supplier_master[Supplier name], Supplier_master[Category L1], 0)</f>
        <v>0</v>
      </c>
      <c r="I465" s="64">
        <f>_xlfn.XLOOKUP(AP[[#This Row],[Supplier name]], Supplier_master[Supplier name], Supplier_master[Category L2], 0)</f>
        <v>0</v>
      </c>
      <c r="J465" s="55"/>
      <c r="K465" s="54"/>
      <c r="L465" s="57">
        <f>IF(AP[[#This Row],[Spend category L1 - Override]] &lt;&gt; "", AP[[#This Row],[Spend category L1 - Override]], AP[[#This Row],[Spend category L1]])</f>
        <v>0</v>
      </c>
      <c r="M465" s="57">
        <f>IF(AP[[#This Row],[Spend category L2 - Override]] &lt;&gt; "", AP[[#This Row],[Spend category L2 - Override]], AP[[#This Row],[Spend category L2]])</f>
        <v>0</v>
      </c>
      <c r="N465" s="51">
        <f>Assumptions!$D$15</f>
        <v>0.1</v>
      </c>
      <c r="O465" s="45">
        <f>IF(AP[[#This Row],[GST applies?]] = "Yes", (AP[[#This Row],[Invoice value inc. GST]] / 1 + AP[[#This Row],[GST %]]) * AP[[#This Row],[GST %]], 0)</f>
        <v>0</v>
      </c>
      <c r="P465" s="31">
        <f>_xlfn.XLOOKUP(AP[[#This Row],[Supplier name]], Supplier_master[Supplier name], Supplier_master[EOM or Net], 0)</f>
        <v>0</v>
      </c>
      <c r="Q465" s="31">
        <f>_xlfn.XLOOKUP(AP[[#This Row],[Supplier name]], Supplier_master[Supplier name], Supplier_master[Terms days], 0)</f>
        <v>0</v>
      </c>
      <c r="R4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5" s="4"/>
      <c r="T465" s="46">
        <f>IF(AP[[#This Row],[Payment date - override (dd/mm/yyyy)]] &lt;&gt; "", AP[[#This Row],[Payment date - override (dd/mm/yyyy)]], AP[[#This Row],[Due date (dd/mm/yyyy)]])</f>
        <v>0</v>
      </c>
      <c r="U465" s="46">
        <f t="shared" si="7"/>
        <v>52</v>
      </c>
    </row>
    <row r="466" spans="3:21" x14ac:dyDescent="0.25">
      <c r="C466" s="28"/>
      <c r="D466" s="20"/>
      <c r="E466" s="4"/>
      <c r="F466" s="37"/>
      <c r="G466" s="24"/>
      <c r="H466" s="31">
        <f>_xlfn.XLOOKUP(AP[[#This Row],[Supplier name]], Supplier_master[Supplier name], Supplier_master[Category L1], 0)</f>
        <v>0</v>
      </c>
      <c r="I466" s="64">
        <f>_xlfn.XLOOKUP(AP[[#This Row],[Supplier name]], Supplier_master[Supplier name], Supplier_master[Category L2], 0)</f>
        <v>0</v>
      </c>
      <c r="J466" s="55"/>
      <c r="K466" s="54"/>
      <c r="L466" s="57">
        <f>IF(AP[[#This Row],[Spend category L1 - Override]] &lt;&gt; "", AP[[#This Row],[Spend category L1 - Override]], AP[[#This Row],[Spend category L1]])</f>
        <v>0</v>
      </c>
      <c r="M466" s="57">
        <f>IF(AP[[#This Row],[Spend category L2 - Override]] &lt;&gt; "", AP[[#This Row],[Spend category L2 - Override]], AP[[#This Row],[Spend category L2]])</f>
        <v>0</v>
      </c>
      <c r="N466" s="51">
        <f>Assumptions!$D$15</f>
        <v>0.1</v>
      </c>
      <c r="O466" s="45">
        <f>IF(AP[[#This Row],[GST applies?]] = "Yes", (AP[[#This Row],[Invoice value inc. GST]] / 1 + AP[[#This Row],[GST %]]) * AP[[#This Row],[GST %]], 0)</f>
        <v>0</v>
      </c>
      <c r="P466" s="31">
        <f>_xlfn.XLOOKUP(AP[[#This Row],[Supplier name]], Supplier_master[Supplier name], Supplier_master[EOM or Net], 0)</f>
        <v>0</v>
      </c>
      <c r="Q466" s="31">
        <f>_xlfn.XLOOKUP(AP[[#This Row],[Supplier name]], Supplier_master[Supplier name], Supplier_master[Terms days], 0)</f>
        <v>0</v>
      </c>
      <c r="R4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6" s="4"/>
      <c r="T466" s="46">
        <f>IF(AP[[#This Row],[Payment date - override (dd/mm/yyyy)]] &lt;&gt; "", AP[[#This Row],[Payment date - override (dd/mm/yyyy)]], AP[[#This Row],[Due date (dd/mm/yyyy)]])</f>
        <v>0</v>
      </c>
      <c r="U466" s="46">
        <f t="shared" si="7"/>
        <v>52</v>
      </c>
    </row>
    <row r="467" spans="3:21" x14ac:dyDescent="0.25">
      <c r="C467" s="28"/>
      <c r="D467" s="20"/>
      <c r="E467" s="4"/>
      <c r="F467" s="37"/>
      <c r="G467" s="24"/>
      <c r="H467" s="31">
        <f>_xlfn.XLOOKUP(AP[[#This Row],[Supplier name]], Supplier_master[Supplier name], Supplier_master[Category L1], 0)</f>
        <v>0</v>
      </c>
      <c r="I467" s="64">
        <f>_xlfn.XLOOKUP(AP[[#This Row],[Supplier name]], Supplier_master[Supplier name], Supplier_master[Category L2], 0)</f>
        <v>0</v>
      </c>
      <c r="J467" s="55"/>
      <c r="K467" s="54"/>
      <c r="L467" s="57">
        <f>IF(AP[[#This Row],[Spend category L1 - Override]] &lt;&gt; "", AP[[#This Row],[Spend category L1 - Override]], AP[[#This Row],[Spend category L1]])</f>
        <v>0</v>
      </c>
      <c r="M467" s="57">
        <f>IF(AP[[#This Row],[Spend category L2 - Override]] &lt;&gt; "", AP[[#This Row],[Spend category L2 - Override]], AP[[#This Row],[Spend category L2]])</f>
        <v>0</v>
      </c>
      <c r="N467" s="51">
        <f>Assumptions!$D$15</f>
        <v>0.1</v>
      </c>
      <c r="O467" s="45">
        <f>IF(AP[[#This Row],[GST applies?]] = "Yes", (AP[[#This Row],[Invoice value inc. GST]] / 1 + AP[[#This Row],[GST %]]) * AP[[#This Row],[GST %]], 0)</f>
        <v>0</v>
      </c>
      <c r="P467" s="31">
        <f>_xlfn.XLOOKUP(AP[[#This Row],[Supplier name]], Supplier_master[Supplier name], Supplier_master[EOM or Net], 0)</f>
        <v>0</v>
      </c>
      <c r="Q467" s="31">
        <f>_xlfn.XLOOKUP(AP[[#This Row],[Supplier name]], Supplier_master[Supplier name], Supplier_master[Terms days], 0)</f>
        <v>0</v>
      </c>
      <c r="R4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7" s="4"/>
      <c r="T467" s="46">
        <f>IF(AP[[#This Row],[Payment date - override (dd/mm/yyyy)]] &lt;&gt; "", AP[[#This Row],[Payment date - override (dd/mm/yyyy)]], AP[[#This Row],[Due date (dd/mm/yyyy)]])</f>
        <v>0</v>
      </c>
      <c r="U467" s="46">
        <f t="shared" si="7"/>
        <v>52</v>
      </c>
    </row>
    <row r="468" spans="3:21" x14ac:dyDescent="0.25">
      <c r="C468" s="28"/>
      <c r="D468" s="20"/>
      <c r="E468" s="4"/>
      <c r="F468" s="37"/>
      <c r="G468" s="24"/>
      <c r="H468" s="31">
        <f>_xlfn.XLOOKUP(AP[[#This Row],[Supplier name]], Supplier_master[Supplier name], Supplier_master[Category L1], 0)</f>
        <v>0</v>
      </c>
      <c r="I468" s="64">
        <f>_xlfn.XLOOKUP(AP[[#This Row],[Supplier name]], Supplier_master[Supplier name], Supplier_master[Category L2], 0)</f>
        <v>0</v>
      </c>
      <c r="J468" s="55"/>
      <c r="K468" s="54"/>
      <c r="L468" s="57">
        <f>IF(AP[[#This Row],[Spend category L1 - Override]] &lt;&gt; "", AP[[#This Row],[Spend category L1 - Override]], AP[[#This Row],[Spend category L1]])</f>
        <v>0</v>
      </c>
      <c r="M468" s="57">
        <f>IF(AP[[#This Row],[Spend category L2 - Override]] &lt;&gt; "", AP[[#This Row],[Spend category L2 - Override]], AP[[#This Row],[Spend category L2]])</f>
        <v>0</v>
      </c>
      <c r="N468" s="51">
        <f>Assumptions!$D$15</f>
        <v>0.1</v>
      </c>
      <c r="O468" s="45">
        <f>IF(AP[[#This Row],[GST applies?]] = "Yes", (AP[[#This Row],[Invoice value inc. GST]] / 1 + AP[[#This Row],[GST %]]) * AP[[#This Row],[GST %]], 0)</f>
        <v>0</v>
      </c>
      <c r="P468" s="31">
        <f>_xlfn.XLOOKUP(AP[[#This Row],[Supplier name]], Supplier_master[Supplier name], Supplier_master[EOM or Net], 0)</f>
        <v>0</v>
      </c>
      <c r="Q468" s="31">
        <f>_xlfn.XLOOKUP(AP[[#This Row],[Supplier name]], Supplier_master[Supplier name], Supplier_master[Terms days], 0)</f>
        <v>0</v>
      </c>
      <c r="R4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8" s="4"/>
      <c r="T468" s="46">
        <f>IF(AP[[#This Row],[Payment date - override (dd/mm/yyyy)]] &lt;&gt; "", AP[[#This Row],[Payment date - override (dd/mm/yyyy)]], AP[[#This Row],[Due date (dd/mm/yyyy)]])</f>
        <v>0</v>
      </c>
      <c r="U468" s="46">
        <f t="shared" si="7"/>
        <v>52</v>
      </c>
    </row>
    <row r="469" spans="3:21" x14ac:dyDescent="0.25">
      <c r="C469" s="28"/>
      <c r="D469" s="20"/>
      <c r="E469" s="4"/>
      <c r="F469" s="37"/>
      <c r="G469" s="24"/>
      <c r="H469" s="31">
        <f>_xlfn.XLOOKUP(AP[[#This Row],[Supplier name]], Supplier_master[Supplier name], Supplier_master[Category L1], 0)</f>
        <v>0</v>
      </c>
      <c r="I469" s="64">
        <f>_xlfn.XLOOKUP(AP[[#This Row],[Supplier name]], Supplier_master[Supplier name], Supplier_master[Category L2], 0)</f>
        <v>0</v>
      </c>
      <c r="J469" s="55"/>
      <c r="K469" s="54"/>
      <c r="L469" s="57">
        <f>IF(AP[[#This Row],[Spend category L1 - Override]] &lt;&gt; "", AP[[#This Row],[Spend category L1 - Override]], AP[[#This Row],[Spend category L1]])</f>
        <v>0</v>
      </c>
      <c r="M469" s="57">
        <f>IF(AP[[#This Row],[Spend category L2 - Override]] &lt;&gt; "", AP[[#This Row],[Spend category L2 - Override]], AP[[#This Row],[Spend category L2]])</f>
        <v>0</v>
      </c>
      <c r="N469" s="51">
        <f>Assumptions!$D$15</f>
        <v>0.1</v>
      </c>
      <c r="O469" s="45">
        <f>IF(AP[[#This Row],[GST applies?]] = "Yes", (AP[[#This Row],[Invoice value inc. GST]] / 1 + AP[[#This Row],[GST %]]) * AP[[#This Row],[GST %]], 0)</f>
        <v>0</v>
      </c>
      <c r="P469" s="31">
        <f>_xlfn.XLOOKUP(AP[[#This Row],[Supplier name]], Supplier_master[Supplier name], Supplier_master[EOM or Net], 0)</f>
        <v>0</v>
      </c>
      <c r="Q469" s="31">
        <f>_xlfn.XLOOKUP(AP[[#This Row],[Supplier name]], Supplier_master[Supplier name], Supplier_master[Terms days], 0)</f>
        <v>0</v>
      </c>
      <c r="R4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9" s="4"/>
      <c r="T469" s="46">
        <f>IF(AP[[#This Row],[Payment date - override (dd/mm/yyyy)]] &lt;&gt; "", AP[[#This Row],[Payment date - override (dd/mm/yyyy)]], AP[[#This Row],[Due date (dd/mm/yyyy)]])</f>
        <v>0</v>
      </c>
      <c r="U469" s="46">
        <f t="shared" si="7"/>
        <v>52</v>
      </c>
    </row>
    <row r="470" spans="3:21" x14ac:dyDescent="0.25">
      <c r="C470" s="28"/>
      <c r="D470" s="20"/>
      <c r="E470" s="4"/>
      <c r="F470" s="37"/>
      <c r="G470" s="24"/>
      <c r="H470" s="31">
        <f>_xlfn.XLOOKUP(AP[[#This Row],[Supplier name]], Supplier_master[Supplier name], Supplier_master[Category L1], 0)</f>
        <v>0</v>
      </c>
      <c r="I470" s="64">
        <f>_xlfn.XLOOKUP(AP[[#This Row],[Supplier name]], Supplier_master[Supplier name], Supplier_master[Category L2], 0)</f>
        <v>0</v>
      </c>
      <c r="J470" s="55"/>
      <c r="K470" s="54"/>
      <c r="L470" s="57">
        <f>IF(AP[[#This Row],[Spend category L1 - Override]] &lt;&gt; "", AP[[#This Row],[Spend category L1 - Override]], AP[[#This Row],[Spend category L1]])</f>
        <v>0</v>
      </c>
      <c r="M470" s="57">
        <f>IF(AP[[#This Row],[Spend category L2 - Override]] &lt;&gt; "", AP[[#This Row],[Spend category L2 - Override]], AP[[#This Row],[Spend category L2]])</f>
        <v>0</v>
      </c>
      <c r="N470" s="51">
        <f>Assumptions!$D$15</f>
        <v>0.1</v>
      </c>
      <c r="O470" s="45">
        <f>IF(AP[[#This Row],[GST applies?]] = "Yes", (AP[[#This Row],[Invoice value inc. GST]] / 1 + AP[[#This Row],[GST %]]) * AP[[#This Row],[GST %]], 0)</f>
        <v>0</v>
      </c>
      <c r="P470" s="31">
        <f>_xlfn.XLOOKUP(AP[[#This Row],[Supplier name]], Supplier_master[Supplier name], Supplier_master[EOM or Net], 0)</f>
        <v>0</v>
      </c>
      <c r="Q470" s="31">
        <f>_xlfn.XLOOKUP(AP[[#This Row],[Supplier name]], Supplier_master[Supplier name], Supplier_master[Terms days], 0)</f>
        <v>0</v>
      </c>
      <c r="R4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0" s="4"/>
      <c r="T470" s="46">
        <f>IF(AP[[#This Row],[Payment date - override (dd/mm/yyyy)]] &lt;&gt; "", AP[[#This Row],[Payment date - override (dd/mm/yyyy)]], AP[[#This Row],[Due date (dd/mm/yyyy)]])</f>
        <v>0</v>
      </c>
      <c r="U470" s="46">
        <f t="shared" si="7"/>
        <v>52</v>
      </c>
    </row>
    <row r="471" spans="3:21" x14ac:dyDescent="0.25">
      <c r="C471" s="28"/>
      <c r="D471" s="20"/>
      <c r="E471" s="4"/>
      <c r="F471" s="37"/>
      <c r="G471" s="24"/>
      <c r="H471" s="31">
        <f>_xlfn.XLOOKUP(AP[[#This Row],[Supplier name]], Supplier_master[Supplier name], Supplier_master[Category L1], 0)</f>
        <v>0</v>
      </c>
      <c r="I471" s="64">
        <f>_xlfn.XLOOKUP(AP[[#This Row],[Supplier name]], Supplier_master[Supplier name], Supplier_master[Category L2], 0)</f>
        <v>0</v>
      </c>
      <c r="J471" s="55"/>
      <c r="K471" s="54"/>
      <c r="L471" s="57">
        <f>IF(AP[[#This Row],[Spend category L1 - Override]] &lt;&gt; "", AP[[#This Row],[Spend category L1 - Override]], AP[[#This Row],[Spend category L1]])</f>
        <v>0</v>
      </c>
      <c r="M471" s="57">
        <f>IF(AP[[#This Row],[Spend category L2 - Override]] &lt;&gt; "", AP[[#This Row],[Spend category L2 - Override]], AP[[#This Row],[Spend category L2]])</f>
        <v>0</v>
      </c>
      <c r="N471" s="51">
        <f>Assumptions!$D$15</f>
        <v>0.1</v>
      </c>
      <c r="O471" s="45">
        <f>IF(AP[[#This Row],[GST applies?]] = "Yes", (AP[[#This Row],[Invoice value inc. GST]] / 1 + AP[[#This Row],[GST %]]) * AP[[#This Row],[GST %]], 0)</f>
        <v>0</v>
      </c>
      <c r="P471" s="31">
        <f>_xlfn.XLOOKUP(AP[[#This Row],[Supplier name]], Supplier_master[Supplier name], Supplier_master[EOM or Net], 0)</f>
        <v>0</v>
      </c>
      <c r="Q471" s="31">
        <f>_xlfn.XLOOKUP(AP[[#This Row],[Supplier name]], Supplier_master[Supplier name], Supplier_master[Terms days], 0)</f>
        <v>0</v>
      </c>
      <c r="R4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1" s="4"/>
      <c r="T471" s="46">
        <f>IF(AP[[#This Row],[Payment date - override (dd/mm/yyyy)]] &lt;&gt; "", AP[[#This Row],[Payment date - override (dd/mm/yyyy)]], AP[[#This Row],[Due date (dd/mm/yyyy)]])</f>
        <v>0</v>
      </c>
      <c r="U471" s="46">
        <f t="shared" si="7"/>
        <v>52</v>
      </c>
    </row>
    <row r="472" spans="3:21" x14ac:dyDescent="0.25">
      <c r="C472" s="28"/>
      <c r="D472" s="20"/>
      <c r="E472" s="4"/>
      <c r="F472" s="37"/>
      <c r="G472" s="24"/>
      <c r="H472" s="31">
        <f>_xlfn.XLOOKUP(AP[[#This Row],[Supplier name]], Supplier_master[Supplier name], Supplier_master[Category L1], 0)</f>
        <v>0</v>
      </c>
      <c r="I472" s="64">
        <f>_xlfn.XLOOKUP(AP[[#This Row],[Supplier name]], Supplier_master[Supplier name], Supplier_master[Category L2], 0)</f>
        <v>0</v>
      </c>
      <c r="J472" s="55"/>
      <c r="K472" s="54"/>
      <c r="L472" s="57">
        <f>IF(AP[[#This Row],[Spend category L1 - Override]] &lt;&gt; "", AP[[#This Row],[Spend category L1 - Override]], AP[[#This Row],[Spend category L1]])</f>
        <v>0</v>
      </c>
      <c r="M472" s="57">
        <f>IF(AP[[#This Row],[Spend category L2 - Override]] &lt;&gt; "", AP[[#This Row],[Spend category L2 - Override]], AP[[#This Row],[Spend category L2]])</f>
        <v>0</v>
      </c>
      <c r="N472" s="51">
        <f>Assumptions!$D$15</f>
        <v>0.1</v>
      </c>
      <c r="O472" s="45">
        <f>IF(AP[[#This Row],[GST applies?]] = "Yes", (AP[[#This Row],[Invoice value inc. GST]] / 1 + AP[[#This Row],[GST %]]) * AP[[#This Row],[GST %]], 0)</f>
        <v>0</v>
      </c>
      <c r="P472" s="31">
        <f>_xlfn.XLOOKUP(AP[[#This Row],[Supplier name]], Supplier_master[Supplier name], Supplier_master[EOM or Net], 0)</f>
        <v>0</v>
      </c>
      <c r="Q472" s="31">
        <f>_xlfn.XLOOKUP(AP[[#This Row],[Supplier name]], Supplier_master[Supplier name], Supplier_master[Terms days], 0)</f>
        <v>0</v>
      </c>
      <c r="R4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2" s="4"/>
      <c r="T472" s="46">
        <f>IF(AP[[#This Row],[Payment date - override (dd/mm/yyyy)]] &lt;&gt; "", AP[[#This Row],[Payment date - override (dd/mm/yyyy)]], AP[[#This Row],[Due date (dd/mm/yyyy)]])</f>
        <v>0</v>
      </c>
      <c r="U472" s="46">
        <f t="shared" si="7"/>
        <v>52</v>
      </c>
    </row>
    <row r="473" spans="3:21" x14ac:dyDescent="0.25">
      <c r="C473" s="28"/>
      <c r="D473" s="20"/>
      <c r="E473" s="4"/>
      <c r="F473" s="37"/>
      <c r="G473" s="24"/>
      <c r="H473" s="31">
        <f>_xlfn.XLOOKUP(AP[[#This Row],[Supplier name]], Supplier_master[Supplier name], Supplier_master[Category L1], 0)</f>
        <v>0</v>
      </c>
      <c r="I473" s="64">
        <f>_xlfn.XLOOKUP(AP[[#This Row],[Supplier name]], Supplier_master[Supplier name], Supplier_master[Category L2], 0)</f>
        <v>0</v>
      </c>
      <c r="J473" s="55"/>
      <c r="K473" s="54"/>
      <c r="L473" s="57">
        <f>IF(AP[[#This Row],[Spend category L1 - Override]] &lt;&gt; "", AP[[#This Row],[Spend category L1 - Override]], AP[[#This Row],[Spend category L1]])</f>
        <v>0</v>
      </c>
      <c r="M473" s="57">
        <f>IF(AP[[#This Row],[Spend category L2 - Override]] &lt;&gt; "", AP[[#This Row],[Spend category L2 - Override]], AP[[#This Row],[Spend category L2]])</f>
        <v>0</v>
      </c>
      <c r="N473" s="51">
        <f>Assumptions!$D$15</f>
        <v>0.1</v>
      </c>
      <c r="O473" s="45">
        <f>IF(AP[[#This Row],[GST applies?]] = "Yes", (AP[[#This Row],[Invoice value inc. GST]] / 1 + AP[[#This Row],[GST %]]) * AP[[#This Row],[GST %]], 0)</f>
        <v>0</v>
      </c>
      <c r="P473" s="31">
        <f>_xlfn.XLOOKUP(AP[[#This Row],[Supplier name]], Supplier_master[Supplier name], Supplier_master[EOM or Net], 0)</f>
        <v>0</v>
      </c>
      <c r="Q473" s="31">
        <f>_xlfn.XLOOKUP(AP[[#This Row],[Supplier name]], Supplier_master[Supplier name], Supplier_master[Terms days], 0)</f>
        <v>0</v>
      </c>
      <c r="R4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3" s="4"/>
      <c r="T473" s="46">
        <f>IF(AP[[#This Row],[Payment date - override (dd/mm/yyyy)]] &lt;&gt; "", AP[[#This Row],[Payment date - override (dd/mm/yyyy)]], AP[[#This Row],[Due date (dd/mm/yyyy)]])</f>
        <v>0</v>
      </c>
      <c r="U473" s="46">
        <f t="shared" si="7"/>
        <v>52</v>
      </c>
    </row>
    <row r="474" spans="3:21" x14ac:dyDescent="0.25">
      <c r="C474" s="28"/>
      <c r="D474" s="20"/>
      <c r="E474" s="4"/>
      <c r="F474" s="37"/>
      <c r="G474" s="24"/>
      <c r="H474" s="31">
        <f>_xlfn.XLOOKUP(AP[[#This Row],[Supplier name]], Supplier_master[Supplier name], Supplier_master[Category L1], 0)</f>
        <v>0</v>
      </c>
      <c r="I474" s="64">
        <f>_xlfn.XLOOKUP(AP[[#This Row],[Supplier name]], Supplier_master[Supplier name], Supplier_master[Category L2], 0)</f>
        <v>0</v>
      </c>
      <c r="J474" s="55"/>
      <c r="K474" s="54"/>
      <c r="L474" s="57">
        <f>IF(AP[[#This Row],[Spend category L1 - Override]] &lt;&gt; "", AP[[#This Row],[Spend category L1 - Override]], AP[[#This Row],[Spend category L1]])</f>
        <v>0</v>
      </c>
      <c r="M474" s="57">
        <f>IF(AP[[#This Row],[Spend category L2 - Override]] &lt;&gt; "", AP[[#This Row],[Spend category L2 - Override]], AP[[#This Row],[Spend category L2]])</f>
        <v>0</v>
      </c>
      <c r="N474" s="51">
        <f>Assumptions!$D$15</f>
        <v>0.1</v>
      </c>
      <c r="O474" s="45">
        <f>IF(AP[[#This Row],[GST applies?]] = "Yes", (AP[[#This Row],[Invoice value inc. GST]] / 1 + AP[[#This Row],[GST %]]) * AP[[#This Row],[GST %]], 0)</f>
        <v>0</v>
      </c>
      <c r="P474" s="31">
        <f>_xlfn.XLOOKUP(AP[[#This Row],[Supplier name]], Supplier_master[Supplier name], Supplier_master[EOM or Net], 0)</f>
        <v>0</v>
      </c>
      <c r="Q474" s="31">
        <f>_xlfn.XLOOKUP(AP[[#This Row],[Supplier name]], Supplier_master[Supplier name], Supplier_master[Terms days], 0)</f>
        <v>0</v>
      </c>
      <c r="R4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4" s="4"/>
      <c r="T474" s="46">
        <f>IF(AP[[#This Row],[Payment date - override (dd/mm/yyyy)]] &lt;&gt; "", AP[[#This Row],[Payment date - override (dd/mm/yyyy)]], AP[[#This Row],[Due date (dd/mm/yyyy)]])</f>
        <v>0</v>
      </c>
      <c r="U474" s="46">
        <f t="shared" si="7"/>
        <v>52</v>
      </c>
    </row>
    <row r="475" spans="3:21" x14ac:dyDescent="0.25">
      <c r="C475" s="28"/>
      <c r="D475" s="20"/>
      <c r="E475" s="4"/>
      <c r="F475" s="37"/>
      <c r="G475" s="24"/>
      <c r="H475" s="31">
        <f>_xlfn.XLOOKUP(AP[[#This Row],[Supplier name]], Supplier_master[Supplier name], Supplier_master[Category L1], 0)</f>
        <v>0</v>
      </c>
      <c r="I475" s="64">
        <f>_xlfn.XLOOKUP(AP[[#This Row],[Supplier name]], Supplier_master[Supplier name], Supplier_master[Category L2], 0)</f>
        <v>0</v>
      </c>
      <c r="J475" s="55"/>
      <c r="K475" s="54"/>
      <c r="L475" s="57">
        <f>IF(AP[[#This Row],[Spend category L1 - Override]] &lt;&gt; "", AP[[#This Row],[Spend category L1 - Override]], AP[[#This Row],[Spend category L1]])</f>
        <v>0</v>
      </c>
      <c r="M475" s="57">
        <f>IF(AP[[#This Row],[Spend category L2 - Override]] &lt;&gt; "", AP[[#This Row],[Spend category L2 - Override]], AP[[#This Row],[Spend category L2]])</f>
        <v>0</v>
      </c>
      <c r="N475" s="51">
        <f>Assumptions!$D$15</f>
        <v>0.1</v>
      </c>
      <c r="O475" s="45">
        <f>IF(AP[[#This Row],[GST applies?]] = "Yes", (AP[[#This Row],[Invoice value inc. GST]] / 1 + AP[[#This Row],[GST %]]) * AP[[#This Row],[GST %]], 0)</f>
        <v>0</v>
      </c>
      <c r="P475" s="31">
        <f>_xlfn.XLOOKUP(AP[[#This Row],[Supplier name]], Supplier_master[Supplier name], Supplier_master[EOM or Net], 0)</f>
        <v>0</v>
      </c>
      <c r="Q475" s="31">
        <f>_xlfn.XLOOKUP(AP[[#This Row],[Supplier name]], Supplier_master[Supplier name], Supplier_master[Terms days], 0)</f>
        <v>0</v>
      </c>
      <c r="R4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5" s="4"/>
      <c r="T475" s="46">
        <f>IF(AP[[#This Row],[Payment date - override (dd/mm/yyyy)]] &lt;&gt; "", AP[[#This Row],[Payment date - override (dd/mm/yyyy)]], AP[[#This Row],[Due date (dd/mm/yyyy)]])</f>
        <v>0</v>
      </c>
      <c r="U475" s="46">
        <f t="shared" si="7"/>
        <v>52</v>
      </c>
    </row>
    <row r="476" spans="3:21" x14ac:dyDescent="0.25">
      <c r="C476" s="28"/>
      <c r="D476" s="20"/>
      <c r="E476" s="4"/>
      <c r="F476" s="37"/>
      <c r="G476" s="24"/>
      <c r="H476" s="31">
        <f>_xlfn.XLOOKUP(AP[[#This Row],[Supplier name]], Supplier_master[Supplier name], Supplier_master[Category L1], 0)</f>
        <v>0</v>
      </c>
      <c r="I476" s="64">
        <f>_xlfn.XLOOKUP(AP[[#This Row],[Supplier name]], Supplier_master[Supplier name], Supplier_master[Category L2], 0)</f>
        <v>0</v>
      </c>
      <c r="J476" s="55"/>
      <c r="K476" s="54"/>
      <c r="L476" s="57">
        <f>IF(AP[[#This Row],[Spend category L1 - Override]] &lt;&gt; "", AP[[#This Row],[Spend category L1 - Override]], AP[[#This Row],[Spend category L1]])</f>
        <v>0</v>
      </c>
      <c r="M476" s="57">
        <f>IF(AP[[#This Row],[Spend category L2 - Override]] &lt;&gt; "", AP[[#This Row],[Spend category L2 - Override]], AP[[#This Row],[Spend category L2]])</f>
        <v>0</v>
      </c>
      <c r="N476" s="51">
        <f>Assumptions!$D$15</f>
        <v>0.1</v>
      </c>
      <c r="O476" s="45">
        <f>IF(AP[[#This Row],[GST applies?]] = "Yes", (AP[[#This Row],[Invoice value inc. GST]] / 1 + AP[[#This Row],[GST %]]) * AP[[#This Row],[GST %]], 0)</f>
        <v>0</v>
      </c>
      <c r="P476" s="31">
        <f>_xlfn.XLOOKUP(AP[[#This Row],[Supplier name]], Supplier_master[Supplier name], Supplier_master[EOM or Net], 0)</f>
        <v>0</v>
      </c>
      <c r="Q476" s="31">
        <f>_xlfn.XLOOKUP(AP[[#This Row],[Supplier name]], Supplier_master[Supplier name], Supplier_master[Terms days], 0)</f>
        <v>0</v>
      </c>
      <c r="R4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6" s="4"/>
      <c r="T476" s="46">
        <f>IF(AP[[#This Row],[Payment date - override (dd/mm/yyyy)]] &lt;&gt; "", AP[[#This Row],[Payment date - override (dd/mm/yyyy)]], AP[[#This Row],[Due date (dd/mm/yyyy)]])</f>
        <v>0</v>
      </c>
      <c r="U476" s="46">
        <f t="shared" si="7"/>
        <v>52</v>
      </c>
    </row>
    <row r="477" spans="3:21" x14ac:dyDescent="0.25">
      <c r="C477" s="28"/>
      <c r="D477" s="20"/>
      <c r="E477" s="4"/>
      <c r="F477" s="37"/>
      <c r="G477" s="24"/>
      <c r="H477" s="31">
        <f>_xlfn.XLOOKUP(AP[[#This Row],[Supplier name]], Supplier_master[Supplier name], Supplier_master[Category L1], 0)</f>
        <v>0</v>
      </c>
      <c r="I477" s="64">
        <f>_xlfn.XLOOKUP(AP[[#This Row],[Supplier name]], Supplier_master[Supplier name], Supplier_master[Category L2], 0)</f>
        <v>0</v>
      </c>
      <c r="J477" s="55"/>
      <c r="K477" s="54"/>
      <c r="L477" s="57">
        <f>IF(AP[[#This Row],[Spend category L1 - Override]] &lt;&gt; "", AP[[#This Row],[Spend category L1 - Override]], AP[[#This Row],[Spend category L1]])</f>
        <v>0</v>
      </c>
      <c r="M477" s="57">
        <f>IF(AP[[#This Row],[Spend category L2 - Override]] &lt;&gt; "", AP[[#This Row],[Spend category L2 - Override]], AP[[#This Row],[Spend category L2]])</f>
        <v>0</v>
      </c>
      <c r="N477" s="51">
        <f>Assumptions!$D$15</f>
        <v>0.1</v>
      </c>
      <c r="O477" s="45">
        <f>IF(AP[[#This Row],[GST applies?]] = "Yes", (AP[[#This Row],[Invoice value inc. GST]] / 1 + AP[[#This Row],[GST %]]) * AP[[#This Row],[GST %]], 0)</f>
        <v>0</v>
      </c>
      <c r="P477" s="31">
        <f>_xlfn.XLOOKUP(AP[[#This Row],[Supplier name]], Supplier_master[Supplier name], Supplier_master[EOM or Net], 0)</f>
        <v>0</v>
      </c>
      <c r="Q477" s="31">
        <f>_xlfn.XLOOKUP(AP[[#This Row],[Supplier name]], Supplier_master[Supplier name], Supplier_master[Terms days], 0)</f>
        <v>0</v>
      </c>
      <c r="R4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7" s="4"/>
      <c r="T477" s="46">
        <f>IF(AP[[#This Row],[Payment date - override (dd/mm/yyyy)]] &lt;&gt; "", AP[[#This Row],[Payment date - override (dd/mm/yyyy)]], AP[[#This Row],[Due date (dd/mm/yyyy)]])</f>
        <v>0</v>
      </c>
      <c r="U477" s="46">
        <f t="shared" si="7"/>
        <v>52</v>
      </c>
    </row>
    <row r="478" spans="3:21" x14ac:dyDescent="0.25">
      <c r="C478" s="28"/>
      <c r="D478" s="20"/>
      <c r="E478" s="4"/>
      <c r="F478" s="37"/>
      <c r="G478" s="24"/>
      <c r="H478" s="31">
        <f>_xlfn.XLOOKUP(AP[[#This Row],[Supplier name]], Supplier_master[Supplier name], Supplier_master[Category L1], 0)</f>
        <v>0</v>
      </c>
      <c r="I478" s="64">
        <f>_xlfn.XLOOKUP(AP[[#This Row],[Supplier name]], Supplier_master[Supplier name], Supplier_master[Category L2], 0)</f>
        <v>0</v>
      </c>
      <c r="J478" s="55"/>
      <c r="K478" s="54"/>
      <c r="L478" s="57">
        <f>IF(AP[[#This Row],[Spend category L1 - Override]] &lt;&gt; "", AP[[#This Row],[Spend category L1 - Override]], AP[[#This Row],[Spend category L1]])</f>
        <v>0</v>
      </c>
      <c r="M478" s="57">
        <f>IF(AP[[#This Row],[Spend category L2 - Override]] &lt;&gt; "", AP[[#This Row],[Spend category L2 - Override]], AP[[#This Row],[Spend category L2]])</f>
        <v>0</v>
      </c>
      <c r="N478" s="51">
        <f>Assumptions!$D$15</f>
        <v>0.1</v>
      </c>
      <c r="O478" s="45">
        <f>IF(AP[[#This Row],[GST applies?]] = "Yes", (AP[[#This Row],[Invoice value inc. GST]] / 1 + AP[[#This Row],[GST %]]) * AP[[#This Row],[GST %]], 0)</f>
        <v>0</v>
      </c>
      <c r="P478" s="31">
        <f>_xlfn.XLOOKUP(AP[[#This Row],[Supplier name]], Supplier_master[Supplier name], Supplier_master[EOM or Net], 0)</f>
        <v>0</v>
      </c>
      <c r="Q478" s="31">
        <f>_xlfn.XLOOKUP(AP[[#This Row],[Supplier name]], Supplier_master[Supplier name], Supplier_master[Terms days], 0)</f>
        <v>0</v>
      </c>
      <c r="R4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8" s="4"/>
      <c r="T478" s="46">
        <f>IF(AP[[#This Row],[Payment date - override (dd/mm/yyyy)]] &lt;&gt; "", AP[[#This Row],[Payment date - override (dd/mm/yyyy)]], AP[[#This Row],[Due date (dd/mm/yyyy)]])</f>
        <v>0</v>
      </c>
      <c r="U478" s="46">
        <f t="shared" si="7"/>
        <v>52</v>
      </c>
    </row>
    <row r="479" spans="3:21" x14ac:dyDescent="0.25">
      <c r="C479" s="28"/>
      <c r="D479" s="20"/>
      <c r="E479" s="4"/>
      <c r="F479" s="37"/>
      <c r="G479" s="24"/>
      <c r="H479" s="31">
        <f>_xlfn.XLOOKUP(AP[[#This Row],[Supplier name]], Supplier_master[Supplier name], Supplier_master[Category L1], 0)</f>
        <v>0</v>
      </c>
      <c r="I479" s="64">
        <f>_xlfn.XLOOKUP(AP[[#This Row],[Supplier name]], Supplier_master[Supplier name], Supplier_master[Category L2], 0)</f>
        <v>0</v>
      </c>
      <c r="J479" s="55"/>
      <c r="K479" s="54"/>
      <c r="L479" s="57">
        <f>IF(AP[[#This Row],[Spend category L1 - Override]] &lt;&gt; "", AP[[#This Row],[Spend category L1 - Override]], AP[[#This Row],[Spend category L1]])</f>
        <v>0</v>
      </c>
      <c r="M479" s="57">
        <f>IF(AP[[#This Row],[Spend category L2 - Override]] &lt;&gt; "", AP[[#This Row],[Spend category L2 - Override]], AP[[#This Row],[Spend category L2]])</f>
        <v>0</v>
      </c>
      <c r="N479" s="51">
        <f>Assumptions!$D$15</f>
        <v>0.1</v>
      </c>
      <c r="O479" s="45">
        <f>IF(AP[[#This Row],[GST applies?]] = "Yes", (AP[[#This Row],[Invoice value inc. GST]] / 1 + AP[[#This Row],[GST %]]) * AP[[#This Row],[GST %]], 0)</f>
        <v>0</v>
      </c>
      <c r="P479" s="31">
        <f>_xlfn.XLOOKUP(AP[[#This Row],[Supplier name]], Supplier_master[Supplier name], Supplier_master[EOM or Net], 0)</f>
        <v>0</v>
      </c>
      <c r="Q479" s="31">
        <f>_xlfn.XLOOKUP(AP[[#This Row],[Supplier name]], Supplier_master[Supplier name], Supplier_master[Terms days], 0)</f>
        <v>0</v>
      </c>
      <c r="R4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9" s="4"/>
      <c r="T479" s="46">
        <f>IF(AP[[#This Row],[Payment date - override (dd/mm/yyyy)]] &lt;&gt; "", AP[[#This Row],[Payment date - override (dd/mm/yyyy)]], AP[[#This Row],[Due date (dd/mm/yyyy)]])</f>
        <v>0</v>
      </c>
      <c r="U479" s="46">
        <f t="shared" si="7"/>
        <v>52</v>
      </c>
    </row>
    <row r="480" spans="3:21" x14ac:dyDescent="0.25">
      <c r="C480" s="28"/>
      <c r="D480" s="20"/>
      <c r="E480" s="4"/>
      <c r="F480" s="37"/>
      <c r="G480" s="24"/>
      <c r="H480" s="31">
        <f>_xlfn.XLOOKUP(AP[[#This Row],[Supplier name]], Supplier_master[Supplier name], Supplier_master[Category L1], 0)</f>
        <v>0</v>
      </c>
      <c r="I480" s="64">
        <f>_xlfn.XLOOKUP(AP[[#This Row],[Supplier name]], Supplier_master[Supplier name], Supplier_master[Category L2], 0)</f>
        <v>0</v>
      </c>
      <c r="J480" s="55"/>
      <c r="K480" s="54"/>
      <c r="L480" s="57">
        <f>IF(AP[[#This Row],[Spend category L1 - Override]] &lt;&gt; "", AP[[#This Row],[Spend category L1 - Override]], AP[[#This Row],[Spend category L1]])</f>
        <v>0</v>
      </c>
      <c r="M480" s="57">
        <f>IF(AP[[#This Row],[Spend category L2 - Override]] &lt;&gt; "", AP[[#This Row],[Spend category L2 - Override]], AP[[#This Row],[Spend category L2]])</f>
        <v>0</v>
      </c>
      <c r="N480" s="51">
        <f>Assumptions!$D$15</f>
        <v>0.1</v>
      </c>
      <c r="O480" s="45">
        <f>IF(AP[[#This Row],[GST applies?]] = "Yes", (AP[[#This Row],[Invoice value inc. GST]] / 1 + AP[[#This Row],[GST %]]) * AP[[#This Row],[GST %]], 0)</f>
        <v>0</v>
      </c>
      <c r="P480" s="31">
        <f>_xlfn.XLOOKUP(AP[[#This Row],[Supplier name]], Supplier_master[Supplier name], Supplier_master[EOM or Net], 0)</f>
        <v>0</v>
      </c>
      <c r="Q480" s="31">
        <f>_xlfn.XLOOKUP(AP[[#This Row],[Supplier name]], Supplier_master[Supplier name], Supplier_master[Terms days], 0)</f>
        <v>0</v>
      </c>
      <c r="R4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0" s="4"/>
      <c r="T480" s="46">
        <f>IF(AP[[#This Row],[Payment date - override (dd/mm/yyyy)]] &lt;&gt; "", AP[[#This Row],[Payment date - override (dd/mm/yyyy)]], AP[[#This Row],[Due date (dd/mm/yyyy)]])</f>
        <v>0</v>
      </c>
      <c r="U480" s="46">
        <f t="shared" si="7"/>
        <v>52</v>
      </c>
    </row>
    <row r="481" spans="3:21" x14ac:dyDescent="0.25">
      <c r="C481" s="28"/>
      <c r="D481" s="20"/>
      <c r="E481" s="4"/>
      <c r="F481" s="37"/>
      <c r="G481" s="24"/>
      <c r="H481" s="31">
        <f>_xlfn.XLOOKUP(AP[[#This Row],[Supplier name]], Supplier_master[Supplier name], Supplier_master[Category L1], 0)</f>
        <v>0</v>
      </c>
      <c r="I481" s="64">
        <f>_xlfn.XLOOKUP(AP[[#This Row],[Supplier name]], Supplier_master[Supplier name], Supplier_master[Category L2], 0)</f>
        <v>0</v>
      </c>
      <c r="J481" s="55"/>
      <c r="K481" s="54"/>
      <c r="L481" s="57">
        <f>IF(AP[[#This Row],[Spend category L1 - Override]] &lt;&gt; "", AP[[#This Row],[Spend category L1 - Override]], AP[[#This Row],[Spend category L1]])</f>
        <v>0</v>
      </c>
      <c r="M481" s="57">
        <f>IF(AP[[#This Row],[Spend category L2 - Override]] &lt;&gt; "", AP[[#This Row],[Spend category L2 - Override]], AP[[#This Row],[Spend category L2]])</f>
        <v>0</v>
      </c>
      <c r="N481" s="51">
        <f>Assumptions!$D$15</f>
        <v>0.1</v>
      </c>
      <c r="O481" s="45">
        <f>IF(AP[[#This Row],[GST applies?]] = "Yes", (AP[[#This Row],[Invoice value inc. GST]] / 1 + AP[[#This Row],[GST %]]) * AP[[#This Row],[GST %]], 0)</f>
        <v>0</v>
      </c>
      <c r="P481" s="31">
        <f>_xlfn.XLOOKUP(AP[[#This Row],[Supplier name]], Supplier_master[Supplier name], Supplier_master[EOM or Net], 0)</f>
        <v>0</v>
      </c>
      <c r="Q481" s="31">
        <f>_xlfn.XLOOKUP(AP[[#This Row],[Supplier name]], Supplier_master[Supplier name], Supplier_master[Terms days], 0)</f>
        <v>0</v>
      </c>
      <c r="R4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1" s="4"/>
      <c r="T481" s="46">
        <f>IF(AP[[#This Row],[Payment date - override (dd/mm/yyyy)]] &lt;&gt; "", AP[[#This Row],[Payment date - override (dd/mm/yyyy)]], AP[[#This Row],[Due date (dd/mm/yyyy)]])</f>
        <v>0</v>
      </c>
      <c r="U481" s="46">
        <f t="shared" si="7"/>
        <v>52</v>
      </c>
    </row>
    <row r="482" spans="3:21" x14ac:dyDescent="0.25">
      <c r="C482" s="28"/>
      <c r="D482" s="20"/>
      <c r="E482" s="4"/>
      <c r="F482" s="37"/>
      <c r="G482" s="24"/>
      <c r="H482" s="31">
        <f>_xlfn.XLOOKUP(AP[[#This Row],[Supplier name]], Supplier_master[Supplier name], Supplier_master[Category L1], 0)</f>
        <v>0</v>
      </c>
      <c r="I482" s="64">
        <f>_xlfn.XLOOKUP(AP[[#This Row],[Supplier name]], Supplier_master[Supplier name], Supplier_master[Category L2], 0)</f>
        <v>0</v>
      </c>
      <c r="J482" s="55"/>
      <c r="K482" s="54"/>
      <c r="L482" s="57">
        <f>IF(AP[[#This Row],[Spend category L1 - Override]] &lt;&gt; "", AP[[#This Row],[Spend category L1 - Override]], AP[[#This Row],[Spend category L1]])</f>
        <v>0</v>
      </c>
      <c r="M482" s="57">
        <f>IF(AP[[#This Row],[Spend category L2 - Override]] &lt;&gt; "", AP[[#This Row],[Spend category L2 - Override]], AP[[#This Row],[Spend category L2]])</f>
        <v>0</v>
      </c>
      <c r="N482" s="51">
        <f>Assumptions!$D$15</f>
        <v>0.1</v>
      </c>
      <c r="O482" s="45">
        <f>IF(AP[[#This Row],[GST applies?]] = "Yes", (AP[[#This Row],[Invoice value inc. GST]] / 1 + AP[[#This Row],[GST %]]) * AP[[#This Row],[GST %]], 0)</f>
        <v>0</v>
      </c>
      <c r="P482" s="31">
        <f>_xlfn.XLOOKUP(AP[[#This Row],[Supplier name]], Supplier_master[Supplier name], Supplier_master[EOM or Net], 0)</f>
        <v>0</v>
      </c>
      <c r="Q482" s="31">
        <f>_xlfn.XLOOKUP(AP[[#This Row],[Supplier name]], Supplier_master[Supplier name], Supplier_master[Terms days], 0)</f>
        <v>0</v>
      </c>
      <c r="R4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2" s="4"/>
      <c r="T482" s="46">
        <f>IF(AP[[#This Row],[Payment date - override (dd/mm/yyyy)]] &lt;&gt; "", AP[[#This Row],[Payment date - override (dd/mm/yyyy)]], AP[[#This Row],[Due date (dd/mm/yyyy)]])</f>
        <v>0</v>
      </c>
      <c r="U482" s="46">
        <f t="shared" si="7"/>
        <v>52</v>
      </c>
    </row>
    <row r="483" spans="3:21" x14ac:dyDescent="0.25">
      <c r="C483" s="28"/>
      <c r="D483" s="20"/>
      <c r="E483" s="4"/>
      <c r="F483" s="37"/>
      <c r="G483" s="24"/>
      <c r="H483" s="31">
        <f>_xlfn.XLOOKUP(AP[[#This Row],[Supplier name]], Supplier_master[Supplier name], Supplier_master[Category L1], 0)</f>
        <v>0</v>
      </c>
      <c r="I483" s="64">
        <f>_xlfn.XLOOKUP(AP[[#This Row],[Supplier name]], Supplier_master[Supplier name], Supplier_master[Category L2], 0)</f>
        <v>0</v>
      </c>
      <c r="J483" s="55"/>
      <c r="K483" s="54"/>
      <c r="L483" s="57">
        <f>IF(AP[[#This Row],[Spend category L1 - Override]] &lt;&gt; "", AP[[#This Row],[Spend category L1 - Override]], AP[[#This Row],[Spend category L1]])</f>
        <v>0</v>
      </c>
      <c r="M483" s="57">
        <f>IF(AP[[#This Row],[Spend category L2 - Override]] &lt;&gt; "", AP[[#This Row],[Spend category L2 - Override]], AP[[#This Row],[Spend category L2]])</f>
        <v>0</v>
      </c>
      <c r="N483" s="51">
        <f>Assumptions!$D$15</f>
        <v>0.1</v>
      </c>
      <c r="O483" s="45">
        <f>IF(AP[[#This Row],[GST applies?]] = "Yes", (AP[[#This Row],[Invoice value inc. GST]] / 1 + AP[[#This Row],[GST %]]) * AP[[#This Row],[GST %]], 0)</f>
        <v>0</v>
      </c>
      <c r="P483" s="31">
        <f>_xlfn.XLOOKUP(AP[[#This Row],[Supplier name]], Supplier_master[Supplier name], Supplier_master[EOM or Net], 0)</f>
        <v>0</v>
      </c>
      <c r="Q483" s="31">
        <f>_xlfn.XLOOKUP(AP[[#This Row],[Supplier name]], Supplier_master[Supplier name], Supplier_master[Terms days], 0)</f>
        <v>0</v>
      </c>
      <c r="R4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3" s="4"/>
      <c r="T483" s="46">
        <f>IF(AP[[#This Row],[Payment date - override (dd/mm/yyyy)]] &lt;&gt; "", AP[[#This Row],[Payment date - override (dd/mm/yyyy)]], AP[[#This Row],[Due date (dd/mm/yyyy)]])</f>
        <v>0</v>
      </c>
      <c r="U483" s="46">
        <f t="shared" si="7"/>
        <v>52</v>
      </c>
    </row>
    <row r="484" spans="3:21" x14ac:dyDescent="0.25">
      <c r="C484" s="28"/>
      <c r="D484" s="20"/>
      <c r="E484" s="4"/>
      <c r="F484" s="37"/>
      <c r="G484" s="24"/>
      <c r="H484" s="31">
        <f>_xlfn.XLOOKUP(AP[[#This Row],[Supplier name]], Supplier_master[Supplier name], Supplier_master[Category L1], 0)</f>
        <v>0</v>
      </c>
      <c r="I484" s="64">
        <f>_xlfn.XLOOKUP(AP[[#This Row],[Supplier name]], Supplier_master[Supplier name], Supplier_master[Category L2], 0)</f>
        <v>0</v>
      </c>
      <c r="J484" s="55"/>
      <c r="K484" s="54"/>
      <c r="L484" s="57">
        <f>IF(AP[[#This Row],[Spend category L1 - Override]] &lt;&gt; "", AP[[#This Row],[Spend category L1 - Override]], AP[[#This Row],[Spend category L1]])</f>
        <v>0</v>
      </c>
      <c r="M484" s="57">
        <f>IF(AP[[#This Row],[Spend category L2 - Override]] &lt;&gt; "", AP[[#This Row],[Spend category L2 - Override]], AP[[#This Row],[Spend category L2]])</f>
        <v>0</v>
      </c>
      <c r="N484" s="51">
        <f>Assumptions!$D$15</f>
        <v>0.1</v>
      </c>
      <c r="O484" s="45">
        <f>IF(AP[[#This Row],[GST applies?]] = "Yes", (AP[[#This Row],[Invoice value inc. GST]] / 1 + AP[[#This Row],[GST %]]) * AP[[#This Row],[GST %]], 0)</f>
        <v>0</v>
      </c>
      <c r="P484" s="31">
        <f>_xlfn.XLOOKUP(AP[[#This Row],[Supplier name]], Supplier_master[Supplier name], Supplier_master[EOM or Net], 0)</f>
        <v>0</v>
      </c>
      <c r="Q484" s="31">
        <f>_xlfn.XLOOKUP(AP[[#This Row],[Supplier name]], Supplier_master[Supplier name], Supplier_master[Terms days], 0)</f>
        <v>0</v>
      </c>
      <c r="R4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4" s="4"/>
      <c r="T484" s="46">
        <f>IF(AP[[#This Row],[Payment date - override (dd/mm/yyyy)]] &lt;&gt; "", AP[[#This Row],[Payment date - override (dd/mm/yyyy)]], AP[[#This Row],[Due date (dd/mm/yyyy)]])</f>
        <v>0</v>
      </c>
      <c r="U484" s="46">
        <f t="shared" si="7"/>
        <v>52</v>
      </c>
    </row>
    <row r="485" spans="3:21" x14ac:dyDescent="0.25">
      <c r="C485" s="28"/>
      <c r="D485" s="20"/>
      <c r="E485" s="4"/>
      <c r="F485" s="37"/>
      <c r="G485" s="24"/>
      <c r="H485" s="31">
        <f>_xlfn.XLOOKUP(AP[[#This Row],[Supplier name]], Supplier_master[Supplier name], Supplier_master[Category L1], 0)</f>
        <v>0</v>
      </c>
      <c r="I485" s="64">
        <f>_xlfn.XLOOKUP(AP[[#This Row],[Supplier name]], Supplier_master[Supplier name], Supplier_master[Category L2], 0)</f>
        <v>0</v>
      </c>
      <c r="J485" s="55"/>
      <c r="K485" s="54"/>
      <c r="L485" s="57">
        <f>IF(AP[[#This Row],[Spend category L1 - Override]] &lt;&gt; "", AP[[#This Row],[Spend category L1 - Override]], AP[[#This Row],[Spend category L1]])</f>
        <v>0</v>
      </c>
      <c r="M485" s="57">
        <f>IF(AP[[#This Row],[Spend category L2 - Override]] &lt;&gt; "", AP[[#This Row],[Spend category L2 - Override]], AP[[#This Row],[Spend category L2]])</f>
        <v>0</v>
      </c>
      <c r="N485" s="51">
        <f>Assumptions!$D$15</f>
        <v>0.1</v>
      </c>
      <c r="O485" s="45">
        <f>IF(AP[[#This Row],[GST applies?]] = "Yes", (AP[[#This Row],[Invoice value inc. GST]] / 1 + AP[[#This Row],[GST %]]) * AP[[#This Row],[GST %]], 0)</f>
        <v>0</v>
      </c>
      <c r="P485" s="31">
        <f>_xlfn.XLOOKUP(AP[[#This Row],[Supplier name]], Supplier_master[Supplier name], Supplier_master[EOM or Net], 0)</f>
        <v>0</v>
      </c>
      <c r="Q485" s="31">
        <f>_xlfn.XLOOKUP(AP[[#This Row],[Supplier name]], Supplier_master[Supplier name], Supplier_master[Terms days], 0)</f>
        <v>0</v>
      </c>
      <c r="R4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5" s="4"/>
      <c r="T485" s="46">
        <f>IF(AP[[#This Row],[Payment date - override (dd/mm/yyyy)]] &lt;&gt; "", AP[[#This Row],[Payment date - override (dd/mm/yyyy)]], AP[[#This Row],[Due date (dd/mm/yyyy)]])</f>
        <v>0</v>
      </c>
      <c r="U485" s="46">
        <f t="shared" si="7"/>
        <v>52</v>
      </c>
    </row>
    <row r="486" spans="3:21" x14ac:dyDescent="0.25">
      <c r="C486" s="28"/>
      <c r="D486" s="20"/>
      <c r="E486" s="4"/>
      <c r="F486" s="37"/>
      <c r="G486" s="24"/>
      <c r="H486" s="31">
        <f>_xlfn.XLOOKUP(AP[[#This Row],[Supplier name]], Supplier_master[Supplier name], Supplier_master[Category L1], 0)</f>
        <v>0</v>
      </c>
      <c r="I486" s="64">
        <f>_xlfn.XLOOKUP(AP[[#This Row],[Supplier name]], Supplier_master[Supplier name], Supplier_master[Category L2], 0)</f>
        <v>0</v>
      </c>
      <c r="J486" s="55"/>
      <c r="K486" s="54"/>
      <c r="L486" s="57">
        <f>IF(AP[[#This Row],[Spend category L1 - Override]] &lt;&gt; "", AP[[#This Row],[Spend category L1 - Override]], AP[[#This Row],[Spend category L1]])</f>
        <v>0</v>
      </c>
      <c r="M486" s="57">
        <f>IF(AP[[#This Row],[Spend category L2 - Override]] &lt;&gt; "", AP[[#This Row],[Spend category L2 - Override]], AP[[#This Row],[Spend category L2]])</f>
        <v>0</v>
      </c>
      <c r="N486" s="51">
        <f>Assumptions!$D$15</f>
        <v>0.1</v>
      </c>
      <c r="O486" s="45">
        <f>IF(AP[[#This Row],[GST applies?]] = "Yes", (AP[[#This Row],[Invoice value inc. GST]] / 1 + AP[[#This Row],[GST %]]) * AP[[#This Row],[GST %]], 0)</f>
        <v>0</v>
      </c>
      <c r="P486" s="31">
        <f>_xlfn.XLOOKUP(AP[[#This Row],[Supplier name]], Supplier_master[Supplier name], Supplier_master[EOM or Net], 0)</f>
        <v>0</v>
      </c>
      <c r="Q486" s="31">
        <f>_xlfn.XLOOKUP(AP[[#This Row],[Supplier name]], Supplier_master[Supplier name], Supplier_master[Terms days], 0)</f>
        <v>0</v>
      </c>
      <c r="R4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6" s="4"/>
      <c r="T486" s="46">
        <f>IF(AP[[#This Row],[Payment date - override (dd/mm/yyyy)]] &lt;&gt; "", AP[[#This Row],[Payment date - override (dd/mm/yyyy)]], AP[[#This Row],[Due date (dd/mm/yyyy)]])</f>
        <v>0</v>
      </c>
      <c r="U486" s="46">
        <f t="shared" si="7"/>
        <v>52</v>
      </c>
    </row>
    <row r="487" spans="3:21" x14ac:dyDescent="0.25">
      <c r="C487" s="28"/>
      <c r="D487" s="20"/>
      <c r="E487" s="4"/>
      <c r="F487" s="37"/>
      <c r="G487" s="24"/>
      <c r="H487" s="31">
        <f>_xlfn.XLOOKUP(AP[[#This Row],[Supplier name]], Supplier_master[Supplier name], Supplier_master[Category L1], 0)</f>
        <v>0</v>
      </c>
      <c r="I487" s="64">
        <f>_xlfn.XLOOKUP(AP[[#This Row],[Supplier name]], Supplier_master[Supplier name], Supplier_master[Category L2], 0)</f>
        <v>0</v>
      </c>
      <c r="J487" s="55"/>
      <c r="K487" s="54"/>
      <c r="L487" s="57">
        <f>IF(AP[[#This Row],[Spend category L1 - Override]] &lt;&gt; "", AP[[#This Row],[Spend category L1 - Override]], AP[[#This Row],[Spend category L1]])</f>
        <v>0</v>
      </c>
      <c r="M487" s="57">
        <f>IF(AP[[#This Row],[Spend category L2 - Override]] &lt;&gt; "", AP[[#This Row],[Spend category L2 - Override]], AP[[#This Row],[Spend category L2]])</f>
        <v>0</v>
      </c>
      <c r="N487" s="51">
        <f>Assumptions!$D$15</f>
        <v>0.1</v>
      </c>
      <c r="O487" s="45">
        <f>IF(AP[[#This Row],[GST applies?]] = "Yes", (AP[[#This Row],[Invoice value inc. GST]] / 1 + AP[[#This Row],[GST %]]) * AP[[#This Row],[GST %]], 0)</f>
        <v>0</v>
      </c>
      <c r="P487" s="31">
        <f>_xlfn.XLOOKUP(AP[[#This Row],[Supplier name]], Supplier_master[Supplier name], Supplier_master[EOM or Net], 0)</f>
        <v>0</v>
      </c>
      <c r="Q487" s="31">
        <f>_xlfn.XLOOKUP(AP[[#This Row],[Supplier name]], Supplier_master[Supplier name], Supplier_master[Terms days], 0)</f>
        <v>0</v>
      </c>
      <c r="R4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7" s="4"/>
      <c r="T487" s="46">
        <f>IF(AP[[#This Row],[Payment date - override (dd/mm/yyyy)]] &lt;&gt; "", AP[[#This Row],[Payment date - override (dd/mm/yyyy)]], AP[[#This Row],[Due date (dd/mm/yyyy)]])</f>
        <v>0</v>
      </c>
      <c r="U487" s="46">
        <f t="shared" si="7"/>
        <v>52</v>
      </c>
    </row>
    <row r="488" spans="3:21" x14ac:dyDescent="0.25">
      <c r="C488" s="28"/>
      <c r="D488" s="20"/>
      <c r="E488" s="4"/>
      <c r="F488" s="37"/>
      <c r="G488" s="24"/>
      <c r="H488" s="31">
        <f>_xlfn.XLOOKUP(AP[[#This Row],[Supplier name]], Supplier_master[Supplier name], Supplier_master[Category L1], 0)</f>
        <v>0</v>
      </c>
      <c r="I488" s="64">
        <f>_xlfn.XLOOKUP(AP[[#This Row],[Supplier name]], Supplier_master[Supplier name], Supplier_master[Category L2], 0)</f>
        <v>0</v>
      </c>
      <c r="J488" s="55"/>
      <c r="K488" s="54"/>
      <c r="L488" s="57">
        <f>IF(AP[[#This Row],[Spend category L1 - Override]] &lt;&gt; "", AP[[#This Row],[Spend category L1 - Override]], AP[[#This Row],[Spend category L1]])</f>
        <v>0</v>
      </c>
      <c r="M488" s="57">
        <f>IF(AP[[#This Row],[Spend category L2 - Override]] &lt;&gt; "", AP[[#This Row],[Spend category L2 - Override]], AP[[#This Row],[Spend category L2]])</f>
        <v>0</v>
      </c>
      <c r="N488" s="51">
        <f>Assumptions!$D$15</f>
        <v>0.1</v>
      </c>
      <c r="O488" s="45">
        <f>IF(AP[[#This Row],[GST applies?]] = "Yes", (AP[[#This Row],[Invoice value inc. GST]] / 1 + AP[[#This Row],[GST %]]) * AP[[#This Row],[GST %]], 0)</f>
        <v>0</v>
      </c>
      <c r="P488" s="31">
        <f>_xlfn.XLOOKUP(AP[[#This Row],[Supplier name]], Supplier_master[Supplier name], Supplier_master[EOM or Net], 0)</f>
        <v>0</v>
      </c>
      <c r="Q488" s="31">
        <f>_xlfn.XLOOKUP(AP[[#This Row],[Supplier name]], Supplier_master[Supplier name], Supplier_master[Terms days], 0)</f>
        <v>0</v>
      </c>
      <c r="R4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8" s="4"/>
      <c r="T488" s="46">
        <f>IF(AP[[#This Row],[Payment date - override (dd/mm/yyyy)]] &lt;&gt; "", AP[[#This Row],[Payment date - override (dd/mm/yyyy)]], AP[[#This Row],[Due date (dd/mm/yyyy)]])</f>
        <v>0</v>
      </c>
      <c r="U488" s="46">
        <f t="shared" si="7"/>
        <v>52</v>
      </c>
    </row>
    <row r="489" spans="3:21" x14ac:dyDescent="0.25">
      <c r="C489" s="28"/>
      <c r="D489" s="20"/>
      <c r="E489" s="4"/>
      <c r="F489" s="37"/>
      <c r="G489" s="24"/>
      <c r="H489" s="31">
        <f>_xlfn.XLOOKUP(AP[[#This Row],[Supplier name]], Supplier_master[Supplier name], Supplier_master[Category L1], 0)</f>
        <v>0</v>
      </c>
      <c r="I489" s="64">
        <f>_xlfn.XLOOKUP(AP[[#This Row],[Supplier name]], Supplier_master[Supplier name], Supplier_master[Category L2], 0)</f>
        <v>0</v>
      </c>
      <c r="J489" s="55"/>
      <c r="K489" s="54"/>
      <c r="L489" s="57">
        <f>IF(AP[[#This Row],[Spend category L1 - Override]] &lt;&gt; "", AP[[#This Row],[Spend category L1 - Override]], AP[[#This Row],[Spend category L1]])</f>
        <v>0</v>
      </c>
      <c r="M489" s="57">
        <f>IF(AP[[#This Row],[Spend category L2 - Override]] &lt;&gt; "", AP[[#This Row],[Spend category L2 - Override]], AP[[#This Row],[Spend category L2]])</f>
        <v>0</v>
      </c>
      <c r="N489" s="51">
        <f>Assumptions!$D$15</f>
        <v>0.1</v>
      </c>
      <c r="O489" s="45">
        <f>IF(AP[[#This Row],[GST applies?]] = "Yes", (AP[[#This Row],[Invoice value inc. GST]] / 1 + AP[[#This Row],[GST %]]) * AP[[#This Row],[GST %]], 0)</f>
        <v>0</v>
      </c>
      <c r="P489" s="31">
        <f>_xlfn.XLOOKUP(AP[[#This Row],[Supplier name]], Supplier_master[Supplier name], Supplier_master[EOM or Net], 0)</f>
        <v>0</v>
      </c>
      <c r="Q489" s="31">
        <f>_xlfn.XLOOKUP(AP[[#This Row],[Supplier name]], Supplier_master[Supplier name], Supplier_master[Terms days], 0)</f>
        <v>0</v>
      </c>
      <c r="R4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9" s="4"/>
      <c r="T489" s="46">
        <f>IF(AP[[#This Row],[Payment date - override (dd/mm/yyyy)]] &lt;&gt; "", AP[[#This Row],[Payment date - override (dd/mm/yyyy)]], AP[[#This Row],[Due date (dd/mm/yyyy)]])</f>
        <v>0</v>
      </c>
      <c r="U489" s="46">
        <f t="shared" si="7"/>
        <v>52</v>
      </c>
    </row>
    <row r="490" spans="3:21" x14ac:dyDescent="0.25">
      <c r="C490" s="28"/>
      <c r="D490" s="20"/>
      <c r="E490" s="4"/>
      <c r="F490" s="37"/>
      <c r="G490" s="24"/>
      <c r="H490" s="31">
        <f>_xlfn.XLOOKUP(AP[[#This Row],[Supplier name]], Supplier_master[Supplier name], Supplier_master[Category L1], 0)</f>
        <v>0</v>
      </c>
      <c r="I490" s="64">
        <f>_xlfn.XLOOKUP(AP[[#This Row],[Supplier name]], Supplier_master[Supplier name], Supplier_master[Category L2], 0)</f>
        <v>0</v>
      </c>
      <c r="J490" s="55"/>
      <c r="K490" s="54"/>
      <c r="L490" s="57">
        <f>IF(AP[[#This Row],[Spend category L1 - Override]] &lt;&gt; "", AP[[#This Row],[Spend category L1 - Override]], AP[[#This Row],[Spend category L1]])</f>
        <v>0</v>
      </c>
      <c r="M490" s="57">
        <f>IF(AP[[#This Row],[Spend category L2 - Override]] &lt;&gt; "", AP[[#This Row],[Spend category L2 - Override]], AP[[#This Row],[Spend category L2]])</f>
        <v>0</v>
      </c>
      <c r="N490" s="51">
        <f>Assumptions!$D$15</f>
        <v>0.1</v>
      </c>
      <c r="O490" s="45">
        <f>IF(AP[[#This Row],[GST applies?]] = "Yes", (AP[[#This Row],[Invoice value inc. GST]] / 1 + AP[[#This Row],[GST %]]) * AP[[#This Row],[GST %]], 0)</f>
        <v>0</v>
      </c>
      <c r="P490" s="31">
        <f>_xlfn.XLOOKUP(AP[[#This Row],[Supplier name]], Supplier_master[Supplier name], Supplier_master[EOM or Net], 0)</f>
        <v>0</v>
      </c>
      <c r="Q490" s="31">
        <f>_xlfn.XLOOKUP(AP[[#This Row],[Supplier name]], Supplier_master[Supplier name], Supplier_master[Terms days], 0)</f>
        <v>0</v>
      </c>
      <c r="R4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0" s="4"/>
      <c r="T490" s="46">
        <f>IF(AP[[#This Row],[Payment date - override (dd/mm/yyyy)]] &lt;&gt; "", AP[[#This Row],[Payment date - override (dd/mm/yyyy)]], AP[[#This Row],[Due date (dd/mm/yyyy)]])</f>
        <v>0</v>
      </c>
      <c r="U490" s="46">
        <f t="shared" si="7"/>
        <v>52</v>
      </c>
    </row>
    <row r="491" spans="3:21" x14ac:dyDescent="0.25">
      <c r="C491" s="28"/>
      <c r="D491" s="20"/>
      <c r="E491" s="4"/>
      <c r="F491" s="37"/>
      <c r="G491" s="24"/>
      <c r="H491" s="31">
        <f>_xlfn.XLOOKUP(AP[[#This Row],[Supplier name]], Supplier_master[Supplier name], Supplier_master[Category L1], 0)</f>
        <v>0</v>
      </c>
      <c r="I491" s="64">
        <f>_xlfn.XLOOKUP(AP[[#This Row],[Supplier name]], Supplier_master[Supplier name], Supplier_master[Category L2], 0)</f>
        <v>0</v>
      </c>
      <c r="J491" s="55"/>
      <c r="K491" s="54"/>
      <c r="L491" s="57">
        <f>IF(AP[[#This Row],[Spend category L1 - Override]] &lt;&gt; "", AP[[#This Row],[Spend category L1 - Override]], AP[[#This Row],[Spend category L1]])</f>
        <v>0</v>
      </c>
      <c r="M491" s="57">
        <f>IF(AP[[#This Row],[Spend category L2 - Override]] &lt;&gt; "", AP[[#This Row],[Spend category L2 - Override]], AP[[#This Row],[Spend category L2]])</f>
        <v>0</v>
      </c>
      <c r="N491" s="51">
        <f>Assumptions!$D$15</f>
        <v>0.1</v>
      </c>
      <c r="O491" s="45">
        <f>IF(AP[[#This Row],[GST applies?]] = "Yes", (AP[[#This Row],[Invoice value inc. GST]] / 1 + AP[[#This Row],[GST %]]) * AP[[#This Row],[GST %]], 0)</f>
        <v>0</v>
      </c>
      <c r="P491" s="31">
        <f>_xlfn.XLOOKUP(AP[[#This Row],[Supplier name]], Supplier_master[Supplier name], Supplier_master[EOM or Net], 0)</f>
        <v>0</v>
      </c>
      <c r="Q491" s="31">
        <f>_xlfn.XLOOKUP(AP[[#This Row],[Supplier name]], Supplier_master[Supplier name], Supplier_master[Terms days], 0)</f>
        <v>0</v>
      </c>
      <c r="R4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1" s="4"/>
      <c r="T491" s="46">
        <f>IF(AP[[#This Row],[Payment date - override (dd/mm/yyyy)]] &lt;&gt; "", AP[[#This Row],[Payment date - override (dd/mm/yyyy)]], AP[[#This Row],[Due date (dd/mm/yyyy)]])</f>
        <v>0</v>
      </c>
      <c r="U491" s="46">
        <f t="shared" si="7"/>
        <v>52</v>
      </c>
    </row>
    <row r="492" spans="3:21" x14ac:dyDescent="0.25">
      <c r="C492" s="28"/>
      <c r="D492" s="20"/>
      <c r="E492" s="4"/>
      <c r="F492" s="37"/>
      <c r="G492" s="24"/>
      <c r="H492" s="31">
        <f>_xlfn.XLOOKUP(AP[[#This Row],[Supplier name]], Supplier_master[Supplier name], Supplier_master[Category L1], 0)</f>
        <v>0</v>
      </c>
      <c r="I492" s="64">
        <f>_xlfn.XLOOKUP(AP[[#This Row],[Supplier name]], Supplier_master[Supplier name], Supplier_master[Category L2], 0)</f>
        <v>0</v>
      </c>
      <c r="J492" s="55"/>
      <c r="K492" s="54"/>
      <c r="L492" s="57">
        <f>IF(AP[[#This Row],[Spend category L1 - Override]] &lt;&gt; "", AP[[#This Row],[Spend category L1 - Override]], AP[[#This Row],[Spend category L1]])</f>
        <v>0</v>
      </c>
      <c r="M492" s="57">
        <f>IF(AP[[#This Row],[Spend category L2 - Override]] &lt;&gt; "", AP[[#This Row],[Spend category L2 - Override]], AP[[#This Row],[Spend category L2]])</f>
        <v>0</v>
      </c>
      <c r="N492" s="51">
        <f>Assumptions!$D$15</f>
        <v>0.1</v>
      </c>
      <c r="O492" s="45">
        <f>IF(AP[[#This Row],[GST applies?]] = "Yes", (AP[[#This Row],[Invoice value inc. GST]] / 1 + AP[[#This Row],[GST %]]) * AP[[#This Row],[GST %]], 0)</f>
        <v>0</v>
      </c>
      <c r="P492" s="31">
        <f>_xlfn.XLOOKUP(AP[[#This Row],[Supplier name]], Supplier_master[Supplier name], Supplier_master[EOM or Net], 0)</f>
        <v>0</v>
      </c>
      <c r="Q492" s="31">
        <f>_xlfn.XLOOKUP(AP[[#This Row],[Supplier name]], Supplier_master[Supplier name], Supplier_master[Terms days], 0)</f>
        <v>0</v>
      </c>
      <c r="R4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2" s="4"/>
      <c r="T492" s="46">
        <f>IF(AP[[#This Row],[Payment date - override (dd/mm/yyyy)]] &lt;&gt; "", AP[[#This Row],[Payment date - override (dd/mm/yyyy)]], AP[[#This Row],[Due date (dd/mm/yyyy)]])</f>
        <v>0</v>
      </c>
      <c r="U492" s="46">
        <f t="shared" si="7"/>
        <v>52</v>
      </c>
    </row>
    <row r="493" spans="3:21" x14ac:dyDescent="0.25">
      <c r="C493" s="28"/>
      <c r="D493" s="20"/>
      <c r="E493" s="4"/>
      <c r="F493" s="37"/>
      <c r="G493" s="24"/>
      <c r="H493" s="31">
        <f>_xlfn.XLOOKUP(AP[[#This Row],[Supplier name]], Supplier_master[Supplier name], Supplier_master[Category L1], 0)</f>
        <v>0</v>
      </c>
      <c r="I493" s="64">
        <f>_xlfn.XLOOKUP(AP[[#This Row],[Supplier name]], Supplier_master[Supplier name], Supplier_master[Category L2], 0)</f>
        <v>0</v>
      </c>
      <c r="J493" s="55"/>
      <c r="K493" s="54"/>
      <c r="L493" s="57">
        <f>IF(AP[[#This Row],[Spend category L1 - Override]] &lt;&gt; "", AP[[#This Row],[Spend category L1 - Override]], AP[[#This Row],[Spend category L1]])</f>
        <v>0</v>
      </c>
      <c r="M493" s="57">
        <f>IF(AP[[#This Row],[Spend category L2 - Override]] &lt;&gt; "", AP[[#This Row],[Spend category L2 - Override]], AP[[#This Row],[Spend category L2]])</f>
        <v>0</v>
      </c>
      <c r="N493" s="51">
        <f>Assumptions!$D$15</f>
        <v>0.1</v>
      </c>
      <c r="O493" s="45">
        <f>IF(AP[[#This Row],[GST applies?]] = "Yes", (AP[[#This Row],[Invoice value inc. GST]] / 1 + AP[[#This Row],[GST %]]) * AP[[#This Row],[GST %]], 0)</f>
        <v>0</v>
      </c>
      <c r="P493" s="31">
        <f>_xlfn.XLOOKUP(AP[[#This Row],[Supplier name]], Supplier_master[Supplier name], Supplier_master[EOM or Net], 0)</f>
        <v>0</v>
      </c>
      <c r="Q493" s="31">
        <f>_xlfn.XLOOKUP(AP[[#This Row],[Supplier name]], Supplier_master[Supplier name], Supplier_master[Terms days], 0)</f>
        <v>0</v>
      </c>
      <c r="R4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3" s="4"/>
      <c r="T493" s="46">
        <f>IF(AP[[#This Row],[Payment date - override (dd/mm/yyyy)]] &lt;&gt; "", AP[[#This Row],[Payment date - override (dd/mm/yyyy)]], AP[[#This Row],[Due date (dd/mm/yyyy)]])</f>
        <v>0</v>
      </c>
      <c r="U493" s="46">
        <f t="shared" si="7"/>
        <v>52</v>
      </c>
    </row>
    <row r="494" spans="3:21" x14ac:dyDescent="0.25">
      <c r="C494" s="28"/>
      <c r="D494" s="20"/>
      <c r="E494" s="4"/>
      <c r="F494" s="37"/>
      <c r="G494" s="24"/>
      <c r="H494" s="31">
        <f>_xlfn.XLOOKUP(AP[[#This Row],[Supplier name]], Supplier_master[Supplier name], Supplier_master[Category L1], 0)</f>
        <v>0</v>
      </c>
      <c r="I494" s="64">
        <f>_xlfn.XLOOKUP(AP[[#This Row],[Supplier name]], Supplier_master[Supplier name], Supplier_master[Category L2], 0)</f>
        <v>0</v>
      </c>
      <c r="J494" s="55"/>
      <c r="K494" s="54"/>
      <c r="L494" s="57">
        <f>IF(AP[[#This Row],[Spend category L1 - Override]] &lt;&gt; "", AP[[#This Row],[Spend category L1 - Override]], AP[[#This Row],[Spend category L1]])</f>
        <v>0</v>
      </c>
      <c r="M494" s="57">
        <f>IF(AP[[#This Row],[Spend category L2 - Override]] &lt;&gt; "", AP[[#This Row],[Spend category L2 - Override]], AP[[#This Row],[Spend category L2]])</f>
        <v>0</v>
      </c>
      <c r="N494" s="51">
        <f>Assumptions!$D$15</f>
        <v>0.1</v>
      </c>
      <c r="O494" s="45">
        <f>IF(AP[[#This Row],[GST applies?]] = "Yes", (AP[[#This Row],[Invoice value inc. GST]] / 1 + AP[[#This Row],[GST %]]) * AP[[#This Row],[GST %]], 0)</f>
        <v>0</v>
      </c>
      <c r="P494" s="31">
        <f>_xlfn.XLOOKUP(AP[[#This Row],[Supplier name]], Supplier_master[Supplier name], Supplier_master[EOM or Net], 0)</f>
        <v>0</v>
      </c>
      <c r="Q494" s="31">
        <f>_xlfn.XLOOKUP(AP[[#This Row],[Supplier name]], Supplier_master[Supplier name], Supplier_master[Terms days], 0)</f>
        <v>0</v>
      </c>
      <c r="R4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4" s="4"/>
      <c r="T494" s="46">
        <f>IF(AP[[#This Row],[Payment date - override (dd/mm/yyyy)]] &lt;&gt; "", AP[[#This Row],[Payment date - override (dd/mm/yyyy)]], AP[[#This Row],[Due date (dd/mm/yyyy)]])</f>
        <v>0</v>
      </c>
      <c r="U494" s="46">
        <f t="shared" si="7"/>
        <v>52</v>
      </c>
    </row>
    <row r="495" spans="3:21" x14ac:dyDescent="0.25">
      <c r="C495" s="28"/>
      <c r="D495" s="20"/>
      <c r="E495" s="4"/>
      <c r="F495" s="37"/>
      <c r="G495" s="24"/>
      <c r="H495" s="31">
        <f>_xlfn.XLOOKUP(AP[[#This Row],[Supplier name]], Supplier_master[Supplier name], Supplier_master[Category L1], 0)</f>
        <v>0</v>
      </c>
      <c r="I495" s="64">
        <f>_xlfn.XLOOKUP(AP[[#This Row],[Supplier name]], Supplier_master[Supplier name], Supplier_master[Category L2], 0)</f>
        <v>0</v>
      </c>
      <c r="J495" s="55"/>
      <c r="K495" s="54"/>
      <c r="L495" s="57">
        <f>IF(AP[[#This Row],[Spend category L1 - Override]] &lt;&gt; "", AP[[#This Row],[Spend category L1 - Override]], AP[[#This Row],[Spend category L1]])</f>
        <v>0</v>
      </c>
      <c r="M495" s="57">
        <f>IF(AP[[#This Row],[Spend category L2 - Override]] &lt;&gt; "", AP[[#This Row],[Spend category L2 - Override]], AP[[#This Row],[Spend category L2]])</f>
        <v>0</v>
      </c>
      <c r="N495" s="51">
        <f>Assumptions!$D$15</f>
        <v>0.1</v>
      </c>
      <c r="O495" s="45">
        <f>IF(AP[[#This Row],[GST applies?]] = "Yes", (AP[[#This Row],[Invoice value inc. GST]] / 1 + AP[[#This Row],[GST %]]) * AP[[#This Row],[GST %]], 0)</f>
        <v>0</v>
      </c>
      <c r="P495" s="31">
        <f>_xlfn.XLOOKUP(AP[[#This Row],[Supplier name]], Supplier_master[Supplier name], Supplier_master[EOM or Net], 0)</f>
        <v>0</v>
      </c>
      <c r="Q495" s="31">
        <f>_xlfn.XLOOKUP(AP[[#This Row],[Supplier name]], Supplier_master[Supplier name], Supplier_master[Terms days], 0)</f>
        <v>0</v>
      </c>
      <c r="R4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5" s="4"/>
      <c r="T495" s="46">
        <f>IF(AP[[#This Row],[Payment date - override (dd/mm/yyyy)]] &lt;&gt; "", AP[[#This Row],[Payment date - override (dd/mm/yyyy)]], AP[[#This Row],[Due date (dd/mm/yyyy)]])</f>
        <v>0</v>
      </c>
      <c r="U495" s="46">
        <f t="shared" si="7"/>
        <v>52</v>
      </c>
    </row>
    <row r="496" spans="3:21" x14ac:dyDescent="0.25">
      <c r="C496" s="28"/>
      <c r="D496" s="20"/>
      <c r="E496" s="4"/>
      <c r="F496" s="37"/>
      <c r="G496" s="24"/>
      <c r="H496" s="31">
        <f>_xlfn.XLOOKUP(AP[[#This Row],[Supplier name]], Supplier_master[Supplier name], Supplier_master[Category L1], 0)</f>
        <v>0</v>
      </c>
      <c r="I496" s="64">
        <f>_xlfn.XLOOKUP(AP[[#This Row],[Supplier name]], Supplier_master[Supplier name], Supplier_master[Category L2], 0)</f>
        <v>0</v>
      </c>
      <c r="J496" s="55"/>
      <c r="K496" s="54"/>
      <c r="L496" s="57">
        <f>IF(AP[[#This Row],[Spend category L1 - Override]] &lt;&gt; "", AP[[#This Row],[Spend category L1 - Override]], AP[[#This Row],[Spend category L1]])</f>
        <v>0</v>
      </c>
      <c r="M496" s="57">
        <f>IF(AP[[#This Row],[Spend category L2 - Override]] &lt;&gt; "", AP[[#This Row],[Spend category L2 - Override]], AP[[#This Row],[Spend category L2]])</f>
        <v>0</v>
      </c>
      <c r="N496" s="51">
        <f>Assumptions!$D$15</f>
        <v>0.1</v>
      </c>
      <c r="O496" s="45">
        <f>IF(AP[[#This Row],[GST applies?]] = "Yes", (AP[[#This Row],[Invoice value inc. GST]] / 1 + AP[[#This Row],[GST %]]) * AP[[#This Row],[GST %]], 0)</f>
        <v>0</v>
      </c>
      <c r="P496" s="31">
        <f>_xlfn.XLOOKUP(AP[[#This Row],[Supplier name]], Supplier_master[Supplier name], Supplier_master[EOM or Net], 0)</f>
        <v>0</v>
      </c>
      <c r="Q496" s="31">
        <f>_xlfn.XLOOKUP(AP[[#This Row],[Supplier name]], Supplier_master[Supplier name], Supplier_master[Terms days], 0)</f>
        <v>0</v>
      </c>
      <c r="R4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6" s="4"/>
      <c r="T496" s="46">
        <f>IF(AP[[#This Row],[Payment date - override (dd/mm/yyyy)]] &lt;&gt; "", AP[[#This Row],[Payment date - override (dd/mm/yyyy)]], AP[[#This Row],[Due date (dd/mm/yyyy)]])</f>
        <v>0</v>
      </c>
      <c r="U496" s="46">
        <f t="shared" si="7"/>
        <v>52</v>
      </c>
    </row>
    <row r="497" spans="3:21" x14ac:dyDescent="0.25">
      <c r="C497" s="28"/>
      <c r="D497" s="20"/>
      <c r="E497" s="4"/>
      <c r="F497" s="37"/>
      <c r="G497" s="24"/>
      <c r="H497" s="31">
        <f>_xlfn.XLOOKUP(AP[[#This Row],[Supplier name]], Supplier_master[Supplier name], Supplier_master[Category L1], 0)</f>
        <v>0</v>
      </c>
      <c r="I497" s="64">
        <f>_xlfn.XLOOKUP(AP[[#This Row],[Supplier name]], Supplier_master[Supplier name], Supplier_master[Category L2], 0)</f>
        <v>0</v>
      </c>
      <c r="J497" s="55"/>
      <c r="K497" s="54"/>
      <c r="L497" s="57">
        <f>IF(AP[[#This Row],[Spend category L1 - Override]] &lt;&gt; "", AP[[#This Row],[Spend category L1 - Override]], AP[[#This Row],[Spend category L1]])</f>
        <v>0</v>
      </c>
      <c r="M497" s="57">
        <f>IF(AP[[#This Row],[Spend category L2 - Override]] &lt;&gt; "", AP[[#This Row],[Spend category L2 - Override]], AP[[#This Row],[Spend category L2]])</f>
        <v>0</v>
      </c>
      <c r="N497" s="51">
        <f>Assumptions!$D$15</f>
        <v>0.1</v>
      </c>
      <c r="O497" s="45">
        <f>IF(AP[[#This Row],[GST applies?]] = "Yes", (AP[[#This Row],[Invoice value inc. GST]] / 1 + AP[[#This Row],[GST %]]) * AP[[#This Row],[GST %]], 0)</f>
        <v>0</v>
      </c>
      <c r="P497" s="31">
        <f>_xlfn.XLOOKUP(AP[[#This Row],[Supplier name]], Supplier_master[Supplier name], Supplier_master[EOM or Net], 0)</f>
        <v>0</v>
      </c>
      <c r="Q497" s="31">
        <f>_xlfn.XLOOKUP(AP[[#This Row],[Supplier name]], Supplier_master[Supplier name], Supplier_master[Terms days], 0)</f>
        <v>0</v>
      </c>
      <c r="R4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7" s="4"/>
      <c r="T497" s="46">
        <f>IF(AP[[#This Row],[Payment date - override (dd/mm/yyyy)]] &lt;&gt; "", AP[[#This Row],[Payment date - override (dd/mm/yyyy)]], AP[[#This Row],[Due date (dd/mm/yyyy)]])</f>
        <v>0</v>
      </c>
      <c r="U497" s="46">
        <f t="shared" si="7"/>
        <v>52</v>
      </c>
    </row>
    <row r="498" spans="3:21" x14ac:dyDescent="0.25">
      <c r="C498" s="28"/>
      <c r="D498" s="20"/>
      <c r="E498" s="4"/>
      <c r="F498" s="37"/>
      <c r="G498" s="24"/>
      <c r="H498" s="31">
        <f>_xlfn.XLOOKUP(AP[[#This Row],[Supplier name]], Supplier_master[Supplier name], Supplier_master[Category L1], 0)</f>
        <v>0</v>
      </c>
      <c r="I498" s="64">
        <f>_xlfn.XLOOKUP(AP[[#This Row],[Supplier name]], Supplier_master[Supplier name], Supplier_master[Category L2], 0)</f>
        <v>0</v>
      </c>
      <c r="J498" s="55"/>
      <c r="K498" s="54"/>
      <c r="L498" s="57">
        <f>IF(AP[[#This Row],[Spend category L1 - Override]] &lt;&gt; "", AP[[#This Row],[Spend category L1 - Override]], AP[[#This Row],[Spend category L1]])</f>
        <v>0</v>
      </c>
      <c r="M498" s="57">
        <f>IF(AP[[#This Row],[Spend category L2 - Override]] &lt;&gt; "", AP[[#This Row],[Spend category L2 - Override]], AP[[#This Row],[Spend category L2]])</f>
        <v>0</v>
      </c>
      <c r="N498" s="51">
        <f>Assumptions!$D$15</f>
        <v>0.1</v>
      </c>
      <c r="O498" s="45">
        <f>IF(AP[[#This Row],[GST applies?]] = "Yes", (AP[[#This Row],[Invoice value inc. GST]] / 1 + AP[[#This Row],[GST %]]) * AP[[#This Row],[GST %]], 0)</f>
        <v>0</v>
      </c>
      <c r="P498" s="31">
        <f>_xlfn.XLOOKUP(AP[[#This Row],[Supplier name]], Supplier_master[Supplier name], Supplier_master[EOM or Net], 0)</f>
        <v>0</v>
      </c>
      <c r="Q498" s="31">
        <f>_xlfn.XLOOKUP(AP[[#This Row],[Supplier name]], Supplier_master[Supplier name], Supplier_master[Terms days], 0)</f>
        <v>0</v>
      </c>
      <c r="R4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8" s="4"/>
      <c r="T498" s="46">
        <f>IF(AP[[#This Row],[Payment date - override (dd/mm/yyyy)]] &lt;&gt; "", AP[[#This Row],[Payment date - override (dd/mm/yyyy)]], AP[[#This Row],[Due date (dd/mm/yyyy)]])</f>
        <v>0</v>
      </c>
      <c r="U498" s="46">
        <f t="shared" si="7"/>
        <v>52</v>
      </c>
    </row>
    <row r="499" spans="3:21" x14ac:dyDescent="0.25">
      <c r="C499" s="28"/>
      <c r="D499" s="20"/>
      <c r="E499" s="4"/>
      <c r="F499" s="37"/>
      <c r="G499" s="24"/>
      <c r="H499" s="31">
        <f>_xlfn.XLOOKUP(AP[[#This Row],[Supplier name]], Supplier_master[Supplier name], Supplier_master[Category L1], 0)</f>
        <v>0</v>
      </c>
      <c r="I499" s="64">
        <f>_xlfn.XLOOKUP(AP[[#This Row],[Supplier name]], Supplier_master[Supplier name], Supplier_master[Category L2], 0)</f>
        <v>0</v>
      </c>
      <c r="J499" s="55"/>
      <c r="K499" s="54"/>
      <c r="L499" s="57">
        <f>IF(AP[[#This Row],[Spend category L1 - Override]] &lt;&gt; "", AP[[#This Row],[Spend category L1 - Override]], AP[[#This Row],[Spend category L1]])</f>
        <v>0</v>
      </c>
      <c r="M499" s="57">
        <f>IF(AP[[#This Row],[Spend category L2 - Override]] &lt;&gt; "", AP[[#This Row],[Spend category L2 - Override]], AP[[#This Row],[Spend category L2]])</f>
        <v>0</v>
      </c>
      <c r="N499" s="51">
        <f>Assumptions!$D$15</f>
        <v>0.1</v>
      </c>
      <c r="O499" s="45">
        <f>IF(AP[[#This Row],[GST applies?]] = "Yes", (AP[[#This Row],[Invoice value inc. GST]] / 1 + AP[[#This Row],[GST %]]) * AP[[#This Row],[GST %]], 0)</f>
        <v>0</v>
      </c>
      <c r="P499" s="31">
        <f>_xlfn.XLOOKUP(AP[[#This Row],[Supplier name]], Supplier_master[Supplier name], Supplier_master[EOM or Net], 0)</f>
        <v>0</v>
      </c>
      <c r="Q499" s="31">
        <f>_xlfn.XLOOKUP(AP[[#This Row],[Supplier name]], Supplier_master[Supplier name], Supplier_master[Terms days], 0)</f>
        <v>0</v>
      </c>
      <c r="R4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9" s="4"/>
      <c r="T499" s="46">
        <f>IF(AP[[#This Row],[Payment date - override (dd/mm/yyyy)]] &lt;&gt; "", AP[[#This Row],[Payment date - override (dd/mm/yyyy)]], AP[[#This Row],[Due date (dd/mm/yyyy)]])</f>
        <v>0</v>
      </c>
      <c r="U499" s="46">
        <f t="shared" si="7"/>
        <v>52</v>
      </c>
    </row>
    <row r="500" spans="3:21" x14ac:dyDescent="0.25">
      <c r="C500" s="28"/>
      <c r="D500" s="20"/>
      <c r="E500" s="4"/>
      <c r="F500" s="37"/>
      <c r="G500" s="24"/>
      <c r="H500" s="31">
        <f>_xlfn.XLOOKUP(AP[[#This Row],[Supplier name]], Supplier_master[Supplier name], Supplier_master[Category L1], 0)</f>
        <v>0</v>
      </c>
      <c r="I500" s="64">
        <f>_xlfn.XLOOKUP(AP[[#This Row],[Supplier name]], Supplier_master[Supplier name], Supplier_master[Category L2], 0)</f>
        <v>0</v>
      </c>
      <c r="J500" s="55"/>
      <c r="K500" s="54"/>
      <c r="L500" s="57">
        <f>IF(AP[[#This Row],[Spend category L1 - Override]] &lt;&gt; "", AP[[#This Row],[Spend category L1 - Override]], AP[[#This Row],[Spend category L1]])</f>
        <v>0</v>
      </c>
      <c r="M500" s="57">
        <f>IF(AP[[#This Row],[Spend category L2 - Override]] &lt;&gt; "", AP[[#This Row],[Spend category L2 - Override]], AP[[#This Row],[Spend category L2]])</f>
        <v>0</v>
      </c>
      <c r="N500" s="51">
        <f>Assumptions!$D$15</f>
        <v>0.1</v>
      </c>
      <c r="O500" s="45">
        <f>IF(AP[[#This Row],[GST applies?]] = "Yes", (AP[[#This Row],[Invoice value inc. GST]] / 1 + AP[[#This Row],[GST %]]) * AP[[#This Row],[GST %]], 0)</f>
        <v>0</v>
      </c>
      <c r="P500" s="31">
        <f>_xlfn.XLOOKUP(AP[[#This Row],[Supplier name]], Supplier_master[Supplier name], Supplier_master[EOM or Net], 0)</f>
        <v>0</v>
      </c>
      <c r="Q500" s="31">
        <f>_xlfn.XLOOKUP(AP[[#This Row],[Supplier name]], Supplier_master[Supplier name], Supplier_master[Terms days], 0)</f>
        <v>0</v>
      </c>
      <c r="R5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0" s="4"/>
      <c r="T500" s="46">
        <f>IF(AP[[#This Row],[Payment date - override (dd/mm/yyyy)]] &lt;&gt; "", AP[[#This Row],[Payment date - override (dd/mm/yyyy)]], AP[[#This Row],[Due date (dd/mm/yyyy)]])</f>
        <v>0</v>
      </c>
      <c r="U500" s="46">
        <f t="shared" si="7"/>
        <v>52</v>
      </c>
    </row>
    <row r="501" spans="3:21" x14ac:dyDescent="0.25">
      <c r="C501" s="28"/>
      <c r="D501" s="20"/>
      <c r="E501" s="4"/>
      <c r="F501" s="37"/>
      <c r="G501" s="24"/>
      <c r="H501" s="31">
        <f>_xlfn.XLOOKUP(AP[[#This Row],[Supplier name]], Supplier_master[Supplier name], Supplier_master[Category L1], 0)</f>
        <v>0</v>
      </c>
      <c r="I501" s="64">
        <f>_xlfn.XLOOKUP(AP[[#This Row],[Supplier name]], Supplier_master[Supplier name], Supplier_master[Category L2], 0)</f>
        <v>0</v>
      </c>
      <c r="J501" s="55"/>
      <c r="K501" s="54"/>
      <c r="L501" s="57">
        <f>IF(AP[[#This Row],[Spend category L1 - Override]] &lt;&gt; "", AP[[#This Row],[Spend category L1 - Override]], AP[[#This Row],[Spend category L1]])</f>
        <v>0</v>
      </c>
      <c r="M501" s="57">
        <f>IF(AP[[#This Row],[Spend category L2 - Override]] &lt;&gt; "", AP[[#This Row],[Spend category L2 - Override]], AP[[#This Row],[Spend category L2]])</f>
        <v>0</v>
      </c>
      <c r="N501" s="51">
        <f>Assumptions!$D$15</f>
        <v>0.1</v>
      </c>
      <c r="O501" s="45">
        <f>IF(AP[[#This Row],[GST applies?]] = "Yes", (AP[[#This Row],[Invoice value inc. GST]] / 1 + AP[[#This Row],[GST %]]) * AP[[#This Row],[GST %]], 0)</f>
        <v>0</v>
      </c>
      <c r="P501" s="31">
        <f>_xlfn.XLOOKUP(AP[[#This Row],[Supplier name]], Supplier_master[Supplier name], Supplier_master[EOM or Net], 0)</f>
        <v>0</v>
      </c>
      <c r="Q501" s="31">
        <f>_xlfn.XLOOKUP(AP[[#This Row],[Supplier name]], Supplier_master[Supplier name], Supplier_master[Terms days], 0)</f>
        <v>0</v>
      </c>
      <c r="R5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1" s="4"/>
      <c r="T501" s="46">
        <f>IF(AP[[#This Row],[Payment date - override (dd/mm/yyyy)]] &lt;&gt; "", AP[[#This Row],[Payment date - override (dd/mm/yyyy)]], AP[[#This Row],[Due date (dd/mm/yyyy)]])</f>
        <v>0</v>
      </c>
      <c r="U501" s="46">
        <f t="shared" si="7"/>
        <v>52</v>
      </c>
    </row>
    <row r="502" spans="3:21" x14ac:dyDescent="0.25">
      <c r="C502" s="28"/>
      <c r="D502" s="20"/>
      <c r="E502" s="4"/>
      <c r="F502" s="37"/>
      <c r="G502" s="24"/>
      <c r="H502" s="31">
        <f>_xlfn.XLOOKUP(AP[[#This Row],[Supplier name]], Supplier_master[Supplier name], Supplier_master[Category L1], 0)</f>
        <v>0</v>
      </c>
      <c r="I502" s="64">
        <f>_xlfn.XLOOKUP(AP[[#This Row],[Supplier name]], Supplier_master[Supplier name], Supplier_master[Category L2], 0)</f>
        <v>0</v>
      </c>
      <c r="J502" s="55"/>
      <c r="K502" s="54"/>
      <c r="L502" s="57">
        <f>IF(AP[[#This Row],[Spend category L1 - Override]] &lt;&gt; "", AP[[#This Row],[Spend category L1 - Override]], AP[[#This Row],[Spend category L1]])</f>
        <v>0</v>
      </c>
      <c r="M502" s="57">
        <f>IF(AP[[#This Row],[Spend category L2 - Override]] &lt;&gt; "", AP[[#This Row],[Spend category L2 - Override]], AP[[#This Row],[Spend category L2]])</f>
        <v>0</v>
      </c>
      <c r="N502" s="51">
        <f>Assumptions!$D$15</f>
        <v>0.1</v>
      </c>
      <c r="O502" s="45">
        <f>IF(AP[[#This Row],[GST applies?]] = "Yes", (AP[[#This Row],[Invoice value inc. GST]] / 1 + AP[[#This Row],[GST %]]) * AP[[#This Row],[GST %]], 0)</f>
        <v>0</v>
      </c>
      <c r="P502" s="31">
        <f>_xlfn.XLOOKUP(AP[[#This Row],[Supplier name]], Supplier_master[Supplier name], Supplier_master[EOM or Net], 0)</f>
        <v>0</v>
      </c>
      <c r="Q502" s="31">
        <f>_xlfn.XLOOKUP(AP[[#This Row],[Supplier name]], Supplier_master[Supplier name], Supplier_master[Terms days], 0)</f>
        <v>0</v>
      </c>
      <c r="R5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2" s="4"/>
      <c r="T502" s="46">
        <f>IF(AP[[#This Row],[Payment date - override (dd/mm/yyyy)]] &lt;&gt; "", AP[[#This Row],[Payment date - override (dd/mm/yyyy)]], AP[[#This Row],[Due date (dd/mm/yyyy)]])</f>
        <v>0</v>
      </c>
      <c r="U502" s="46">
        <f t="shared" si="7"/>
        <v>52</v>
      </c>
    </row>
    <row r="503" spans="3:21" x14ac:dyDescent="0.25">
      <c r="C503" s="28"/>
      <c r="D503" s="20"/>
      <c r="E503" s="4"/>
      <c r="F503" s="37"/>
      <c r="G503" s="24"/>
      <c r="H503" s="31">
        <f>_xlfn.XLOOKUP(AP[[#This Row],[Supplier name]], Supplier_master[Supplier name], Supplier_master[Category L1], 0)</f>
        <v>0</v>
      </c>
      <c r="I503" s="64">
        <f>_xlfn.XLOOKUP(AP[[#This Row],[Supplier name]], Supplier_master[Supplier name], Supplier_master[Category L2], 0)</f>
        <v>0</v>
      </c>
      <c r="J503" s="55"/>
      <c r="K503" s="54"/>
      <c r="L503" s="57">
        <f>IF(AP[[#This Row],[Spend category L1 - Override]] &lt;&gt; "", AP[[#This Row],[Spend category L1 - Override]], AP[[#This Row],[Spend category L1]])</f>
        <v>0</v>
      </c>
      <c r="M503" s="57">
        <f>IF(AP[[#This Row],[Spend category L2 - Override]] &lt;&gt; "", AP[[#This Row],[Spend category L2 - Override]], AP[[#This Row],[Spend category L2]])</f>
        <v>0</v>
      </c>
      <c r="N503" s="51">
        <f>Assumptions!$D$15</f>
        <v>0.1</v>
      </c>
      <c r="O503" s="45">
        <f>IF(AP[[#This Row],[GST applies?]] = "Yes", (AP[[#This Row],[Invoice value inc. GST]] / 1 + AP[[#This Row],[GST %]]) * AP[[#This Row],[GST %]], 0)</f>
        <v>0</v>
      </c>
      <c r="P503" s="31">
        <f>_xlfn.XLOOKUP(AP[[#This Row],[Supplier name]], Supplier_master[Supplier name], Supplier_master[EOM or Net], 0)</f>
        <v>0</v>
      </c>
      <c r="Q503" s="31">
        <f>_xlfn.XLOOKUP(AP[[#This Row],[Supplier name]], Supplier_master[Supplier name], Supplier_master[Terms days], 0)</f>
        <v>0</v>
      </c>
      <c r="R5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3" s="4"/>
      <c r="T503" s="46">
        <f>IF(AP[[#This Row],[Payment date - override (dd/mm/yyyy)]] &lt;&gt; "", AP[[#This Row],[Payment date - override (dd/mm/yyyy)]], AP[[#This Row],[Due date (dd/mm/yyyy)]])</f>
        <v>0</v>
      </c>
      <c r="U503" s="46">
        <f t="shared" si="7"/>
        <v>52</v>
      </c>
    </row>
    <row r="504" spans="3:21" x14ac:dyDescent="0.25">
      <c r="C504" s="28"/>
      <c r="D504" s="20"/>
      <c r="E504" s="4"/>
      <c r="F504" s="37"/>
      <c r="G504" s="24"/>
      <c r="H504" s="31">
        <f>_xlfn.XLOOKUP(AP[[#This Row],[Supplier name]], Supplier_master[Supplier name], Supplier_master[Category L1], 0)</f>
        <v>0</v>
      </c>
      <c r="I504" s="64">
        <f>_xlfn.XLOOKUP(AP[[#This Row],[Supplier name]], Supplier_master[Supplier name], Supplier_master[Category L2], 0)</f>
        <v>0</v>
      </c>
      <c r="J504" s="55"/>
      <c r="K504" s="54"/>
      <c r="L504" s="57">
        <f>IF(AP[[#This Row],[Spend category L1 - Override]] &lt;&gt; "", AP[[#This Row],[Spend category L1 - Override]], AP[[#This Row],[Spend category L1]])</f>
        <v>0</v>
      </c>
      <c r="M504" s="57">
        <f>IF(AP[[#This Row],[Spend category L2 - Override]] &lt;&gt; "", AP[[#This Row],[Spend category L2 - Override]], AP[[#This Row],[Spend category L2]])</f>
        <v>0</v>
      </c>
      <c r="N504" s="51">
        <f>Assumptions!$D$15</f>
        <v>0.1</v>
      </c>
      <c r="O504" s="45">
        <f>IF(AP[[#This Row],[GST applies?]] = "Yes", (AP[[#This Row],[Invoice value inc. GST]] / 1 + AP[[#This Row],[GST %]]) * AP[[#This Row],[GST %]], 0)</f>
        <v>0</v>
      </c>
      <c r="P504" s="31">
        <f>_xlfn.XLOOKUP(AP[[#This Row],[Supplier name]], Supplier_master[Supplier name], Supplier_master[EOM or Net], 0)</f>
        <v>0</v>
      </c>
      <c r="Q504" s="31">
        <f>_xlfn.XLOOKUP(AP[[#This Row],[Supplier name]], Supplier_master[Supplier name], Supplier_master[Terms days], 0)</f>
        <v>0</v>
      </c>
      <c r="R5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4" s="4"/>
      <c r="T504" s="46">
        <f>IF(AP[[#This Row],[Payment date - override (dd/mm/yyyy)]] &lt;&gt; "", AP[[#This Row],[Payment date - override (dd/mm/yyyy)]], AP[[#This Row],[Due date (dd/mm/yyyy)]])</f>
        <v>0</v>
      </c>
      <c r="U504" s="46">
        <f t="shared" si="7"/>
        <v>52</v>
      </c>
    </row>
    <row r="505" spans="3:21" x14ac:dyDescent="0.25">
      <c r="C505" s="28"/>
      <c r="D505" s="20"/>
      <c r="E505" s="4"/>
      <c r="F505" s="37"/>
      <c r="G505" s="24"/>
      <c r="H505" s="31">
        <f>_xlfn.XLOOKUP(AP[[#This Row],[Supplier name]], Supplier_master[Supplier name], Supplier_master[Category L1], 0)</f>
        <v>0</v>
      </c>
      <c r="I505" s="64">
        <f>_xlfn.XLOOKUP(AP[[#This Row],[Supplier name]], Supplier_master[Supplier name], Supplier_master[Category L2], 0)</f>
        <v>0</v>
      </c>
      <c r="J505" s="55"/>
      <c r="K505" s="54"/>
      <c r="L505" s="57">
        <f>IF(AP[[#This Row],[Spend category L1 - Override]] &lt;&gt; "", AP[[#This Row],[Spend category L1 - Override]], AP[[#This Row],[Spend category L1]])</f>
        <v>0</v>
      </c>
      <c r="M505" s="57">
        <f>IF(AP[[#This Row],[Spend category L2 - Override]] &lt;&gt; "", AP[[#This Row],[Spend category L2 - Override]], AP[[#This Row],[Spend category L2]])</f>
        <v>0</v>
      </c>
      <c r="N505" s="51">
        <f>Assumptions!$D$15</f>
        <v>0.1</v>
      </c>
      <c r="O505" s="45">
        <f>IF(AP[[#This Row],[GST applies?]] = "Yes", (AP[[#This Row],[Invoice value inc. GST]] / 1 + AP[[#This Row],[GST %]]) * AP[[#This Row],[GST %]], 0)</f>
        <v>0</v>
      </c>
      <c r="P505" s="31">
        <f>_xlfn.XLOOKUP(AP[[#This Row],[Supplier name]], Supplier_master[Supplier name], Supplier_master[EOM or Net], 0)</f>
        <v>0</v>
      </c>
      <c r="Q505" s="31">
        <f>_xlfn.XLOOKUP(AP[[#This Row],[Supplier name]], Supplier_master[Supplier name], Supplier_master[Terms days], 0)</f>
        <v>0</v>
      </c>
      <c r="R5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5" s="4"/>
      <c r="T505" s="46">
        <f>IF(AP[[#This Row],[Payment date - override (dd/mm/yyyy)]] &lt;&gt; "", AP[[#This Row],[Payment date - override (dd/mm/yyyy)]], AP[[#This Row],[Due date (dd/mm/yyyy)]])</f>
        <v>0</v>
      </c>
      <c r="U505" s="46">
        <f t="shared" si="7"/>
        <v>52</v>
      </c>
    </row>
    <row r="506" spans="3:21" x14ac:dyDescent="0.25">
      <c r="C506" s="28"/>
      <c r="D506" s="20"/>
      <c r="E506" s="4"/>
      <c r="F506" s="37"/>
      <c r="G506" s="24"/>
      <c r="H506" s="31">
        <f>_xlfn.XLOOKUP(AP[[#This Row],[Supplier name]], Supplier_master[Supplier name], Supplier_master[Category L1], 0)</f>
        <v>0</v>
      </c>
      <c r="I506" s="64">
        <f>_xlfn.XLOOKUP(AP[[#This Row],[Supplier name]], Supplier_master[Supplier name], Supplier_master[Category L2], 0)</f>
        <v>0</v>
      </c>
      <c r="J506" s="55"/>
      <c r="K506" s="54"/>
      <c r="L506" s="57">
        <f>IF(AP[[#This Row],[Spend category L1 - Override]] &lt;&gt; "", AP[[#This Row],[Spend category L1 - Override]], AP[[#This Row],[Spend category L1]])</f>
        <v>0</v>
      </c>
      <c r="M506" s="57">
        <f>IF(AP[[#This Row],[Spend category L2 - Override]] &lt;&gt; "", AP[[#This Row],[Spend category L2 - Override]], AP[[#This Row],[Spend category L2]])</f>
        <v>0</v>
      </c>
      <c r="N506" s="51">
        <f>Assumptions!$D$15</f>
        <v>0.1</v>
      </c>
      <c r="O506" s="45">
        <f>IF(AP[[#This Row],[GST applies?]] = "Yes", (AP[[#This Row],[Invoice value inc. GST]] / 1 + AP[[#This Row],[GST %]]) * AP[[#This Row],[GST %]], 0)</f>
        <v>0</v>
      </c>
      <c r="P506" s="31">
        <f>_xlfn.XLOOKUP(AP[[#This Row],[Supplier name]], Supplier_master[Supplier name], Supplier_master[EOM or Net], 0)</f>
        <v>0</v>
      </c>
      <c r="Q506" s="31">
        <f>_xlfn.XLOOKUP(AP[[#This Row],[Supplier name]], Supplier_master[Supplier name], Supplier_master[Terms days], 0)</f>
        <v>0</v>
      </c>
      <c r="R5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6" s="4"/>
      <c r="T506" s="46">
        <f>IF(AP[[#This Row],[Payment date - override (dd/mm/yyyy)]] &lt;&gt; "", AP[[#This Row],[Payment date - override (dd/mm/yyyy)]], AP[[#This Row],[Due date (dd/mm/yyyy)]])</f>
        <v>0</v>
      </c>
      <c r="U506" s="46">
        <f t="shared" si="7"/>
        <v>52</v>
      </c>
    </row>
    <row r="507" spans="3:21" x14ac:dyDescent="0.25">
      <c r="C507" s="28"/>
      <c r="D507" s="20"/>
      <c r="E507" s="4"/>
      <c r="F507" s="37"/>
      <c r="G507" s="24"/>
      <c r="H507" s="31">
        <f>_xlfn.XLOOKUP(AP[[#This Row],[Supplier name]], Supplier_master[Supplier name], Supplier_master[Category L1], 0)</f>
        <v>0</v>
      </c>
      <c r="I507" s="64">
        <f>_xlfn.XLOOKUP(AP[[#This Row],[Supplier name]], Supplier_master[Supplier name], Supplier_master[Category L2], 0)</f>
        <v>0</v>
      </c>
      <c r="J507" s="55"/>
      <c r="K507" s="54"/>
      <c r="L507" s="57">
        <f>IF(AP[[#This Row],[Spend category L1 - Override]] &lt;&gt; "", AP[[#This Row],[Spend category L1 - Override]], AP[[#This Row],[Spend category L1]])</f>
        <v>0</v>
      </c>
      <c r="M507" s="57">
        <f>IF(AP[[#This Row],[Spend category L2 - Override]] &lt;&gt; "", AP[[#This Row],[Spend category L2 - Override]], AP[[#This Row],[Spend category L2]])</f>
        <v>0</v>
      </c>
      <c r="N507" s="51">
        <f>Assumptions!$D$15</f>
        <v>0.1</v>
      </c>
      <c r="O507" s="45">
        <f>IF(AP[[#This Row],[GST applies?]] = "Yes", (AP[[#This Row],[Invoice value inc. GST]] / 1 + AP[[#This Row],[GST %]]) * AP[[#This Row],[GST %]], 0)</f>
        <v>0</v>
      </c>
      <c r="P507" s="31">
        <f>_xlfn.XLOOKUP(AP[[#This Row],[Supplier name]], Supplier_master[Supplier name], Supplier_master[EOM or Net], 0)</f>
        <v>0</v>
      </c>
      <c r="Q507" s="31">
        <f>_xlfn.XLOOKUP(AP[[#This Row],[Supplier name]], Supplier_master[Supplier name], Supplier_master[Terms days], 0)</f>
        <v>0</v>
      </c>
      <c r="R5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7" s="4"/>
      <c r="T507" s="46">
        <f>IF(AP[[#This Row],[Payment date - override (dd/mm/yyyy)]] &lt;&gt; "", AP[[#This Row],[Payment date - override (dd/mm/yyyy)]], AP[[#This Row],[Due date (dd/mm/yyyy)]])</f>
        <v>0</v>
      </c>
      <c r="U507" s="46">
        <f t="shared" si="7"/>
        <v>52</v>
      </c>
    </row>
    <row r="508" spans="3:21" x14ac:dyDescent="0.25">
      <c r="C508" s="28"/>
      <c r="D508" s="20"/>
      <c r="E508" s="4"/>
      <c r="F508" s="37"/>
      <c r="G508" s="24"/>
      <c r="H508" s="31">
        <f>_xlfn.XLOOKUP(AP[[#This Row],[Supplier name]], Supplier_master[Supplier name], Supplier_master[Category L1], 0)</f>
        <v>0</v>
      </c>
      <c r="I508" s="64">
        <f>_xlfn.XLOOKUP(AP[[#This Row],[Supplier name]], Supplier_master[Supplier name], Supplier_master[Category L2], 0)</f>
        <v>0</v>
      </c>
      <c r="J508" s="55"/>
      <c r="K508" s="54"/>
      <c r="L508" s="57">
        <f>IF(AP[[#This Row],[Spend category L1 - Override]] &lt;&gt; "", AP[[#This Row],[Spend category L1 - Override]], AP[[#This Row],[Spend category L1]])</f>
        <v>0</v>
      </c>
      <c r="M508" s="57">
        <f>IF(AP[[#This Row],[Spend category L2 - Override]] &lt;&gt; "", AP[[#This Row],[Spend category L2 - Override]], AP[[#This Row],[Spend category L2]])</f>
        <v>0</v>
      </c>
      <c r="N508" s="51">
        <f>Assumptions!$D$15</f>
        <v>0.1</v>
      </c>
      <c r="O508" s="45">
        <f>IF(AP[[#This Row],[GST applies?]] = "Yes", (AP[[#This Row],[Invoice value inc. GST]] / 1 + AP[[#This Row],[GST %]]) * AP[[#This Row],[GST %]], 0)</f>
        <v>0</v>
      </c>
      <c r="P508" s="31">
        <f>_xlfn.XLOOKUP(AP[[#This Row],[Supplier name]], Supplier_master[Supplier name], Supplier_master[EOM or Net], 0)</f>
        <v>0</v>
      </c>
      <c r="Q508" s="31">
        <f>_xlfn.XLOOKUP(AP[[#This Row],[Supplier name]], Supplier_master[Supplier name], Supplier_master[Terms days], 0)</f>
        <v>0</v>
      </c>
      <c r="R5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8" s="4"/>
      <c r="T508" s="46">
        <f>IF(AP[[#This Row],[Payment date - override (dd/mm/yyyy)]] &lt;&gt; "", AP[[#This Row],[Payment date - override (dd/mm/yyyy)]], AP[[#This Row],[Due date (dd/mm/yyyy)]])</f>
        <v>0</v>
      </c>
      <c r="U508" s="46">
        <f t="shared" si="7"/>
        <v>52</v>
      </c>
    </row>
    <row r="509" spans="3:21" x14ac:dyDescent="0.25">
      <c r="C509" s="28"/>
      <c r="D509" s="20"/>
      <c r="E509" s="4"/>
      <c r="F509" s="37"/>
      <c r="G509" s="24"/>
      <c r="H509" s="31">
        <f>_xlfn.XLOOKUP(AP[[#This Row],[Supplier name]], Supplier_master[Supplier name], Supplier_master[Category L1], 0)</f>
        <v>0</v>
      </c>
      <c r="I509" s="64">
        <f>_xlfn.XLOOKUP(AP[[#This Row],[Supplier name]], Supplier_master[Supplier name], Supplier_master[Category L2], 0)</f>
        <v>0</v>
      </c>
      <c r="J509" s="55"/>
      <c r="K509" s="54"/>
      <c r="L509" s="57">
        <f>IF(AP[[#This Row],[Spend category L1 - Override]] &lt;&gt; "", AP[[#This Row],[Spend category L1 - Override]], AP[[#This Row],[Spend category L1]])</f>
        <v>0</v>
      </c>
      <c r="M509" s="57">
        <f>IF(AP[[#This Row],[Spend category L2 - Override]] &lt;&gt; "", AP[[#This Row],[Spend category L2 - Override]], AP[[#This Row],[Spend category L2]])</f>
        <v>0</v>
      </c>
      <c r="N509" s="51">
        <f>Assumptions!$D$15</f>
        <v>0.1</v>
      </c>
      <c r="O509" s="45">
        <f>IF(AP[[#This Row],[GST applies?]] = "Yes", (AP[[#This Row],[Invoice value inc. GST]] / 1 + AP[[#This Row],[GST %]]) * AP[[#This Row],[GST %]], 0)</f>
        <v>0</v>
      </c>
      <c r="P509" s="31">
        <f>_xlfn.XLOOKUP(AP[[#This Row],[Supplier name]], Supplier_master[Supplier name], Supplier_master[EOM or Net], 0)</f>
        <v>0</v>
      </c>
      <c r="Q509" s="31">
        <f>_xlfn.XLOOKUP(AP[[#This Row],[Supplier name]], Supplier_master[Supplier name], Supplier_master[Terms days], 0)</f>
        <v>0</v>
      </c>
      <c r="R5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9" s="4"/>
      <c r="T509" s="46">
        <f>IF(AP[[#This Row],[Payment date - override (dd/mm/yyyy)]] &lt;&gt; "", AP[[#This Row],[Payment date - override (dd/mm/yyyy)]], AP[[#This Row],[Due date (dd/mm/yyyy)]])</f>
        <v>0</v>
      </c>
      <c r="U509" s="46">
        <f t="shared" si="7"/>
        <v>52</v>
      </c>
    </row>
    <row r="510" spans="3:21" x14ac:dyDescent="0.25">
      <c r="C510" s="28"/>
      <c r="D510" s="20"/>
      <c r="E510" s="4"/>
      <c r="F510" s="37"/>
      <c r="G510" s="24"/>
      <c r="H510" s="31">
        <f>_xlfn.XLOOKUP(AP[[#This Row],[Supplier name]], Supplier_master[Supplier name], Supplier_master[Category L1], 0)</f>
        <v>0</v>
      </c>
      <c r="I510" s="64">
        <f>_xlfn.XLOOKUP(AP[[#This Row],[Supplier name]], Supplier_master[Supplier name], Supplier_master[Category L2], 0)</f>
        <v>0</v>
      </c>
      <c r="J510" s="55"/>
      <c r="K510" s="54"/>
      <c r="L510" s="57">
        <f>IF(AP[[#This Row],[Spend category L1 - Override]] &lt;&gt; "", AP[[#This Row],[Spend category L1 - Override]], AP[[#This Row],[Spend category L1]])</f>
        <v>0</v>
      </c>
      <c r="M510" s="57">
        <f>IF(AP[[#This Row],[Spend category L2 - Override]] &lt;&gt; "", AP[[#This Row],[Spend category L2 - Override]], AP[[#This Row],[Spend category L2]])</f>
        <v>0</v>
      </c>
      <c r="N510" s="51">
        <f>Assumptions!$D$15</f>
        <v>0.1</v>
      </c>
      <c r="O510" s="45">
        <f>IF(AP[[#This Row],[GST applies?]] = "Yes", (AP[[#This Row],[Invoice value inc. GST]] / 1 + AP[[#This Row],[GST %]]) * AP[[#This Row],[GST %]], 0)</f>
        <v>0</v>
      </c>
      <c r="P510" s="31">
        <f>_xlfn.XLOOKUP(AP[[#This Row],[Supplier name]], Supplier_master[Supplier name], Supplier_master[EOM or Net], 0)</f>
        <v>0</v>
      </c>
      <c r="Q510" s="31">
        <f>_xlfn.XLOOKUP(AP[[#This Row],[Supplier name]], Supplier_master[Supplier name], Supplier_master[Terms days], 0)</f>
        <v>0</v>
      </c>
      <c r="R5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0" s="4"/>
      <c r="T510" s="46">
        <f>IF(AP[[#This Row],[Payment date - override (dd/mm/yyyy)]] &lt;&gt; "", AP[[#This Row],[Payment date - override (dd/mm/yyyy)]], AP[[#This Row],[Due date (dd/mm/yyyy)]])</f>
        <v>0</v>
      </c>
      <c r="U510" s="46">
        <f t="shared" si="7"/>
        <v>52</v>
      </c>
    </row>
    <row r="511" spans="3:21" x14ac:dyDescent="0.25">
      <c r="C511" s="28"/>
      <c r="D511" s="20"/>
      <c r="E511" s="4"/>
      <c r="F511" s="37"/>
      <c r="G511" s="24"/>
      <c r="H511" s="31">
        <f>_xlfn.XLOOKUP(AP[[#This Row],[Supplier name]], Supplier_master[Supplier name], Supplier_master[Category L1], 0)</f>
        <v>0</v>
      </c>
      <c r="I511" s="64">
        <f>_xlfn.XLOOKUP(AP[[#This Row],[Supplier name]], Supplier_master[Supplier name], Supplier_master[Category L2], 0)</f>
        <v>0</v>
      </c>
      <c r="J511" s="55"/>
      <c r="K511" s="54"/>
      <c r="L511" s="57">
        <f>IF(AP[[#This Row],[Spend category L1 - Override]] &lt;&gt; "", AP[[#This Row],[Spend category L1 - Override]], AP[[#This Row],[Spend category L1]])</f>
        <v>0</v>
      </c>
      <c r="M511" s="57">
        <f>IF(AP[[#This Row],[Spend category L2 - Override]] &lt;&gt; "", AP[[#This Row],[Spend category L2 - Override]], AP[[#This Row],[Spend category L2]])</f>
        <v>0</v>
      </c>
      <c r="N511" s="51">
        <f>Assumptions!$D$15</f>
        <v>0.1</v>
      </c>
      <c r="O511" s="45">
        <f>IF(AP[[#This Row],[GST applies?]] = "Yes", (AP[[#This Row],[Invoice value inc. GST]] / 1 + AP[[#This Row],[GST %]]) * AP[[#This Row],[GST %]], 0)</f>
        <v>0</v>
      </c>
      <c r="P511" s="31">
        <f>_xlfn.XLOOKUP(AP[[#This Row],[Supplier name]], Supplier_master[Supplier name], Supplier_master[EOM or Net], 0)</f>
        <v>0</v>
      </c>
      <c r="Q511" s="31">
        <f>_xlfn.XLOOKUP(AP[[#This Row],[Supplier name]], Supplier_master[Supplier name], Supplier_master[Terms days], 0)</f>
        <v>0</v>
      </c>
      <c r="R5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1" s="4"/>
      <c r="T511" s="46">
        <f>IF(AP[[#This Row],[Payment date - override (dd/mm/yyyy)]] &lt;&gt; "", AP[[#This Row],[Payment date - override (dd/mm/yyyy)]], AP[[#This Row],[Due date (dd/mm/yyyy)]])</f>
        <v>0</v>
      </c>
      <c r="U511" s="46">
        <f t="shared" si="7"/>
        <v>52</v>
      </c>
    </row>
    <row r="512" spans="3:21" x14ac:dyDescent="0.25">
      <c r="C512" s="28"/>
      <c r="D512" s="20"/>
      <c r="E512" s="4"/>
      <c r="F512" s="37"/>
      <c r="G512" s="24"/>
      <c r="H512" s="31">
        <f>_xlfn.XLOOKUP(AP[[#This Row],[Supplier name]], Supplier_master[Supplier name], Supplier_master[Category L1], 0)</f>
        <v>0</v>
      </c>
      <c r="I512" s="64">
        <f>_xlfn.XLOOKUP(AP[[#This Row],[Supplier name]], Supplier_master[Supplier name], Supplier_master[Category L2], 0)</f>
        <v>0</v>
      </c>
      <c r="J512" s="55"/>
      <c r="K512" s="54"/>
      <c r="L512" s="57">
        <f>IF(AP[[#This Row],[Spend category L1 - Override]] &lt;&gt; "", AP[[#This Row],[Spend category L1 - Override]], AP[[#This Row],[Spend category L1]])</f>
        <v>0</v>
      </c>
      <c r="M512" s="57">
        <f>IF(AP[[#This Row],[Spend category L2 - Override]] &lt;&gt; "", AP[[#This Row],[Spend category L2 - Override]], AP[[#This Row],[Spend category L2]])</f>
        <v>0</v>
      </c>
      <c r="N512" s="51">
        <f>Assumptions!$D$15</f>
        <v>0.1</v>
      </c>
      <c r="O512" s="45">
        <f>IF(AP[[#This Row],[GST applies?]] = "Yes", (AP[[#This Row],[Invoice value inc. GST]] / 1 + AP[[#This Row],[GST %]]) * AP[[#This Row],[GST %]], 0)</f>
        <v>0</v>
      </c>
      <c r="P512" s="31">
        <f>_xlfn.XLOOKUP(AP[[#This Row],[Supplier name]], Supplier_master[Supplier name], Supplier_master[EOM or Net], 0)</f>
        <v>0</v>
      </c>
      <c r="Q512" s="31">
        <f>_xlfn.XLOOKUP(AP[[#This Row],[Supplier name]], Supplier_master[Supplier name], Supplier_master[Terms days], 0)</f>
        <v>0</v>
      </c>
      <c r="R5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2" s="4"/>
      <c r="T512" s="46">
        <f>IF(AP[[#This Row],[Payment date - override (dd/mm/yyyy)]] &lt;&gt; "", AP[[#This Row],[Payment date - override (dd/mm/yyyy)]], AP[[#This Row],[Due date (dd/mm/yyyy)]])</f>
        <v>0</v>
      </c>
      <c r="U512" s="46">
        <f t="shared" si="7"/>
        <v>52</v>
      </c>
    </row>
    <row r="513" spans="3:21" x14ac:dyDescent="0.25">
      <c r="C513" s="28"/>
      <c r="D513" s="20"/>
      <c r="E513" s="4"/>
      <c r="F513" s="37"/>
      <c r="G513" s="24"/>
      <c r="H513" s="31">
        <f>_xlfn.XLOOKUP(AP[[#This Row],[Supplier name]], Supplier_master[Supplier name], Supplier_master[Category L1], 0)</f>
        <v>0</v>
      </c>
      <c r="I513" s="64">
        <f>_xlfn.XLOOKUP(AP[[#This Row],[Supplier name]], Supplier_master[Supplier name], Supplier_master[Category L2], 0)</f>
        <v>0</v>
      </c>
      <c r="J513" s="55"/>
      <c r="K513" s="54"/>
      <c r="L513" s="57">
        <f>IF(AP[[#This Row],[Spend category L1 - Override]] &lt;&gt; "", AP[[#This Row],[Spend category L1 - Override]], AP[[#This Row],[Spend category L1]])</f>
        <v>0</v>
      </c>
      <c r="M513" s="57">
        <f>IF(AP[[#This Row],[Spend category L2 - Override]] &lt;&gt; "", AP[[#This Row],[Spend category L2 - Override]], AP[[#This Row],[Spend category L2]])</f>
        <v>0</v>
      </c>
      <c r="N513" s="51">
        <f>Assumptions!$D$15</f>
        <v>0.1</v>
      </c>
      <c r="O513" s="45">
        <f>IF(AP[[#This Row],[GST applies?]] = "Yes", (AP[[#This Row],[Invoice value inc. GST]] / 1 + AP[[#This Row],[GST %]]) * AP[[#This Row],[GST %]], 0)</f>
        <v>0</v>
      </c>
      <c r="P513" s="31">
        <f>_xlfn.XLOOKUP(AP[[#This Row],[Supplier name]], Supplier_master[Supplier name], Supplier_master[EOM or Net], 0)</f>
        <v>0</v>
      </c>
      <c r="Q513" s="31">
        <f>_xlfn.XLOOKUP(AP[[#This Row],[Supplier name]], Supplier_master[Supplier name], Supplier_master[Terms days], 0)</f>
        <v>0</v>
      </c>
      <c r="R5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3" s="4"/>
      <c r="T513" s="46">
        <f>IF(AP[[#This Row],[Payment date - override (dd/mm/yyyy)]] &lt;&gt; "", AP[[#This Row],[Payment date - override (dd/mm/yyyy)]], AP[[#This Row],[Due date (dd/mm/yyyy)]])</f>
        <v>0</v>
      </c>
      <c r="U513" s="46">
        <f t="shared" si="7"/>
        <v>52</v>
      </c>
    </row>
    <row r="514" spans="3:21" x14ac:dyDescent="0.25">
      <c r="C514" s="28"/>
      <c r="D514" s="20"/>
      <c r="E514" s="4"/>
      <c r="F514" s="37"/>
      <c r="G514" s="24"/>
      <c r="H514" s="31">
        <f>_xlfn.XLOOKUP(AP[[#This Row],[Supplier name]], Supplier_master[Supplier name], Supplier_master[Category L1], 0)</f>
        <v>0</v>
      </c>
      <c r="I514" s="64">
        <f>_xlfn.XLOOKUP(AP[[#This Row],[Supplier name]], Supplier_master[Supplier name], Supplier_master[Category L2], 0)</f>
        <v>0</v>
      </c>
      <c r="J514" s="55"/>
      <c r="K514" s="54"/>
      <c r="L514" s="57">
        <f>IF(AP[[#This Row],[Spend category L1 - Override]] &lt;&gt; "", AP[[#This Row],[Spend category L1 - Override]], AP[[#This Row],[Spend category L1]])</f>
        <v>0</v>
      </c>
      <c r="M514" s="57">
        <f>IF(AP[[#This Row],[Spend category L2 - Override]] &lt;&gt; "", AP[[#This Row],[Spend category L2 - Override]], AP[[#This Row],[Spend category L2]])</f>
        <v>0</v>
      </c>
      <c r="N514" s="51">
        <f>Assumptions!$D$15</f>
        <v>0.1</v>
      </c>
      <c r="O514" s="45">
        <f>IF(AP[[#This Row],[GST applies?]] = "Yes", (AP[[#This Row],[Invoice value inc. GST]] / 1 + AP[[#This Row],[GST %]]) * AP[[#This Row],[GST %]], 0)</f>
        <v>0</v>
      </c>
      <c r="P514" s="31">
        <f>_xlfn.XLOOKUP(AP[[#This Row],[Supplier name]], Supplier_master[Supplier name], Supplier_master[EOM or Net], 0)</f>
        <v>0</v>
      </c>
      <c r="Q514" s="31">
        <f>_xlfn.XLOOKUP(AP[[#This Row],[Supplier name]], Supplier_master[Supplier name], Supplier_master[Terms days], 0)</f>
        <v>0</v>
      </c>
      <c r="R5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4" s="4"/>
      <c r="T514" s="46">
        <f>IF(AP[[#This Row],[Payment date - override (dd/mm/yyyy)]] &lt;&gt; "", AP[[#This Row],[Payment date - override (dd/mm/yyyy)]], AP[[#This Row],[Due date (dd/mm/yyyy)]])</f>
        <v>0</v>
      </c>
      <c r="U514" s="46">
        <f t="shared" si="7"/>
        <v>52</v>
      </c>
    </row>
    <row r="515" spans="3:21" x14ac:dyDescent="0.25">
      <c r="C515" s="28"/>
      <c r="D515" s="20"/>
      <c r="E515" s="4"/>
      <c r="F515" s="37"/>
      <c r="G515" s="24"/>
      <c r="H515" s="31">
        <f>_xlfn.XLOOKUP(AP[[#This Row],[Supplier name]], Supplier_master[Supplier name], Supplier_master[Category L1], 0)</f>
        <v>0</v>
      </c>
      <c r="I515" s="64">
        <f>_xlfn.XLOOKUP(AP[[#This Row],[Supplier name]], Supplier_master[Supplier name], Supplier_master[Category L2], 0)</f>
        <v>0</v>
      </c>
      <c r="J515" s="55"/>
      <c r="K515" s="54"/>
      <c r="L515" s="57">
        <f>IF(AP[[#This Row],[Spend category L1 - Override]] &lt;&gt; "", AP[[#This Row],[Spend category L1 - Override]], AP[[#This Row],[Spend category L1]])</f>
        <v>0</v>
      </c>
      <c r="M515" s="57">
        <f>IF(AP[[#This Row],[Spend category L2 - Override]] &lt;&gt; "", AP[[#This Row],[Spend category L2 - Override]], AP[[#This Row],[Spend category L2]])</f>
        <v>0</v>
      </c>
      <c r="N515" s="51">
        <f>Assumptions!$D$15</f>
        <v>0.1</v>
      </c>
      <c r="O515" s="45">
        <f>IF(AP[[#This Row],[GST applies?]] = "Yes", (AP[[#This Row],[Invoice value inc. GST]] / 1 + AP[[#This Row],[GST %]]) * AP[[#This Row],[GST %]], 0)</f>
        <v>0</v>
      </c>
      <c r="P515" s="31">
        <f>_xlfn.XLOOKUP(AP[[#This Row],[Supplier name]], Supplier_master[Supplier name], Supplier_master[EOM or Net], 0)</f>
        <v>0</v>
      </c>
      <c r="Q515" s="31">
        <f>_xlfn.XLOOKUP(AP[[#This Row],[Supplier name]], Supplier_master[Supplier name], Supplier_master[Terms days], 0)</f>
        <v>0</v>
      </c>
      <c r="R5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5" s="4"/>
      <c r="T515" s="46">
        <f>IF(AP[[#This Row],[Payment date - override (dd/mm/yyyy)]] &lt;&gt; "", AP[[#This Row],[Payment date - override (dd/mm/yyyy)]], AP[[#This Row],[Due date (dd/mm/yyyy)]])</f>
        <v>0</v>
      </c>
      <c r="U515" s="46">
        <f t="shared" si="7"/>
        <v>52</v>
      </c>
    </row>
    <row r="516" spans="3:21" x14ac:dyDescent="0.25">
      <c r="C516" s="28"/>
      <c r="D516" s="20"/>
      <c r="E516" s="4"/>
      <c r="F516" s="37"/>
      <c r="G516" s="24"/>
      <c r="H516" s="31">
        <f>_xlfn.XLOOKUP(AP[[#This Row],[Supplier name]], Supplier_master[Supplier name], Supplier_master[Category L1], 0)</f>
        <v>0</v>
      </c>
      <c r="I516" s="64">
        <f>_xlfn.XLOOKUP(AP[[#This Row],[Supplier name]], Supplier_master[Supplier name], Supplier_master[Category L2], 0)</f>
        <v>0</v>
      </c>
      <c r="J516" s="55"/>
      <c r="K516" s="54"/>
      <c r="L516" s="57">
        <f>IF(AP[[#This Row],[Spend category L1 - Override]] &lt;&gt; "", AP[[#This Row],[Spend category L1 - Override]], AP[[#This Row],[Spend category L1]])</f>
        <v>0</v>
      </c>
      <c r="M516" s="57">
        <f>IF(AP[[#This Row],[Spend category L2 - Override]] &lt;&gt; "", AP[[#This Row],[Spend category L2 - Override]], AP[[#This Row],[Spend category L2]])</f>
        <v>0</v>
      </c>
      <c r="N516" s="51">
        <f>Assumptions!$D$15</f>
        <v>0.1</v>
      </c>
      <c r="O516" s="45">
        <f>IF(AP[[#This Row],[GST applies?]] = "Yes", (AP[[#This Row],[Invoice value inc. GST]] / 1 + AP[[#This Row],[GST %]]) * AP[[#This Row],[GST %]], 0)</f>
        <v>0</v>
      </c>
      <c r="P516" s="31">
        <f>_xlfn.XLOOKUP(AP[[#This Row],[Supplier name]], Supplier_master[Supplier name], Supplier_master[EOM or Net], 0)</f>
        <v>0</v>
      </c>
      <c r="Q516" s="31">
        <f>_xlfn.XLOOKUP(AP[[#This Row],[Supplier name]], Supplier_master[Supplier name], Supplier_master[Terms days], 0)</f>
        <v>0</v>
      </c>
      <c r="R5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6" s="4"/>
      <c r="T516" s="46">
        <f>IF(AP[[#This Row],[Payment date - override (dd/mm/yyyy)]] &lt;&gt; "", AP[[#This Row],[Payment date - override (dd/mm/yyyy)]], AP[[#This Row],[Due date (dd/mm/yyyy)]])</f>
        <v>0</v>
      </c>
      <c r="U516" s="46">
        <f t="shared" si="7"/>
        <v>52</v>
      </c>
    </row>
    <row r="517" spans="3:21" x14ac:dyDescent="0.25">
      <c r="C517" s="28"/>
      <c r="D517" s="20"/>
      <c r="E517" s="4"/>
      <c r="F517" s="37"/>
      <c r="G517" s="24"/>
      <c r="H517" s="31">
        <f>_xlfn.XLOOKUP(AP[[#This Row],[Supplier name]], Supplier_master[Supplier name], Supplier_master[Category L1], 0)</f>
        <v>0</v>
      </c>
      <c r="I517" s="64">
        <f>_xlfn.XLOOKUP(AP[[#This Row],[Supplier name]], Supplier_master[Supplier name], Supplier_master[Category L2], 0)</f>
        <v>0</v>
      </c>
      <c r="J517" s="55"/>
      <c r="K517" s="54"/>
      <c r="L517" s="57">
        <f>IF(AP[[#This Row],[Spend category L1 - Override]] &lt;&gt; "", AP[[#This Row],[Spend category L1 - Override]], AP[[#This Row],[Spend category L1]])</f>
        <v>0</v>
      </c>
      <c r="M517" s="57">
        <f>IF(AP[[#This Row],[Spend category L2 - Override]] &lt;&gt; "", AP[[#This Row],[Spend category L2 - Override]], AP[[#This Row],[Spend category L2]])</f>
        <v>0</v>
      </c>
      <c r="N517" s="51">
        <f>Assumptions!$D$15</f>
        <v>0.1</v>
      </c>
      <c r="O517" s="45">
        <f>IF(AP[[#This Row],[GST applies?]] = "Yes", (AP[[#This Row],[Invoice value inc. GST]] / 1 + AP[[#This Row],[GST %]]) * AP[[#This Row],[GST %]], 0)</f>
        <v>0</v>
      </c>
      <c r="P517" s="31">
        <f>_xlfn.XLOOKUP(AP[[#This Row],[Supplier name]], Supplier_master[Supplier name], Supplier_master[EOM or Net], 0)</f>
        <v>0</v>
      </c>
      <c r="Q517" s="31">
        <f>_xlfn.XLOOKUP(AP[[#This Row],[Supplier name]], Supplier_master[Supplier name], Supplier_master[Terms days], 0)</f>
        <v>0</v>
      </c>
      <c r="R5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7" s="4"/>
      <c r="T517" s="46">
        <f>IF(AP[[#This Row],[Payment date - override (dd/mm/yyyy)]] &lt;&gt; "", AP[[#This Row],[Payment date - override (dd/mm/yyyy)]], AP[[#This Row],[Due date (dd/mm/yyyy)]])</f>
        <v>0</v>
      </c>
      <c r="U517" s="46">
        <f t="shared" si="7"/>
        <v>52</v>
      </c>
    </row>
    <row r="518" spans="3:21" x14ac:dyDescent="0.25">
      <c r="C518" s="28"/>
      <c r="D518" s="20"/>
      <c r="E518" s="4"/>
      <c r="F518" s="37"/>
      <c r="G518" s="24"/>
      <c r="H518" s="31">
        <f>_xlfn.XLOOKUP(AP[[#This Row],[Supplier name]], Supplier_master[Supplier name], Supplier_master[Category L1], 0)</f>
        <v>0</v>
      </c>
      <c r="I518" s="64">
        <f>_xlfn.XLOOKUP(AP[[#This Row],[Supplier name]], Supplier_master[Supplier name], Supplier_master[Category L2], 0)</f>
        <v>0</v>
      </c>
      <c r="J518" s="55"/>
      <c r="K518" s="54"/>
      <c r="L518" s="57">
        <f>IF(AP[[#This Row],[Spend category L1 - Override]] &lt;&gt; "", AP[[#This Row],[Spend category L1 - Override]], AP[[#This Row],[Spend category L1]])</f>
        <v>0</v>
      </c>
      <c r="M518" s="57">
        <f>IF(AP[[#This Row],[Spend category L2 - Override]] &lt;&gt; "", AP[[#This Row],[Spend category L2 - Override]], AP[[#This Row],[Spend category L2]])</f>
        <v>0</v>
      </c>
      <c r="N518" s="51">
        <f>Assumptions!$D$15</f>
        <v>0.1</v>
      </c>
      <c r="O518" s="45">
        <f>IF(AP[[#This Row],[GST applies?]] = "Yes", (AP[[#This Row],[Invoice value inc. GST]] / 1 + AP[[#This Row],[GST %]]) * AP[[#This Row],[GST %]], 0)</f>
        <v>0</v>
      </c>
      <c r="P518" s="31">
        <f>_xlfn.XLOOKUP(AP[[#This Row],[Supplier name]], Supplier_master[Supplier name], Supplier_master[EOM or Net], 0)</f>
        <v>0</v>
      </c>
      <c r="Q518" s="31">
        <f>_xlfn.XLOOKUP(AP[[#This Row],[Supplier name]], Supplier_master[Supplier name], Supplier_master[Terms days], 0)</f>
        <v>0</v>
      </c>
      <c r="R5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8" s="4"/>
      <c r="T518" s="46">
        <f>IF(AP[[#This Row],[Payment date - override (dd/mm/yyyy)]] &lt;&gt; "", AP[[#This Row],[Payment date - override (dd/mm/yyyy)]], AP[[#This Row],[Due date (dd/mm/yyyy)]])</f>
        <v>0</v>
      </c>
      <c r="U518" s="46">
        <f t="shared" si="7"/>
        <v>52</v>
      </c>
    </row>
    <row r="519" spans="3:21" x14ac:dyDescent="0.25">
      <c r="C519" s="28"/>
      <c r="D519" s="20"/>
      <c r="E519" s="4"/>
      <c r="F519" s="37"/>
      <c r="G519" s="24"/>
      <c r="H519" s="31">
        <f>_xlfn.XLOOKUP(AP[[#This Row],[Supplier name]], Supplier_master[Supplier name], Supplier_master[Category L1], 0)</f>
        <v>0</v>
      </c>
      <c r="I519" s="64">
        <f>_xlfn.XLOOKUP(AP[[#This Row],[Supplier name]], Supplier_master[Supplier name], Supplier_master[Category L2], 0)</f>
        <v>0</v>
      </c>
      <c r="J519" s="55"/>
      <c r="K519" s="54"/>
      <c r="L519" s="57">
        <f>IF(AP[[#This Row],[Spend category L1 - Override]] &lt;&gt; "", AP[[#This Row],[Spend category L1 - Override]], AP[[#This Row],[Spend category L1]])</f>
        <v>0</v>
      </c>
      <c r="M519" s="57">
        <f>IF(AP[[#This Row],[Spend category L2 - Override]] &lt;&gt; "", AP[[#This Row],[Spend category L2 - Override]], AP[[#This Row],[Spend category L2]])</f>
        <v>0</v>
      </c>
      <c r="N519" s="51">
        <f>Assumptions!$D$15</f>
        <v>0.1</v>
      </c>
      <c r="O519" s="45">
        <f>IF(AP[[#This Row],[GST applies?]] = "Yes", (AP[[#This Row],[Invoice value inc. GST]] / 1 + AP[[#This Row],[GST %]]) * AP[[#This Row],[GST %]], 0)</f>
        <v>0</v>
      </c>
      <c r="P519" s="31">
        <f>_xlfn.XLOOKUP(AP[[#This Row],[Supplier name]], Supplier_master[Supplier name], Supplier_master[EOM or Net], 0)</f>
        <v>0</v>
      </c>
      <c r="Q519" s="31">
        <f>_xlfn.XLOOKUP(AP[[#This Row],[Supplier name]], Supplier_master[Supplier name], Supplier_master[Terms days], 0)</f>
        <v>0</v>
      </c>
      <c r="R5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9" s="4"/>
      <c r="T519" s="46">
        <f>IF(AP[[#This Row],[Payment date - override (dd/mm/yyyy)]] &lt;&gt; "", AP[[#This Row],[Payment date - override (dd/mm/yyyy)]], AP[[#This Row],[Due date (dd/mm/yyyy)]])</f>
        <v>0</v>
      </c>
      <c r="U519" s="46">
        <f t="shared" si="7"/>
        <v>52</v>
      </c>
    </row>
    <row r="520" spans="3:21" x14ac:dyDescent="0.25">
      <c r="C520" s="28"/>
      <c r="D520" s="20"/>
      <c r="E520" s="4"/>
      <c r="F520" s="37"/>
      <c r="G520" s="24"/>
      <c r="H520" s="31">
        <f>_xlfn.XLOOKUP(AP[[#This Row],[Supplier name]], Supplier_master[Supplier name], Supplier_master[Category L1], 0)</f>
        <v>0</v>
      </c>
      <c r="I520" s="64">
        <f>_xlfn.XLOOKUP(AP[[#This Row],[Supplier name]], Supplier_master[Supplier name], Supplier_master[Category L2], 0)</f>
        <v>0</v>
      </c>
      <c r="J520" s="55"/>
      <c r="K520" s="54"/>
      <c r="L520" s="57">
        <f>IF(AP[[#This Row],[Spend category L1 - Override]] &lt;&gt; "", AP[[#This Row],[Spend category L1 - Override]], AP[[#This Row],[Spend category L1]])</f>
        <v>0</v>
      </c>
      <c r="M520" s="57">
        <f>IF(AP[[#This Row],[Spend category L2 - Override]] &lt;&gt; "", AP[[#This Row],[Spend category L2 - Override]], AP[[#This Row],[Spend category L2]])</f>
        <v>0</v>
      </c>
      <c r="N520" s="51">
        <f>Assumptions!$D$15</f>
        <v>0.1</v>
      </c>
      <c r="O520" s="45">
        <f>IF(AP[[#This Row],[GST applies?]] = "Yes", (AP[[#This Row],[Invoice value inc. GST]] / 1 + AP[[#This Row],[GST %]]) * AP[[#This Row],[GST %]], 0)</f>
        <v>0</v>
      </c>
      <c r="P520" s="31">
        <f>_xlfn.XLOOKUP(AP[[#This Row],[Supplier name]], Supplier_master[Supplier name], Supplier_master[EOM or Net], 0)</f>
        <v>0</v>
      </c>
      <c r="Q520" s="31">
        <f>_xlfn.XLOOKUP(AP[[#This Row],[Supplier name]], Supplier_master[Supplier name], Supplier_master[Terms days], 0)</f>
        <v>0</v>
      </c>
      <c r="R5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0" s="4"/>
      <c r="T520" s="46">
        <f>IF(AP[[#This Row],[Payment date - override (dd/mm/yyyy)]] &lt;&gt; "", AP[[#This Row],[Payment date - override (dd/mm/yyyy)]], AP[[#This Row],[Due date (dd/mm/yyyy)]])</f>
        <v>0</v>
      </c>
      <c r="U520" s="46">
        <f t="shared" si="7"/>
        <v>52</v>
      </c>
    </row>
    <row r="521" spans="3:21" x14ac:dyDescent="0.25">
      <c r="C521" s="28"/>
      <c r="D521" s="20"/>
      <c r="E521" s="4"/>
      <c r="F521" s="37"/>
      <c r="G521" s="24"/>
      <c r="H521" s="31">
        <f>_xlfn.XLOOKUP(AP[[#This Row],[Supplier name]], Supplier_master[Supplier name], Supplier_master[Category L1], 0)</f>
        <v>0</v>
      </c>
      <c r="I521" s="64">
        <f>_xlfn.XLOOKUP(AP[[#This Row],[Supplier name]], Supplier_master[Supplier name], Supplier_master[Category L2], 0)</f>
        <v>0</v>
      </c>
      <c r="J521" s="55"/>
      <c r="K521" s="54"/>
      <c r="L521" s="57">
        <f>IF(AP[[#This Row],[Spend category L1 - Override]] &lt;&gt; "", AP[[#This Row],[Spend category L1 - Override]], AP[[#This Row],[Spend category L1]])</f>
        <v>0</v>
      </c>
      <c r="M521" s="57">
        <f>IF(AP[[#This Row],[Spend category L2 - Override]] &lt;&gt; "", AP[[#This Row],[Spend category L2 - Override]], AP[[#This Row],[Spend category L2]])</f>
        <v>0</v>
      </c>
      <c r="N521" s="51">
        <f>Assumptions!$D$15</f>
        <v>0.1</v>
      </c>
      <c r="O521" s="45">
        <f>IF(AP[[#This Row],[GST applies?]] = "Yes", (AP[[#This Row],[Invoice value inc. GST]] / 1 + AP[[#This Row],[GST %]]) * AP[[#This Row],[GST %]], 0)</f>
        <v>0</v>
      </c>
      <c r="P521" s="31">
        <f>_xlfn.XLOOKUP(AP[[#This Row],[Supplier name]], Supplier_master[Supplier name], Supplier_master[EOM or Net], 0)</f>
        <v>0</v>
      </c>
      <c r="Q521" s="31">
        <f>_xlfn.XLOOKUP(AP[[#This Row],[Supplier name]], Supplier_master[Supplier name], Supplier_master[Terms days], 0)</f>
        <v>0</v>
      </c>
      <c r="R5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1" s="4"/>
      <c r="T521" s="46">
        <f>IF(AP[[#This Row],[Payment date - override (dd/mm/yyyy)]] &lt;&gt; "", AP[[#This Row],[Payment date - override (dd/mm/yyyy)]], AP[[#This Row],[Due date (dd/mm/yyyy)]])</f>
        <v>0</v>
      </c>
      <c r="U521" s="46">
        <f t="shared" ref="U521:U584" si="8">IF(GST_Freq="Monthly",
    DATE(YEAR(E521), MONTH(E521) + 1, 21),
    IF(GST_Freq="Quarterly",
        IF(MOD(MONTH(E521) + 2 - MOD(MOD(MONTH(E521) - GST_First_Month, 12), 3), 12) = 0,
            DATE(YEAR(E521), MONTH(E521) + 4 - MOD(MOD(MONTH(E521) - GST_First_Month, 12), 3), 28),
            DATE(YEAR(E521), MONTH(E521) + 3 - MOD(MOD(MONTH(E521) - GST_First_Month, 12), 3), 28)
        ),
        "Invalid frequency"
    )
)</f>
        <v>52</v>
      </c>
    </row>
    <row r="522" spans="3:21" x14ac:dyDescent="0.25">
      <c r="C522" s="28"/>
      <c r="D522" s="20"/>
      <c r="E522" s="4"/>
      <c r="F522" s="37"/>
      <c r="G522" s="24"/>
      <c r="H522" s="31">
        <f>_xlfn.XLOOKUP(AP[[#This Row],[Supplier name]], Supplier_master[Supplier name], Supplier_master[Category L1], 0)</f>
        <v>0</v>
      </c>
      <c r="I522" s="64">
        <f>_xlfn.XLOOKUP(AP[[#This Row],[Supplier name]], Supplier_master[Supplier name], Supplier_master[Category L2], 0)</f>
        <v>0</v>
      </c>
      <c r="J522" s="55"/>
      <c r="K522" s="54"/>
      <c r="L522" s="57">
        <f>IF(AP[[#This Row],[Spend category L1 - Override]] &lt;&gt; "", AP[[#This Row],[Spend category L1 - Override]], AP[[#This Row],[Spend category L1]])</f>
        <v>0</v>
      </c>
      <c r="M522" s="57">
        <f>IF(AP[[#This Row],[Spend category L2 - Override]] &lt;&gt; "", AP[[#This Row],[Spend category L2 - Override]], AP[[#This Row],[Spend category L2]])</f>
        <v>0</v>
      </c>
      <c r="N522" s="51">
        <f>Assumptions!$D$15</f>
        <v>0.1</v>
      </c>
      <c r="O522" s="45">
        <f>IF(AP[[#This Row],[GST applies?]] = "Yes", (AP[[#This Row],[Invoice value inc. GST]] / 1 + AP[[#This Row],[GST %]]) * AP[[#This Row],[GST %]], 0)</f>
        <v>0</v>
      </c>
      <c r="P522" s="31">
        <f>_xlfn.XLOOKUP(AP[[#This Row],[Supplier name]], Supplier_master[Supplier name], Supplier_master[EOM or Net], 0)</f>
        <v>0</v>
      </c>
      <c r="Q522" s="31">
        <f>_xlfn.XLOOKUP(AP[[#This Row],[Supplier name]], Supplier_master[Supplier name], Supplier_master[Terms days], 0)</f>
        <v>0</v>
      </c>
      <c r="R5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2" s="4"/>
      <c r="T522" s="46">
        <f>IF(AP[[#This Row],[Payment date - override (dd/mm/yyyy)]] &lt;&gt; "", AP[[#This Row],[Payment date - override (dd/mm/yyyy)]], AP[[#This Row],[Due date (dd/mm/yyyy)]])</f>
        <v>0</v>
      </c>
      <c r="U522" s="46">
        <f t="shared" si="8"/>
        <v>52</v>
      </c>
    </row>
    <row r="523" spans="3:21" x14ac:dyDescent="0.25">
      <c r="C523" s="28"/>
      <c r="D523" s="20"/>
      <c r="E523" s="4"/>
      <c r="F523" s="37"/>
      <c r="G523" s="24"/>
      <c r="H523" s="31">
        <f>_xlfn.XLOOKUP(AP[[#This Row],[Supplier name]], Supplier_master[Supplier name], Supplier_master[Category L1], 0)</f>
        <v>0</v>
      </c>
      <c r="I523" s="64">
        <f>_xlfn.XLOOKUP(AP[[#This Row],[Supplier name]], Supplier_master[Supplier name], Supplier_master[Category L2], 0)</f>
        <v>0</v>
      </c>
      <c r="J523" s="55"/>
      <c r="K523" s="54"/>
      <c r="L523" s="57">
        <f>IF(AP[[#This Row],[Spend category L1 - Override]] &lt;&gt; "", AP[[#This Row],[Spend category L1 - Override]], AP[[#This Row],[Spend category L1]])</f>
        <v>0</v>
      </c>
      <c r="M523" s="57">
        <f>IF(AP[[#This Row],[Spend category L2 - Override]] &lt;&gt; "", AP[[#This Row],[Spend category L2 - Override]], AP[[#This Row],[Spend category L2]])</f>
        <v>0</v>
      </c>
      <c r="N523" s="51">
        <f>Assumptions!$D$15</f>
        <v>0.1</v>
      </c>
      <c r="O523" s="45">
        <f>IF(AP[[#This Row],[GST applies?]] = "Yes", (AP[[#This Row],[Invoice value inc. GST]] / 1 + AP[[#This Row],[GST %]]) * AP[[#This Row],[GST %]], 0)</f>
        <v>0</v>
      </c>
      <c r="P523" s="31">
        <f>_xlfn.XLOOKUP(AP[[#This Row],[Supplier name]], Supplier_master[Supplier name], Supplier_master[EOM or Net], 0)</f>
        <v>0</v>
      </c>
      <c r="Q523" s="31">
        <f>_xlfn.XLOOKUP(AP[[#This Row],[Supplier name]], Supplier_master[Supplier name], Supplier_master[Terms days], 0)</f>
        <v>0</v>
      </c>
      <c r="R5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3" s="4"/>
      <c r="T523" s="46">
        <f>IF(AP[[#This Row],[Payment date - override (dd/mm/yyyy)]] &lt;&gt; "", AP[[#This Row],[Payment date - override (dd/mm/yyyy)]], AP[[#This Row],[Due date (dd/mm/yyyy)]])</f>
        <v>0</v>
      </c>
      <c r="U523" s="46">
        <f t="shared" si="8"/>
        <v>52</v>
      </c>
    </row>
    <row r="524" spans="3:21" x14ac:dyDescent="0.25">
      <c r="C524" s="28"/>
      <c r="D524" s="20"/>
      <c r="E524" s="4"/>
      <c r="F524" s="37"/>
      <c r="G524" s="24"/>
      <c r="H524" s="31">
        <f>_xlfn.XLOOKUP(AP[[#This Row],[Supplier name]], Supplier_master[Supplier name], Supplier_master[Category L1], 0)</f>
        <v>0</v>
      </c>
      <c r="I524" s="64">
        <f>_xlfn.XLOOKUP(AP[[#This Row],[Supplier name]], Supplier_master[Supplier name], Supplier_master[Category L2], 0)</f>
        <v>0</v>
      </c>
      <c r="J524" s="55"/>
      <c r="K524" s="54"/>
      <c r="L524" s="57">
        <f>IF(AP[[#This Row],[Spend category L1 - Override]] &lt;&gt; "", AP[[#This Row],[Spend category L1 - Override]], AP[[#This Row],[Spend category L1]])</f>
        <v>0</v>
      </c>
      <c r="M524" s="57">
        <f>IF(AP[[#This Row],[Spend category L2 - Override]] &lt;&gt; "", AP[[#This Row],[Spend category L2 - Override]], AP[[#This Row],[Spend category L2]])</f>
        <v>0</v>
      </c>
      <c r="N524" s="51">
        <f>Assumptions!$D$15</f>
        <v>0.1</v>
      </c>
      <c r="O524" s="45">
        <f>IF(AP[[#This Row],[GST applies?]] = "Yes", (AP[[#This Row],[Invoice value inc. GST]] / 1 + AP[[#This Row],[GST %]]) * AP[[#This Row],[GST %]], 0)</f>
        <v>0</v>
      </c>
      <c r="P524" s="31">
        <f>_xlfn.XLOOKUP(AP[[#This Row],[Supplier name]], Supplier_master[Supplier name], Supplier_master[EOM or Net], 0)</f>
        <v>0</v>
      </c>
      <c r="Q524" s="31">
        <f>_xlfn.XLOOKUP(AP[[#This Row],[Supplier name]], Supplier_master[Supplier name], Supplier_master[Terms days], 0)</f>
        <v>0</v>
      </c>
      <c r="R5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4" s="4"/>
      <c r="T524" s="46">
        <f>IF(AP[[#This Row],[Payment date - override (dd/mm/yyyy)]] &lt;&gt; "", AP[[#This Row],[Payment date - override (dd/mm/yyyy)]], AP[[#This Row],[Due date (dd/mm/yyyy)]])</f>
        <v>0</v>
      </c>
      <c r="U524" s="46">
        <f t="shared" si="8"/>
        <v>52</v>
      </c>
    </row>
    <row r="525" spans="3:21" x14ac:dyDescent="0.25">
      <c r="C525" s="28"/>
      <c r="D525" s="20"/>
      <c r="E525" s="4"/>
      <c r="F525" s="37"/>
      <c r="G525" s="24"/>
      <c r="H525" s="31">
        <f>_xlfn.XLOOKUP(AP[[#This Row],[Supplier name]], Supplier_master[Supplier name], Supplier_master[Category L1], 0)</f>
        <v>0</v>
      </c>
      <c r="I525" s="64">
        <f>_xlfn.XLOOKUP(AP[[#This Row],[Supplier name]], Supplier_master[Supplier name], Supplier_master[Category L2], 0)</f>
        <v>0</v>
      </c>
      <c r="J525" s="55"/>
      <c r="K525" s="54"/>
      <c r="L525" s="57">
        <f>IF(AP[[#This Row],[Spend category L1 - Override]] &lt;&gt; "", AP[[#This Row],[Spend category L1 - Override]], AP[[#This Row],[Spend category L1]])</f>
        <v>0</v>
      </c>
      <c r="M525" s="57">
        <f>IF(AP[[#This Row],[Spend category L2 - Override]] &lt;&gt; "", AP[[#This Row],[Spend category L2 - Override]], AP[[#This Row],[Spend category L2]])</f>
        <v>0</v>
      </c>
      <c r="N525" s="51">
        <f>Assumptions!$D$15</f>
        <v>0.1</v>
      </c>
      <c r="O525" s="45">
        <f>IF(AP[[#This Row],[GST applies?]] = "Yes", (AP[[#This Row],[Invoice value inc. GST]] / 1 + AP[[#This Row],[GST %]]) * AP[[#This Row],[GST %]], 0)</f>
        <v>0</v>
      </c>
      <c r="P525" s="31">
        <f>_xlfn.XLOOKUP(AP[[#This Row],[Supplier name]], Supplier_master[Supplier name], Supplier_master[EOM or Net], 0)</f>
        <v>0</v>
      </c>
      <c r="Q525" s="31">
        <f>_xlfn.XLOOKUP(AP[[#This Row],[Supplier name]], Supplier_master[Supplier name], Supplier_master[Terms days], 0)</f>
        <v>0</v>
      </c>
      <c r="R5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5" s="4"/>
      <c r="T525" s="46">
        <f>IF(AP[[#This Row],[Payment date - override (dd/mm/yyyy)]] &lt;&gt; "", AP[[#This Row],[Payment date - override (dd/mm/yyyy)]], AP[[#This Row],[Due date (dd/mm/yyyy)]])</f>
        <v>0</v>
      </c>
      <c r="U525" s="46">
        <f t="shared" si="8"/>
        <v>52</v>
      </c>
    </row>
    <row r="526" spans="3:21" x14ac:dyDescent="0.25">
      <c r="C526" s="28"/>
      <c r="D526" s="20"/>
      <c r="E526" s="4"/>
      <c r="F526" s="37"/>
      <c r="G526" s="24"/>
      <c r="H526" s="31">
        <f>_xlfn.XLOOKUP(AP[[#This Row],[Supplier name]], Supplier_master[Supplier name], Supplier_master[Category L1], 0)</f>
        <v>0</v>
      </c>
      <c r="I526" s="64">
        <f>_xlfn.XLOOKUP(AP[[#This Row],[Supplier name]], Supplier_master[Supplier name], Supplier_master[Category L2], 0)</f>
        <v>0</v>
      </c>
      <c r="J526" s="55"/>
      <c r="K526" s="54"/>
      <c r="L526" s="57">
        <f>IF(AP[[#This Row],[Spend category L1 - Override]] &lt;&gt; "", AP[[#This Row],[Spend category L1 - Override]], AP[[#This Row],[Spend category L1]])</f>
        <v>0</v>
      </c>
      <c r="M526" s="57">
        <f>IF(AP[[#This Row],[Spend category L2 - Override]] &lt;&gt; "", AP[[#This Row],[Spend category L2 - Override]], AP[[#This Row],[Spend category L2]])</f>
        <v>0</v>
      </c>
      <c r="N526" s="51">
        <f>Assumptions!$D$15</f>
        <v>0.1</v>
      </c>
      <c r="O526" s="45">
        <f>IF(AP[[#This Row],[GST applies?]] = "Yes", (AP[[#This Row],[Invoice value inc. GST]] / 1 + AP[[#This Row],[GST %]]) * AP[[#This Row],[GST %]], 0)</f>
        <v>0</v>
      </c>
      <c r="P526" s="31">
        <f>_xlfn.XLOOKUP(AP[[#This Row],[Supplier name]], Supplier_master[Supplier name], Supplier_master[EOM or Net], 0)</f>
        <v>0</v>
      </c>
      <c r="Q526" s="31">
        <f>_xlfn.XLOOKUP(AP[[#This Row],[Supplier name]], Supplier_master[Supplier name], Supplier_master[Terms days], 0)</f>
        <v>0</v>
      </c>
      <c r="R5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6" s="4"/>
      <c r="T526" s="46">
        <f>IF(AP[[#This Row],[Payment date - override (dd/mm/yyyy)]] &lt;&gt; "", AP[[#This Row],[Payment date - override (dd/mm/yyyy)]], AP[[#This Row],[Due date (dd/mm/yyyy)]])</f>
        <v>0</v>
      </c>
      <c r="U526" s="46">
        <f t="shared" si="8"/>
        <v>52</v>
      </c>
    </row>
    <row r="527" spans="3:21" x14ac:dyDescent="0.25">
      <c r="C527" s="28"/>
      <c r="D527" s="20"/>
      <c r="E527" s="4"/>
      <c r="F527" s="37"/>
      <c r="G527" s="24"/>
      <c r="H527" s="31">
        <f>_xlfn.XLOOKUP(AP[[#This Row],[Supplier name]], Supplier_master[Supplier name], Supplier_master[Category L1], 0)</f>
        <v>0</v>
      </c>
      <c r="I527" s="64">
        <f>_xlfn.XLOOKUP(AP[[#This Row],[Supplier name]], Supplier_master[Supplier name], Supplier_master[Category L2], 0)</f>
        <v>0</v>
      </c>
      <c r="J527" s="55"/>
      <c r="K527" s="54"/>
      <c r="L527" s="57">
        <f>IF(AP[[#This Row],[Spend category L1 - Override]] &lt;&gt; "", AP[[#This Row],[Spend category L1 - Override]], AP[[#This Row],[Spend category L1]])</f>
        <v>0</v>
      </c>
      <c r="M527" s="57">
        <f>IF(AP[[#This Row],[Spend category L2 - Override]] &lt;&gt; "", AP[[#This Row],[Spend category L2 - Override]], AP[[#This Row],[Spend category L2]])</f>
        <v>0</v>
      </c>
      <c r="N527" s="51">
        <f>Assumptions!$D$15</f>
        <v>0.1</v>
      </c>
      <c r="O527" s="45">
        <f>IF(AP[[#This Row],[GST applies?]] = "Yes", (AP[[#This Row],[Invoice value inc. GST]] / 1 + AP[[#This Row],[GST %]]) * AP[[#This Row],[GST %]], 0)</f>
        <v>0</v>
      </c>
      <c r="P527" s="31">
        <f>_xlfn.XLOOKUP(AP[[#This Row],[Supplier name]], Supplier_master[Supplier name], Supplier_master[EOM or Net], 0)</f>
        <v>0</v>
      </c>
      <c r="Q527" s="31">
        <f>_xlfn.XLOOKUP(AP[[#This Row],[Supplier name]], Supplier_master[Supplier name], Supplier_master[Terms days], 0)</f>
        <v>0</v>
      </c>
      <c r="R5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7" s="4"/>
      <c r="T527" s="46">
        <f>IF(AP[[#This Row],[Payment date - override (dd/mm/yyyy)]] &lt;&gt; "", AP[[#This Row],[Payment date - override (dd/mm/yyyy)]], AP[[#This Row],[Due date (dd/mm/yyyy)]])</f>
        <v>0</v>
      </c>
      <c r="U527" s="46">
        <f t="shared" si="8"/>
        <v>52</v>
      </c>
    </row>
    <row r="528" spans="3:21" x14ac:dyDescent="0.25">
      <c r="C528" s="28"/>
      <c r="D528" s="20"/>
      <c r="E528" s="4"/>
      <c r="F528" s="37"/>
      <c r="G528" s="24"/>
      <c r="H528" s="31">
        <f>_xlfn.XLOOKUP(AP[[#This Row],[Supplier name]], Supplier_master[Supplier name], Supplier_master[Category L1], 0)</f>
        <v>0</v>
      </c>
      <c r="I528" s="64">
        <f>_xlfn.XLOOKUP(AP[[#This Row],[Supplier name]], Supplier_master[Supplier name], Supplier_master[Category L2], 0)</f>
        <v>0</v>
      </c>
      <c r="J528" s="55"/>
      <c r="K528" s="54"/>
      <c r="L528" s="57">
        <f>IF(AP[[#This Row],[Spend category L1 - Override]] &lt;&gt; "", AP[[#This Row],[Spend category L1 - Override]], AP[[#This Row],[Spend category L1]])</f>
        <v>0</v>
      </c>
      <c r="M528" s="57">
        <f>IF(AP[[#This Row],[Spend category L2 - Override]] &lt;&gt; "", AP[[#This Row],[Spend category L2 - Override]], AP[[#This Row],[Spend category L2]])</f>
        <v>0</v>
      </c>
      <c r="N528" s="51">
        <f>Assumptions!$D$15</f>
        <v>0.1</v>
      </c>
      <c r="O528" s="45">
        <f>IF(AP[[#This Row],[GST applies?]] = "Yes", (AP[[#This Row],[Invoice value inc. GST]] / 1 + AP[[#This Row],[GST %]]) * AP[[#This Row],[GST %]], 0)</f>
        <v>0</v>
      </c>
      <c r="P528" s="31">
        <f>_xlfn.XLOOKUP(AP[[#This Row],[Supplier name]], Supplier_master[Supplier name], Supplier_master[EOM or Net], 0)</f>
        <v>0</v>
      </c>
      <c r="Q528" s="31">
        <f>_xlfn.XLOOKUP(AP[[#This Row],[Supplier name]], Supplier_master[Supplier name], Supplier_master[Terms days], 0)</f>
        <v>0</v>
      </c>
      <c r="R5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8" s="4"/>
      <c r="T528" s="46">
        <f>IF(AP[[#This Row],[Payment date - override (dd/mm/yyyy)]] &lt;&gt; "", AP[[#This Row],[Payment date - override (dd/mm/yyyy)]], AP[[#This Row],[Due date (dd/mm/yyyy)]])</f>
        <v>0</v>
      </c>
      <c r="U528" s="46">
        <f t="shared" si="8"/>
        <v>52</v>
      </c>
    </row>
    <row r="529" spans="3:21" x14ac:dyDescent="0.25">
      <c r="C529" s="28"/>
      <c r="D529" s="20"/>
      <c r="E529" s="4"/>
      <c r="F529" s="37"/>
      <c r="G529" s="24"/>
      <c r="H529" s="31">
        <f>_xlfn.XLOOKUP(AP[[#This Row],[Supplier name]], Supplier_master[Supplier name], Supplier_master[Category L1], 0)</f>
        <v>0</v>
      </c>
      <c r="I529" s="64">
        <f>_xlfn.XLOOKUP(AP[[#This Row],[Supplier name]], Supplier_master[Supplier name], Supplier_master[Category L2], 0)</f>
        <v>0</v>
      </c>
      <c r="J529" s="55"/>
      <c r="K529" s="54"/>
      <c r="L529" s="57">
        <f>IF(AP[[#This Row],[Spend category L1 - Override]] &lt;&gt; "", AP[[#This Row],[Spend category L1 - Override]], AP[[#This Row],[Spend category L1]])</f>
        <v>0</v>
      </c>
      <c r="M529" s="57">
        <f>IF(AP[[#This Row],[Spend category L2 - Override]] &lt;&gt; "", AP[[#This Row],[Spend category L2 - Override]], AP[[#This Row],[Spend category L2]])</f>
        <v>0</v>
      </c>
      <c r="N529" s="51">
        <f>Assumptions!$D$15</f>
        <v>0.1</v>
      </c>
      <c r="O529" s="45">
        <f>IF(AP[[#This Row],[GST applies?]] = "Yes", (AP[[#This Row],[Invoice value inc. GST]] / 1 + AP[[#This Row],[GST %]]) * AP[[#This Row],[GST %]], 0)</f>
        <v>0</v>
      </c>
      <c r="P529" s="31">
        <f>_xlfn.XLOOKUP(AP[[#This Row],[Supplier name]], Supplier_master[Supplier name], Supplier_master[EOM or Net], 0)</f>
        <v>0</v>
      </c>
      <c r="Q529" s="31">
        <f>_xlfn.XLOOKUP(AP[[#This Row],[Supplier name]], Supplier_master[Supplier name], Supplier_master[Terms days], 0)</f>
        <v>0</v>
      </c>
      <c r="R5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9" s="4"/>
      <c r="T529" s="46">
        <f>IF(AP[[#This Row],[Payment date - override (dd/mm/yyyy)]] &lt;&gt; "", AP[[#This Row],[Payment date - override (dd/mm/yyyy)]], AP[[#This Row],[Due date (dd/mm/yyyy)]])</f>
        <v>0</v>
      </c>
      <c r="U529" s="46">
        <f t="shared" si="8"/>
        <v>52</v>
      </c>
    </row>
    <row r="530" spans="3:21" x14ac:dyDescent="0.25">
      <c r="C530" s="28"/>
      <c r="D530" s="20"/>
      <c r="E530" s="4"/>
      <c r="F530" s="37"/>
      <c r="G530" s="24"/>
      <c r="H530" s="31">
        <f>_xlfn.XLOOKUP(AP[[#This Row],[Supplier name]], Supplier_master[Supplier name], Supplier_master[Category L1], 0)</f>
        <v>0</v>
      </c>
      <c r="I530" s="64">
        <f>_xlfn.XLOOKUP(AP[[#This Row],[Supplier name]], Supplier_master[Supplier name], Supplier_master[Category L2], 0)</f>
        <v>0</v>
      </c>
      <c r="J530" s="55"/>
      <c r="K530" s="54"/>
      <c r="L530" s="57">
        <f>IF(AP[[#This Row],[Spend category L1 - Override]] &lt;&gt; "", AP[[#This Row],[Spend category L1 - Override]], AP[[#This Row],[Spend category L1]])</f>
        <v>0</v>
      </c>
      <c r="M530" s="57">
        <f>IF(AP[[#This Row],[Spend category L2 - Override]] &lt;&gt; "", AP[[#This Row],[Spend category L2 - Override]], AP[[#This Row],[Spend category L2]])</f>
        <v>0</v>
      </c>
      <c r="N530" s="51">
        <f>Assumptions!$D$15</f>
        <v>0.1</v>
      </c>
      <c r="O530" s="45">
        <f>IF(AP[[#This Row],[GST applies?]] = "Yes", (AP[[#This Row],[Invoice value inc. GST]] / 1 + AP[[#This Row],[GST %]]) * AP[[#This Row],[GST %]], 0)</f>
        <v>0</v>
      </c>
      <c r="P530" s="31">
        <f>_xlfn.XLOOKUP(AP[[#This Row],[Supplier name]], Supplier_master[Supplier name], Supplier_master[EOM or Net], 0)</f>
        <v>0</v>
      </c>
      <c r="Q530" s="31">
        <f>_xlfn.XLOOKUP(AP[[#This Row],[Supplier name]], Supplier_master[Supplier name], Supplier_master[Terms days], 0)</f>
        <v>0</v>
      </c>
      <c r="R5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0" s="4"/>
      <c r="T530" s="46">
        <f>IF(AP[[#This Row],[Payment date - override (dd/mm/yyyy)]] &lt;&gt; "", AP[[#This Row],[Payment date - override (dd/mm/yyyy)]], AP[[#This Row],[Due date (dd/mm/yyyy)]])</f>
        <v>0</v>
      </c>
      <c r="U530" s="46">
        <f t="shared" si="8"/>
        <v>52</v>
      </c>
    </row>
    <row r="531" spans="3:21" x14ac:dyDescent="0.25">
      <c r="C531" s="28"/>
      <c r="D531" s="20"/>
      <c r="E531" s="4"/>
      <c r="F531" s="37"/>
      <c r="G531" s="24"/>
      <c r="H531" s="31">
        <f>_xlfn.XLOOKUP(AP[[#This Row],[Supplier name]], Supplier_master[Supplier name], Supplier_master[Category L1], 0)</f>
        <v>0</v>
      </c>
      <c r="I531" s="64">
        <f>_xlfn.XLOOKUP(AP[[#This Row],[Supplier name]], Supplier_master[Supplier name], Supplier_master[Category L2], 0)</f>
        <v>0</v>
      </c>
      <c r="J531" s="55"/>
      <c r="K531" s="54"/>
      <c r="L531" s="57">
        <f>IF(AP[[#This Row],[Spend category L1 - Override]] &lt;&gt; "", AP[[#This Row],[Spend category L1 - Override]], AP[[#This Row],[Spend category L1]])</f>
        <v>0</v>
      </c>
      <c r="M531" s="57">
        <f>IF(AP[[#This Row],[Spend category L2 - Override]] &lt;&gt; "", AP[[#This Row],[Spend category L2 - Override]], AP[[#This Row],[Spend category L2]])</f>
        <v>0</v>
      </c>
      <c r="N531" s="51">
        <f>Assumptions!$D$15</f>
        <v>0.1</v>
      </c>
      <c r="O531" s="45">
        <f>IF(AP[[#This Row],[GST applies?]] = "Yes", (AP[[#This Row],[Invoice value inc. GST]] / 1 + AP[[#This Row],[GST %]]) * AP[[#This Row],[GST %]], 0)</f>
        <v>0</v>
      </c>
      <c r="P531" s="31">
        <f>_xlfn.XLOOKUP(AP[[#This Row],[Supplier name]], Supplier_master[Supplier name], Supplier_master[EOM or Net], 0)</f>
        <v>0</v>
      </c>
      <c r="Q531" s="31">
        <f>_xlfn.XLOOKUP(AP[[#This Row],[Supplier name]], Supplier_master[Supplier name], Supplier_master[Terms days], 0)</f>
        <v>0</v>
      </c>
      <c r="R5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1" s="4"/>
      <c r="T531" s="46">
        <f>IF(AP[[#This Row],[Payment date - override (dd/mm/yyyy)]] &lt;&gt; "", AP[[#This Row],[Payment date - override (dd/mm/yyyy)]], AP[[#This Row],[Due date (dd/mm/yyyy)]])</f>
        <v>0</v>
      </c>
      <c r="U531" s="46">
        <f t="shared" si="8"/>
        <v>52</v>
      </c>
    </row>
    <row r="532" spans="3:21" x14ac:dyDescent="0.25">
      <c r="C532" s="28"/>
      <c r="D532" s="20"/>
      <c r="E532" s="4"/>
      <c r="F532" s="37"/>
      <c r="G532" s="24"/>
      <c r="H532" s="31">
        <f>_xlfn.XLOOKUP(AP[[#This Row],[Supplier name]], Supplier_master[Supplier name], Supplier_master[Category L1], 0)</f>
        <v>0</v>
      </c>
      <c r="I532" s="64">
        <f>_xlfn.XLOOKUP(AP[[#This Row],[Supplier name]], Supplier_master[Supplier name], Supplier_master[Category L2], 0)</f>
        <v>0</v>
      </c>
      <c r="J532" s="55"/>
      <c r="K532" s="54"/>
      <c r="L532" s="57">
        <f>IF(AP[[#This Row],[Spend category L1 - Override]] &lt;&gt; "", AP[[#This Row],[Spend category L1 - Override]], AP[[#This Row],[Spend category L1]])</f>
        <v>0</v>
      </c>
      <c r="M532" s="57">
        <f>IF(AP[[#This Row],[Spend category L2 - Override]] &lt;&gt; "", AP[[#This Row],[Spend category L2 - Override]], AP[[#This Row],[Spend category L2]])</f>
        <v>0</v>
      </c>
      <c r="N532" s="51">
        <f>Assumptions!$D$15</f>
        <v>0.1</v>
      </c>
      <c r="O532" s="45">
        <f>IF(AP[[#This Row],[GST applies?]] = "Yes", (AP[[#This Row],[Invoice value inc. GST]] / 1 + AP[[#This Row],[GST %]]) * AP[[#This Row],[GST %]], 0)</f>
        <v>0</v>
      </c>
      <c r="P532" s="31">
        <f>_xlfn.XLOOKUP(AP[[#This Row],[Supplier name]], Supplier_master[Supplier name], Supplier_master[EOM or Net], 0)</f>
        <v>0</v>
      </c>
      <c r="Q532" s="31">
        <f>_xlfn.XLOOKUP(AP[[#This Row],[Supplier name]], Supplier_master[Supplier name], Supplier_master[Terms days], 0)</f>
        <v>0</v>
      </c>
      <c r="R5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2" s="4"/>
      <c r="T532" s="46">
        <f>IF(AP[[#This Row],[Payment date - override (dd/mm/yyyy)]] &lt;&gt; "", AP[[#This Row],[Payment date - override (dd/mm/yyyy)]], AP[[#This Row],[Due date (dd/mm/yyyy)]])</f>
        <v>0</v>
      </c>
      <c r="U532" s="46">
        <f t="shared" si="8"/>
        <v>52</v>
      </c>
    </row>
    <row r="533" spans="3:21" x14ac:dyDescent="0.25">
      <c r="C533" s="28"/>
      <c r="D533" s="20"/>
      <c r="E533" s="4"/>
      <c r="F533" s="37"/>
      <c r="G533" s="24"/>
      <c r="H533" s="31">
        <f>_xlfn.XLOOKUP(AP[[#This Row],[Supplier name]], Supplier_master[Supplier name], Supplier_master[Category L1], 0)</f>
        <v>0</v>
      </c>
      <c r="I533" s="64">
        <f>_xlfn.XLOOKUP(AP[[#This Row],[Supplier name]], Supplier_master[Supplier name], Supplier_master[Category L2], 0)</f>
        <v>0</v>
      </c>
      <c r="J533" s="55"/>
      <c r="K533" s="54"/>
      <c r="L533" s="57">
        <f>IF(AP[[#This Row],[Spend category L1 - Override]] &lt;&gt; "", AP[[#This Row],[Spend category L1 - Override]], AP[[#This Row],[Spend category L1]])</f>
        <v>0</v>
      </c>
      <c r="M533" s="57">
        <f>IF(AP[[#This Row],[Spend category L2 - Override]] &lt;&gt; "", AP[[#This Row],[Spend category L2 - Override]], AP[[#This Row],[Spend category L2]])</f>
        <v>0</v>
      </c>
      <c r="N533" s="51">
        <f>Assumptions!$D$15</f>
        <v>0.1</v>
      </c>
      <c r="O533" s="45">
        <f>IF(AP[[#This Row],[GST applies?]] = "Yes", (AP[[#This Row],[Invoice value inc. GST]] / 1 + AP[[#This Row],[GST %]]) * AP[[#This Row],[GST %]], 0)</f>
        <v>0</v>
      </c>
      <c r="P533" s="31">
        <f>_xlfn.XLOOKUP(AP[[#This Row],[Supplier name]], Supplier_master[Supplier name], Supplier_master[EOM or Net], 0)</f>
        <v>0</v>
      </c>
      <c r="Q533" s="31">
        <f>_xlfn.XLOOKUP(AP[[#This Row],[Supplier name]], Supplier_master[Supplier name], Supplier_master[Terms days], 0)</f>
        <v>0</v>
      </c>
      <c r="R5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3" s="4"/>
      <c r="T533" s="46">
        <f>IF(AP[[#This Row],[Payment date - override (dd/mm/yyyy)]] &lt;&gt; "", AP[[#This Row],[Payment date - override (dd/mm/yyyy)]], AP[[#This Row],[Due date (dd/mm/yyyy)]])</f>
        <v>0</v>
      </c>
      <c r="U533" s="46">
        <f t="shared" si="8"/>
        <v>52</v>
      </c>
    </row>
    <row r="534" spans="3:21" x14ac:dyDescent="0.25">
      <c r="C534" s="28"/>
      <c r="D534" s="20"/>
      <c r="E534" s="4"/>
      <c r="F534" s="37"/>
      <c r="G534" s="24"/>
      <c r="H534" s="31">
        <f>_xlfn.XLOOKUP(AP[[#This Row],[Supplier name]], Supplier_master[Supplier name], Supplier_master[Category L1], 0)</f>
        <v>0</v>
      </c>
      <c r="I534" s="64">
        <f>_xlfn.XLOOKUP(AP[[#This Row],[Supplier name]], Supplier_master[Supplier name], Supplier_master[Category L2], 0)</f>
        <v>0</v>
      </c>
      <c r="J534" s="55"/>
      <c r="K534" s="54"/>
      <c r="L534" s="57">
        <f>IF(AP[[#This Row],[Spend category L1 - Override]] &lt;&gt; "", AP[[#This Row],[Spend category L1 - Override]], AP[[#This Row],[Spend category L1]])</f>
        <v>0</v>
      </c>
      <c r="M534" s="57">
        <f>IF(AP[[#This Row],[Spend category L2 - Override]] &lt;&gt; "", AP[[#This Row],[Spend category L2 - Override]], AP[[#This Row],[Spend category L2]])</f>
        <v>0</v>
      </c>
      <c r="N534" s="51">
        <f>Assumptions!$D$15</f>
        <v>0.1</v>
      </c>
      <c r="O534" s="45">
        <f>IF(AP[[#This Row],[GST applies?]] = "Yes", (AP[[#This Row],[Invoice value inc. GST]] / 1 + AP[[#This Row],[GST %]]) * AP[[#This Row],[GST %]], 0)</f>
        <v>0</v>
      </c>
      <c r="P534" s="31">
        <f>_xlfn.XLOOKUP(AP[[#This Row],[Supplier name]], Supplier_master[Supplier name], Supplier_master[EOM or Net], 0)</f>
        <v>0</v>
      </c>
      <c r="Q534" s="31">
        <f>_xlfn.XLOOKUP(AP[[#This Row],[Supplier name]], Supplier_master[Supplier name], Supplier_master[Terms days], 0)</f>
        <v>0</v>
      </c>
      <c r="R5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4" s="4"/>
      <c r="T534" s="46">
        <f>IF(AP[[#This Row],[Payment date - override (dd/mm/yyyy)]] &lt;&gt; "", AP[[#This Row],[Payment date - override (dd/mm/yyyy)]], AP[[#This Row],[Due date (dd/mm/yyyy)]])</f>
        <v>0</v>
      </c>
      <c r="U534" s="46">
        <f t="shared" si="8"/>
        <v>52</v>
      </c>
    </row>
    <row r="535" spans="3:21" x14ac:dyDescent="0.25">
      <c r="C535" s="28"/>
      <c r="D535" s="20"/>
      <c r="E535" s="4"/>
      <c r="F535" s="37"/>
      <c r="G535" s="24"/>
      <c r="H535" s="31">
        <f>_xlfn.XLOOKUP(AP[[#This Row],[Supplier name]], Supplier_master[Supplier name], Supplier_master[Category L1], 0)</f>
        <v>0</v>
      </c>
      <c r="I535" s="64">
        <f>_xlfn.XLOOKUP(AP[[#This Row],[Supplier name]], Supplier_master[Supplier name], Supplier_master[Category L2], 0)</f>
        <v>0</v>
      </c>
      <c r="J535" s="55"/>
      <c r="K535" s="54"/>
      <c r="L535" s="57">
        <f>IF(AP[[#This Row],[Spend category L1 - Override]] &lt;&gt; "", AP[[#This Row],[Spend category L1 - Override]], AP[[#This Row],[Spend category L1]])</f>
        <v>0</v>
      </c>
      <c r="M535" s="57">
        <f>IF(AP[[#This Row],[Spend category L2 - Override]] &lt;&gt; "", AP[[#This Row],[Spend category L2 - Override]], AP[[#This Row],[Spend category L2]])</f>
        <v>0</v>
      </c>
      <c r="N535" s="51">
        <f>Assumptions!$D$15</f>
        <v>0.1</v>
      </c>
      <c r="O535" s="45">
        <f>IF(AP[[#This Row],[GST applies?]] = "Yes", (AP[[#This Row],[Invoice value inc. GST]] / 1 + AP[[#This Row],[GST %]]) * AP[[#This Row],[GST %]], 0)</f>
        <v>0</v>
      </c>
      <c r="P535" s="31">
        <f>_xlfn.XLOOKUP(AP[[#This Row],[Supplier name]], Supplier_master[Supplier name], Supplier_master[EOM or Net], 0)</f>
        <v>0</v>
      </c>
      <c r="Q535" s="31">
        <f>_xlfn.XLOOKUP(AP[[#This Row],[Supplier name]], Supplier_master[Supplier name], Supplier_master[Terms days], 0)</f>
        <v>0</v>
      </c>
      <c r="R5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5" s="4"/>
      <c r="T535" s="46">
        <f>IF(AP[[#This Row],[Payment date - override (dd/mm/yyyy)]] &lt;&gt; "", AP[[#This Row],[Payment date - override (dd/mm/yyyy)]], AP[[#This Row],[Due date (dd/mm/yyyy)]])</f>
        <v>0</v>
      </c>
      <c r="U535" s="46">
        <f t="shared" si="8"/>
        <v>52</v>
      </c>
    </row>
    <row r="536" spans="3:21" x14ac:dyDescent="0.25">
      <c r="C536" s="28"/>
      <c r="D536" s="20"/>
      <c r="E536" s="4"/>
      <c r="F536" s="37"/>
      <c r="G536" s="24"/>
      <c r="H536" s="31">
        <f>_xlfn.XLOOKUP(AP[[#This Row],[Supplier name]], Supplier_master[Supplier name], Supplier_master[Category L1], 0)</f>
        <v>0</v>
      </c>
      <c r="I536" s="64">
        <f>_xlfn.XLOOKUP(AP[[#This Row],[Supplier name]], Supplier_master[Supplier name], Supplier_master[Category L2], 0)</f>
        <v>0</v>
      </c>
      <c r="J536" s="55"/>
      <c r="K536" s="54"/>
      <c r="L536" s="57">
        <f>IF(AP[[#This Row],[Spend category L1 - Override]] &lt;&gt; "", AP[[#This Row],[Spend category L1 - Override]], AP[[#This Row],[Spend category L1]])</f>
        <v>0</v>
      </c>
      <c r="M536" s="57">
        <f>IF(AP[[#This Row],[Spend category L2 - Override]] &lt;&gt; "", AP[[#This Row],[Spend category L2 - Override]], AP[[#This Row],[Spend category L2]])</f>
        <v>0</v>
      </c>
      <c r="N536" s="51">
        <f>Assumptions!$D$15</f>
        <v>0.1</v>
      </c>
      <c r="O536" s="45">
        <f>IF(AP[[#This Row],[GST applies?]] = "Yes", (AP[[#This Row],[Invoice value inc. GST]] / 1 + AP[[#This Row],[GST %]]) * AP[[#This Row],[GST %]], 0)</f>
        <v>0</v>
      </c>
      <c r="P536" s="31">
        <f>_xlfn.XLOOKUP(AP[[#This Row],[Supplier name]], Supplier_master[Supplier name], Supplier_master[EOM or Net], 0)</f>
        <v>0</v>
      </c>
      <c r="Q536" s="31">
        <f>_xlfn.XLOOKUP(AP[[#This Row],[Supplier name]], Supplier_master[Supplier name], Supplier_master[Terms days], 0)</f>
        <v>0</v>
      </c>
      <c r="R5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6" s="4"/>
      <c r="T536" s="46">
        <f>IF(AP[[#This Row],[Payment date - override (dd/mm/yyyy)]] &lt;&gt; "", AP[[#This Row],[Payment date - override (dd/mm/yyyy)]], AP[[#This Row],[Due date (dd/mm/yyyy)]])</f>
        <v>0</v>
      </c>
      <c r="U536" s="46">
        <f t="shared" si="8"/>
        <v>52</v>
      </c>
    </row>
    <row r="537" spans="3:21" x14ac:dyDescent="0.25">
      <c r="C537" s="28"/>
      <c r="D537" s="20"/>
      <c r="E537" s="4"/>
      <c r="F537" s="37"/>
      <c r="G537" s="24"/>
      <c r="H537" s="31">
        <f>_xlfn.XLOOKUP(AP[[#This Row],[Supplier name]], Supplier_master[Supplier name], Supplier_master[Category L1], 0)</f>
        <v>0</v>
      </c>
      <c r="I537" s="64">
        <f>_xlfn.XLOOKUP(AP[[#This Row],[Supplier name]], Supplier_master[Supplier name], Supplier_master[Category L2], 0)</f>
        <v>0</v>
      </c>
      <c r="J537" s="55"/>
      <c r="K537" s="54"/>
      <c r="L537" s="57">
        <f>IF(AP[[#This Row],[Spend category L1 - Override]] &lt;&gt; "", AP[[#This Row],[Spend category L1 - Override]], AP[[#This Row],[Spend category L1]])</f>
        <v>0</v>
      </c>
      <c r="M537" s="57">
        <f>IF(AP[[#This Row],[Spend category L2 - Override]] &lt;&gt; "", AP[[#This Row],[Spend category L2 - Override]], AP[[#This Row],[Spend category L2]])</f>
        <v>0</v>
      </c>
      <c r="N537" s="51">
        <f>Assumptions!$D$15</f>
        <v>0.1</v>
      </c>
      <c r="O537" s="45">
        <f>IF(AP[[#This Row],[GST applies?]] = "Yes", (AP[[#This Row],[Invoice value inc. GST]] / 1 + AP[[#This Row],[GST %]]) * AP[[#This Row],[GST %]], 0)</f>
        <v>0</v>
      </c>
      <c r="P537" s="31">
        <f>_xlfn.XLOOKUP(AP[[#This Row],[Supplier name]], Supplier_master[Supplier name], Supplier_master[EOM or Net], 0)</f>
        <v>0</v>
      </c>
      <c r="Q537" s="31">
        <f>_xlfn.XLOOKUP(AP[[#This Row],[Supplier name]], Supplier_master[Supplier name], Supplier_master[Terms days], 0)</f>
        <v>0</v>
      </c>
      <c r="R5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7" s="4"/>
      <c r="T537" s="46">
        <f>IF(AP[[#This Row],[Payment date - override (dd/mm/yyyy)]] &lt;&gt; "", AP[[#This Row],[Payment date - override (dd/mm/yyyy)]], AP[[#This Row],[Due date (dd/mm/yyyy)]])</f>
        <v>0</v>
      </c>
      <c r="U537" s="46">
        <f t="shared" si="8"/>
        <v>52</v>
      </c>
    </row>
    <row r="538" spans="3:21" x14ac:dyDescent="0.25">
      <c r="C538" s="28"/>
      <c r="D538" s="20"/>
      <c r="E538" s="4"/>
      <c r="F538" s="37"/>
      <c r="G538" s="24"/>
      <c r="H538" s="31">
        <f>_xlfn.XLOOKUP(AP[[#This Row],[Supplier name]], Supplier_master[Supplier name], Supplier_master[Category L1], 0)</f>
        <v>0</v>
      </c>
      <c r="I538" s="64">
        <f>_xlfn.XLOOKUP(AP[[#This Row],[Supplier name]], Supplier_master[Supplier name], Supplier_master[Category L2], 0)</f>
        <v>0</v>
      </c>
      <c r="J538" s="55"/>
      <c r="K538" s="54"/>
      <c r="L538" s="57">
        <f>IF(AP[[#This Row],[Spend category L1 - Override]] &lt;&gt; "", AP[[#This Row],[Spend category L1 - Override]], AP[[#This Row],[Spend category L1]])</f>
        <v>0</v>
      </c>
      <c r="M538" s="57">
        <f>IF(AP[[#This Row],[Spend category L2 - Override]] &lt;&gt; "", AP[[#This Row],[Spend category L2 - Override]], AP[[#This Row],[Spend category L2]])</f>
        <v>0</v>
      </c>
      <c r="N538" s="51">
        <f>Assumptions!$D$15</f>
        <v>0.1</v>
      </c>
      <c r="O538" s="45">
        <f>IF(AP[[#This Row],[GST applies?]] = "Yes", (AP[[#This Row],[Invoice value inc. GST]] / 1 + AP[[#This Row],[GST %]]) * AP[[#This Row],[GST %]], 0)</f>
        <v>0</v>
      </c>
      <c r="P538" s="31">
        <f>_xlfn.XLOOKUP(AP[[#This Row],[Supplier name]], Supplier_master[Supplier name], Supplier_master[EOM or Net], 0)</f>
        <v>0</v>
      </c>
      <c r="Q538" s="31">
        <f>_xlfn.XLOOKUP(AP[[#This Row],[Supplier name]], Supplier_master[Supplier name], Supplier_master[Terms days], 0)</f>
        <v>0</v>
      </c>
      <c r="R5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8" s="4"/>
      <c r="T538" s="46">
        <f>IF(AP[[#This Row],[Payment date - override (dd/mm/yyyy)]] &lt;&gt; "", AP[[#This Row],[Payment date - override (dd/mm/yyyy)]], AP[[#This Row],[Due date (dd/mm/yyyy)]])</f>
        <v>0</v>
      </c>
      <c r="U538" s="46">
        <f t="shared" si="8"/>
        <v>52</v>
      </c>
    </row>
    <row r="539" spans="3:21" x14ac:dyDescent="0.25">
      <c r="C539" s="28"/>
      <c r="D539" s="20"/>
      <c r="E539" s="4"/>
      <c r="F539" s="37"/>
      <c r="G539" s="24"/>
      <c r="H539" s="31">
        <f>_xlfn.XLOOKUP(AP[[#This Row],[Supplier name]], Supplier_master[Supplier name], Supplier_master[Category L1], 0)</f>
        <v>0</v>
      </c>
      <c r="I539" s="64">
        <f>_xlfn.XLOOKUP(AP[[#This Row],[Supplier name]], Supplier_master[Supplier name], Supplier_master[Category L2], 0)</f>
        <v>0</v>
      </c>
      <c r="J539" s="55"/>
      <c r="K539" s="54"/>
      <c r="L539" s="57">
        <f>IF(AP[[#This Row],[Spend category L1 - Override]] &lt;&gt; "", AP[[#This Row],[Spend category L1 - Override]], AP[[#This Row],[Spend category L1]])</f>
        <v>0</v>
      </c>
      <c r="M539" s="57">
        <f>IF(AP[[#This Row],[Spend category L2 - Override]] &lt;&gt; "", AP[[#This Row],[Spend category L2 - Override]], AP[[#This Row],[Spend category L2]])</f>
        <v>0</v>
      </c>
      <c r="N539" s="51">
        <f>Assumptions!$D$15</f>
        <v>0.1</v>
      </c>
      <c r="O539" s="45">
        <f>IF(AP[[#This Row],[GST applies?]] = "Yes", (AP[[#This Row],[Invoice value inc. GST]] / 1 + AP[[#This Row],[GST %]]) * AP[[#This Row],[GST %]], 0)</f>
        <v>0</v>
      </c>
      <c r="P539" s="31">
        <f>_xlfn.XLOOKUP(AP[[#This Row],[Supplier name]], Supplier_master[Supplier name], Supplier_master[EOM or Net], 0)</f>
        <v>0</v>
      </c>
      <c r="Q539" s="31">
        <f>_xlfn.XLOOKUP(AP[[#This Row],[Supplier name]], Supplier_master[Supplier name], Supplier_master[Terms days], 0)</f>
        <v>0</v>
      </c>
      <c r="R5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9" s="4"/>
      <c r="T539" s="46">
        <f>IF(AP[[#This Row],[Payment date - override (dd/mm/yyyy)]] &lt;&gt; "", AP[[#This Row],[Payment date - override (dd/mm/yyyy)]], AP[[#This Row],[Due date (dd/mm/yyyy)]])</f>
        <v>0</v>
      </c>
      <c r="U539" s="46">
        <f t="shared" si="8"/>
        <v>52</v>
      </c>
    </row>
    <row r="540" spans="3:21" x14ac:dyDescent="0.25">
      <c r="C540" s="28"/>
      <c r="D540" s="20"/>
      <c r="E540" s="4"/>
      <c r="F540" s="37"/>
      <c r="G540" s="24"/>
      <c r="H540" s="31">
        <f>_xlfn.XLOOKUP(AP[[#This Row],[Supplier name]], Supplier_master[Supplier name], Supplier_master[Category L1], 0)</f>
        <v>0</v>
      </c>
      <c r="I540" s="64">
        <f>_xlfn.XLOOKUP(AP[[#This Row],[Supplier name]], Supplier_master[Supplier name], Supplier_master[Category L2], 0)</f>
        <v>0</v>
      </c>
      <c r="J540" s="55"/>
      <c r="K540" s="54"/>
      <c r="L540" s="57">
        <f>IF(AP[[#This Row],[Spend category L1 - Override]] &lt;&gt; "", AP[[#This Row],[Spend category L1 - Override]], AP[[#This Row],[Spend category L1]])</f>
        <v>0</v>
      </c>
      <c r="M540" s="57">
        <f>IF(AP[[#This Row],[Spend category L2 - Override]] &lt;&gt; "", AP[[#This Row],[Spend category L2 - Override]], AP[[#This Row],[Spend category L2]])</f>
        <v>0</v>
      </c>
      <c r="N540" s="51">
        <f>Assumptions!$D$15</f>
        <v>0.1</v>
      </c>
      <c r="O540" s="45">
        <f>IF(AP[[#This Row],[GST applies?]] = "Yes", (AP[[#This Row],[Invoice value inc. GST]] / 1 + AP[[#This Row],[GST %]]) * AP[[#This Row],[GST %]], 0)</f>
        <v>0</v>
      </c>
      <c r="P540" s="31">
        <f>_xlfn.XLOOKUP(AP[[#This Row],[Supplier name]], Supplier_master[Supplier name], Supplier_master[EOM or Net], 0)</f>
        <v>0</v>
      </c>
      <c r="Q540" s="31">
        <f>_xlfn.XLOOKUP(AP[[#This Row],[Supplier name]], Supplier_master[Supplier name], Supplier_master[Terms days], 0)</f>
        <v>0</v>
      </c>
      <c r="R5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0" s="4"/>
      <c r="T540" s="46">
        <f>IF(AP[[#This Row],[Payment date - override (dd/mm/yyyy)]] &lt;&gt; "", AP[[#This Row],[Payment date - override (dd/mm/yyyy)]], AP[[#This Row],[Due date (dd/mm/yyyy)]])</f>
        <v>0</v>
      </c>
      <c r="U540" s="46">
        <f t="shared" si="8"/>
        <v>52</v>
      </c>
    </row>
    <row r="541" spans="3:21" x14ac:dyDescent="0.25">
      <c r="C541" s="28"/>
      <c r="D541" s="20"/>
      <c r="E541" s="4"/>
      <c r="F541" s="37"/>
      <c r="G541" s="24"/>
      <c r="H541" s="31">
        <f>_xlfn.XLOOKUP(AP[[#This Row],[Supplier name]], Supplier_master[Supplier name], Supplier_master[Category L1], 0)</f>
        <v>0</v>
      </c>
      <c r="I541" s="64">
        <f>_xlfn.XLOOKUP(AP[[#This Row],[Supplier name]], Supplier_master[Supplier name], Supplier_master[Category L2], 0)</f>
        <v>0</v>
      </c>
      <c r="J541" s="55"/>
      <c r="K541" s="54"/>
      <c r="L541" s="57">
        <f>IF(AP[[#This Row],[Spend category L1 - Override]] &lt;&gt; "", AP[[#This Row],[Spend category L1 - Override]], AP[[#This Row],[Spend category L1]])</f>
        <v>0</v>
      </c>
      <c r="M541" s="57">
        <f>IF(AP[[#This Row],[Spend category L2 - Override]] &lt;&gt; "", AP[[#This Row],[Spend category L2 - Override]], AP[[#This Row],[Spend category L2]])</f>
        <v>0</v>
      </c>
      <c r="N541" s="51">
        <f>Assumptions!$D$15</f>
        <v>0.1</v>
      </c>
      <c r="O541" s="45">
        <f>IF(AP[[#This Row],[GST applies?]] = "Yes", (AP[[#This Row],[Invoice value inc. GST]] / 1 + AP[[#This Row],[GST %]]) * AP[[#This Row],[GST %]], 0)</f>
        <v>0</v>
      </c>
      <c r="P541" s="31">
        <f>_xlfn.XLOOKUP(AP[[#This Row],[Supplier name]], Supplier_master[Supplier name], Supplier_master[EOM or Net], 0)</f>
        <v>0</v>
      </c>
      <c r="Q541" s="31">
        <f>_xlfn.XLOOKUP(AP[[#This Row],[Supplier name]], Supplier_master[Supplier name], Supplier_master[Terms days], 0)</f>
        <v>0</v>
      </c>
      <c r="R5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1" s="4"/>
      <c r="T541" s="46">
        <f>IF(AP[[#This Row],[Payment date - override (dd/mm/yyyy)]] &lt;&gt; "", AP[[#This Row],[Payment date - override (dd/mm/yyyy)]], AP[[#This Row],[Due date (dd/mm/yyyy)]])</f>
        <v>0</v>
      </c>
      <c r="U541" s="46">
        <f t="shared" si="8"/>
        <v>52</v>
      </c>
    </row>
    <row r="542" spans="3:21" x14ac:dyDescent="0.25">
      <c r="C542" s="28"/>
      <c r="D542" s="20"/>
      <c r="E542" s="4"/>
      <c r="F542" s="37"/>
      <c r="G542" s="24"/>
      <c r="H542" s="31">
        <f>_xlfn.XLOOKUP(AP[[#This Row],[Supplier name]], Supplier_master[Supplier name], Supplier_master[Category L1], 0)</f>
        <v>0</v>
      </c>
      <c r="I542" s="64">
        <f>_xlfn.XLOOKUP(AP[[#This Row],[Supplier name]], Supplier_master[Supplier name], Supplier_master[Category L2], 0)</f>
        <v>0</v>
      </c>
      <c r="J542" s="55"/>
      <c r="K542" s="54"/>
      <c r="L542" s="57">
        <f>IF(AP[[#This Row],[Spend category L1 - Override]] &lt;&gt; "", AP[[#This Row],[Spend category L1 - Override]], AP[[#This Row],[Spend category L1]])</f>
        <v>0</v>
      </c>
      <c r="M542" s="57">
        <f>IF(AP[[#This Row],[Spend category L2 - Override]] &lt;&gt; "", AP[[#This Row],[Spend category L2 - Override]], AP[[#This Row],[Spend category L2]])</f>
        <v>0</v>
      </c>
      <c r="N542" s="51">
        <f>Assumptions!$D$15</f>
        <v>0.1</v>
      </c>
      <c r="O542" s="45">
        <f>IF(AP[[#This Row],[GST applies?]] = "Yes", (AP[[#This Row],[Invoice value inc. GST]] / 1 + AP[[#This Row],[GST %]]) * AP[[#This Row],[GST %]], 0)</f>
        <v>0</v>
      </c>
      <c r="P542" s="31">
        <f>_xlfn.XLOOKUP(AP[[#This Row],[Supplier name]], Supplier_master[Supplier name], Supplier_master[EOM or Net], 0)</f>
        <v>0</v>
      </c>
      <c r="Q542" s="31">
        <f>_xlfn.XLOOKUP(AP[[#This Row],[Supplier name]], Supplier_master[Supplier name], Supplier_master[Terms days], 0)</f>
        <v>0</v>
      </c>
      <c r="R5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2" s="4"/>
      <c r="T542" s="46">
        <f>IF(AP[[#This Row],[Payment date - override (dd/mm/yyyy)]] &lt;&gt; "", AP[[#This Row],[Payment date - override (dd/mm/yyyy)]], AP[[#This Row],[Due date (dd/mm/yyyy)]])</f>
        <v>0</v>
      </c>
      <c r="U542" s="46">
        <f t="shared" si="8"/>
        <v>52</v>
      </c>
    </row>
    <row r="543" spans="3:21" x14ac:dyDescent="0.25">
      <c r="C543" s="28"/>
      <c r="D543" s="20"/>
      <c r="E543" s="4"/>
      <c r="F543" s="37"/>
      <c r="G543" s="24"/>
      <c r="H543" s="31">
        <f>_xlfn.XLOOKUP(AP[[#This Row],[Supplier name]], Supplier_master[Supplier name], Supplier_master[Category L1], 0)</f>
        <v>0</v>
      </c>
      <c r="I543" s="64">
        <f>_xlfn.XLOOKUP(AP[[#This Row],[Supplier name]], Supplier_master[Supplier name], Supplier_master[Category L2], 0)</f>
        <v>0</v>
      </c>
      <c r="J543" s="55"/>
      <c r="K543" s="54"/>
      <c r="L543" s="57">
        <f>IF(AP[[#This Row],[Spend category L1 - Override]] &lt;&gt; "", AP[[#This Row],[Spend category L1 - Override]], AP[[#This Row],[Spend category L1]])</f>
        <v>0</v>
      </c>
      <c r="M543" s="57">
        <f>IF(AP[[#This Row],[Spend category L2 - Override]] &lt;&gt; "", AP[[#This Row],[Spend category L2 - Override]], AP[[#This Row],[Spend category L2]])</f>
        <v>0</v>
      </c>
      <c r="N543" s="51">
        <f>Assumptions!$D$15</f>
        <v>0.1</v>
      </c>
      <c r="O543" s="45">
        <f>IF(AP[[#This Row],[GST applies?]] = "Yes", (AP[[#This Row],[Invoice value inc. GST]] / 1 + AP[[#This Row],[GST %]]) * AP[[#This Row],[GST %]], 0)</f>
        <v>0</v>
      </c>
      <c r="P543" s="31">
        <f>_xlfn.XLOOKUP(AP[[#This Row],[Supplier name]], Supplier_master[Supplier name], Supplier_master[EOM or Net], 0)</f>
        <v>0</v>
      </c>
      <c r="Q543" s="31">
        <f>_xlfn.XLOOKUP(AP[[#This Row],[Supplier name]], Supplier_master[Supplier name], Supplier_master[Terms days], 0)</f>
        <v>0</v>
      </c>
      <c r="R5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3" s="4"/>
      <c r="T543" s="46">
        <f>IF(AP[[#This Row],[Payment date - override (dd/mm/yyyy)]] &lt;&gt; "", AP[[#This Row],[Payment date - override (dd/mm/yyyy)]], AP[[#This Row],[Due date (dd/mm/yyyy)]])</f>
        <v>0</v>
      </c>
      <c r="U543" s="46">
        <f t="shared" si="8"/>
        <v>52</v>
      </c>
    </row>
    <row r="544" spans="3:21" x14ac:dyDescent="0.25">
      <c r="C544" s="28"/>
      <c r="D544" s="20"/>
      <c r="E544" s="4"/>
      <c r="F544" s="37"/>
      <c r="G544" s="24"/>
      <c r="H544" s="31">
        <f>_xlfn.XLOOKUP(AP[[#This Row],[Supplier name]], Supplier_master[Supplier name], Supplier_master[Category L1], 0)</f>
        <v>0</v>
      </c>
      <c r="I544" s="64">
        <f>_xlfn.XLOOKUP(AP[[#This Row],[Supplier name]], Supplier_master[Supplier name], Supplier_master[Category L2], 0)</f>
        <v>0</v>
      </c>
      <c r="J544" s="55"/>
      <c r="K544" s="54"/>
      <c r="L544" s="57">
        <f>IF(AP[[#This Row],[Spend category L1 - Override]] &lt;&gt; "", AP[[#This Row],[Spend category L1 - Override]], AP[[#This Row],[Spend category L1]])</f>
        <v>0</v>
      </c>
      <c r="M544" s="57">
        <f>IF(AP[[#This Row],[Spend category L2 - Override]] &lt;&gt; "", AP[[#This Row],[Spend category L2 - Override]], AP[[#This Row],[Spend category L2]])</f>
        <v>0</v>
      </c>
      <c r="N544" s="51">
        <f>Assumptions!$D$15</f>
        <v>0.1</v>
      </c>
      <c r="O544" s="45">
        <f>IF(AP[[#This Row],[GST applies?]] = "Yes", (AP[[#This Row],[Invoice value inc. GST]] / 1 + AP[[#This Row],[GST %]]) * AP[[#This Row],[GST %]], 0)</f>
        <v>0</v>
      </c>
      <c r="P544" s="31">
        <f>_xlfn.XLOOKUP(AP[[#This Row],[Supplier name]], Supplier_master[Supplier name], Supplier_master[EOM or Net], 0)</f>
        <v>0</v>
      </c>
      <c r="Q544" s="31">
        <f>_xlfn.XLOOKUP(AP[[#This Row],[Supplier name]], Supplier_master[Supplier name], Supplier_master[Terms days], 0)</f>
        <v>0</v>
      </c>
      <c r="R5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4" s="4"/>
      <c r="T544" s="46">
        <f>IF(AP[[#This Row],[Payment date - override (dd/mm/yyyy)]] &lt;&gt; "", AP[[#This Row],[Payment date - override (dd/mm/yyyy)]], AP[[#This Row],[Due date (dd/mm/yyyy)]])</f>
        <v>0</v>
      </c>
      <c r="U544" s="46">
        <f t="shared" si="8"/>
        <v>52</v>
      </c>
    </row>
    <row r="545" spans="3:21" x14ac:dyDescent="0.25">
      <c r="C545" s="28"/>
      <c r="D545" s="20"/>
      <c r="E545" s="4"/>
      <c r="F545" s="37"/>
      <c r="G545" s="24"/>
      <c r="H545" s="31">
        <f>_xlfn.XLOOKUP(AP[[#This Row],[Supplier name]], Supplier_master[Supplier name], Supplier_master[Category L1], 0)</f>
        <v>0</v>
      </c>
      <c r="I545" s="64">
        <f>_xlfn.XLOOKUP(AP[[#This Row],[Supplier name]], Supplier_master[Supplier name], Supplier_master[Category L2], 0)</f>
        <v>0</v>
      </c>
      <c r="J545" s="55"/>
      <c r="K545" s="54"/>
      <c r="L545" s="57">
        <f>IF(AP[[#This Row],[Spend category L1 - Override]] &lt;&gt; "", AP[[#This Row],[Spend category L1 - Override]], AP[[#This Row],[Spend category L1]])</f>
        <v>0</v>
      </c>
      <c r="M545" s="57">
        <f>IF(AP[[#This Row],[Spend category L2 - Override]] &lt;&gt; "", AP[[#This Row],[Spend category L2 - Override]], AP[[#This Row],[Spend category L2]])</f>
        <v>0</v>
      </c>
      <c r="N545" s="51">
        <f>Assumptions!$D$15</f>
        <v>0.1</v>
      </c>
      <c r="O545" s="45">
        <f>IF(AP[[#This Row],[GST applies?]] = "Yes", (AP[[#This Row],[Invoice value inc. GST]] / 1 + AP[[#This Row],[GST %]]) * AP[[#This Row],[GST %]], 0)</f>
        <v>0</v>
      </c>
      <c r="P545" s="31">
        <f>_xlfn.XLOOKUP(AP[[#This Row],[Supplier name]], Supplier_master[Supplier name], Supplier_master[EOM or Net], 0)</f>
        <v>0</v>
      </c>
      <c r="Q545" s="31">
        <f>_xlfn.XLOOKUP(AP[[#This Row],[Supplier name]], Supplier_master[Supplier name], Supplier_master[Terms days], 0)</f>
        <v>0</v>
      </c>
      <c r="R5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5" s="4"/>
      <c r="T545" s="46">
        <f>IF(AP[[#This Row],[Payment date - override (dd/mm/yyyy)]] &lt;&gt; "", AP[[#This Row],[Payment date - override (dd/mm/yyyy)]], AP[[#This Row],[Due date (dd/mm/yyyy)]])</f>
        <v>0</v>
      </c>
      <c r="U545" s="46">
        <f t="shared" si="8"/>
        <v>52</v>
      </c>
    </row>
    <row r="546" spans="3:21" x14ac:dyDescent="0.25">
      <c r="C546" s="28"/>
      <c r="D546" s="20"/>
      <c r="E546" s="4"/>
      <c r="F546" s="37"/>
      <c r="G546" s="24"/>
      <c r="H546" s="31">
        <f>_xlfn.XLOOKUP(AP[[#This Row],[Supplier name]], Supplier_master[Supplier name], Supplier_master[Category L1], 0)</f>
        <v>0</v>
      </c>
      <c r="I546" s="64">
        <f>_xlfn.XLOOKUP(AP[[#This Row],[Supplier name]], Supplier_master[Supplier name], Supplier_master[Category L2], 0)</f>
        <v>0</v>
      </c>
      <c r="J546" s="55"/>
      <c r="K546" s="54"/>
      <c r="L546" s="57">
        <f>IF(AP[[#This Row],[Spend category L1 - Override]] &lt;&gt; "", AP[[#This Row],[Spend category L1 - Override]], AP[[#This Row],[Spend category L1]])</f>
        <v>0</v>
      </c>
      <c r="M546" s="57">
        <f>IF(AP[[#This Row],[Spend category L2 - Override]] &lt;&gt; "", AP[[#This Row],[Spend category L2 - Override]], AP[[#This Row],[Spend category L2]])</f>
        <v>0</v>
      </c>
      <c r="N546" s="51">
        <f>Assumptions!$D$15</f>
        <v>0.1</v>
      </c>
      <c r="O546" s="45">
        <f>IF(AP[[#This Row],[GST applies?]] = "Yes", (AP[[#This Row],[Invoice value inc. GST]] / 1 + AP[[#This Row],[GST %]]) * AP[[#This Row],[GST %]], 0)</f>
        <v>0</v>
      </c>
      <c r="P546" s="31">
        <f>_xlfn.XLOOKUP(AP[[#This Row],[Supplier name]], Supplier_master[Supplier name], Supplier_master[EOM or Net], 0)</f>
        <v>0</v>
      </c>
      <c r="Q546" s="31">
        <f>_xlfn.XLOOKUP(AP[[#This Row],[Supplier name]], Supplier_master[Supplier name], Supplier_master[Terms days], 0)</f>
        <v>0</v>
      </c>
      <c r="R5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6" s="4"/>
      <c r="T546" s="46">
        <f>IF(AP[[#This Row],[Payment date - override (dd/mm/yyyy)]] &lt;&gt; "", AP[[#This Row],[Payment date - override (dd/mm/yyyy)]], AP[[#This Row],[Due date (dd/mm/yyyy)]])</f>
        <v>0</v>
      </c>
      <c r="U546" s="46">
        <f t="shared" si="8"/>
        <v>52</v>
      </c>
    </row>
    <row r="547" spans="3:21" x14ac:dyDescent="0.25">
      <c r="C547" s="28"/>
      <c r="D547" s="20"/>
      <c r="E547" s="4"/>
      <c r="F547" s="37"/>
      <c r="G547" s="24"/>
      <c r="H547" s="31">
        <f>_xlfn.XLOOKUP(AP[[#This Row],[Supplier name]], Supplier_master[Supplier name], Supplier_master[Category L1], 0)</f>
        <v>0</v>
      </c>
      <c r="I547" s="64">
        <f>_xlfn.XLOOKUP(AP[[#This Row],[Supplier name]], Supplier_master[Supplier name], Supplier_master[Category L2], 0)</f>
        <v>0</v>
      </c>
      <c r="J547" s="55"/>
      <c r="K547" s="54"/>
      <c r="L547" s="57">
        <f>IF(AP[[#This Row],[Spend category L1 - Override]] &lt;&gt; "", AP[[#This Row],[Spend category L1 - Override]], AP[[#This Row],[Spend category L1]])</f>
        <v>0</v>
      </c>
      <c r="M547" s="57">
        <f>IF(AP[[#This Row],[Spend category L2 - Override]] &lt;&gt; "", AP[[#This Row],[Spend category L2 - Override]], AP[[#This Row],[Spend category L2]])</f>
        <v>0</v>
      </c>
      <c r="N547" s="51">
        <f>Assumptions!$D$15</f>
        <v>0.1</v>
      </c>
      <c r="O547" s="45">
        <f>IF(AP[[#This Row],[GST applies?]] = "Yes", (AP[[#This Row],[Invoice value inc. GST]] / 1 + AP[[#This Row],[GST %]]) * AP[[#This Row],[GST %]], 0)</f>
        <v>0</v>
      </c>
      <c r="P547" s="31">
        <f>_xlfn.XLOOKUP(AP[[#This Row],[Supplier name]], Supplier_master[Supplier name], Supplier_master[EOM or Net], 0)</f>
        <v>0</v>
      </c>
      <c r="Q547" s="31">
        <f>_xlfn.XLOOKUP(AP[[#This Row],[Supplier name]], Supplier_master[Supplier name], Supplier_master[Terms days], 0)</f>
        <v>0</v>
      </c>
      <c r="R5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7" s="4"/>
      <c r="T547" s="46">
        <f>IF(AP[[#This Row],[Payment date - override (dd/mm/yyyy)]] &lt;&gt; "", AP[[#This Row],[Payment date - override (dd/mm/yyyy)]], AP[[#This Row],[Due date (dd/mm/yyyy)]])</f>
        <v>0</v>
      </c>
      <c r="U547" s="46">
        <f t="shared" si="8"/>
        <v>52</v>
      </c>
    </row>
    <row r="548" spans="3:21" x14ac:dyDescent="0.25">
      <c r="C548" s="28"/>
      <c r="D548" s="20"/>
      <c r="E548" s="4"/>
      <c r="F548" s="37"/>
      <c r="G548" s="24"/>
      <c r="H548" s="31">
        <f>_xlfn.XLOOKUP(AP[[#This Row],[Supplier name]], Supplier_master[Supplier name], Supplier_master[Category L1], 0)</f>
        <v>0</v>
      </c>
      <c r="I548" s="64">
        <f>_xlfn.XLOOKUP(AP[[#This Row],[Supplier name]], Supplier_master[Supplier name], Supplier_master[Category L2], 0)</f>
        <v>0</v>
      </c>
      <c r="J548" s="55"/>
      <c r="K548" s="54"/>
      <c r="L548" s="57">
        <f>IF(AP[[#This Row],[Spend category L1 - Override]] &lt;&gt; "", AP[[#This Row],[Spend category L1 - Override]], AP[[#This Row],[Spend category L1]])</f>
        <v>0</v>
      </c>
      <c r="M548" s="57">
        <f>IF(AP[[#This Row],[Spend category L2 - Override]] &lt;&gt; "", AP[[#This Row],[Spend category L2 - Override]], AP[[#This Row],[Spend category L2]])</f>
        <v>0</v>
      </c>
      <c r="N548" s="51">
        <f>Assumptions!$D$15</f>
        <v>0.1</v>
      </c>
      <c r="O548" s="45">
        <f>IF(AP[[#This Row],[GST applies?]] = "Yes", (AP[[#This Row],[Invoice value inc. GST]] / 1 + AP[[#This Row],[GST %]]) * AP[[#This Row],[GST %]], 0)</f>
        <v>0</v>
      </c>
      <c r="P548" s="31">
        <f>_xlfn.XLOOKUP(AP[[#This Row],[Supplier name]], Supplier_master[Supplier name], Supplier_master[EOM or Net], 0)</f>
        <v>0</v>
      </c>
      <c r="Q548" s="31">
        <f>_xlfn.XLOOKUP(AP[[#This Row],[Supplier name]], Supplier_master[Supplier name], Supplier_master[Terms days], 0)</f>
        <v>0</v>
      </c>
      <c r="R5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8" s="4"/>
      <c r="T548" s="46">
        <f>IF(AP[[#This Row],[Payment date - override (dd/mm/yyyy)]] &lt;&gt; "", AP[[#This Row],[Payment date - override (dd/mm/yyyy)]], AP[[#This Row],[Due date (dd/mm/yyyy)]])</f>
        <v>0</v>
      </c>
      <c r="U548" s="46">
        <f t="shared" si="8"/>
        <v>52</v>
      </c>
    </row>
    <row r="549" spans="3:21" x14ac:dyDescent="0.25">
      <c r="C549" s="28"/>
      <c r="D549" s="20"/>
      <c r="E549" s="4"/>
      <c r="F549" s="37"/>
      <c r="G549" s="24"/>
      <c r="H549" s="31">
        <f>_xlfn.XLOOKUP(AP[[#This Row],[Supplier name]], Supplier_master[Supplier name], Supplier_master[Category L1], 0)</f>
        <v>0</v>
      </c>
      <c r="I549" s="64">
        <f>_xlfn.XLOOKUP(AP[[#This Row],[Supplier name]], Supplier_master[Supplier name], Supplier_master[Category L2], 0)</f>
        <v>0</v>
      </c>
      <c r="J549" s="55"/>
      <c r="K549" s="54"/>
      <c r="L549" s="57">
        <f>IF(AP[[#This Row],[Spend category L1 - Override]] &lt;&gt; "", AP[[#This Row],[Spend category L1 - Override]], AP[[#This Row],[Spend category L1]])</f>
        <v>0</v>
      </c>
      <c r="M549" s="57">
        <f>IF(AP[[#This Row],[Spend category L2 - Override]] &lt;&gt; "", AP[[#This Row],[Spend category L2 - Override]], AP[[#This Row],[Spend category L2]])</f>
        <v>0</v>
      </c>
      <c r="N549" s="51">
        <f>Assumptions!$D$15</f>
        <v>0.1</v>
      </c>
      <c r="O549" s="45">
        <f>IF(AP[[#This Row],[GST applies?]] = "Yes", (AP[[#This Row],[Invoice value inc. GST]] / 1 + AP[[#This Row],[GST %]]) * AP[[#This Row],[GST %]], 0)</f>
        <v>0</v>
      </c>
      <c r="P549" s="31">
        <f>_xlfn.XLOOKUP(AP[[#This Row],[Supplier name]], Supplier_master[Supplier name], Supplier_master[EOM or Net], 0)</f>
        <v>0</v>
      </c>
      <c r="Q549" s="31">
        <f>_xlfn.XLOOKUP(AP[[#This Row],[Supplier name]], Supplier_master[Supplier name], Supplier_master[Terms days], 0)</f>
        <v>0</v>
      </c>
      <c r="R5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9" s="4"/>
      <c r="T549" s="46">
        <f>IF(AP[[#This Row],[Payment date - override (dd/mm/yyyy)]] &lt;&gt; "", AP[[#This Row],[Payment date - override (dd/mm/yyyy)]], AP[[#This Row],[Due date (dd/mm/yyyy)]])</f>
        <v>0</v>
      </c>
      <c r="U549" s="46">
        <f t="shared" si="8"/>
        <v>52</v>
      </c>
    </row>
    <row r="550" spans="3:21" x14ac:dyDescent="0.25">
      <c r="C550" s="28"/>
      <c r="D550" s="20"/>
      <c r="E550" s="4"/>
      <c r="F550" s="37"/>
      <c r="G550" s="24"/>
      <c r="H550" s="31">
        <f>_xlfn.XLOOKUP(AP[[#This Row],[Supplier name]], Supplier_master[Supplier name], Supplier_master[Category L1], 0)</f>
        <v>0</v>
      </c>
      <c r="I550" s="64">
        <f>_xlfn.XLOOKUP(AP[[#This Row],[Supplier name]], Supplier_master[Supplier name], Supplier_master[Category L2], 0)</f>
        <v>0</v>
      </c>
      <c r="J550" s="55"/>
      <c r="K550" s="54"/>
      <c r="L550" s="57">
        <f>IF(AP[[#This Row],[Spend category L1 - Override]] &lt;&gt; "", AP[[#This Row],[Spend category L1 - Override]], AP[[#This Row],[Spend category L1]])</f>
        <v>0</v>
      </c>
      <c r="M550" s="57">
        <f>IF(AP[[#This Row],[Spend category L2 - Override]] &lt;&gt; "", AP[[#This Row],[Spend category L2 - Override]], AP[[#This Row],[Spend category L2]])</f>
        <v>0</v>
      </c>
      <c r="N550" s="51">
        <f>Assumptions!$D$15</f>
        <v>0.1</v>
      </c>
      <c r="O550" s="45">
        <f>IF(AP[[#This Row],[GST applies?]] = "Yes", (AP[[#This Row],[Invoice value inc. GST]] / 1 + AP[[#This Row],[GST %]]) * AP[[#This Row],[GST %]], 0)</f>
        <v>0</v>
      </c>
      <c r="P550" s="31">
        <f>_xlfn.XLOOKUP(AP[[#This Row],[Supplier name]], Supplier_master[Supplier name], Supplier_master[EOM or Net], 0)</f>
        <v>0</v>
      </c>
      <c r="Q550" s="31">
        <f>_xlfn.XLOOKUP(AP[[#This Row],[Supplier name]], Supplier_master[Supplier name], Supplier_master[Terms days], 0)</f>
        <v>0</v>
      </c>
      <c r="R5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0" s="4"/>
      <c r="T550" s="46">
        <f>IF(AP[[#This Row],[Payment date - override (dd/mm/yyyy)]] &lt;&gt; "", AP[[#This Row],[Payment date - override (dd/mm/yyyy)]], AP[[#This Row],[Due date (dd/mm/yyyy)]])</f>
        <v>0</v>
      </c>
      <c r="U550" s="46">
        <f t="shared" si="8"/>
        <v>52</v>
      </c>
    </row>
    <row r="551" spans="3:21" x14ac:dyDescent="0.25">
      <c r="C551" s="28"/>
      <c r="D551" s="20"/>
      <c r="E551" s="4"/>
      <c r="F551" s="37"/>
      <c r="G551" s="24"/>
      <c r="H551" s="31">
        <f>_xlfn.XLOOKUP(AP[[#This Row],[Supplier name]], Supplier_master[Supplier name], Supplier_master[Category L1], 0)</f>
        <v>0</v>
      </c>
      <c r="I551" s="64">
        <f>_xlfn.XLOOKUP(AP[[#This Row],[Supplier name]], Supplier_master[Supplier name], Supplier_master[Category L2], 0)</f>
        <v>0</v>
      </c>
      <c r="J551" s="55"/>
      <c r="K551" s="54"/>
      <c r="L551" s="57">
        <f>IF(AP[[#This Row],[Spend category L1 - Override]] &lt;&gt; "", AP[[#This Row],[Spend category L1 - Override]], AP[[#This Row],[Spend category L1]])</f>
        <v>0</v>
      </c>
      <c r="M551" s="57">
        <f>IF(AP[[#This Row],[Spend category L2 - Override]] &lt;&gt; "", AP[[#This Row],[Spend category L2 - Override]], AP[[#This Row],[Spend category L2]])</f>
        <v>0</v>
      </c>
      <c r="N551" s="51">
        <f>Assumptions!$D$15</f>
        <v>0.1</v>
      </c>
      <c r="O551" s="45">
        <f>IF(AP[[#This Row],[GST applies?]] = "Yes", (AP[[#This Row],[Invoice value inc. GST]] / 1 + AP[[#This Row],[GST %]]) * AP[[#This Row],[GST %]], 0)</f>
        <v>0</v>
      </c>
      <c r="P551" s="31">
        <f>_xlfn.XLOOKUP(AP[[#This Row],[Supplier name]], Supplier_master[Supplier name], Supplier_master[EOM or Net], 0)</f>
        <v>0</v>
      </c>
      <c r="Q551" s="31">
        <f>_xlfn.XLOOKUP(AP[[#This Row],[Supplier name]], Supplier_master[Supplier name], Supplier_master[Terms days], 0)</f>
        <v>0</v>
      </c>
      <c r="R5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1" s="4"/>
      <c r="T551" s="46">
        <f>IF(AP[[#This Row],[Payment date - override (dd/mm/yyyy)]] &lt;&gt; "", AP[[#This Row],[Payment date - override (dd/mm/yyyy)]], AP[[#This Row],[Due date (dd/mm/yyyy)]])</f>
        <v>0</v>
      </c>
      <c r="U551" s="46">
        <f t="shared" si="8"/>
        <v>52</v>
      </c>
    </row>
    <row r="552" spans="3:21" x14ac:dyDescent="0.25">
      <c r="C552" s="28"/>
      <c r="D552" s="20"/>
      <c r="E552" s="4"/>
      <c r="F552" s="37"/>
      <c r="G552" s="24"/>
      <c r="H552" s="31">
        <f>_xlfn.XLOOKUP(AP[[#This Row],[Supplier name]], Supplier_master[Supplier name], Supplier_master[Category L1], 0)</f>
        <v>0</v>
      </c>
      <c r="I552" s="64">
        <f>_xlfn.XLOOKUP(AP[[#This Row],[Supplier name]], Supplier_master[Supplier name], Supplier_master[Category L2], 0)</f>
        <v>0</v>
      </c>
      <c r="J552" s="55"/>
      <c r="K552" s="54"/>
      <c r="L552" s="57">
        <f>IF(AP[[#This Row],[Spend category L1 - Override]] &lt;&gt; "", AP[[#This Row],[Spend category L1 - Override]], AP[[#This Row],[Spend category L1]])</f>
        <v>0</v>
      </c>
      <c r="M552" s="57">
        <f>IF(AP[[#This Row],[Spend category L2 - Override]] &lt;&gt; "", AP[[#This Row],[Spend category L2 - Override]], AP[[#This Row],[Spend category L2]])</f>
        <v>0</v>
      </c>
      <c r="N552" s="51">
        <f>Assumptions!$D$15</f>
        <v>0.1</v>
      </c>
      <c r="O552" s="45">
        <f>IF(AP[[#This Row],[GST applies?]] = "Yes", (AP[[#This Row],[Invoice value inc. GST]] / 1 + AP[[#This Row],[GST %]]) * AP[[#This Row],[GST %]], 0)</f>
        <v>0</v>
      </c>
      <c r="P552" s="31">
        <f>_xlfn.XLOOKUP(AP[[#This Row],[Supplier name]], Supplier_master[Supplier name], Supplier_master[EOM or Net], 0)</f>
        <v>0</v>
      </c>
      <c r="Q552" s="31">
        <f>_xlfn.XLOOKUP(AP[[#This Row],[Supplier name]], Supplier_master[Supplier name], Supplier_master[Terms days], 0)</f>
        <v>0</v>
      </c>
      <c r="R5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2" s="4"/>
      <c r="T552" s="46">
        <f>IF(AP[[#This Row],[Payment date - override (dd/mm/yyyy)]] &lt;&gt; "", AP[[#This Row],[Payment date - override (dd/mm/yyyy)]], AP[[#This Row],[Due date (dd/mm/yyyy)]])</f>
        <v>0</v>
      </c>
      <c r="U552" s="46">
        <f t="shared" si="8"/>
        <v>52</v>
      </c>
    </row>
    <row r="553" spans="3:21" x14ac:dyDescent="0.25">
      <c r="C553" s="28"/>
      <c r="D553" s="20"/>
      <c r="E553" s="4"/>
      <c r="F553" s="37"/>
      <c r="G553" s="24"/>
      <c r="H553" s="31">
        <f>_xlfn.XLOOKUP(AP[[#This Row],[Supplier name]], Supplier_master[Supplier name], Supplier_master[Category L1], 0)</f>
        <v>0</v>
      </c>
      <c r="I553" s="64">
        <f>_xlfn.XLOOKUP(AP[[#This Row],[Supplier name]], Supplier_master[Supplier name], Supplier_master[Category L2], 0)</f>
        <v>0</v>
      </c>
      <c r="J553" s="55"/>
      <c r="K553" s="54"/>
      <c r="L553" s="57">
        <f>IF(AP[[#This Row],[Spend category L1 - Override]] &lt;&gt; "", AP[[#This Row],[Spend category L1 - Override]], AP[[#This Row],[Spend category L1]])</f>
        <v>0</v>
      </c>
      <c r="M553" s="57">
        <f>IF(AP[[#This Row],[Spend category L2 - Override]] &lt;&gt; "", AP[[#This Row],[Spend category L2 - Override]], AP[[#This Row],[Spend category L2]])</f>
        <v>0</v>
      </c>
      <c r="N553" s="51">
        <f>Assumptions!$D$15</f>
        <v>0.1</v>
      </c>
      <c r="O553" s="45">
        <f>IF(AP[[#This Row],[GST applies?]] = "Yes", (AP[[#This Row],[Invoice value inc. GST]] / 1 + AP[[#This Row],[GST %]]) * AP[[#This Row],[GST %]], 0)</f>
        <v>0</v>
      </c>
      <c r="P553" s="31">
        <f>_xlfn.XLOOKUP(AP[[#This Row],[Supplier name]], Supplier_master[Supplier name], Supplier_master[EOM or Net], 0)</f>
        <v>0</v>
      </c>
      <c r="Q553" s="31">
        <f>_xlfn.XLOOKUP(AP[[#This Row],[Supplier name]], Supplier_master[Supplier name], Supplier_master[Terms days], 0)</f>
        <v>0</v>
      </c>
      <c r="R5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3" s="4"/>
      <c r="T553" s="46">
        <f>IF(AP[[#This Row],[Payment date - override (dd/mm/yyyy)]] &lt;&gt; "", AP[[#This Row],[Payment date - override (dd/mm/yyyy)]], AP[[#This Row],[Due date (dd/mm/yyyy)]])</f>
        <v>0</v>
      </c>
      <c r="U553" s="46">
        <f t="shared" si="8"/>
        <v>52</v>
      </c>
    </row>
    <row r="554" spans="3:21" x14ac:dyDescent="0.25">
      <c r="C554" s="28"/>
      <c r="D554" s="20"/>
      <c r="E554" s="4"/>
      <c r="F554" s="37"/>
      <c r="G554" s="24"/>
      <c r="H554" s="31">
        <f>_xlfn.XLOOKUP(AP[[#This Row],[Supplier name]], Supplier_master[Supplier name], Supplier_master[Category L1], 0)</f>
        <v>0</v>
      </c>
      <c r="I554" s="64">
        <f>_xlfn.XLOOKUP(AP[[#This Row],[Supplier name]], Supplier_master[Supplier name], Supplier_master[Category L2], 0)</f>
        <v>0</v>
      </c>
      <c r="J554" s="55"/>
      <c r="K554" s="54"/>
      <c r="L554" s="57">
        <f>IF(AP[[#This Row],[Spend category L1 - Override]] &lt;&gt; "", AP[[#This Row],[Spend category L1 - Override]], AP[[#This Row],[Spend category L1]])</f>
        <v>0</v>
      </c>
      <c r="M554" s="57">
        <f>IF(AP[[#This Row],[Spend category L2 - Override]] &lt;&gt; "", AP[[#This Row],[Spend category L2 - Override]], AP[[#This Row],[Spend category L2]])</f>
        <v>0</v>
      </c>
      <c r="N554" s="51">
        <f>Assumptions!$D$15</f>
        <v>0.1</v>
      </c>
      <c r="O554" s="45">
        <f>IF(AP[[#This Row],[GST applies?]] = "Yes", (AP[[#This Row],[Invoice value inc. GST]] / 1 + AP[[#This Row],[GST %]]) * AP[[#This Row],[GST %]], 0)</f>
        <v>0</v>
      </c>
      <c r="P554" s="31">
        <f>_xlfn.XLOOKUP(AP[[#This Row],[Supplier name]], Supplier_master[Supplier name], Supplier_master[EOM or Net], 0)</f>
        <v>0</v>
      </c>
      <c r="Q554" s="31">
        <f>_xlfn.XLOOKUP(AP[[#This Row],[Supplier name]], Supplier_master[Supplier name], Supplier_master[Terms days], 0)</f>
        <v>0</v>
      </c>
      <c r="R5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4" s="4"/>
      <c r="T554" s="46">
        <f>IF(AP[[#This Row],[Payment date - override (dd/mm/yyyy)]] &lt;&gt; "", AP[[#This Row],[Payment date - override (dd/mm/yyyy)]], AP[[#This Row],[Due date (dd/mm/yyyy)]])</f>
        <v>0</v>
      </c>
      <c r="U554" s="46">
        <f t="shared" si="8"/>
        <v>52</v>
      </c>
    </row>
    <row r="555" spans="3:21" x14ac:dyDescent="0.25">
      <c r="C555" s="28"/>
      <c r="D555" s="20"/>
      <c r="E555" s="4"/>
      <c r="F555" s="37"/>
      <c r="G555" s="24"/>
      <c r="H555" s="31">
        <f>_xlfn.XLOOKUP(AP[[#This Row],[Supplier name]], Supplier_master[Supplier name], Supplier_master[Category L1], 0)</f>
        <v>0</v>
      </c>
      <c r="I555" s="64">
        <f>_xlfn.XLOOKUP(AP[[#This Row],[Supplier name]], Supplier_master[Supplier name], Supplier_master[Category L2], 0)</f>
        <v>0</v>
      </c>
      <c r="J555" s="55"/>
      <c r="K555" s="54"/>
      <c r="L555" s="57">
        <f>IF(AP[[#This Row],[Spend category L1 - Override]] &lt;&gt; "", AP[[#This Row],[Spend category L1 - Override]], AP[[#This Row],[Spend category L1]])</f>
        <v>0</v>
      </c>
      <c r="M555" s="57">
        <f>IF(AP[[#This Row],[Spend category L2 - Override]] &lt;&gt; "", AP[[#This Row],[Spend category L2 - Override]], AP[[#This Row],[Spend category L2]])</f>
        <v>0</v>
      </c>
      <c r="N555" s="51">
        <f>Assumptions!$D$15</f>
        <v>0.1</v>
      </c>
      <c r="O555" s="45">
        <f>IF(AP[[#This Row],[GST applies?]] = "Yes", (AP[[#This Row],[Invoice value inc. GST]] / 1 + AP[[#This Row],[GST %]]) * AP[[#This Row],[GST %]], 0)</f>
        <v>0</v>
      </c>
      <c r="P555" s="31">
        <f>_xlfn.XLOOKUP(AP[[#This Row],[Supplier name]], Supplier_master[Supplier name], Supplier_master[EOM or Net], 0)</f>
        <v>0</v>
      </c>
      <c r="Q555" s="31">
        <f>_xlfn.XLOOKUP(AP[[#This Row],[Supplier name]], Supplier_master[Supplier name], Supplier_master[Terms days], 0)</f>
        <v>0</v>
      </c>
      <c r="R5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5" s="4"/>
      <c r="T555" s="46">
        <f>IF(AP[[#This Row],[Payment date - override (dd/mm/yyyy)]] &lt;&gt; "", AP[[#This Row],[Payment date - override (dd/mm/yyyy)]], AP[[#This Row],[Due date (dd/mm/yyyy)]])</f>
        <v>0</v>
      </c>
      <c r="U555" s="46">
        <f t="shared" si="8"/>
        <v>52</v>
      </c>
    </row>
    <row r="556" spans="3:21" x14ac:dyDescent="0.25">
      <c r="C556" s="28"/>
      <c r="D556" s="20"/>
      <c r="E556" s="4"/>
      <c r="F556" s="37"/>
      <c r="G556" s="24"/>
      <c r="H556" s="31">
        <f>_xlfn.XLOOKUP(AP[[#This Row],[Supplier name]], Supplier_master[Supplier name], Supplier_master[Category L1], 0)</f>
        <v>0</v>
      </c>
      <c r="I556" s="64">
        <f>_xlfn.XLOOKUP(AP[[#This Row],[Supplier name]], Supplier_master[Supplier name], Supplier_master[Category L2], 0)</f>
        <v>0</v>
      </c>
      <c r="J556" s="55"/>
      <c r="K556" s="54"/>
      <c r="L556" s="57">
        <f>IF(AP[[#This Row],[Spend category L1 - Override]] &lt;&gt; "", AP[[#This Row],[Spend category L1 - Override]], AP[[#This Row],[Spend category L1]])</f>
        <v>0</v>
      </c>
      <c r="M556" s="57">
        <f>IF(AP[[#This Row],[Spend category L2 - Override]] &lt;&gt; "", AP[[#This Row],[Spend category L2 - Override]], AP[[#This Row],[Spend category L2]])</f>
        <v>0</v>
      </c>
      <c r="N556" s="51">
        <f>Assumptions!$D$15</f>
        <v>0.1</v>
      </c>
      <c r="O556" s="45">
        <f>IF(AP[[#This Row],[GST applies?]] = "Yes", (AP[[#This Row],[Invoice value inc. GST]] / 1 + AP[[#This Row],[GST %]]) * AP[[#This Row],[GST %]], 0)</f>
        <v>0</v>
      </c>
      <c r="P556" s="31">
        <f>_xlfn.XLOOKUP(AP[[#This Row],[Supplier name]], Supplier_master[Supplier name], Supplier_master[EOM or Net], 0)</f>
        <v>0</v>
      </c>
      <c r="Q556" s="31">
        <f>_xlfn.XLOOKUP(AP[[#This Row],[Supplier name]], Supplier_master[Supplier name], Supplier_master[Terms days], 0)</f>
        <v>0</v>
      </c>
      <c r="R5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6" s="4"/>
      <c r="T556" s="46">
        <f>IF(AP[[#This Row],[Payment date - override (dd/mm/yyyy)]] &lt;&gt; "", AP[[#This Row],[Payment date - override (dd/mm/yyyy)]], AP[[#This Row],[Due date (dd/mm/yyyy)]])</f>
        <v>0</v>
      </c>
      <c r="U556" s="46">
        <f t="shared" si="8"/>
        <v>52</v>
      </c>
    </row>
    <row r="557" spans="3:21" x14ac:dyDescent="0.25">
      <c r="C557" s="28"/>
      <c r="D557" s="20"/>
      <c r="E557" s="4"/>
      <c r="F557" s="37"/>
      <c r="G557" s="24"/>
      <c r="H557" s="31">
        <f>_xlfn.XLOOKUP(AP[[#This Row],[Supplier name]], Supplier_master[Supplier name], Supplier_master[Category L1], 0)</f>
        <v>0</v>
      </c>
      <c r="I557" s="64">
        <f>_xlfn.XLOOKUP(AP[[#This Row],[Supplier name]], Supplier_master[Supplier name], Supplier_master[Category L2], 0)</f>
        <v>0</v>
      </c>
      <c r="J557" s="55"/>
      <c r="K557" s="54"/>
      <c r="L557" s="57">
        <f>IF(AP[[#This Row],[Spend category L1 - Override]] &lt;&gt; "", AP[[#This Row],[Spend category L1 - Override]], AP[[#This Row],[Spend category L1]])</f>
        <v>0</v>
      </c>
      <c r="M557" s="57">
        <f>IF(AP[[#This Row],[Spend category L2 - Override]] &lt;&gt; "", AP[[#This Row],[Spend category L2 - Override]], AP[[#This Row],[Spend category L2]])</f>
        <v>0</v>
      </c>
      <c r="N557" s="51">
        <f>Assumptions!$D$15</f>
        <v>0.1</v>
      </c>
      <c r="O557" s="45">
        <f>IF(AP[[#This Row],[GST applies?]] = "Yes", (AP[[#This Row],[Invoice value inc. GST]] / 1 + AP[[#This Row],[GST %]]) * AP[[#This Row],[GST %]], 0)</f>
        <v>0</v>
      </c>
      <c r="P557" s="31">
        <f>_xlfn.XLOOKUP(AP[[#This Row],[Supplier name]], Supplier_master[Supplier name], Supplier_master[EOM or Net], 0)</f>
        <v>0</v>
      </c>
      <c r="Q557" s="31">
        <f>_xlfn.XLOOKUP(AP[[#This Row],[Supplier name]], Supplier_master[Supplier name], Supplier_master[Terms days], 0)</f>
        <v>0</v>
      </c>
      <c r="R5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7" s="4"/>
      <c r="T557" s="46">
        <f>IF(AP[[#This Row],[Payment date - override (dd/mm/yyyy)]] &lt;&gt; "", AP[[#This Row],[Payment date - override (dd/mm/yyyy)]], AP[[#This Row],[Due date (dd/mm/yyyy)]])</f>
        <v>0</v>
      </c>
      <c r="U557" s="46">
        <f t="shared" si="8"/>
        <v>52</v>
      </c>
    </row>
    <row r="558" spans="3:21" x14ac:dyDescent="0.25">
      <c r="C558" s="28"/>
      <c r="D558" s="20"/>
      <c r="E558" s="4"/>
      <c r="F558" s="37"/>
      <c r="G558" s="24"/>
      <c r="H558" s="31">
        <f>_xlfn.XLOOKUP(AP[[#This Row],[Supplier name]], Supplier_master[Supplier name], Supplier_master[Category L1], 0)</f>
        <v>0</v>
      </c>
      <c r="I558" s="64">
        <f>_xlfn.XLOOKUP(AP[[#This Row],[Supplier name]], Supplier_master[Supplier name], Supplier_master[Category L2], 0)</f>
        <v>0</v>
      </c>
      <c r="J558" s="55"/>
      <c r="K558" s="54"/>
      <c r="L558" s="57">
        <f>IF(AP[[#This Row],[Spend category L1 - Override]] &lt;&gt; "", AP[[#This Row],[Spend category L1 - Override]], AP[[#This Row],[Spend category L1]])</f>
        <v>0</v>
      </c>
      <c r="M558" s="57">
        <f>IF(AP[[#This Row],[Spend category L2 - Override]] &lt;&gt; "", AP[[#This Row],[Spend category L2 - Override]], AP[[#This Row],[Spend category L2]])</f>
        <v>0</v>
      </c>
      <c r="N558" s="51">
        <f>Assumptions!$D$15</f>
        <v>0.1</v>
      </c>
      <c r="O558" s="45">
        <f>IF(AP[[#This Row],[GST applies?]] = "Yes", (AP[[#This Row],[Invoice value inc. GST]] / 1 + AP[[#This Row],[GST %]]) * AP[[#This Row],[GST %]], 0)</f>
        <v>0</v>
      </c>
      <c r="P558" s="31">
        <f>_xlfn.XLOOKUP(AP[[#This Row],[Supplier name]], Supplier_master[Supplier name], Supplier_master[EOM or Net], 0)</f>
        <v>0</v>
      </c>
      <c r="Q558" s="31">
        <f>_xlfn.XLOOKUP(AP[[#This Row],[Supplier name]], Supplier_master[Supplier name], Supplier_master[Terms days], 0)</f>
        <v>0</v>
      </c>
      <c r="R5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8" s="4"/>
      <c r="T558" s="46">
        <f>IF(AP[[#This Row],[Payment date - override (dd/mm/yyyy)]] &lt;&gt; "", AP[[#This Row],[Payment date - override (dd/mm/yyyy)]], AP[[#This Row],[Due date (dd/mm/yyyy)]])</f>
        <v>0</v>
      </c>
      <c r="U558" s="46">
        <f t="shared" si="8"/>
        <v>52</v>
      </c>
    </row>
    <row r="559" spans="3:21" x14ac:dyDescent="0.25">
      <c r="C559" s="28"/>
      <c r="D559" s="20"/>
      <c r="E559" s="4"/>
      <c r="F559" s="37"/>
      <c r="G559" s="24"/>
      <c r="H559" s="31">
        <f>_xlfn.XLOOKUP(AP[[#This Row],[Supplier name]], Supplier_master[Supplier name], Supplier_master[Category L1], 0)</f>
        <v>0</v>
      </c>
      <c r="I559" s="64">
        <f>_xlfn.XLOOKUP(AP[[#This Row],[Supplier name]], Supplier_master[Supplier name], Supplier_master[Category L2], 0)</f>
        <v>0</v>
      </c>
      <c r="J559" s="55"/>
      <c r="K559" s="54"/>
      <c r="L559" s="57">
        <f>IF(AP[[#This Row],[Spend category L1 - Override]] &lt;&gt; "", AP[[#This Row],[Spend category L1 - Override]], AP[[#This Row],[Spend category L1]])</f>
        <v>0</v>
      </c>
      <c r="M559" s="57">
        <f>IF(AP[[#This Row],[Spend category L2 - Override]] &lt;&gt; "", AP[[#This Row],[Spend category L2 - Override]], AP[[#This Row],[Spend category L2]])</f>
        <v>0</v>
      </c>
      <c r="N559" s="51">
        <f>Assumptions!$D$15</f>
        <v>0.1</v>
      </c>
      <c r="O559" s="45">
        <f>IF(AP[[#This Row],[GST applies?]] = "Yes", (AP[[#This Row],[Invoice value inc. GST]] / 1 + AP[[#This Row],[GST %]]) * AP[[#This Row],[GST %]], 0)</f>
        <v>0</v>
      </c>
      <c r="P559" s="31">
        <f>_xlfn.XLOOKUP(AP[[#This Row],[Supplier name]], Supplier_master[Supplier name], Supplier_master[EOM or Net], 0)</f>
        <v>0</v>
      </c>
      <c r="Q559" s="31">
        <f>_xlfn.XLOOKUP(AP[[#This Row],[Supplier name]], Supplier_master[Supplier name], Supplier_master[Terms days], 0)</f>
        <v>0</v>
      </c>
      <c r="R5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9" s="4"/>
      <c r="T559" s="46">
        <f>IF(AP[[#This Row],[Payment date - override (dd/mm/yyyy)]] &lt;&gt; "", AP[[#This Row],[Payment date - override (dd/mm/yyyy)]], AP[[#This Row],[Due date (dd/mm/yyyy)]])</f>
        <v>0</v>
      </c>
      <c r="U559" s="46">
        <f t="shared" si="8"/>
        <v>52</v>
      </c>
    </row>
    <row r="560" spans="3:21" x14ac:dyDescent="0.25">
      <c r="C560" s="28"/>
      <c r="D560" s="20"/>
      <c r="E560" s="4"/>
      <c r="F560" s="37"/>
      <c r="G560" s="24"/>
      <c r="H560" s="31">
        <f>_xlfn.XLOOKUP(AP[[#This Row],[Supplier name]], Supplier_master[Supplier name], Supplier_master[Category L1], 0)</f>
        <v>0</v>
      </c>
      <c r="I560" s="64">
        <f>_xlfn.XLOOKUP(AP[[#This Row],[Supplier name]], Supplier_master[Supplier name], Supplier_master[Category L2], 0)</f>
        <v>0</v>
      </c>
      <c r="J560" s="55"/>
      <c r="K560" s="54"/>
      <c r="L560" s="57">
        <f>IF(AP[[#This Row],[Spend category L1 - Override]] &lt;&gt; "", AP[[#This Row],[Spend category L1 - Override]], AP[[#This Row],[Spend category L1]])</f>
        <v>0</v>
      </c>
      <c r="M560" s="57">
        <f>IF(AP[[#This Row],[Spend category L2 - Override]] &lt;&gt; "", AP[[#This Row],[Spend category L2 - Override]], AP[[#This Row],[Spend category L2]])</f>
        <v>0</v>
      </c>
      <c r="N560" s="51">
        <f>Assumptions!$D$15</f>
        <v>0.1</v>
      </c>
      <c r="O560" s="45">
        <f>IF(AP[[#This Row],[GST applies?]] = "Yes", (AP[[#This Row],[Invoice value inc. GST]] / 1 + AP[[#This Row],[GST %]]) * AP[[#This Row],[GST %]], 0)</f>
        <v>0</v>
      </c>
      <c r="P560" s="31">
        <f>_xlfn.XLOOKUP(AP[[#This Row],[Supplier name]], Supplier_master[Supplier name], Supplier_master[EOM or Net], 0)</f>
        <v>0</v>
      </c>
      <c r="Q560" s="31">
        <f>_xlfn.XLOOKUP(AP[[#This Row],[Supplier name]], Supplier_master[Supplier name], Supplier_master[Terms days], 0)</f>
        <v>0</v>
      </c>
      <c r="R5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0" s="4"/>
      <c r="T560" s="46">
        <f>IF(AP[[#This Row],[Payment date - override (dd/mm/yyyy)]] &lt;&gt; "", AP[[#This Row],[Payment date - override (dd/mm/yyyy)]], AP[[#This Row],[Due date (dd/mm/yyyy)]])</f>
        <v>0</v>
      </c>
      <c r="U560" s="46">
        <f t="shared" si="8"/>
        <v>52</v>
      </c>
    </row>
    <row r="561" spans="3:21" x14ac:dyDescent="0.25">
      <c r="C561" s="28"/>
      <c r="D561" s="20"/>
      <c r="E561" s="4"/>
      <c r="F561" s="37"/>
      <c r="G561" s="24"/>
      <c r="H561" s="31">
        <f>_xlfn.XLOOKUP(AP[[#This Row],[Supplier name]], Supplier_master[Supplier name], Supplier_master[Category L1], 0)</f>
        <v>0</v>
      </c>
      <c r="I561" s="64">
        <f>_xlfn.XLOOKUP(AP[[#This Row],[Supplier name]], Supplier_master[Supplier name], Supplier_master[Category L2], 0)</f>
        <v>0</v>
      </c>
      <c r="J561" s="55"/>
      <c r="K561" s="54"/>
      <c r="L561" s="57">
        <f>IF(AP[[#This Row],[Spend category L1 - Override]] &lt;&gt; "", AP[[#This Row],[Spend category L1 - Override]], AP[[#This Row],[Spend category L1]])</f>
        <v>0</v>
      </c>
      <c r="M561" s="57">
        <f>IF(AP[[#This Row],[Spend category L2 - Override]] &lt;&gt; "", AP[[#This Row],[Spend category L2 - Override]], AP[[#This Row],[Spend category L2]])</f>
        <v>0</v>
      </c>
      <c r="N561" s="51">
        <f>Assumptions!$D$15</f>
        <v>0.1</v>
      </c>
      <c r="O561" s="45">
        <f>IF(AP[[#This Row],[GST applies?]] = "Yes", (AP[[#This Row],[Invoice value inc. GST]] / 1 + AP[[#This Row],[GST %]]) * AP[[#This Row],[GST %]], 0)</f>
        <v>0</v>
      </c>
      <c r="P561" s="31">
        <f>_xlfn.XLOOKUP(AP[[#This Row],[Supplier name]], Supplier_master[Supplier name], Supplier_master[EOM or Net], 0)</f>
        <v>0</v>
      </c>
      <c r="Q561" s="31">
        <f>_xlfn.XLOOKUP(AP[[#This Row],[Supplier name]], Supplier_master[Supplier name], Supplier_master[Terms days], 0)</f>
        <v>0</v>
      </c>
      <c r="R5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1" s="4"/>
      <c r="T561" s="46">
        <f>IF(AP[[#This Row],[Payment date - override (dd/mm/yyyy)]] &lt;&gt; "", AP[[#This Row],[Payment date - override (dd/mm/yyyy)]], AP[[#This Row],[Due date (dd/mm/yyyy)]])</f>
        <v>0</v>
      </c>
      <c r="U561" s="46">
        <f t="shared" si="8"/>
        <v>52</v>
      </c>
    </row>
    <row r="562" spans="3:21" x14ac:dyDescent="0.25">
      <c r="C562" s="28"/>
      <c r="D562" s="20"/>
      <c r="E562" s="4"/>
      <c r="F562" s="37"/>
      <c r="G562" s="24"/>
      <c r="H562" s="31">
        <f>_xlfn.XLOOKUP(AP[[#This Row],[Supplier name]], Supplier_master[Supplier name], Supplier_master[Category L1], 0)</f>
        <v>0</v>
      </c>
      <c r="I562" s="64">
        <f>_xlfn.XLOOKUP(AP[[#This Row],[Supplier name]], Supplier_master[Supplier name], Supplier_master[Category L2], 0)</f>
        <v>0</v>
      </c>
      <c r="J562" s="55"/>
      <c r="K562" s="54"/>
      <c r="L562" s="57">
        <f>IF(AP[[#This Row],[Spend category L1 - Override]] &lt;&gt; "", AP[[#This Row],[Spend category L1 - Override]], AP[[#This Row],[Spend category L1]])</f>
        <v>0</v>
      </c>
      <c r="M562" s="57">
        <f>IF(AP[[#This Row],[Spend category L2 - Override]] &lt;&gt; "", AP[[#This Row],[Spend category L2 - Override]], AP[[#This Row],[Spend category L2]])</f>
        <v>0</v>
      </c>
      <c r="N562" s="51">
        <f>Assumptions!$D$15</f>
        <v>0.1</v>
      </c>
      <c r="O562" s="45">
        <f>IF(AP[[#This Row],[GST applies?]] = "Yes", (AP[[#This Row],[Invoice value inc. GST]] / 1 + AP[[#This Row],[GST %]]) * AP[[#This Row],[GST %]], 0)</f>
        <v>0</v>
      </c>
      <c r="P562" s="31">
        <f>_xlfn.XLOOKUP(AP[[#This Row],[Supplier name]], Supplier_master[Supplier name], Supplier_master[EOM or Net], 0)</f>
        <v>0</v>
      </c>
      <c r="Q562" s="31">
        <f>_xlfn.XLOOKUP(AP[[#This Row],[Supplier name]], Supplier_master[Supplier name], Supplier_master[Terms days], 0)</f>
        <v>0</v>
      </c>
      <c r="R5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2" s="4"/>
      <c r="T562" s="46">
        <f>IF(AP[[#This Row],[Payment date - override (dd/mm/yyyy)]] &lt;&gt; "", AP[[#This Row],[Payment date - override (dd/mm/yyyy)]], AP[[#This Row],[Due date (dd/mm/yyyy)]])</f>
        <v>0</v>
      </c>
      <c r="U562" s="46">
        <f t="shared" si="8"/>
        <v>52</v>
      </c>
    </row>
    <row r="563" spans="3:21" x14ac:dyDescent="0.25">
      <c r="C563" s="28"/>
      <c r="D563" s="20"/>
      <c r="E563" s="4"/>
      <c r="F563" s="37"/>
      <c r="G563" s="24"/>
      <c r="H563" s="31">
        <f>_xlfn.XLOOKUP(AP[[#This Row],[Supplier name]], Supplier_master[Supplier name], Supplier_master[Category L1], 0)</f>
        <v>0</v>
      </c>
      <c r="I563" s="64">
        <f>_xlfn.XLOOKUP(AP[[#This Row],[Supplier name]], Supplier_master[Supplier name], Supplier_master[Category L2], 0)</f>
        <v>0</v>
      </c>
      <c r="J563" s="55"/>
      <c r="K563" s="54"/>
      <c r="L563" s="57">
        <f>IF(AP[[#This Row],[Spend category L1 - Override]] &lt;&gt; "", AP[[#This Row],[Spend category L1 - Override]], AP[[#This Row],[Spend category L1]])</f>
        <v>0</v>
      </c>
      <c r="M563" s="57">
        <f>IF(AP[[#This Row],[Spend category L2 - Override]] &lt;&gt; "", AP[[#This Row],[Spend category L2 - Override]], AP[[#This Row],[Spend category L2]])</f>
        <v>0</v>
      </c>
      <c r="N563" s="51">
        <f>Assumptions!$D$15</f>
        <v>0.1</v>
      </c>
      <c r="O563" s="45">
        <f>IF(AP[[#This Row],[GST applies?]] = "Yes", (AP[[#This Row],[Invoice value inc. GST]] / 1 + AP[[#This Row],[GST %]]) * AP[[#This Row],[GST %]], 0)</f>
        <v>0</v>
      </c>
      <c r="P563" s="31">
        <f>_xlfn.XLOOKUP(AP[[#This Row],[Supplier name]], Supplier_master[Supplier name], Supplier_master[EOM or Net], 0)</f>
        <v>0</v>
      </c>
      <c r="Q563" s="31">
        <f>_xlfn.XLOOKUP(AP[[#This Row],[Supplier name]], Supplier_master[Supplier name], Supplier_master[Terms days], 0)</f>
        <v>0</v>
      </c>
      <c r="R5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3" s="4"/>
      <c r="T563" s="46">
        <f>IF(AP[[#This Row],[Payment date - override (dd/mm/yyyy)]] &lt;&gt; "", AP[[#This Row],[Payment date - override (dd/mm/yyyy)]], AP[[#This Row],[Due date (dd/mm/yyyy)]])</f>
        <v>0</v>
      </c>
      <c r="U563" s="46">
        <f t="shared" si="8"/>
        <v>52</v>
      </c>
    </row>
    <row r="564" spans="3:21" x14ac:dyDescent="0.25">
      <c r="C564" s="28"/>
      <c r="D564" s="20"/>
      <c r="E564" s="4"/>
      <c r="F564" s="37"/>
      <c r="G564" s="24"/>
      <c r="H564" s="31">
        <f>_xlfn.XLOOKUP(AP[[#This Row],[Supplier name]], Supplier_master[Supplier name], Supplier_master[Category L1], 0)</f>
        <v>0</v>
      </c>
      <c r="I564" s="64">
        <f>_xlfn.XLOOKUP(AP[[#This Row],[Supplier name]], Supplier_master[Supplier name], Supplier_master[Category L2], 0)</f>
        <v>0</v>
      </c>
      <c r="J564" s="55"/>
      <c r="K564" s="54"/>
      <c r="L564" s="57">
        <f>IF(AP[[#This Row],[Spend category L1 - Override]] &lt;&gt; "", AP[[#This Row],[Spend category L1 - Override]], AP[[#This Row],[Spend category L1]])</f>
        <v>0</v>
      </c>
      <c r="M564" s="57">
        <f>IF(AP[[#This Row],[Spend category L2 - Override]] &lt;&gt; "", AP[[#This Row],[Spend category L2 - Override]], AP[[#This Row],[Spend category L2]])</f>
        <v>0</v>
      </c>
      <c r="N564" s="51">
        <f>Assumptions!$D$15</f>
        <v>0.1</v>
      </c>
      <c r="O564" s="45">
        <f>IF(AP[[#This Row],[GST applies?]] = "Yes", (AP[[#This Row],[Invoice value inc. GST]] / 1 + AP[[#This Row],[GST %]]) * AP[[#This Row],[GST %]], 0)</f>
        <v>0</v>
      </c>
      <c r="P564" s="31">
        <f>_xlfn.XLOOKUP(AP[[#This Row],[Supplier name]], Supplier_master[Supplier name], Supplier_master[EOM or Net], 0)</f>
        <v>0</v>
      </c>
      <c r="Q564" s="31">
        <f>_xlfn.XLOOKUP(AP[[#This Row],[Supplier name]], Supplier_master[Supplier name], Supplier_master[Terms days], 0)</f>
        <v>0</v>
      </c>
      <c r="R5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4" s="4"/>
      <c r="T564" s="46">
        <f>IF(AP[[#This Row],[Payment date - override (dd/mm/yyyy)]] &lt;&gt; "", AP[[#This Row],[Payment date - override (dd/mm/yyyy)]], AP[[#This Row],[Due date (dd/mm/yyyy)]])</f>
        <v>0</v>
      </c>
      <c r="U564" s="46">
        <f t="shared" si="8"/>
        <v>52</v>
      </c>
    </row>
    <row r="565" spans="3:21" x14ac:dyDescent="0.25">
      <c r="C565" s="28"/>
      <c r="D565" s="20"/>
      <c r="E565" s="4"/>
      <c r="F565" s="37"/>
      <c r="G565" s="24"/>
      <c r="H565" s="31">
        <f>_xlfn.XLOOKUP(AP[[#This Row],[Supplier name]], Supplier_master[Supplier name], Supplier_master[Category L1], 0)</f>
        <v>0</v>
      </c>
      <c r="I565" s="64">
        <f>_xlfn.XLOOKUP(AP[[#This Row],[Supplier name]], Supplier_master[Supplier name], Supplier_master[Category L2], 0)</f>
        <v>0</v>
      </c>
      <c r="J565" s="55"/>
      <c r="K565" s="54"/>
      <c r="L565" s="57">
        <f>IF(AP[[#This Row],[Spend category L1 - Override]] &lt;&gt; "", AP[[#This Row],[Spend category L1 - Override]], AP[[#This Row],[Spend category L1]])</f>
        <v>0</v>
      </c>
      <c r="M565" s="57">
        <f>IF(AP[[#This Row],[Spend category L2 - Override]] &lt;&gt; "", AP[[#This Row],[Spend category L2 - Override]], AP[[#This Row],[Spend category L2]])</f>
        <v>0</v>
      </c>
      <c r="N565" s="51">
        <f>Assumptions!$D$15</f>
        <v>0.1</v>
      </c>
      <c r="O565" s="45">
        <f>IF(AP[[#This Row],[GST applies?]] = "Yes", (AP[[#This Row],[Invoice value inc. GST]] / 1 + AP[[#This Row],[GST %]]) * AP[[#This Row],[GST %]], 0)</f>
        <v>0</v>
      </c>
      <c r="P565" s="31">
        <f>_xlfn.XLOOKUP(AP[[#This Row],[Supplier name]], Supplier_master[Supplier name], Supplier_master[EOM or Net], 0)</f>
        <v>0</v>
      </c>
      <c r="Q565" s="31">
        <f>_xlfn.XLOOKUP(AP[[#This Row],[Supplier name]], Supplier_master[Supplier name], Supplier_master[Terms days], 0)</f>
        <v>0</v>
      </c>
      <c r="R5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5" s="4"/>
      <c r="T565" s="46">
        <f>IF(AP[[#This Row],[Payment date - override (dd/mm/yyyy)]] &lt;&gt; "", AP[[#This Row],[Payment date - override (dd/mm/yyyy)]], AP[[#This Row],[Due date (dd/mm/yyyy)]])</f>
        <v>0</v>
      </c>
      <c r="U565" s="46">
        <f t="shared" si="8"/>
        <v>52</v>
      </c>
    </row>
    <row r="566" spans="3:21" x14ac:dyDescent="0.25">
      <c r="C566" s="28"/>
      <c r="D566" s="20"/>
      <c r="E566" s="4"/>
      <c r="F566" s="37"/>
      <c r="G566" s="24"/>
      <c r="H566" s="31">
        <f>_xlfn.XLOOKUP(AP[[#This Row],[Supplier name]], Supplier_master[Supplier name], Supplier_master[Category L1], 0)</f>
        <v>0</v>
      </c>
      <c r="I566" s="64">
        <f>_xlfn.XLOOKUP(AP[[#This Row],[Supplier name]], Supplier_master[Supplier name], Supplier_master[Category L2], 0)</f>
        <v>0</v>
      </c>
      <c r="J566" s="55"/>
      <c r="K566" s="54"/>
      <c r="L566" s="57">
        <f>IF(AP[[#This Row],[Spend category L1 - Override]] &lt;&gt; "", AP[[#This Row],[Spend category L1 - Override]], AP[[#This Row],[Spend category L1]])</f>
        <v>0</v>
      </c>
      <c r="M566" s="57">
        <f>IF(AP[[#This Row],[Spend category L2 - Override]] &lt;&gt; "", AP[[#This Row],[Spend category L2 - Override]], AP[[#This Row],[Spend category L2]])</f>
        <v>0</v>
      </c>
      <c r="N566" s="51">
        <f>Assumptions!$D$15</f>
        <v>0.1</v>
      </c>
      <c r="O566" s="45">
        <f>IF(AP[[#This Row],[GST applies?]] = "Yes", (AP[[#This Row],[Invoice value inc. GST]] / 1 + AP[[#This Row],[GST %]]) * AP[[#This Row],[GST %]], 0)</f>
        <v>0</v>
      </c>
      <c r="P566" s="31">
        <f>_xlfn.XLOOKUP(AP[[#This Row],[Supplier name]], Supplier_master[Supplier name], Supplier_master[EOM or Net], 0)</f>
        <v>0</v>
      </c>
      <c r="Q566" s="31">
        <f>_xlfn.XLOOKUP(AP[[#This Row],[Supplier name]], Supplier_master[Supplier name], Supplier_master[Terms days], 0)</f>
        <v>0</v>
      </c>
      <c r="R5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6" s="4"/>
      <c r="T566" s="46">
        <f>IF(AP[[#This Row],[Payment date - override (dd/mm/yyyy)]] &lt;&gt; "", AP[[#This Row],[Payment date - override (dd/mm/yyyy)]], AP[[#This Row],[Due date (dd/mm/yyyy)]])</f>
        <v>0</v>
      </c>
      <c r="U566" s="46">
        <f t="shared" si="8"/>
        <v>52</v>
      </c>
    </row>
    <row r="567" spans="3:21" x14ac:dyDescent="0.25">
      <c r="C567" s="28"/>
      <c r="D567" s="20"/>
      <c r="E567" s="4"/>
      <c r="F567" s="37"/>
      <c r="G567" s="24"/>
      <c r="H567" s="31">
        <f>_xlfn.XLOOKUP(AP[[#This Row],[Supplier name]], Supplier_master[Supplier name], Supplier_master[Category L1], 0)</f>
        <v>0</v>
      </c>
      <c r="I567" s="64">
        <f>_xlfn.XLOOKUP(AP[[#This Row],[Supplier name]], Supplier_master[Supplier name], Supplier_master[Category L2], 0)</f>
        <v>0</v>
      </c>
      <c r="J567" s="55"/>
      <c r="K567" s="54"/>
      <c r="L567" s="57">
        <f>IF(AP[[#This Row],[Spend category L1 - Override]] &lt;&gt; "", AP[[#This Row],[Spend category L1 - Override]], AP[[#This Row],[Spend category L1]])</f>
        <v>0</v>
      </c>
      <c r="M567" s="57">
        <f>IF(AP[[#This Row],[Spend category L2 - Override]] &lt;&gt; "", AP[[#This Row],[Spend category L2 - Override]], AP[[#This Row],[Spend category L2]])</f>
        <v>0</v>
      </c>
      <c r="N567" s="51">
        <f>Assumptions!$D$15</f>
        <v>0.1</v>
      </c>
      <c r="O567" s="45">
        <f>IF(AP[[#This Row],[GST applies?]] = "Yes", (AP[[#This Row],[Invoice value inc. GST]] / 1 + AP[[#This Row],[GST %]]) * AP[[#This Row],[GST %]], 0)</f>
        <v>0</v>
      </c>
      <c r="P567" s="31">
        <f>_xlfn.XLOOKUP(AP[[#This Row],[Supplier name]], Supplier_master[Supplier name], Supplier_master[EOM or Net], 0)</f>
        <v>0</v>
      </c>
      <c r="Q567" s="31">
        <f>_xlfn.XLOOKUP(AP[[#This Row],[Supplier name]], Supplier_master[Supplier name], Supplier_master[Terms days], 0)</f>
        <v>0</v>
      </c>
      <c r="R5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7" s="4"/>
      <c r="T567" s="46">
        <f>IF(AP[[#This Row],[Payment date - override (dd/mm/yyyy)]] &lt;&gt; "", AP[[#This Row],[Payment date - override (dd/mm/yyyy)]], AP[[#This Row],[Due date (dd/mm/yyyy)]])</f>
        <v>0</v>
      </c>
      <c r="U567" s="46">
        <f t="shared" si="8"/>
        <v>52</v>
      </c>
    </row>
    <row r="568" spans="3:21" x14ac:dyDescent="0.25">
      <c r="C568" s="28"/>
      <c r="D568" s="20"/>
      <c r="E568" s="4"/>
      <c r="F568" s="37"/>
      <c r="G568" s="24"/>
      <c r="H568" s="31">
        <f>_xlfn.XLOOKUP(AP[[#This Row],[Supplier name]], Supplier_master[Supplier name], Supplier_master[Category L1], 0)</f>
        <v>0</v>
      </c>
      <c r="I568" s="64">
        <f>_xlfn.XLOOKUP(AP[[#This Row],[Supplier name]], Supplier_master[Supplier name], Supplier_master[Category L2], 0)</f>
        <v>0</v>
      </c>
      <c r="J568" s="55"/>
      <c r="K568" s="54"/>
      <c r="L568" s="57">
        <f>IF(AP[[#This Row],[Spend category L1 - Override]] &lt;&gt; "", AP[[#This Row],[Spend category L1 - Override]], AP[[#This Row],[Spend category L1]])</f>
        <v>0</v>
      </c>
      <c r="M568" s="57">
        <f>IF(AP[[#This Row],[Spend category L2 - Override]] &lt;&gt; "", AP[[#This Row],[Spend category L2 - Override]], AP[[#This Row],[Spend category L2]])</f>
        <v>0</v>
      </c>
      <c r="N568" s="51">
        <f>Assumptions!$D$15</f>
        <v>0.1</v>
      </c>
      <c r="O568" s="45">
        <f>IF(AP[[#This Row],[GST applies?]] = "Yes", (AP[[#This Row],[Invoice value inc. GST]] / 1 + AP[[#This Row],[GST %]]) * AP[[#This Row],[GST %]], 0)</f>
        <v>0</v>
      </c>
      <c r="P568" s="31">
        <f>_xlfn.XLOOKUP(AP[[#This Row],[Supplier name]], Supplier_master[Supplier name], Supplier_master[EOM or Net], 0)</f>
        <v>0</v>
      </c>
      <c r="Q568" s="31">
        <f>_xlfn.XLOOKUP(AP[[#This Row],[Supplier name]], Supplier_master[Supplier name], Supplier_master[Terms days], 0)</f>
        <v>0</v>
      </c>
      <c r="R5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8" s="4"/>
      <c r="T568" s="46">
        <f>IF(AP[[#This Row],[Payment date - override (dd/mm/yyyy)]] &lt;&gt; "", AP[[#This Row],[Payment date - override (dd/mm/yyyy)]], AP[[#This Row],[Due date (dd/mm/yyyy)]])</f>
        <v>0</v>
      </c>
      <c r="U568" s="46">
        <f t="shared" si="8"/>
        <v>52</v>
      </c>
    </row>
    <row r="569" spans="3:21" x14ac:dyDescent="0.25">
      <c r="C569" s="28"/>
      <c r="D569" s="20"/>
      <c r="E569" s="4"/>
      <c r="F569" s="37"/>
      <c r="G569" s="24"/>
      <c r="H569" s="31">
        <f>_xlfn.XLOOKUP(AP[[#This Row],[Supplier name]], Supplier_master[Supplier name], Supplier_master[Category L1], 0)</f>
        <v>0</v>
      </c>
      <c r="I569" s="64">
        <f>_xlfn.XLOOKUP(AP[[#This Row],[Supplier name]], Supplier_master[Supplier name], Supplier_master[Category L2], 0)</f>
        <v>0</v>
      </c>
      <c r="J569" s="55"/>
      <c r="K569" s="54"/>
      <c r="L569" s="57">
        <f>IF(AP[[#This Row],[Spend category L1 - Override]] &lt;&gt; "", AP[[#This Row],[Spend category L1 - Override]], AP[[#This Row],[Spend category L1]])</f>
        <v>0</v>
      </c>
      <c r="M569" s="57">
        <f>IF(AP[[#This Row],[Spend category L2 - Override]] &lt;&gt; "", AP[[#This Row],[Spend category L2 - Override]], AP[[#This Row],[Spend category L2]])</f>
        <v>0</v>
      </c>
      <c r="N569" s="51">
        <f>Assumptions!$D$15</f>
        <v>0.1</v>
      </c>
      <c r="O569" s="45">
        <f>IF(AP[[#This Row],[GST applies?]] = "Yes", (AP[[#This Row],[Invoice value inc. GST]] / 1 + AP[[#This Row],[GST %]]) * AP[[#This Row],[GST %]], 0)</f>
        <v>0</v>
      </c>
      <c r="P569" s="31">
        <f>_xlfn.XLOOKUP(AP[[#This Row],[Supplier name]], Supplier_master[Supplier name], Supplier_master[EOM or Net], 0)</f>
        <v>0</v>
      </c>
      <c r="Q569" s="31">
        <f>_xlfn.XLOOKUP(AP[[#This Row],[Supplier name]], Supplier_master[Supplier name], Supplier_master[Terms days], 0)</f>
        <v>0</v>
      </c>
      <c r="R5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9" s="4"/>
      <c r="T569" s="46">
        <f>IF(AP[[#This Row],[Payment date - override (dd/mm/yyyy)]] &lt;&gt; "", AP[[#This Row],[Payment date - override (dd/mm/yyyy)]], AP[[#This Row],[Due date (dd/mm/yyyy)]])</f>
        <v>0</v>
      </c>
      <c r="U569" s="46">
        <f t="shared" si="8"/>
        <v>52</v>
      </c>
    </row>
    <row r="570" spans="3:21" x14ac:dyDescent="0.25">
      <c r="C570" s="28"/>
      <c r="D570" s="20"/>
      <c r="E570" s="4"/>
      <c r="F570" s="37"/>
      <c r="G570" s="24"/>
      <c r="H570" s="31">
        <f>_xlfn.XLOOKUP(AP[[#This Row],[Supplier name]], Supplier_master[Supplier name], Supplier_master[Category L1], 0)</f>
        <v>0</v>
      </c>
      <c r="I570" s="64">
        <f>_xlfn.XLOOKUP(AP[[#This Row],[Supplier name]], Supplier_master[Supplier name], Supplier_master[Category L2], 0)</f>
        <v>0</v>
      </c>
      <c r="J570" s="55"/>
      <c r="K570" s="54"/>
      <c r="L570" s="57">
        <f>IF(AP[[#This Row],[Spend category L1 - Override]] &lt;&gt; "", AP[[#This Row],[Spend category L1 - Override]], AP[[#This Row],[Spend category L1]])</f>
        <v>0</v>
      </c>
      <c r="M570" s="57">
        <f>IF(AP[[#This Row],[Spend category L2 - Override]] &lt;&gt; "", AP[[#This Row],[Spend category L2 - Override]], AP[[#This Row],[Spend category L2]])</f>
        <v>0</v>
      </c>
      <c r="N570" s="51">
        <f>Assumptions!$D$15</f>
        <v>0.1</v>
      </c>
      <c r="O570" s="45">
        <f>IF(AP[[#This Row],[GST applies?]] = "Yes", (AP[[#This Row],[Invoice value inc. GST]] / 1 + AP[[#This Row],[GST %]]) * AP[[#This Row],[GST %]], 0)</f>
        <v>0</v>
      </c>
      <c r="P570" s="31">
        <f>_xlfn.XLOOKUP(AP[[#This Row],[Supplier name]], Supplier_master[Supplier name], Supplier_master[EOM or Net], 0)</f>
        <v>0</v>
      </c>
      <c r="Q570" s="31">
        <f>_xlfn.XLOOKUP(AP[[#This Row],[Supplier name]], Supplier_master[Supplier name], Supplier_master[Terms days], 0)</f>
        <v>0</v>
      </c>
      <c r="R5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0" s="4"/>
      <c r="T570" s="46">
        <f>IF(AP[[#This Row],[Payment date - override (dd/mm/yyyy)]] &lt;&gt; "", AP[[#This Row],[Payment date - override (dd/mm/yyyy)]], AP[[#This Row],[Due date (dd/mm/yyyy)]])</f>
        <v>0</v>
      </c>
      <c r="U570" s="46">
        <f t="shared" si="8"/>
        <v>52</v>
      </c>
    </row>
    <row r="571" spans="3:21" x14ac:dyDescent="0.25">
      <c r="C571" s="28"/>
      <c r="D571" s="20"/>
      <c r="E571" s="4"/>
      <c r="F571" s="37"/>
      <c r="G571" s="24"/>
      <c r="H571" s="31">
        <f>_xlfn.XLOOKUP(AP[[#This Row],[Supplier name]], Supplier_master[Supplier name], Supplier_master[Category L1], 0)</f>
        <v>0</v>
      </c>
      <c r="I571" s="64">
        <f>_xlfn.XLOOKUP(AP[[#This Row],[Supplier name]], Supplier_master[Supplier name], Supplier_master[Category L2], 0)</f>
        <v>0</v>
      </c>
      <c r="J571" s="55"/>
      <c r="K571" s="54"/>
      <c r="L571" s="57">
        <f>IF(AP[[#This Row],[Spend category L1 - Override]] &lt;&gt; "", AP[[#This Row],[Spend category L1 - Override]], AP[[#This Row],[Spend category L1]])</f>
        <v>0</v>
      </c>
      <c r="M571" s="57">
        <f>IF(AP[[#This Row],[Spend category L2 - Override]] &lt;&gt; "", AP[[#This Row],[Spend category L2 - Override]], AP[[#This Row],[Spend category L2]])</f>
        <v>0</v>
      </c>
      <c r="N571" s="51">
        <f>Assumptions!$D$15</f>
        <v>0.1</v>
      </c>
      <c r="O571" s="45">
        <f>IF(AP[[#This Row],[GST applies?]] = "Yes", (AP[[#This Row],[Invoice value inc. GST]] / 1 + AP[[#This Row],[GST %]]) * AP[[#This Row],[GST %]], 0)</f>
        <v>0</v>
      </c>
      <c r="P571" s="31">
        <f>_xlfn.XLOOKUP(AP[[#This Row],[Supplier name]], Supplier_master[Supplier name], Supplier_master[EOM or Net], 0)</f>
        <v>0</v>
      </c>
      <c r="Q571" s="31">
        <f>_xlfn.XLOOKUP(AP[[#This Row],[Supplier name]], Supplier_master[Supplier name], Supplier_master[Terms days], 0)</f>
        <v>0</v>
      </c>
      <c r="R5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1" s="4"/>
      <c r="T571" s="46">
        <f>IF(AP[[#This Row],[Payment date - override (dd/mm/yyyy)]] &lt;&gt; "", AP[[#This Row],[Payment date - override (dd/mm/yyyy)]], AP[[#This Row],[Due date (dd/mm/yyyy)]])</f>
        <v>0</v>
      </c>
      <c r="U571" s="46">
        <f t="shared" si="8"/>
        <v>52</v>
      </c>
    </row>
    <row r="572" spans="3:21" x14ac:dyDescent="0.25">
      <c r="C572" s="28"/>
      <c r="D572" s="20"/>
      <c r="E572" s="4"/>
      <c r="F572" s="37"/>
      <c r="G572" s="24"/>
      <c r="H572" s="31">
        <f>_xlfn.XLOOKUP(AP[[#This Row],[Supplier name]], Supplier_master[Supplier name], Supplier_master[Category L1], 0)</f>
        <v>0</v>
      </c>
      <c r="I572" s="64">
        <f>_xlfn.XLOOKUP(AP[[#This Row],[Supplier name]], Supplier_master[Supplier name], Supplier_master[Category L2], 0)</f>
        <v>0</v>
      </c>
      <c r="J572" s="55"/>
      <c r="K572" s="54"/>
      <c r="L572" s="57">
        <f>IF(AP[[#This Row],[Spend category L1 - Override]] &lt;&gt; "", AP[[#This Row],[Spend category L1 - Override]], AP[[#This Row],[Spend category L1]])</f>
        <v>0</v>
      </c>
      <c r="M572" s="57">
        <f>IF(AP[[#This Row],[Spend category L2 - Override]] &lt;&gt; "", AP[[#This Row],[Spend category L2 - Override]], AP[[#This Row],[Spend category L2]])</f>
        <v>0</v>
      </c>
      <c r="N572" s="51">
        <f>Assumptions!$D$15</f>
        <v>0.1</v>
      </c>
      <c r="O572" s="45">
        <f>IF(AP[[#This Row],[GST applies?]] = "Yes", (AP[[#This Row],[Invoice value inc. GST]] / 1 + AP[[#This Row],[GST %]]) * AP[[#This Row],[GST %]], 0)</f>
        <v>0</v>
      </c>
      <c r="P572" s="31">
        <f>_xlfn.XLOOKUP(AP[[#This Row],[Supplier name]], Supplier_master[Supplier name], Supplier_master[EOM or Net], 0)</f>
        <v>0</v>
      </c>
      <c r="Q572" s="31">
        <f>_xlfn.XLOOKUP(AP[[#This Row],[Supplier name]], Supplier_master[Supplier name], Supplier_master[Terms days], 0)</f>
        <v>0</v>
      </c>
      <c r="R5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2" s="4"/>
      <c r="T572" s="46">
        <f>IF(AP[[#This Row],[Payment date - override (dd/mm/yyyy)]] &lt;&gt; "", AP[[#This Row],[Payment date - override (dd/mm/yyyy)]], AP[[#This Row],[Due date (dd/mm/yyyy)]])</f>
        <v>0</v>
      </c>
      <c r="U572" s="46">
        <f t="shared" si="8"/>
        <v>52</v>
      </c>
    </row>
    <row r="573" spans="3:21" x14ac:dyDescent="0.25">
      <c r="C573" s="28"/>
      <c r="D573" s="20"/>
      <c r="E573" s="4"/>
      <c r="F573" s="37"/>
      <c r="G573" s="24"/>
      <c r="H573" s="31">
        <f>_xlfn.XLOOKUP(AP[[#This Row],[Supplier name]], Supplier_master[Supplier name], Supplier_master[Category L1], 0)</f>
        <v>0</v>
      </c>
      <c r="I573" s="64">
        <f>_xlfn.XLOOKUP(AP[[#This Row],[Supplier name]], Supplier_master[Supplier name], Supplier_master[Category L2], 0)</f>
        <v>0</v>
      </c>
      <c r="J573" s="55"/>
      <c r="K573" s="54"/>
      <c r="L573" s="57">
        <f>IF(AP[[#This Row],[Spend category L1 - Override]] &lt;&gt; "", AP[[#This Row],[Spend category L1 - Override]], AP[[#This Row],[Spend category L1]])</f>
        <v>0</v>
      </c>
      <c r="M573" s="57">
        <f>IF(AP[[#This Row],[Spend category L2 - Override]] &lt;&gt; "", AP[[#This Row],[Spend category L2 - Override]], AP[[#This Row],[Spend category L2]])</f>
        <v>0</v>
      </c>
      <c r="N573" s="51">
        <f>Assumptions!$D$15</f>
        <v>0.1</v>
      </c>
      <c r="O573" s="45">
        <f>IF(AP[[#This Row],[GST applies?]] = "Yes", (AP[[#This Row],[Invoice value inc. GST]] / 1 + AP[[#This Row],[GST %]]) * AP[[#This Row],[GST %]], 0)</f>
        <v>0</v>
      </c>
      <c r="P573" s="31">
        <f>_xlfn.XLOOKUP(AP[[#This Row],[Supplier name]], Supplier_master[Supplier name], Supplier_master[EOM or Net], 0)</f>
        <v>0</v>
      </c>
      <c r="Q573" s="31">
        <f>_xlfn.XLOOKUP(AP[[#This Row],[Supplier name]], Supplier_master[Supplier name], Supplier_master[Terms days], 0)</f>
        <v>0</v>
      </c>
      <c r="R5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3" s="4"/>
      <c r="T573" s="46">
        <f>IF(AP[[#This Row],[Payment date - override (dd/mm/yyyy)]] &lt;&gt; "", AP[[#This Row],[Payment date - override (dd/mm/yyyy)]], AP[[#This Row],[Due date (dd/mm/yyyy)]])</f>
        <v>0</v>
      </c>
      <c r="U573" s="46">
        <f t="shared" si="8"/>
        <v>52</v>
      </c>
    </row>
    <row r="574" spans="3:21" x14ac:dyDescent="0.25">
      <c r="C574" s="28"/>
      <c r="D574" s="20"/>
      <c r="E574" s="4"/>
      <c r="F574" s="37"/>
      <c r="G574" s="24"/>
      <c r="H574" s="31">
        <f>_xlfn.XLOOKUP(AP[[#This Row],[Supplier name]], Supplier_master[Supplier name], Supplier_master[Category L1], 0)</f>
        <v>0</v>
      </c>
      <c r="I574" s="64">
        <f>_xlfn.XLOOKUP(AP[[#This Row],[Supplier name]], Supplier_master[Supplier name], Supplier_master[Category L2], 0)</f>
        <v>0</v>
      </c>
      <c r="J574" s="55"/>
      <c r="K574" s="54"/>
      <c r="L574" s="57">
        <f>IF(AP[[#This Row],[Spend category L1 - Override]] &lt;&gt; "", AP[[#This Row],[Spend category L1 - Override]], AP[[#This Row],[Spend category L1]])</f>
        <v>0</v>
      </c>
      <c r="M574" s="57">
        <f>IF(AP[[#This Row],[Spend category L2 - Override]] &lt;&gt; "", AP[[#This Row],[Spend category L2 - Override]], AP[[#This Row],[Spend category L2]])</f>
        <v>0</v>
      </c>
      <c r="N574" s="51">
        <f>Assumptions!$D$15</f>
        <v>0.1</v>
      </c>
      <c r="O574" s="45">
        <f>IF(AP[[#This Row],[GST applies?]] = "Yes", (AP[[#This Row],[Invoice value inc. GST]] / 1 + AP[[#This Row],[GST %]]) * AP[[#This Row],[GST %]], 0)</f>
        <v>0</v>
      </c>
      <c r="P574" s="31">
        <f>_xlfn.XLOOKUP(AP[[#This Row],[Supplier name]], Supplier_master[Supplier name], Supplier_master[EOM or Net], 0)</f>
        <v>0</v>
      </c>
      <c r="Q574" s="31">
        <f>_xlfn.XLOOKUP(AP[[#This Row],[Supplier name]], Supplier_master[Supplier name], Supplier_master[Terms days], 0)</f>
        <v>0</v>
      </c>
      <c r="R5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4" s="4"/>
      <c r="T574" s="46">
        <f>IF(AP[[#This Row],[Payment date - override (dd/mm/yyyy)]] &lt;&gt; "", AP[[#This Row],[Payment date - override (dd/mm/yyyy)]], AP[[#This Row],[Due date (dd/mm/yyyy)]])</f>
        <v>0</v>
      </c>
      <c r="U574" s="46">
        <f t="shared" si="8"/>
        <v>52</v>
      </c>
    </row>
    <row r="575" spans="3:21" x14ac:dyDescent="0.25">
      <c r="C575" s="28"/>
      <c r="D575" s="20"/>
      <c r="E575" s="4"/>
      <c r="F575" s="37"/>
      <c r="G575" s="24"/>
      <c r="H575" s="31">
        <f>_xlfn.XLOOKUP(AP[[#This Row],[Supplier name]], Supplier_master[Supplier name], Supplier_master[Category L1], 0)</f>
        <v>0</v>
      </c>
      <c r="I575" s="64">
        <f>_xlfn.XLOOKUP(AP[[#This Row],[Supplier name]], Supplier_master[Supplier name], Supplier_master[Category L2], 0)</f>
        <v>0</v>
      </c>
      <c r="J575" s="55"/>
      <c r="K575" s="54"/>
      <c r="L575" s="57">
        <f>IF(AP[[#This Row],[Spend category L1 - Override]] &lt;&gt; "", AP[[#This Row],[Spend category L1 - Override]], AP[[#This Row],[Spend category L1]])</f>
        <v>0</v>
      </c>
      <c r="M575" s="57">
        <f>IF(AP[[#This Row],[Spend category L2 - Override]] &lt;&gt; "", AP[[#This Row],[Spend category L2 - Override]], AP[[#This Row],[Spend category L2]])</f>
        <v>0</v>
      </c>
      <c r="N575" s="51">
        <f>Assumptions!$D$15</f>
        <v>0.1</v>
      </c>
      <c r="O575" s="45">
        <f>IF(AP[[#This Row],[GST applies?]] = "Yes", (AP[[#This Row],[Invoice value inc. GST]] / 1 + AP[[#This Row],[GST %]]) * AP[[#This Row],[GST %]], 0)</f>
        <v>0</v>
      </c>
      <c r="P575" s="31">
        <f>_xlfn.XLOOKUP(AP[[#This Row],[Supplier name]], Supplier_master[Supplier name], Supplier_master[EOM or Net], 0)</f>
        <v>0</v>
      </c>
      <c r="Q575" s="31">
        <f>_xlfn.XLOOKUP(AP[[#This Row],[Supplier name]], Supplier_master[Supplier name], Supplier_master[Terms days], 0)</f>
        <v>0</v>
      </c>
      <c r="R5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5" s="4"/>
      <c r="T575" s="46">
        <f>IF(AP[[#This Row],[Payment date - override (dd/mm/yyyy)]] &lt;&gt; "", AP[[#This Row],[Payment date - override (dd/mm/yyyy)]], AP[[#This Row],[Due date (dd/mm/yyyy)]])</f>
        <v>0</v>
      </c>
      <c r="U575" s="46">
        <f t="shared" si="8"/>
        <v>52</v>
      </c>
    </row>
    <row r="576" spans="3:21" x14ac:dyDescent="0.25">
      <c r="C576" s="28"/>
      <c r="D576" s="20"/>
      <c r="E576" s="4"/>
      <c r="F576" s="37"/>
      <c r="G576" s="24"/>
      <c r="H576" s="31">
        <f>_xlfn.XLOOKUP(AP[[#This Row],[Supplier name]], Supplier_master[Supplier name], Supplier_master[Category L1], 0)</f>
        <v>0</v>
      </c>
      <c r="I576" s="64">
        <f>_xlfn.XLOOKUP(AP[[#This Row],[Supplier name]], Supplier_master[Supplier name], Supplier_master[Category L2], 0)</f>
        <v>0</v>
      </c>
      <c r="J576" s="55"/>
      <c r="K576" s="54"/>
      <c r="L576" s="57">
        <f>IF(AP[[#This Row],[Spend category L1 - Override]] &lt;&gt; "", AP[[#This Row],[Spend category L1 - Override]], AP[[#This Row],[Spend category L1]])</f>
        <v>0</v>
      </c>
      <c r="M576" s="57">
        <f>IF(AP[[#This Row],[Spend category L2 - Override]] &lt;&gt; "", AP[[#This Row],[Spend category L2 - Override]], AP[[#This Row],[Spend category L2]])</f>
        <v>0</v>
      </c>
      <c r="N576" s="51">
        <f>Assumptions!$D$15</f>
        <v>0.1</v>
      </c>
      <c r="O576" s="45">
        <f>IF(AP[[#This Row],[GST applies?]] = "Yes", (AP[[#This Row],[Invoice value inc. GST]] / 1 + AP[[#This Row],[GST %]]) * AP[[#This Row],[GST %]], 0)</f>
        <v>0</v>
      </c>
      <c r="P576" s="31">
        <f>_xlfn.XLOOKUP(AP[[#This Row],[Supplier name]], Supplier_master[Supplier name], Supplier_master[EOM or Net], 0)</f>
        <v>0</v>
      </c>
      <c r="Q576" s="31">
        <f>_xlfn.XLOOKUP(AP[[#This Row],[Supplier name]], Supplier_master[Supplier name], Supplier_master[Terms days], 0)</f>
        <v>0</v>
      </c>
      <c r="R5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6" s="4"/>
      <c r="T576" s="46">
        <f>IF(AP[[#This Row],[Payment date - override (dd/mm/yyyy)]] &lt;&gt; "", AP[[#This Row],[Payment date - override (dd/mm/yyyy)]], AP[[#This Row],[Due date (dd/mm/yyyy)]])</f>
        <v>0</v>
      </c>
      <c r="U576" s="46">
        <f t="shared" si="8"/>
        <v>52</v>
      </c>
    </row>
    <row r="577" spans="3:21" x14ac:dyDescent="0.25">
      <c r="C577" s="28"/>
      <c r="D577" s="20"/>
      <c r="E577" s="4"/>
      <c r="F577" s="37"/>
      <c r="G577" s="24"/>
      <c r="H577" s="31">
        <f>_xlfn.XLOOKUP(AP[[#This Row],[Supplier name]], Supplier_master[Supplier name], Supplier_master[Category L1], 0)</f>
        <v>0</v>
      </c>
      <c r="I577" s="64">
        <f>_xlfn.XLOOKUP(AP[[#This Row],[Supplier name]], Supplier_master[Supplier name], Supplier_master[Category L2], 0)</f>
        <v>0</v>
      </c>
      <c r="J577" s="55"/>
      <c r="K577" s="54"/>
      <c r="L577" s="57">
        <f>IF(AP[[#This Row],[Spend category L1 - Override]] &lt;&gt; "", AP[[#This Row],[Spend category L1 - Override]], AP[[#This Row],[Spend category L1]])</f>
        <v>0</v>
      </c>
      <c r="M577" s="57">
        <f>IF(AP[[#This Row],[Spend category L2 - Override]] &lt;&gt; "", AP[[#This Row],[Spend category L2 - Override]], AP[[#This Row],[Spend category L2]])</f>
        <v>0</v>
      </c>
      <c r="N577" s="51">
        <f>Assumptions!$D$15</f>
        <v>0.1</v>
      </c>
      <c r="O577" s="45">
        <f>IF(AP[[#This Row],[GST applies?]] = "Yes", (AP[[#This Row],[Invoice value inc. GST]] / 1 + AP[[#This Row],[GST %]]) * AP[[#This Row],[GST %]], 0)</f>
        <v>0</v>
      </c>
      <c r="P577" s="31">
        <f>_xlfn.XLOOKUP(AP[[#This Row],[Supplier name]], Supplier_master[Supplier name], Supplier_master[EOM or Net], 0)</f>
        <v>0</v>
      </c>
      <c r="Q577" s="31">
        <f>_xlfn.XLOOKUP(AP[[#This Row],[Supplier name]], Supplier_master[Supplier name], Supplier_master[Terms days], 0)</f>
        <v>0</v>
      </c>
      <c r="R5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7" s="4"/>
      <c r="T577" s="46">
        <f>IF(AP[[#This Row],[Payment date - override (dd/mm/yyyy)]] &lt;&gt; "", AP[[#This Row],[Payment date - override (dd/mm/yyyy)]], AP[[#This Row],[Due date (dd/mm/yyyy)]])</f>
        <v>0</v>
      </c>
      <c r="U577" s="46">
        <f t="shared" si="8"/>
        <v>52</v>
      </c>
    </row>
    <row r="578" spans="3:21" x14ac:dyDescent="0.25">
      <c r="C578" s="28"/>
      <c r="D578" s="20"/>
      <c r="E578" s="4"/>
      <c r="F578" s="37"/>
      <c r="G578" s="24"/>
      <c r="H578" s="31">
        <f>_xlfn.XLOOKUP(AP[[#This Row],[Supplier name]], Supplier_master[Supplier name], Supplier_master[Category L1], 0)</f>
        <v>0</v>
      </c>
      <c r="I578" s="64">
        <f>_xlfn.XLOOKUP(AP[[#This Row],[Supplier name]], Supplier_master[Supplier name], Supplier_master[Category L2], 0)</f>
        <v>0</v>
      </c>
      <c r="J578" s="55"/>
      <c r="K578" s="54"/>
      <c r="L578" s="57">
        <f>IF(AP[[#This Row],[Spend category L1 - Override]] &lt;&gt; "", AP[[#This Row],[Spend category L1 - Override]], AP[[#This Row],[Spend category L1]])</f>
        <v>0</v>
      </c>
      <c r="M578" s="57">
        <f>IF(AP[[#This Row],[Spend category L2 - Override]] &lt;&gt; "", AP[[#This Row],[Spend category L2 - Override]], AP[[#This Row],[Spend category L2]])</f>
        <v>0</v>
      </c>
      <c r="N578" s="51">
        <f>Assumptions!$D$15</f>
        <v>0.1</v>
      </c>
      <c r="O578" s="45">
        <f>IF(AP[[#This Row],[GST applies?]] = "Yes", (AP[[#This Row],[Invoice value inc. GST]] / 1 + AP[[#This Row],[GST %]]) * AP[[#This Row],[GST %]], 0)</f>
        <v>0</v>
      </c>
      <c r="P578" s="31">
        <f>_xlfn.XLOOKUP(AP[[#This Row],[Supplier name]], Supplier_master[Supplier name], Supplier_master[EOM or Net], 0)</f>
        <v>0</v>
      </c>
      <c r="Q578" s="31">
        <f>_xlfn.XLOOKUP(AP[[#This Row],[Supplier name]], Supplier_master[Supplier name], Supplier_master[Terms days], 0)</f>
        <v>0</v>
      </c>
      <c r="R5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8" s="4"/>
      <c r="T578" s="46">
        <f>IF(AP[[#This Row],[Payment date - override (dd/mm/yyyy)]] &lt;&gt; "", AP[[#This Row],[Payment date - override (dd/mm/yyyy)]], AP[[#This Row],[Due date (dd/mm/yyyy)]])</f>
        <v>0</v>
      </c>
      <c r="U578" s="46">
        <f t="shared" si="8"/>
        <v>52</v>
      </c>
    </row>
    <row r="579" spans="3:21" x14ac:dyDescent="0.25">
      <c r="C579" s="28"/>
      <c r="D579" s="20"/>
      <c r="E579" s="4"/>
      <c r="F579" s="37"/>
      <c r="G579" s="24"/>
      <c r="H579" s="31">
        <f>_xlfn.XLOOKUP(AP[[#This Row],[Supplier name]], Supplier_master[Supplier name], Supplier_master[Category L1], 0)</f>
        <v>0</v>
      </c>
      <c r="I579" s="64">
        <f>_xlfn.XLOOKUP(AP[[#This Row],[Supplier name]], Supplier_master[Supplier name], Supplier_master[Category L2], 0)</f>
        <v>0</v>
      </c>
      <c r="J579" s="55"/>
      <c r="K579" s="54"/>
      <c r="L579" s="57">
        <f>IF(AP[[#This Row],[Spend category L1 - Override]] &lt;&gt; "", AP[[#This Row],[Spend category L1 - Override]], AP[[#This Row],[Spend category L1]])</f>
        <v>0</v>
      </c>
      <c r="M579" s="57">
        <f>IF(AP[[#This Row],[Spend category L2 - Override]] &lt;&gt; "", AP[[#This Row],[Spend category L2 - Override]], AP[[#This Row],[Spend category L2]])</f>
        <v>0</v>
      </c>
      <c r="N579" s="51">
        <f>Assumptions!$D$15</f>
        <v>0.1</v>
      </c>
      <c r="O579" s="45">
        <f>IF(AP[[#This Row],[GST applies?]] = "Yes", (AP[[#This Row],[Invoice value inc. GST]] / 1 + AP[[#This Row],[GST %]]) * AP[[#This Row],[GST %]], 0)</f>
        <v>0</v>
      </c>
      <c r="P579" s="31">
        <f>_xlfn.XLOOKUP(AP[[#This Row],[Supplier name]], Supplier_master[Supplier name], Supplier_master[EOM or Net], 0)</f>
        <v>0</v>
      </c>
      <c r="Q579" s="31">
        <f>_xlfn.XLOOKUP(AP[[#This Row],[Supplier name]], Supplier_master[Supplier name], Supplier_master[Terms days], 0)</f>
        <v>0</v>
      </c>
      <c r="R5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9" s="4"/>
      <c r="T579" s="46">
        <f>IF(AP[[#This Row],[Payment date - override (dd/mm/yyyy)]] &lt;&gt; "", AP[[#This Row],[Payment date - override (dd/mm/yyyy)]], AP[[#This Row],[Due date (dd/mm/yyyy)]])</f>
        <v>0</v>
      </c>
      <c r="U579" s="46">
        <f t="shared" si="8"/>
        <v>52</v>
      </c>
    </row>
    <row r="580" spans="3:21" x14ac:dyDescent="0.25">
      <c r="C580" s="28"/>
      <c r="D580" s="20"/>
      <c r="E580" s="4"/>
      <c r="F580" s="37"/>
      <c r="G580" s="24"/>
      <c r="H580" s="31">
        <f>_xlfn.XLOOKUP(AP[[#This Row],[Supplier name]], Supplier_master[Supplier name], Supplier_master[Category L1], 0)</f>
        <v>0</v>
      </c>
      <c r="I580" s="64">
        <f>_xlfn.XLOOKUP(AP[[#This Row],[Supplier name]], Supplier_master[Supplier name], Supplier_master[Category L2], 0)</f>
        <v>0</v>
      </c>
      <c r="J580" s="55"/>
      <c r="K580" s="54"/>
      <c r="L580" s="57">
        <f>IF(AP[[#This Row],[Spend category L1 - Override]] &lt;&gt; "", AP[[#This Row],[Spend category L1 - Override]], AP[[#This Row],[Spend category L1]])</f>
        <v>0</v>
      </c>
      <c r="M580" s="57">
        <f>IF(AP[[#This Row],[Spend category L2 - Override]] &lt;&gt; "", AP[[#This Row],[Spend category L2 - Override]], AP[[#This Row],[Spend category L2]])</f>
        <v>0</v>
      </c>
      <c r="N580" s="51">
        <f>Assumptions!$D$15</f>
        <v>0.1</v>
      </c>
      <c r="O580" s="45">
        <f>IF(AP[[#This Row],[GST applies?]] = "Yes", (AP[[#This Row],[Invoice value inc. GST]] / 1 + AP[[#This Row],[GST %]]) * AP[[#This Row],[GST %]], 0)</f>
        <v>0</v>
      </c>
      <c r="P580" s="31">
        <f>_xlfn.XLOOKUP(AP[[#This Row],[Supplier name]], Supplier_master[Supplier name], Supplier_master[EOM or Net], 0)</f>
        <v>0</v>
      </c>
      <c r="Q580" s="31">
        <f>_xlfn.XLOOKUP(AP[[#This Row],[Supplier name]], Supplier_master[Supplier name], Supplier_master[Terms days], 0)</f>
        <v>0</v>
      </c>
      <c r="R5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0" s="4"/>
      <c r="T580" s="46">
        <f>IF(AP[[#This Row],[Payment date - override (dd/mm/yyyy)]] &lt;&gt; "", AP[[#This Row],[Payment date - override (dd/mm/yyyy)]], AP[[#This Row],[Due date (dd/mm/yyyy)]])</f>
        <v>0</v>
      </c>
      <c r="U580" s="46">
        <f t="shared" si="8"/>
        <v>52</v>
      </c>
    </row>
    <row r="581" spans="3:21" x14ac:dyDescent="0.25">
      <c r="C581" s="28"/>
      <c r="D581" s="20"/>
      <c r="E581" s="4"/>
      <c r="F581" s="37"/>
      <c r="G581" s="24"/>
      <c r="H581" s="31">
        <f>_xlfn.XLOOKUP(AP[[#This Row],[Supplier name]], Supplier_master[Supplier name], Supplier_master[Category L1], 0)</f>
        <v>0</v>
      </c>
      <c r="I581" s="64">
        <f>_xlfn.XLOOKUP(AP[[#This Row],[Supplier name]], Supplier_master[Supplier name], Supplier_master[Category L2], 0)</f>
        <v>0</v>
      </c>
      <c r="J581" s="55"/>
      <c r="K581" s="54"/>
      <c r="L581" s="57">
        <f>IF(AP[[#This Row],[Spend category L1 - Override]] &lt;&gt; "", AP[[#This Row],[Spend category L1 - Override]], AP[[#This Row],[Spend category L1]])</f>
        <v>0</v>
      </c>
      <c r="M581" s="57">
        <f>IF(AP[[#This Row],[Spend category L2 - Override]] &lt;&gt; "", AP[[#This Row],[Spend category L2 - Override]], AP[[#This Row],[Spend category L2]])</f>
        <v>0</v>
      </c>
      <c r="N581" s="51">
        <f>Assumptions!$D$15</f>
        <v>0.1</v>
      </c>
      <c r="O581" s="45">
        <f>IF(AP[[#This Row],[GST applies?]] = "Yes", (AP[[#This Row],[Invoice value inc. GST]] / 1 + AP[[#This Row],[GST %]]) * AP[[#This Row],[GST %]], 0)</f>
        <v>0</v>
      </c>
      <c r="P581" s="31">
        <f>_xlfn.XLOOKUP(AP[[#This Row],[Supplier name]], Supplier_master[Supplier name], Supplier_master[EOM or Net], 0)</f>
        <v>0</v>
      </c>
      <c r="Q581" s="31">
        <f>_xlfn.XLOOKUP(AP[[#This Row],[Supplier name]], Supplier_master[Supplier name], Supplier_master[Terms days], 0)</f>
        <v>0</v>
      </c>
      <c r="R5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1" s="4"/>
      <c r="T581" s="46">
        <f>IF(AP[[#This Row],[Payment date - override (dd/mm/yyyy)]] &lt;&gt; "", AP[[#This Row],[Payment date - override (dd/mm/yyyy)]], AP[[#This Row],[Due date (dd/mm/yyyy)]])</f>
        <v>0</v>
      </c>
      <c r="U581" s="46">
        <f t="shared" si="8"/>
        <v>52</v>
      </c>
    </row>
    <row r="582" spans="3:21" x14ac:dyDescent="0.25">
      <c r="C582" s="28"/>
      <c r="D582" s="20"/>
      <c r="E582" s="4"/>
      <c r="F582" s="37"/>
      <c r="G582" s="24"/>
      <c r="H582" s="31">
        <f>_xlfn.XLOOKUP(AP[[#This Row],[Supplier name]], Supplier_master[Supplier name], Supplier_master[Category L1], 0)</f>
        <v>0</v>
      </c>
      <c r="I582" s="64">
        <f>_xlfn.XLOOKUP(AP[[#This Row],[Supplier name]], Supplier_master[Supplier name], Supplier_master[Category L2], 0)</f>
        <v>0</v>
      </c>
      <c r="J582" s="55"/>
      <c r="K582" s="54"/>
      <c r="L582" s="57">
        <f>IF(AP[[#This Row],[Spend category L1 - Override]] &lt;&gt; "", AP[[#This Row],[Spend category L1 - Override]], AP[[#This Row],[Spend category L1]])</f>
        <v>0</v>
      </c>
      <c r="M582" s="57">
        <f>IF(AP[[#This Row],[Spend category L2 - Override]] &lt;&gt; "", AP[[#This Row],[Spend category L2 - Override]], AP[[#This Row],[Spend category L2]])</f>
        <v>0</v>
      </c>
      <c r="N582" s="51">
        <f>Assumptions!$D$15</f>
        <v>0.1</v>
      </c>
      <c r="O582" s="45">
        <f>IF(AP[[#This Row],[GST applies?]] = "Yes", (AP[[#This Row],[Invoice value inc. GST]] / 1 + AP[[#This Row],[GST %]]) * AP[[#This Row],[GST %]], 0)</f>
        <v>0</v>
      </c>
      <c r="P582" s="31">
        <f>_xlfn.XLOOKUP(AP[[#This Row],[Supplier name]], Supplier_master[Supplier name], Supplier_master[EOM or Net], 0)</f>
        <v>0</v>
      </c>
      <c r="Q582" s="31">
        <f>_xlfn.XLOOKUP(AP[[#This Row],[Supplier name]], Supplier_master[Supplier name], Supplier_master[Terms days], 0)</f>
        <v>0</v>
      </c>
      <c r="R5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2" s="4"/>
      <c r="T582" s="46">
        <f>IF(AP[[#This Row],[Payment date - override (dd/mm/yyyy)]] &lt;&gt; "", AP[[#This Row],[Payment date - override (dd/mm/yyyy)]], AP[[#This Row],[Due date (dd/mm/yyyy)]])</f>
        <v>0</v>
      </c>
      <c r="U582" s="46">
        <f t="shared" si="8"/>
        <v>52</v>
      </c>
    </row>
    <row r="583" spans="3:21" x14ac:dyDescent="0.25">
      <c r="C583" s="28"/>
      <c r="D583" s="20"/>
      <c r="E583" s="4"/>
      <c r="F583" s="37"/>
      <c r="G583" s="24"/>
      <c r="H583" s="31">
        <f>_xlfn.XLOOKUP(AP[[#This Row],[Supplier name]], Supplier_master[Supplier name], Supplier_master[Category L1], 0)</f>
        <v>0</v>
      </c>
      <c r="I583" s="64">
        <f>_xlfn.XLOOKUP(AP[[#This Row],[Supplier name]], Supplier_master[Supplier name], Supplier_master[Category L2], 0)</f>
        <v>0</v>
      </c>
      <c r="J583" s="55"/>
      <c r="K583" s="54"/>
      <c r="L583" s="57">
        <f>IF(AP[[#This Row],[Spend category L1 - Override]] &lt;&gt; "", AP[[#This Row],[Spend category L1 - Override]], AP[[#This Row],[Spend category L1]])</f>
        <v>0</v>
      </c>
      <c r="M583" s="57">
        <f>IF(AP[[#This Row],[Spend category L2 - Override]] &lt;&gt; "", AP[[#This Row],[Spend category L2 - Override]], AP[[#This Row],[Spend category L2]])</f>
        <v>0</v>
      </c>
      <c r="N583" s="51">
        <f>Assumptions!$D$15</f>
        <v>0.1</v>
      </c>
      <c r="O583" s="45">
        <f>IF(AP[[#This Row],[GST applies?]] = "Yes", (AP[[#This Row],[Invoice value inc. GST]] / 1 + AP[[#This Row],[GST %]]) * AP[[#This Row],[GST %]], 0)</f>
        <v>0</v>
      </c>
      <c r="P583" s="31">
        <f>_xlfn.XLOOKUP(AP[[#This Row],[Supplier name]], Supplier_master[Supplier name], Supplier_master[EOM or Net], 0)</f>
        <v>0</v>
      </c>
      <c r="Q583" s="31">
        <f>_xlfn.XLOOKUP(AP[[#This Row],[Supplier name]], Supplier_master[Supplier name], Supplier_master[Terms days], 0)</f>
        <v>0</v>
      </c>
      <c r="R5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3" s="4"/>
      <c r="T583" s="46">
        <f>IF(AP[[#This Row],[Payment date - override (dd/mm/yyyy)]] &lt;&gt; "", AP[[#This Row],[Payment date - override (dd/mm/yyyy)]], AP[[#This Row],[Due date (dd/mm/yyyy)]])</f>
        <v>0</v>
      </c>
      <c r="U583" s="46">
        <f t="shared" si="8"/>
        <v>52</v>
      </c>
    </row>
    <row r="584" spans="3:21" x14ac:dyDescent="0.25">
      <c r="C584" s="28"/>
      <c r="D584" s="20"/>
      <c r="E584" s="4"/>
      <c r="F584" s="37"/>
      <c r="G584" s="24"/>
      <c r="H584" s="31">
        <f>_xlfn.XLOOKUP(AP[[#This Row],[Supplier name]], Supplier_master[Supplier name], Supplier_master[Category L1], 0)</f>
        <v>0</v>
      </c>
      <c r="I584" s="64">
        <f>_xlfn.XLOOKUP(AP[[#This Row],[Supplier name]], Supplier_master[Supplier name], Supplier_master[Category L2], 0)</f>
        <v>0</v>
      </c>
      <c r="J584" s="55"/>
      <c r="K584" s="54"/>
      <c r="L584" s="57">
        <f>IF(AP[[#This Row],[Spend category L1 - Override]] &lt;&gt; "", AP[[#This Row],[Spend category L1 - Override]], AP[[#This Row],[Spend category L1]])</f>
        <v>0</v>
      </c>
      <c r="M584" s="57">
        <f>IF(AP[[#This Row],[Spend category L2 - Override]] &lt;&gt; "", AP[[#This Row],[Spend category L2 - Override]], AP[[#This Row],[Spend category L2]])</f>
        <v>0</v>
      </c>
      <c r="N584" s="51">
        <f>Assumptions!$D$15</f>
        <v>0.1</v>
      </c>
      <c r="O584" s="45">
        <f>IF(AP[[#This Row],[GST applies?]] = "Yes", (AP[[#This Row],[Invoice value inc. GST]] / 1 + AP[[#This Row],[GST %]]) * AP[[#This Row],[GST %]], 0)</f>
        <v>0</v>
      </c>
      <c r="P584" s="31">
        <f>_xlfn.XLOOKUP(AP[[#This Row],[Supplier name]], Supplier_master[Supplier name], Supplier_master[EOM or Net], 0)</f>
        <v>0</v>
      </c>
      <c r="Q584" s="31">
        <f>_xlfn.XLOOKUP(AP[[#This Row],[Supplier name]], Supplier_master[Supplier name], Supplier_master[Terms days], 0)</f>
        <v>0</v>
      </c>
      <c r="R5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4" s="4"/>
      <c r="T584" s="46">
        <f>IF(AP[[#This Row],[Payment date - override (dd/mm/yyyy)]] &lt;&gt; "", AP[[#This Row],[Payment date - override (dd/mm/yyyy)]], AP[[#This Row],[Due date (dd/mm/yyyy)]])</f>
        <v>0</v>
      </c>
      <c r="U584" s="46">
        <f t="shared" si="8"/>
        <v>52</v>
      </c>
    </row>
    <row r="585" spans="3:21" x14ac:dyDescent="0.25">
      <c r="C585" s="28"/>
      <c r="D585" s="20"/>
      <c r="E585" s="4"/>
      <c r="F585" s="37"/>
      <c r="G585" s="24"/>
      <c r="H585" s="31">
        <f>_xlfn.XLOOKUP(AP[[#This Row],[Supplier name]], Supplier_master[Supplier name], Supplier_master[Category L1], 0)</f>
        <v>0</v>
      </c>
      <c r="I585" s="64">
        <f>_xlfn.XLOOKUP(AP[[#This Row],[Supplier name]], Supplier_master[Supplier name], Supplier_master[Category L2], 0)</f>
        <v>0</v>
      </c>
      <c r="J585" s="55"/>
      <c r="K585" s="54"/>
      <c r="L585" s="57">
        <f>IF(AP[[#This Row],[Spend category L1 - Override]] &lt;&gt; "", AP[[#This Row],[Spend category L1 - Override]], AP[[#This Row],[Spend category L1]])</f>
        <v>0</v>
      </c>
      <c r="M585" s="57">
        <f>IF(AP[[#This Row],[Spend category L2 - Override]] &lt;&gt; "", AP[[#This Row],[Spend category L2 - Override]], AP[[#This Row],[Spend category L2]])</f>
        <v>0</v>
      </c>
      <c r="N585" s="51">
        <f>Assumptions!$D$15</f>
        <v>0.1</v>
      </c>
      <c r="O585" s="45">
        <f>IF(AP[[#This Row],[GST applies?]] = "Yes", (AP[[#This Row],[Invoice value inc. GST]] / 1 + AP[[#This Row],[GST %]]) * AP[[#This Row],[GST %]], 0)</f>
        <v>0</v>
      </c>
      <c r="P585" s="31">
        <f>_xlfn.XLOOKUP(AP[[#This Row],[Supplier name]], Supplier_master[Supplier name], Supplier_master[EOM or Net], 0)</f>
        <v>0</v>
      </c>
      <c r="Q585" s="31">
        <f>_xlfn.XLOOKUP(AP[[#This Row],[Supplier name]], Supplier_master[Supplier name], Supplier_master[Terms days], 0)</f>
        <v>0</v>
      </c>
      <c r="R5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5" s="4"/>
      <c r="T585" s="46">
        <f>IF(AP[[#This Row],[Payment date - override (dd/mm/yyyy)]] &lt;&gt; "", AP[[#This Row],[Payment date - override (dd/mm/yyyy)]], AP[[#This Row],[Due date (dd/mm/yyyy)]])</f>
        <v>0</v>
      </c>
      <c r="U585" s="46">
        <f t="shared" ref="U585:U648" si="9">IF(GST_Freq="Monthly",
    DATE(YEAR(E585), MONTH(E585) + 1, 21),
    IF(GST_Freq="Quarterly",
        IF(MOD(MONTH(E585) + 2 - MOD(MOD(MONTH(E585) - GST_First_Month, 12), 3), 12) = 0,
            DATE(YEAR(E585), MONTH(E585) + 4 - MOD(MOD(MONTH(E585) - GST_First_Month, 12), 3), 28),
            DATE(YEAR(E585), MONTH(E585) + 3 - MOD(MOD(MONTH(E585) - GST_First_Month, 12), 3), 28)
        ),
        "Invalid frequency"
    )
)</f>
        <v>52</v>
      </c>
    </row>
    <row r="586" spans="3:21" x14ac:dyDescent="0.25">
      <c r="C586" s="28"/>
      <c r="D586" s="20"/>
      <c r="E586" s="4"/>
      <c r="F586" s="37"/>
      <c r="G586" s="24"/>
      <c r="H586" s="31">
        <f>_xlfn.XLOOKUP(AP[[#This Row],[Supplier name]], Supplier_master[Supplier name], Supplier_master[Category L1], 0)</f>
        <v>0</v>
      </c>
      <c r="I586" s="64">
        <f>_xlfn.XLOOKUP(AP[[#This Row],[Supplier name]], Supplier_master[Supplier name], Supplier_master[Category L2], 0)</f>
        <v>0</v>
      </c>
      <c r="J586" s="55"/>
      <c r="K586" s="54"/>
      <c r="L586" s="57">
        <f>IF(AP[[#This Row],[Spend category L1 - Override]] &lt;&gt; "", AP[[#This Row],[Spend category L1 - Override]], AP[[#This Row],[Spend category L1]])</f>
        <v>0</v>
      </c>
      <c r="M586" s="57">
        <f>IF(AP[[#This Row],[Spend category L2 - Override]] &lt;&gt; "", AP[[#This Row],[Spend category L2 - Override]], AP[[#This Row],[Spend category L2]])</f>
        <v>0</v>
      </c>
      <c r="N586" s="51">
        <f>Assumptions!$D$15</f>
        <v>0.1</v>
      </c>
      <c r="O586" s="45">
        <f>IF(AP[[#This Row],[GST applies?]] = "Yes", (AP[[#This Row],[Invoice value inc. GST]] / 1 + AP[[#This Row],[GST %]]) * AP[[#This Row],[GST %]], 0)</f>
        <v>0</v>
      </c>
      <c r="P586" s="31">
        <f>_xlfn.XLOOKUP(AP[[#This Row],[Supplier name]], Supplier_master[Supplier name], Supplier_master[EOM or Net], 0)</f>
        <v>0</v>
      </c>
      <c r="Q586" s="31">
        <f>_xlfn.XLOOKUP(AP[[#This Row],[Supplier name]], Supplier_master[Supplier name], Supplier_master[Terms days], 0)</f>
        <v>0</v>
      </c>
      <c r="R5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6" s="4"/>
      <c r="T586" s="46">
        <f>IF(AP[[#This Row],[Payment date - override (dd/mm/yyyy)]] &lt;&gt; "", AP[[#This Row],[Payment date - override (dd/mm/yyyy)]], AP[[#This Row],[Due date (dd/mm/yyyy)]])</f>
        <v>0</v>
      </c>
      <c r="U586" s="46">
        <f t="shared" si="9"/>
        <v>52</v>
      </c>
    </row>
    <row r="587" spans="3:21" x14ac:dyDescent="0.25">
      <c r="C587" s="28"/>
      <c r="D587" s="20"/>
      <c r="E587" s="4"/>
      <c r="F587" s="37"/>
      <c r="G587" s="24"/>
      <c r="H587" s="31">
        <f>_xlfn.XLOOKUP(AP[[#This Row],[Supplier name]], Supplier_master[Supplier name], Supplier_master[Category L1], 0)</f>
        <v>0</v>
      </c>
      <c r="I587" s="64">
        <f>_xlfn.XLOOKUP(AP[[#This Row],[Supplier name]], Supplier_master[Supplier name], Supplier_master[Category L2], 0)</f>
        <v>0</v>
      </c>
      <c r="J587" s="55"/>
      <c r="K587" s="54"/>
      <c r="L587" s="57">
        <f>IF(AP[[#This Row],[Spend category L1 - Override]] &lt;&gt; "", AP[[#This Row],[Spend category L1 - Override]], AP[[#This Row],[Spend category L1]])</f>
        <v>0</v>
      </c>
      <c r="M587" s="57">
        <f>IF(AP[[#This Row],[Spend category L2 - Override]] &lt;&gt; "", AP[[#This Row],[Spend category L2 - Override]], AP[[#This Row],[Spend category L2]])</f>
        <v>0</v>
      </c>
      <c r="N587" s="51">
        <f>Assumptions!$D$15</f>
        <v>0.1</v>
      </c>
      <c r="O587" s="45">
        <f>IF(AP[[#This Row],[GST applies?]] = "Yes", (AP[[#This Row],[Invoice value inc. GST]] / 1 + AP[[#This Row],[GST %]]) * AP[[#This Row],[GST %]], 0)</f>
        <v>0</v>
      </c>
      <c r="P587" s="31">
        <f>_xlfn.XLOOKUP(AP[[#This Row],[Supplier name]], Supplier_master[Supplier name], Supplier_master[EOM or Net], 0)</f>
        <v>0</v>
      </c>
      <c r="Q587" s="31">
        <f>_xlfn.XLOOKUP(AP[[#This Row],[Supplier name]], Supplier_master[Supplier name], Supplier_master[Terms days], 0)</f>
        <v>0</v>
      </c>
      <c r="R5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7" s="4"/>
      <c r="T587" s="46">
        <f>IF(AP[[#This Row],[Payment date - override (dd/mm/yyyy)]] &lt;&gt; "", AP[[#This Row],[Payment date - override (dd/mm/yyyy)]], AP[[#This Row],[Due date (dd/mm/yyyy)]])</f>
        <v>0</v>
      </c>
      <c r="U587" s="46">
        <f t="shared" si="9"/>
        <v>52</v>
      </c>
    </row>
    <row r="588" spans="3:21" x14ac:dyDescent="0.25">
      <c r="C588" s="28"/>
      <c r="D588" s="20"/>
      <c r="E588" s="4"/>
      <c r="F588" s="37"/>
      <c r="G588" s="24"/>
      <c r="H588" s="31">
        <f>_xlfn.XLOOKUP(AP[[#This Row],[Supplier name]], Supplier_master[Supplier name], Supplier_master[Category L1], 0)</f>
        <v>0</v>
      </c>
      <c r="I588" s="64">
        <f>_xlfn.XLOOKUP(AP[[#This Row],[Supplier name]], Supplier_master[Supplier name], Supplier_master[Category L2], 0)</f>
        <v>0</v>
      </c>
      <c r="J588" s="55"/>
      <c r="K588" s="54"/>
      <c r="L588" s="57">
        <f>IF(AP[[#This Row],[Spend category L1 - Override]] &lt;&gt; "", AP[[#This Row],[Spend category L1 - Override]], AP[[#This Row],[Spend category L1]])</f>
        <v>0</v>
      </c>
      <c r="M588" s="57">
        <f>IF(AP[[#This Row],[Spend category L2 - Override]] &lt;&gt; "", AP[[#This Row],[Spend category L2 - Override]], AP[[#This Row],[Spend category L2]])</f>
        <v>0</v>
      </c>
      <c r="N588" s="51">
        <f>Assumptions!$D$15</f>
        <v>0.1</v>
      </c>
      <c r="O588" s="45">
        <f>IF(AP[[#This Row],[GST applies?]] = "Yes", (AP[[#This Row],[Invoice value inc. GST]] / 1 + AP[[#This Row],[GST %]]) * AP[[#This Row],[GST %]], 0)</f>
        <v>0</v>
      </c>
      <c r="P588" s="31">
        <f>_xlfn.XLOOKUP(AP[[#This Row],[Supplier name]], Supplier_master[Supplier name], Supplier_master[EOM or Net], 0)</f>
        <v>0</v>
      </c>
      <c r="Q588" s="31">
        <f>_xlfn.XLOOKUP(AP[[#This Row],[Supplier name]], Supplier_master[Supplier name], Supplier_master[Terms days], 0)</f>
        <v>0</v>
      </c>
      <c r="R5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8" s="4"/>
      <c r="T588" s="46">
        <f>IF(AP[[#This Row],[Payment date - override (dd/mm/yyyy)]] &lt;&gt; "", AP[[#This Row],[Payment date - override (dd/mm/yyyy)]], AP[[#This Row],[Due date (dd/mm/yyyy)]])</f>
        <v>0</v>
      </c>
      <c r="U588" s="46">
        <f t="shared" si="9"/>
        <v>52</v>
      </c>
    </row>
    <row r="589" spans="3:21" x14ac:dyDescent="0.25">
      <c r="C589" s="28"/>
      <c r="D589" s="20"/>
      <c r="E589" s="4"/>
      <c r="F589" s="37"/>
      <c r="G589" s="24"/>
      <c r="H589" s="31">
        <f>_xlfn.XLOOKUP(AP[[#This Row],[Supplier name]], Supplier_master[Supplier name], Supplier_master[Category L1], 0)</f>
        <v>0</v>
      </c>
      <c r="I589" s="64">
        <f>_xlfn.XLOOKUP(AP[[#This Row],[Supplier name]], Supplier_master[Supplier name], Supplier_master[Category L2], 0)</f>
        <v>0</v>
      </c>
      <c r="J589" s="55"/>
      <c r="K589" s="54"/>
      <c r="L589" s="57">
        <f>IF(AP[[#This Row],[Spend category L1 - Override]] &lt;&gt; "", AP[[#This Row],[Spend category L1 - Override]], AP[[#This Row],[Spend category L1]])</f>
        <v>0</v>
      </c>
      <c r="M589" s="57">
        <f>IF(AP[[#This Row],[Spend category L2 - Override]] &lt;&gt; "", AP[[#This Row],[Spend category L2 - Override]], AP[[#This Row],[Spend category L2]])</f>
        <v>0</v>
      </c>
      <c r="N589" s="51">
        <f>Assumptions!$D$15</f>
        <v>0.1</v>
      </c>
      <c r="O589" s="45">
        <f>IF(AP[[#This Row],[GST applies?]] = "Yes", (AP[[#This Row],[Invoice value inc. GST]] / 1 + AP[[#This Row],[GST %]]) * AP[[#This Row],[GST %]], 0)</f>
        <v>0</v>
      </c>
      <c r="P589" s="31">
        <f>_xlfn.XLOOKUP(AP[[#This Row],[Supplier name]], Supplier_master[Supplier name], Supplier_master[EOM or Net], 0)</f>
        <v>0</v>
      </c>
      <c r="Q589" s="31">
        <f>_xlfn.XLOOKUP(AP[[#This Row],[Supplier name]], Supplier_master[Supplier name], Supplier_master[Terms days], 0)</f>
        <v>0</v>
      </c>
      <c r="R5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9" s="4"/>
      <c r="T589" s="46">
        <f>IF(AP[[#This Row],[Payment date - override (dd/mm/yyyy)]] &lt;&gt; "", AP[[#This Row],[Payment date - override (dd/mm/yyyy)]], AP[[#This Row],[Due date (dd/mm/yyyy)]])</f>
        <v>0</v>
      </c>
      <c r="U589" s="46">
        <f t="shared" si="9"/>
        <v>52</v>
      </c>
    </row>
    <row r="590" spans="3:21" x14ac:dyDescent="0.25">
      <c r="C590" s="28"/>
      <c r="D590" s="20"/>
      <c r="E590" s="4"/>
      <c r="F590" s="37"/>
      <c r="G590" s="24"/>
      <c r="H590" s="31">
        <f>_xlfn.XLOOKUP(AP[[#This Row],[Supplier name]], Supplier_master[Supplier name], Supplier_master[Category L1], 0)</f>
        <v>0</v>
      </c>
      <c r="I590" s="64">
        <f>_xlfn.XLOOKUP(AP[[#This Row],[Supplier name]], Supplier_master[Supplier name], Supplier_master[Category L2], 0)</f>
        <v>0</v>
      </c>
      <c r="J590" s="55"/>
      <c r="K590" s="54"/>
      <c r="L590" s="57">
        <f>IF(AP[[#This Row],[Spend category L1 - Override]] &lt;&gt; "", AP[[#This Row],[Spend category L1 - Override]], AP[[#This Row],[Spend category L1]])</f>
        <v>0</v>
      </c>
      <c r="M590" s="57">
        <f>IF(AP[[#This Row],[Spend category L2 - Override]] &lt;&gt; "", AP[[#This Row],[Spend category L2 - Override]], AP[[#This Row],[Spend category L2]])</f>
        <v>0</v>
      </c>
      <c r="N590" s="51">
        <f>Assumptions!$D$15</f>
        <v>0.1</v>
      </c>
      <c r="O590" s="45">
        <f>IF(AP[[#This Row],[GST applies?]] = "Yes", (AP[[#This Row],[Invoice value inc. GST]] / 1 + AP[[#This Row],[GST %]]) * AP[[#This Row],[GST %]], 0)</f>
        <v>0</v>
      </c>
      <c r="P590" s="31">
        <f>_xlfn.XLOOKUP(AP[[#This Row],[Supplier name]], Supplier_master[Supplier name], Supplier_master[EOM or Net], 0)</f>
        <v>0</v>
      </c>
      <c r="Q590" s="31">
        <f>_xlfn.XLOOKUP(AP[[#This Row],[Supplier name]], Supplier_master[Supplier name], Supplier_master[Terms days], 0)</f>
        <v>0</v>
      </c>
      <c r="R5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0" s="4"/>
      <c r="T590" s="46">
        <f>IF(AP[[#This Row],[Payment date - override (dd/mm/yyyy)]] &lt;&gt; "", AP[[#This Row],[Payment date - override (dd/mm/yyyy)]], AP[[#This Row],[Due date (dd/mm/yyyy)]])</f>
        <v>0</v>
      </c>
      <c r="U590" s="46">
        <f t="shared" si="9"/>
        <v>52</v>
      </c>
    </row>
    <row r="591" spans="3:21" x14ac:dyDescent="0.25">
      <c r="C591" s="28"/>
      <c r="D591" s="20"/>
      <c r="E591" s="4"/>
      <c r="F591" s="37"/>
      <c r="G591" s="24"/>
      <c r="H591" s="31">
        <f>_xlfn.XLOOKUP(AP[[#This Row],[Supplier name]], Supplier_master[Supplier name], Supplier_master[Category L1], 0)</f>
        <v>0</v>
      </c>
      <c r="I591" s="64">
        <f>_xlfn.XLOOKUP(AP[[#This Row],[Supplier name]], Supplier_master[Supplier name], Supplier_master[Category L2], 0)</f>
        <v>0</v>
      </c>
      <c r="J591" s="55"/>
      <c r="K591" s="54"/>
      <c r="L591" s="57">
        <f>IF(AP[[#This Row],[Spend category L1 - Override]] &lt;&gt; "", AP[[#This Row],[Spend category L1 - Override]], AP[[#This Row],[Spend category L1]])</f>
        <v>0</v>
      </c>
      <c r="M591" s="57">
        <f>IF(AP[[#This Row],[Spend category L2 - Override]] &lt;&gt; "", AP[[#This Row],[Spend category L2 - Override]], AP[[#This Row],[Spend category L2]])</f>
        <v>0</v>
      </c>
      <c r="N591" s="51">
        <f>Assumptions!$D$15</f>
        <v>0.1</v>
      </c>
      <c r="O591" s="45">
        <f>IF(AP[[#This Row],[GST applies?]] = "Yes", (AP[[#This Row],[Invoice value inc. GST]] / 1 + AP[[#This Row],[GST %]]) * AP[[#This Row],[GST %]], 0)</f>
        <v>0</v>
      </c>
      <c r="P591" s="31">
        <f>_xlfn.XLOOKUP(AP[[#This Row],[Supplier name]], Supplier_master[Supplier name], Supplier_master[EOM or Net], 0)</f>
        <v>0</v>
      </c>
      <c r="Q591" s="31">
        <f>_xlfn.XLOOKUP(AP[[#This Row],[Supplier name]], Supplier_master[Supplier name], Supplier_master[Terms days], 0)</f>
        <v>0</v>
      </c>
      <c r="R5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1" s="4"/>
      <c r="T591" s="46">
        <f>IF(AP[[#This Row],[Payment date - override (dd/mm/yyyy)]] &lt;&gt; "", AP[[#This Row],[Payment date - override (dd/mm/yyyy)]], AP[[#This Row],[Due date (dd/mm/yyyy)]])</f>
        <v>0</v>
      </c>
      <c r="U591" s="46">
        <f t="shared" si="9"/>
        <v>52</v>
      </c>
    </row>
    <row r="592" spans="3:21" x14ac:dyDescent="0.25">
      <c r="C592" s="28"/>
      <c r="D592" s="20"/>
      <c r="E592" s="4"/>
      <c r="F592" s="37"/>
      <c r="G592" s="24"/>
      <c r="H592" s="31">
        <f>_xlfn.XLOOKUP(AP[[#This Row],[Supplier name]], Supplier_master[Supplier name], Supplier_master[Category L1], 0)</f>
        <v>0</v>
      </c>
      <c r="I592" s="64">
        <f>_xlfn.XLOOKUP(AP[[#This Row],[Supplier name]], Supplier_master[Supplier name], Supplier_master[Category L2], 0)</f>
        <v>0</v>
      </c>
      <c r="J592" s="55"/>
      <c r="K592" s="54"/>
      <c r="L592" s="57">
        <f>IF(AP[[#This Row],[Spend category L1 - Override]] &lt;&gt; "", AP[[#This Row],[Spend category L1 - Override]], AP[[#This Row],[Spend category L1]])</f>
        <v>0</v>
      </c>
      <c r="M592" s="57">
        <f>IF(AP[[#This Row],[Spend category L2 - Override]] &lt;&gt; "", AP[[#This Row],[Spend category L2 - Override]], AP[[#This Row],[Spend category L2]])</f>
        <v>0</v>
      </c>
      <c r="N592" s="51">
        <f>Assumptions!$D$15</f>
        <v>0.1</v>
      </c>
      <c r="O592" s="45">
        <f>IF(AP[[#This Row],[GST applies?]] = "Yes", (AP[[#This Row],[Invoice value inc. GST]] / 1 + AP[[#This Row],[GST %]]) * AP[[#This Row],[GST %]], 0)</f>
        <v>0</v>
      </c>
      <c r="P592" s="31">
        <f>_xlfn.XLOOKUP(AP[[#This Row],[Supplier name]], Supplier_master[Supplier name], Supplier_master[EOM or Net], 0)</f>
        <v>0</v>
      </c>
      <c r="Q592" s="31">
        <f>_xlfn.XLOOKUP(AP[[#This Row],[Supplier name]], Supplier_master[Supplier name], Supplier_master[Terms days], 0)</f>
        <v>0</v>
      </c>
      <c r="R5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2" s="4"/>
      <c r="T592" s="46">
        <f>IF(AP[[#This Row],[Payment date - override (dd/mm/yyyy)]] &lt;&gt; "", AP[[#This Row],[Payment date - override (dd/mm/yyyy)]], AP[[#This Row],[Due date (dd/mm/yyyy)]])</f>
        <v>0</v>
      </c>
      <c r="U592" s="46">
        <f t="shared" si="9"/>
        <v>52</v>
      </c>
    </row>
    <row r="593" spans="3:21" x14ac:dyDescent="0.25">
      <c r="C593" s="28"/>
      <c r="D593" s="20"/>
      <c r="E593" s="4"/>
      <c r="F593" s="37"/>
      <c r="G593" s="24"/>
      <c r="H593" s="31">
        <f>_xlfn.XLOOKUP(AP[[#This Row],[Supplier name]], Supplier_master[Supplier name], Supplier_master[Category L1], 0)</f>
        <v>0</v>
      </c>
      <c r="I593" s="64">
        <f>_xlfn.XLOOKUP(AP[[#This Row],[Supplier name]], Supplier_master[Supplier name], Supplier_master[Category L2], 0)</f>
        <v>0</v>
      </c>
      <c r="J593" s="55"/>
      <c r="K593" s="54"/>
      <c r="L593" s="57">
        <f>IF(AP[[#This Row],[Spend category L1 - Override]] &lt;&gt; "", AP[[#This Row],[Spend category L1 - Override]], AP[[#This Row],[Spend category L1]])</f>
        <v>0</v>
      </c>
      <c r="M593" s="57">
        <f>IF(AP[[#This Row],[Spend category L2 - Override]] &lt;&gt; "", AP[[#This Row],[Spend category L2 - Override]], AP[[#This Row],[Spend category L2]])</f>
        <v>0</v>
      </c>
      <c r="N593" s="51">
        <f>Assumptions!$D$15</f>
        <v>0.1</v>
      </c>
      <c r="O593" s="45">
        <f>IF(AP[[#This Row],[GST applies?]] = "Yes", (AP[[#This Row],[Invoice value inc. GST]] / 1 + AP[[#This Row],[GST %]]) * AP[[#This Row],[GST %]], 0)</f>
        <v>0</v>
      </c>
      <c r="P593" s="31">
        <f>_xlfn.XLOOKUP(AP[[#This Row],[Supplier name]], Supplier_master[Supplier name], Supplier_master[EOM or Net], 0)</f>
        <v>0</v>
      </c>
      <c r="Q593" s="31">
        <f>_xlfn.XLOOKUP(AP[[#This Row],[Supplier name]], Supplier_master[Supplier name], Supplier_master[Terms days], 0)</f>
        <v>0</v>
      </c>
      <c r="R5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3" s="4"/>
      <c r="T593" s="46">
        <f>IF(AP[[#This Row],[Payment date - override (dd/mm/yyyy)]] &lt;&gt; "", AP[[#This Row],[Payment date - override (dd/mm/yyyy)]], AP[[#This Row],[Due date (dd/mm/yyyy)]])</f>
        <v>0</v>
      </c>
      <c r="U593" s="46">
        <f t="shared" si="9"/>
        <v>52</v>
      </c>
    </row>
    <row r="594" spans="3:21" x14ac:dyDescent="0.25">
      <c r="C594" s="28"/>
      <c r="D594" s="20"/>
      <c r="E594" s="4"/>
      <c r="F594" s="37"/>
      <c r="G594" s="24"/>
      <c r="H594" s="31">
        <f>_xlfn.XLOOKUP(AP[[#This Row],[Supplier name]], Supplier_master[Supplier name], Supplier_master[Category L1], 0)</f>
        <v>0</v>
      </c>
      <c r="I594" s="64">
        <f>_xlfn.XLOOKUP(AP[[#This Row],[Supplier name]], Supplier_master[Supplier name], Supplier_master[Category L2], 0)</f>
        <v>0</v>
      </c>
      <c r="J594" s="55"/>
      <c r="K594" s="54"/>
      <c r="L594" s="57">
        <f>IF(AP[[#This Row],[Spend category L1 - Override]] &lt;&gt; "", AP[[#This Row],[Spend category L1 - Override]], AP[[#This Row],[Spend category L1]])</f>
        <v>0</v>
      </c>
      <c r="M594" s="57">
        <f>IF(AP[[#This Row],[Spend category L2 - Override]] &lt;&gt; "", AP[[#This Row],[Spend category L2 - Override]], AP[[#This Row],[Spend category L2]])</f>
        <v>0</v>
      </c>
      <c r="N594" s="51">
        <f>Assumptions!$D$15</f>
        <v>0.1</v>
      </c>
      <c r="O594" s="45">
        <f>IF(AP[[#This Row],[GST applies?]] = "Yes", (AP[[#This Row],[Invoice value inc. GST]] / 1 + AP[[#This Row],[GST %]]) * AP[[#This Row],[GST %]], 0)</f>
        <v>0</v>
      </c>
      <c r="P594" s="31">
        <f>_xlfn.XLOOKUP(AP[[#This Row],[Supplier name]], Supplier_master[Supplier name], Supplier_master[EOM or Net], 0)</f>
        <v>0</v>
      </c>
      <c r="Q594" s="31">
        <f>_xlfn.XLOOKUP(AP[[#This Row],[Supplier name]], Supplier_master[Supplier name], Supplier_master[Terms days], 0)</f>
        <v>0</v>
      </c>
      <c r="R5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4" s="4"/>
      <c r="T594" s="46">
        <f>IF(AP[[#This Row],[Payment date - override (dd/mm/yyyy)]] &lt;&gt; "", AP[[#This Row],[Payment date - override (dd/mm/yyyy)]], AP[[#This Row],[Due date (dd/mm/yyyy)]])</f>
        <v>0</v>
      </c>
      <c r="U594" s="46">
        <f t="shared" si="9"/>
        <v>52</v>
      </c>
    </row>
    <row r="595" spans="3:21" x14ac:dyDescent="0.25">
      <c r="C595" s="28"/>
      <c r="D595" s="20"/>
      <c r="E595" s="4"/>
      <c r="F595" s="37"/>
      <c r="G595" s="24"/>
      <c r="H595" s="31">
        <f>_xlfn.XLOOKUP(AP[[#This Row],[Supplier name]], Supplier_master[Supplier name], Supplier_master[Category L1], 0)</f>
        <v>0</v>
      </c>
      <c r="I595" s="64">
        <f>_xlfn.XLOOKUP(AP[[#This Row],[Supplier name]], Supplier_master[Supplier name], Supplier_master[Category L2], 0)</f>
        <v>0</v>
      </c>
      <c r="J595" s="55"/>
      <c r="K595" s="54"/>
      <c r="L595" s="57">
        <f>IF(AP[[#This Row],[Spend category L1 - Override]] &lt;&gt; "", AP[[#This Row],[Spend category L1 - Override]], AP[[#This Row],[Spend category L1]])</f>
        <v>0</v>
      </c>
      <c r="M595" s="57">
        <f>IF(AP[[#This Row],[Spend category L2 - Override]] &lt;&gt; "", AP[[#This Row],[Spend category L2 - Override]], AP[[#This Row],[Spend category L2]])</f>
        <v>0</v>
      </c>
      <c r="N595" s="51">
        <f>Assumptions!$D$15</f>
        <v>0.1</v>
      </c>
      <c r="O595" s="45">
        <f>IF(AP[[#This Row],[GST applies?]] = "Yes", (AP[[#This Row],[Invoice value inc. GST]] / 1 + AP[[#This Row],[GST %]]) * AP[[#This Row],[GST %]], 0)</f>
        <v>0</v>
      </c>
      <c r="P595" s="31">
        <f>_xlfn.XLOOKUP(AP[[#This Row],[Supplier name]], Supplier_master[Supplier name], Supplier_master[EOM or Net], 0)</f>
        <v>0</v>
      </c>
      <c r="Q595" s="31">
        <f>_xlfn.XLOOKUP(AP[[#This Row],[Supplier name]], Supplier_master[Supplier name], Supplier_master[Terms days], 0)</f>
        <v>0</v>
      </c>
      <c r="R5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5" s="4"/>
      <c r="T595" s="46">
        <f>IF(AP[[#This Row],[Payment date - override (dd/mm/yyyy)]] &lt;&gt; "", AP[[#This Row],[Payment date - override (dd/mm/yyyy)]], AP[[#This Row],[Due date (dd/mm/yyyy)]])</f>
        <v>0</v>
      </c>
      <c r="U595" s="46">
        <f t="shared" si="9"/>
        <v>52</v>
      </c>
    </row>
    <row r="596" spans="3:21" x14ac:dyDescent="0.25">
      <c r="C596" s="28"/>
      <c r="D596" s="20"/>
      <c r="E596" s="4"/>
      <c r="F596" s="37"/>
      <c r="G596" s="24"/>
      <c r="H596" s="31">
        <f>_xlfn.XLOOKUP(AP[[#This Row],[Supplier name]], Supplier_master[Supplier name], Supplier_master[Category L1], 0)</f>
        <v>0</v>
      </c>
      <c r="I596" s="64">
        <f>_xlfn.XLOOKUP(AP[[#This Row],[Supplier name]], Supplier_master[Supplier name], Supplier_master[Category L2], 0)</f>
        <v>0</v>
      </c>
      <c r="J596" s="55"/>
      <c r="K596" s="54"/>
      <c r="L596" s="57">
        <f>IF(AP[[#This Row],[Spend category L1 - Override]] &lt;&gt; "", AP[[#This Row],[Spend category L1 - Override]], AP[[#This Row],[Spend category L1]])</f>
        <v>0</v>
      </c>
      <c r="M596" s="57">
        <f>IF(AP[[#This Row],[Spend category L2 - Override]] &lt;&gt; "", AP[[#This Row],[Spend category L2 - Override]], AP[[#This Row],[Spend category L2]])</f>
        <v>0</v>
      </c>
      <c r="N596" s="51">
        <f>Assumptions!$D$15</f>
        <v>0.1</v>
      </c>
      <c r="O596" s="45">
        <f>IF(AP[[#This Row],[GST applies?]] = "Yes", (AP[[#This Row],[Invoice value inc. GST]] / 1 + AP[[#This Row],[GST %]]) * AP[[#This Row],[GST %]], 0)</f>
        <v>0</v>
      </c>
      <c r="P596" s="31">
        <f>_xlfn.XLOOKUP(AP[[#This Row],[Supplier name]], Supplier_master[Supplier name], Supplier_master[EOM or Net], 0)</f>
        <v>0</v>
      </c>
      <c r="Q596" s="31">
        <f>_xlfn.XLOOKUP(AP[[#This Row],[Supplier name]], Supplier_master[Supplier name], Supplier_master[Terms days], 0)</f>
        <v>0</v>
      </c>
      <c r="R5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6" s="4"/>
      <c r="T596" s="46">
        <f>IF(AP[[#This Row],[Payment date - override (dd/mm/yyyy)]] &lt;&gt; "", AP[[#This Row],[Payment date - override (dd/mm/yyyy)]], AP[[#This Row],[Due date (dd/mm/yyyy)]])</f>
        <v>0</v>
      </c>
      <c r="U596" s="46">
        <f t="shared" si="9"/>
        <v>52</v>
      </c>
    </row>
    <row r="597" spans="3:21" x14ac:dyDescent="0.25">
      <c r="C597" s="28"/>
      <c r="D597" s="20"/>
      <c r="E597" s="4"/>
      <c r="F597" s="37"/>
      <c r="G597" s="24"/>
      <c r="H597" s="31">
        <f>_xlfn.XLOOKUP(AP[[#This Row],[Supplier name]], Supplier_master[Supplier name], Supplier_master[Category L1], 0)</f>
        <v>0</v>
      </c>
      <c r="I597" s="64">
        <f>_xlfn.XLOOKUP(AP[[#This Row],[Supplier name]], Supplier_master[Supplier name], Supplier_master[Category L2], 0)</f>
        <v>0</v>
      </c>
      <c r="J597" s="55"/>
      <c r="K597" s="54"/>
      <c r="L597" s="57">
        <f>IF(AP[[#This Row],[Spend category L1 - Override]] &lt;&gt; "", AP[[#This Row],[Spend category L1 - Override]], AP[[#This Row],[Spend category L1]])</f>
        <v>0</v>
      </c>
      <c r="M597" s="57">
        <f>IF(AP[[#This Row],[Spend category L2 - Override]] &lt;&gt; "", AP[[#This Row],[Spend category L2 - Override]], AP[[#This Row],[Spend category L2]])</f>
        <v>0</v>
      </c>
      <c r="N597" s="51">
        <f>Assumptions!$D$15</f>
        <v>0.1</v>
      </c>
      <c r="O597" s="45">
        <f>IF(AP[[#This Row],[GST applies?]] = "Yes", (AP[[#This Row],[Invoice value inc. GST]] / 1 + AP[[#This Row],[GST %]]) * AP[[#This Row],[GST %]], 0)</f>
        <v>0</v>
      </c>
      <c r="P597" s="31">
        <f>_xlfn.XLOOKUP(AP[[#This Row],[Supplier name]], Supplier_master[Supplier name], Supplier_master[EOM or Net], 0)</f>
        <v>0</v>
      </c>
      <c r="Q597" s="31">
        <f>_xlfn.XLOOKUP(AP[[#This Row],[Supplier name]], Supplier_master[Supplier name], Supplier_master[Terms days], 0)</f>
        <v>0</v>
      </c>
      <c r="R5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7" s="4"/>
      <c r="T597" s="46">
        <f>IF(AP[[#This Row],[Payment date - override (dd/mm/yyyy)]] &lt;&gt; "", AP[[#This Row],[Payment date - override (dd/mm/yyyy)]], AP[[#This Row],[Due date (dd/mm/yyyy)]])</f>
        <v>0</v>
      </c>
      <c r="U597" s="46">
        <f t="shared" si="9"/>
        <v>52</v>
      </c>
    </row>
    <row r="598" spans="3:21" x14ac:dyDescent="0.25">
      <c r="C598" s="28"/>
      <c r="D598" s="20"/>
      <c r="E598" s="4"/>
      <c r="F598" s="37"/>
      <c r="G598" s="24"/>
      <c r="H598" s="31">
        <f>_xlfn.XLOOKUP(AP[[#This Row],[Supplier name]], Supplier_master[Supplier name], Supplier_master[Category L1], 0)</f>
        <v>0</v>
      </c>
      <c r="I598" s="64">
        <f>_xlfn.XLOOKUP(AP[[#This Row],[Supplier name]], Supplier_master[Supplier name], Supplier_master[Category L2], 0)</f>
        <v>0</v>
      </c>
      <c r="J598" s="55"/>
      <c r="K598" s="54"/>
      <c r="L598" s="57">
        <f>IF(AP[[#This Row],[Spend category L1 - Override]] &lt;&gt; "", AP[[#This Row],[Spend category L1 - Override]], AP[[#This Row],[Spend category L1]])</f>
        <v>0</v>
      </c>
      <c r="M598" s="57">
        <f>IF(AP[[#This Row],[Spend category L2 - Override]] &lt;&gt; "", AP[[#This Row],[Spend category L2 - Override]], AP[[#This Row],[Spend category L2]])</f>
        <v>0</v>
      </c>
      <c r="N598" s="51">
        <f>Assumptions!$D$15</f>
        <v>0.1</v>
      </c>
      <c r="O598" s="45">
        <f>IF(AP[[#This Row],[GST applies?]] = "Yes", (AP[[#This Row],[Invoice value inc. GST]] / 1 + AP[[#This Row],[GST %]]) * AP[[#This Row],[GST %]], 0)</f>
        <v>0</v>
      </c>
      <c r="P598" s="31">
        <f>_xlfn.XLOOKUP(AP[[#This Row],[Supplier name]], Supplier_master[Supplier name], Supplier_master[EOM or Net], 0)</f>
        <v>0</v>
      </c>
      <c r="Q598" s="31">
        <f>_xlfn.XLOOKUP(AP[[#This Row],[Supplier name]], Supplier_master[Supplier name], Supplier_master[Terms days], 0)</f>
        <v>0</v>
      </c>
      <c r="R5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8" s="4"/>
      <c r="T598" s="46">
        <f>IF(AP[[#This Row],[Payment date - override (dd/mm/yyyy)]] &lt;&gt; "", AP[[#This Row],[Payment date - override (dd/mm/yyyy)]], AP[[#This Row],[Due date (dd/mm/yyyy)]])</f>
        <v>0</v>
      </c>
      <c r="U598" s="46">
        <f t="shared" si="9"/>
        <v>52</v>
      </c>
    </row>
    <row r="599" spans="3:21" x14ac:dyDescent="0.25">
      <c r="C599" s="28"/>
      <c r="D599" s="20"/>
      <c r="E599" s="4"/>
      <c r="F599" s="37"/>
      <c r="G599" s="24"/>
      <c r="H599" s="31">
        <f>_xlfn.XLOOKUP(AP[[#This Row],[Supplier name]], Supplier_master[Supplier name], Supplier_master[Category L1], 0)</f>
        <v>0</v>
      </c>
      <c r="I599" s="64">
        <f>_xlfn.XLOOKUP(AP[[#This Row],[Supplier name]], Supplier_master[Supplier name], Supplier_master[Category L2], 0)</f>
        <v>0</v>
      </c>
      <c r="J599" s="55"/>
      <c r="K599" s="54"/>
      <c r="L599" s="57">
        <f>IF(AP[[#This Row],[Spend category L1 - Override]] &lt;&gt; "", AP[[#This Row],[Spend category L1 - Override]], AP[[#This Row],[Spend category L1]])</f>
        <v>0</v>
      </c>
      <c r="M599" s="57">
        <f>IF(AP[[#This Row],[Spend category L2 - Override]] &lt;&gt; "", AP[[#This Row],[Spend category L2 - Override]], AP[[#This Row],[Spend category L2]])</f>
        <v>0</v>
      </c>
      <c r="N599" s="51">
        <f>Assumptions!$D$15</f>
        <v>0.1</v>
      </c>
      <c r="O599" s="45">
        <f>IF(AP[[#This Row],[GST applies?]] = "Yes", (AP[[#This Row],[Invoice value inc. GST]] / 1 + AP[[#This Row],[GST %]]) * AP[[#This Row],[GST %]], 0)</f>
        <v>0</v>
      </c>
      <c r="P599" s="31">
        <f>_xlfn.XLOOKUP(AP[[#This Row],[Supplier name]], Supplier_master[Supplier name], Supplier_master[EOM or Net], 0)</f>
        <v>0</v>
      </c>
      <c r="Q599" s="31">
        <f>_xlfn.XLOOKUP(AP[[#This Row],[Supplier name]], Supplier_master[Supplier name], Supplier_master[Terms days], 0)</f>
        <v>0</v>
      </c>
      <c r="R5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9" s="4"/>
      <c r="T599" s="46">
        <f>IF(AP[[#This Row],[Payment date - override (dd/mm/yyyy)]] &lt;&gt; "", AP[[#This Row],[Payment date - override (dd/mm/yyyy)]], AP[[#This Row],[Due date (dd/mm/yyyy)]])</f>
        <v>0</v>
      </c>
      <c r="U599" s="46">
        <f t="shared" si="9"/>
        <v>52</v>
      </c>
    </row>
    <row r="600" spans="3:21" x14ac:dyDescent="0.25">
      <c r="C600" s="28"/>
      <c r="D600" s="20"/>
      <c r="E600" s="4"/>
      <c r="F600" s="37"/>
      <c r="G600" s="24"/>
      <c r="H600" s="31">
        <f>_xlfn.XLOOKUP(AP[[#This Row],[Supplier name]], Supplier_master[Supplier name], Supplier_master[Category L1], 0)</f>
        <v>0</v>
      </c>
      <c r="I600" s="64">
        <f>_xlfn.XLOOKUP(AP[[#This Row],[Supplier name]], Supplier_master[Supplier name], Supplier_master[Category L2], 0)</f>
        <v>0</v>
      </c>
      <c r="J600" s="55"/>
      <c r="K600" s="54"/>
      <c r="L600" s="57">
        <f>IF(AP[[#This Row],[Spend category L1 - Override]] &lt;&gt; "", AP[[#This Row],[Spend category L1 - Override]], AP[[#This Row],[Spend category L1]])</f>
        <v>0</v>
      </c>
      <c r="M600" s="57">
        <f>IF(AP[[#This Row],[Spend category L2 - Override]] &lt;&gt; "", AP[[#This Row],[Spend category L2 - Override]], AP[[#This Row],[Spend category L2]])</f>
        <v>0</v>
      </c>
      <c r="N600" s="51">
        <f>Assumptions!$D$15</f>
        <v>0.1</v>
      </c>
      <c r="O600" s="45">
        <f>IF(AP[[#This Row],[GST applies?]] = "Yes", (AP[[#This Row],[Invoice value inc. GST]] / 1 + AP[[#This Row],[GST %]]) * AP[[#This Row],[GST %]], 0)</f>
        <v>0</v>
      </c>
      <c r="P600" s="31">
        <f>_xlfn.XLOOKUP(AP[[#This Row],[Supplier name]], Supplier_master[Supplier name], Supplier_master[EOM or Net], 0)</f>
        <v>0</v>
      </c>
      <c r="Q600" s="31">
        <f>_xlfn.XLOOKUP(AP[[#This Row],[Supplier name]], Supplier_master[Supplier name], Supplier_master[Terms days], 0)</f>
        <v>0</v>
      </c>
      <c r="R6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0" s="4"/>
      <c r="T600" s="46">
        <f>IF(AP[[#This Row],[Payment date - override (dd/mm/yyyy)]] &lt;&gt; "", AP[[#This Row],[Payment date - override (dd/mm/yyyy)]], AP[[#This Row],[Due date (dd/mm/yyyy)]])</f>
        <v>0</v>
      </c>
      <c r="U600" s="46">
        <f t="shared" si="9"/>
        <v>52</v>
      </c>
    </row>
    <row r="601" spans="3:21" x14ac:dyDescent="0.25">
      <c r="C601" s="28"/>
      <c r="D601" s="20"/>
      <c r="E601" s="4"/>
      <c r="F601" s="37"/>
      <c r="G601" s="24"/>
      <c r="H601" s="31">
        <f>_xlfn.XLOOKUP(AP[[#This Row],[Supplier name]], Supplier_master[Supplier name], Supplier_master[Category L1], 0)</f>
        <v>0</v>
      </c>
      <c r="I601" s="64">
        <f>_xlfn.XLOOKUP(AP[[#This Row],[Supplier name]], Supplier_master[Supplier name], Supplier_master[Category L2], 0)</f>
        <v>0</v>
      </c>
      <c r="J601" s="55"/>
      <c r="K601" s="54"/>
      <c r="L601" s="57">
        <f>IF(AP[[#This Row],[Spend category L1 - Override]] &lt;&gt; "", AP[[#This Row],[Spend category L1 - Override]], AP[[#This Row],[Spend category L1]])</f>
        <v>0</v>
      </c>
      <c r="M601" s="57">
        <f>IF(AP[[#This Row],[Spend category L2 - Override]] &lt;&gt; "", AP[[#This Row],[Spend category L2 - Override]], AP[[#This Row],[Spend category L2]])</f>
        <v>0</v>
      </c>
      <c r="N601" s="51">
        <f>Assumptions!$D$15</f>
        <v>0.1</v>
      </c>
      <c r="O601" s="45">
        <f>IF(AP[[#This Row],[GST applies?]] = "Yes", (AP[[#This Row],[Invoice value inc. GST]] / 1 + AP[[#This Row],[GST %]]) * AP[[#This Row],[GST %]], 0)</f>
        <v>0</v>
      </c>
      <c r="P601" s="31">
        <f>_xlfn.XLOOKUP(AP[[#This Row],[Supplier name]], Supplier_master[Supplier name], Supplier_master[EOM or Net], 0)</f>
        <v>0</v>
      </c>
      <c r="Q601" s="31">
        <f>_xlfn.XLOOKUP(AP[[#This Row],[Supplier name]], Supplier_master[Supplier name], Supplier_master[Terms days], 0)</f>
        <v>0</v>
      </c>
      <c r="R6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1" s="4"/>
      <c r="T601" s="46">
        <f>IF(AP[[#This Row],[Payment date - override (dd/mm/yyyy)]] &lt;&gt; "", AP[[#This Row],[Payment date - override (dd/mm/yyyy)]], AP[[#This Row],[Due date (dd/mm/yyyy)]])</f>
        <v>0</v>
      </c>
      <c r="U601" s="46">
        <f t="shared" si="9"/>
        <v>52</v>
      </c>
    </row>
    <row r="602" spans="3:21" x14ac:dyDescent="0.25">
      <c r="C602" s="28"/>
      <c r="D602" s="20"/>
      <c r="E602" s="4"/>
      <c r="F602" s="37"/>
      <c r="G602" s="24"/>
      <c r="H602" s="31">
        <f>_xlfn.XLOOKUP(AP[[#This Row],[Supplier name]], Supplier_master[Supplier name], Supplier_master[Category L1], 0)</f>
        <v>0</v>
      </c>
      <c r="I602" s="64">
        <f>_xlfn.XLOOKUP(AP[[#This Row],[Supplier name]], Supplier_master[Supplier name], Supplier_master[Category L2], 0)</f>
        <v>0</v>
      </c>
      <c r="J602" s="55"/>
      <c r="K602" s="54"/>
      <c r="L602" s="57">
        <f>IF(AP[[#This Row],[Spend category L1 - Override]] &lt;&gt; "", AP[[#This Row],[Spend category L1 - Override]], AP[[#This Row],[Spend category L1]])</f>
        <v>0</v>
      </c>
      <c r="M602" s="57">
        <f>IF(AP[[#This Row],[Spend category L2 - Override]] &lt;&gt; "", AP[[#This Row],[Spend category L2 - Override]], AP[[#This Row],[Spend category L2]])</f>
        <v>0</v>
      </c>
      <c r="N602" s="51">
        <f>Assumptions!$D$15</f>
        <v>0.1</v>
      </c>
      <c r="O602" s="45">
        <f>IF(AP[[#This Row],[GST applies?]] = "Yes", (AP[[#This Row],[Invoice value inc. GST]] / 1 + AP[[#This Row],[GST %]]) * AP[[#This Row],[GST %]], 0)</f>
        <v>0</v>
      </c>
      <c r="P602" s="31">
        <f>_xlfn.XLOOKUP(AP[[#This Row],[Supplier name]], Supplier_master[Supplier name], Supplier_master[EOM or Net], 0)</f>
        <v>0</v>
      </c>
      <c r="Q602" s="31">
        <f>_xlfn.XLOOKUP(AP[[#This Row],[Supplier name]], Supplier_master[Supplier name], Supplier_master[Terms days], 0)</f>
        <v>0</v>
      </c>
      <c r="R6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2" s="4"/>
      <c r="T602" s="46">
        <f>IF(AP[[#This Row],[Payment date - override (dd/mm/yyyy)]] &lt;&gt; "", AP[[#This Row],[Payment date - override (dd/mm/yyyy)]], AP[[#This Row],[Due date (dd/mm/yyyy)]])</f>
        <v>0</v>
      </c>
      <c r="U602" s="46">
        <f t="shared" si="9"/>
        <v>52</v>
      </c>
    </row>
    <row r="603" spans="3:21" x14ac:dyDescent="0.25">
      <c r="C603" s="28"/>
      <c r="D603" s="20"/>
      <c r="E603" s="4"/>
      <c r="F603" s="37"/>
      <c r="G603" s="24"/>
      <c r="H603" s="31">
        <f>_xlfn.XLOOKUP(AP[[#This Row],[Supplier name]], Supplier_master[Supplier name], Supplier_master[Category L1], 0)</f>
        <v>0</v>
      </c>
      <c r="I603" s="64">
        <f>_xlfn.XLOOKUP(AP[[#This Row],[Supplier name]], Supplier_master[Supplier name], Supplier_master[Category L2], 0)</f>
        <v>0</v>
      </c>
      <c r="J603" s="55"/>
      <c r="K603" s="54"/>
      <c r="L603" s="57">
        <f>IF(AP[[#This Row],[Spend category L1 - Override]] &lt;&gt; "", AP[[#This Row],[Spend category L1 - Override]], AP[[#This Row],[Spend category L1]])</f>
        <v>0</v>
      </c>
      <c r="M603" s="57">
        <f>IF(AP[[#This Row],[Spend category L2 - Override]] &lt;&gt; "", AP[[#This Row],[Spend category L2 - Override]], AP[[#This Row],[Spend category L2]])</f>
        <v>0</v>
      </c>
      <c r="N603" s="51">
        <f>Assumptions!$D$15</f>
        <v>0.1</v>
      </c>
      <c r="O603" s="45">
        <f>IF(AP[[#This Row],[GST applies?]] = "Yes", (AP[[#This Row],[Invoice value inc. GST]] / 1 + AP[[#This Row],[GST %]]) * AP[[#This Row],[GST %]], 0)</f>
        <v>0</v>
      </c>
      <c r="P603" s="31">
        <f>_xlfn.XLOOKUP(AP[[#This Row],[Supplier name]], Supplier_master[Supplier name], Supplier_master[EOM or Net], 0)</f>
        <v>0</v>
      </c>
      <c r="Q603" s="31">
        <f>_xlfn.XLOOKUP(AP[[#This Row],[Supplier name]], Supplier_master[Supplier name], Supplier_master[Terms days], 0)</f>
        <v>0</v>
      </c>
      <c r="R6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3" s="4"/>
      <c r="T603" s="46">
        <f>IF(AP[[#This Row],[Payment date - override (dd/mm/yyyy)]] &lt;&gt; "", AP[[#This Row],[Payment date - override (dd/mm/yyyy)]], AP[[#This Row],[Due date (dd/mm/yyyy)]])</f>
        <v>0</v>
      </c>
      <c r="U603" s="46">
        <f t="shared" si="9"/>
        <v>52</v>
      </c>
    </row>
    <row r="604" spans="3:21" x14ac:dyDescent="0.25">
      <c r="C604" s="28"/>
      <c r="D604" s="20"/>
      <c r="E604" s="4"/>
      <c r="F604" s="37"/>
      <c r="G604" s="24"/>
      <c r="H604" s="31">
        <f>_xlfn.XLOOKUP(AP[[#This Row],[Supplier name]], Supplier_master[Supplier name], Supplier_master[Category L1], 0)</f>
        <v>0</v>
      </c>
      <c r="I604" s="64">
        <f>_xlfn.XLOOKUP(AP[[#This Row],[Supplier name]], Supplier_master[Supplier name], Supplier_master[Category L2], 0)</f>
        <v>0</v>
      </c>
      <c r="J604" s="55"/>
      <c r="K604" s="54"/>
      <c r="L604" s="57">
        <f>IF(AP[[#This Row],[Spend category L1 - Override]] &lt;&gt; "", AP[[#This Row],[Spend category L1 - Override]], AP[[#This Row],[Spend category L1]])</f>
        <v>0</v>
      </c>
      <c r="M604" s="57">
        <f>IF(AP[[#This Row],[Spend category L2 - Override]] &lt;&gt; "", AP[[#This Row],[Spend category L2 - Override]], AP[[#This Row],[Spend category L2]])</f>
        <v>0</v>
      </c>
      <c r="N604" s="51">
        <f>Assumptions!$D$15</f>
        <v>0.1</v>
      </c>
      <c r="O604" s="45">
        <f>IF(AP[[#This Row],[GST applies?]] = "Yes", (AP[[#This Row],[Invoice value inc. GST]] / 1 + AP[[#This Row],[GST %]]) * AP[[#This Row],[GST %]], 0)</f>
        <v>0</v>
      </c>
      <c r="P604" s="31">
        <f>_xlfn.XLOOKUP(AP[[#This Row],[Supplier name]], Supplier_master[Supplier name], Supplier_master[EOM or Net], 0)</f>
        <v>0</v>
      </c>
      <c r="Q604" s="31">
        <f>_xlfn.XLOOKUP(AP[[#This Row],[Supplier name]], Supplier_master[Supplier name], Supplier_master[Terms days], 0)</f>
        <v>0</v>
      </c>
      <c r="R6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4" s="4"/>
      <c r="T604" s="46">
        <f>IF(AP[[#This Row],[Payment date - override (dd/mm/yyyy)]] &lt;&gt; "", AP[[#This Row],[Payment date - override (dd/mm/yyyy)]], AP[[#This Row],[Due date (dd/mm/yyyy)]])</f>
        <v>0</v>
      </c>
      <c r="U604" s="46">
        <f t="shared" si="9"/>
        <v>52</v>
      </c>
    </row>
    <row r="605" spans="3:21" x14ac:dyDescent="0.25">
      <c r="C605" s="28"/>
      <c r="D605" s="20"/>
      <c r="E605" s="4"/>
      <c r="F605" s="37"/>
      <c r="G605" s="24"/>
      <c r="H605" s="31">
        <f>_xlfn.XLOOKUP(AP[[#This Row],[Supplier name]], Supplier_master[Supplier name], Supplier_master[Category L1], 0)</f>
        <v>0</v>
      </c>
      <c r="I605" s="64">
        <f>_xlfn.XLOOKUP(AP[[#This Row],[Supplier name]], Supplier_master[Supplier name], Supplier_master[Category L2], 0)</f>
        <v>0</v>
      </c>
      <c r="J605" s="55"/>
      <c r="K605" s="54"/>
      <c r="L605" s="57">
        <f>IF(AP[[#This Row],[Spend category L1 - Override]] &lt;&gt; "", AP[[#This Row],[Spend category L1 - Override]], AP[[#This Row],[Spend category L1]])</f>
        <v>0</v>
      </c>
      <c r="M605" s="57">
        <f>IF(AP[[#This Row],[Spend category L2 - Override]] &lt;&gt; "", AP[[#This Row],[Spend category L2 - Override]], AP[[#This Row],[Spend category L2]])</f>
        <v>0</v>
      </c>
      <c r="N605" s="51">
        <f>Assumptions!$D$15</f>
        <v>0.1</v>
      </c>
      <c r="O605" s="45">
        <f>IF(AP[[#This Row],[GST applies?]] = "Yes", (AP[[#This Row],[Invoice value inc. GST]] / 1 + AP[[#This Row],[GST %]]) * AP[[#This Row],[GST %]], 0)</f>
        <v>0</v>
      </c>
      <c r="P605" s="31">
        <f>_xlfn.XLOOKUP(AP[[#This Row],[Supplier name]], Supplier_master[Supplier name], Supplier_master[EOM or Net], 0)</f>
        <v>0</v>
      </c>
      <c r="Q605" s="31">
        <f>_xlfn.XLOOKUP(AP[[#This Row],[Supplier name]], Supplier_master[Supplier name], Supplier_master[Terms days], 0)</f>
        <v>0</v>
      </c>
      <c r="R6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5" s="4"/>
      <c r="T605" s="46">
        <f>IF(AP[[#This Row],[Payment date - override (dd/mm/yyyy)]] &lt;&gt; "", AP[[#This Row],[Payment date - override (dd/mm/yyyy)]], AP[[#This Row],[Due date (dd/mm/yyyy)]])</f>
        <v>0</v>
      </c>
      <c r="U605" s="46">
        <f t="shared" si="9"/>
        <v>52</v>
      </c>
    </row>
    <row r="606" spans="3:21" x14ac:dyDescent="0.25">
      <c r="C606" s="28"/>
      <c r="D606" s="20"/>
      <c r="E606" s="4"/>
      <c r="F606" s="37"/>
      <c r="G606" s="24"/>
      <c r="H606" s="31">
        <f>_xlfn.XLOOKUP(AP[[#This Row],[Supplier name]], Supplier_master[Supplier name], Supplier_master[Category L1], 0)</f>
        <v>0</v>
      </c>
      <c r="I606" s="64">
        <f>_xlfn.XLOOKUP(AP[[#This Row],[Supplier name]], Supplier_master[Supplier name], Supplier_master[Category L2], 0)</f>
        <v>0</v>
      </c>
      <c r="J606" s="55"/>
      <c r="K606" s="54"/>
      <c r="L606" s="57">
        <f>IF(AP[[#This Row],[Spend category L1 - Override]] &lt;&gt; "", AP[[#This Row],[Spend category L1 - Override]], AP[[#This Row],[Spend category L1]])</f>
        <v>0</v>
      </c>
      <c r="M606" s="57">
        <f>IF(AP[[#This Row],[Spend category L2 - Override]] &lt;&gt; "", AP[[#This Row],[Spend category L2 - Override]], AP[[#This Row],[Spend category L2]])</f>
        <v>0</v>
      </c>
      <c r="N606" s="51">
        <f>Assumptions!$D$15</f>
        <v>0.1</v>
      </c>
      <c r="O606" s="45">
        <f>IF(AP[[#This Row],[GST applies?]] = "Yes", (AP[[#This Row],[Invoice value inc. GST]] / 1 + AP[[#This Row],[GST %]]) * AP[[#This Row],[GST %]], 0)</f>
        <v>0</v>
      </c>
      <c r="P606" s="31">
        <f>_xlfn.XLOOKUP(AP[[#This Row],[Supplier name]], Supplier_master[Supplier name], Supplier_master[EOM or Net], 0)</f>
        <v>0</v>
      </c>
      <c r="Q606" s="31">
        <f>_xlfn.XLOOKUP(AP[[#This Row],[Supplier name]], Supplier_master[Supplier name], Supplier_master[Terms days], 0)</f>
        <v>0</v>
      </c>
      <c r="R6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6" s="4"/>
      <c r="T606" s="46">
        <f>IF(AP[[#This Row],[Payment date - override (dd/mm/yyyy)]] &lt;&gt; "", AP[[#This Row],[Payment date - override (dd/mm/yyyy)]], AP[[#This Row],[Due date (dd/mm/yyyy)]])</f>
        <v>0</v>
      </c>
      <c r="U606" s="46">
        <f t="shared" si="9"/>
        <v>52</v>
      </c>
    </row>
    <row r="607" spans="3:21" x14ac:dyDescent="0.25">
      <c r="C607" s="28"/>
      <c r="D607" s="20"/>
      <c r="E607" s="4"/>
      <c r="F607" s="37"/>
      <c r="G607" s="24"/>
      <c r="H607" s="31">
        <f>_xlfn.XLOOKUP(AP[[#This Row],[Supplier name]], Supplier_master[Supplier name], Supplier_master[Category L1], 0)</f>
        <v>0</v>
      </c>
      <c r="I607" s="64">
        <f>_xlfn.XLOOKUP(AP[[#This Row],[Supplier name]], Supplier_master[Supplier name], Supplier_master[Category L2], 0)</f>
        <v>0</v>
      </c>
      <c r="J607" s="55"/>
      <c r="K607" s="54"/>
      <c r="L607" s="57">
        <f>IF(AP[[#This Row],[Spend category L1 - Override]] &lt;&gt; "", AP[[#This Row],[Spend category L1 - Override]], AP[[#This Row],[Spend category L1]])</f>
        <v>0</v>
      </c>
      <c r="M607" s="57">
        <f>IF(AP[[#This Row],[Spend category L2 - Override]] &lt;&gt; "", AP[[#This Row],[Spend category L2 - Override]], AP[[#This Row],[Spend category L2]])</f>
        <v>0</v>
      </c>
      <c r="N607" s="51">
        <f>Assumptions!$D$15</f>
        <v>0.1</v>
      </c>
      <c r="O607" s="45">
        <f>IF(AP[[#This Row],[GST applies?]] = "Yes", (AP[[#This Row],[Invoice value inc. GST]] / 1 + AP[[#This Row],[GST %]]) * AP[[#This Row],[GST %]], 0)</f>
        <v>0</v>
      </c>
      <c r="P607" s="31">
        <f>_xlfn.XLOOKUP(AP[[#This Row],[Supplier name]], Supplier_master[Supplier name], Supplier_master[EOM or Net], 0)</f>
        <v>0</v>
      </c>
      <c r="Q607" s="31">
        <f>_xlfn.XLOOKUP(AP[[#This Row],[Supplier name]], Supplier_master[Supplier name], Supplier_master[Terms days], 0)</f>
        <v>0</v>
      </c>
      <c r="R6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7" s="4"/>
      <c r="T607" s="46">
        <f>IF(AP[[#This Row],[Payment date - override (dd/mm/yyyy)]] &lt;&gt; "", AP[[#This Row],[Payment date - override (dd/mm/yyyy)]], AP[[#This Row],[Due date (dd/mm/yyyy)]])</f>
        <v>0</v>
      </c>
      <c r="U607" s="46">
        <f t="shared" si="9"/>
        <v>52</v>
      </c>
    </row>
    <row r="608" spans="3:21" x14ac:dyDescent="0.25">
      <c r="C608" s="28"/>
      <c r="D608" s="20"/>
      <c r="E608" s="4"/>
      <c r="F608" s="37"/>
      <c r="G608" s="24"/>
      <c r="H608" s="31">
        <f>_xlfn.XLOOKUP(AP[[#This Row],[Supplier name]], Supplier_master[Supplier name], Supplier_master[Category L1], 0)</f>
        <v>0</v>
      </c>
      <c r="I608" s="64">
        <f>_xlfn.XLOOKUP(AP[[#This Row],[Supplier name]], Supplier_master[Supplier name], Supplier_master[Category L2], 0)</f>
        <v>0</v>
      </c>
      <c r="J608" s="55"/>
      <c r="K608" s="54"/>
      <c r="L608" s="57">
        <f>IF(AP[[#This Row],[Spend category L1 - Override]] &lt;&gt; "", AP[[#This Row],[Spend category L1 - Override]], AP[[#This Row],[Spend category L1]])</f>
        <v>0</v>
      </c>
      <c r="M608" s="57">
        <f>IF(AP[[#This Row],[Spend category L2 - Override]] &lt;&gt; "", AP[[#This Row],[Spend category L2 - Override]], AP[[#This Row],[Spend category L2]])</f>
        <v>0</v>
      </c>
      <c r="N608" s="51">
        <f>Assumptions!$D$15</f>
        <v>0.1</v>
      </c>
      <c r="O608" s="45">
        <f>IF(AP[[#This Row],[GST applies?]] = "Yes", (AP[[#This Row],[Invoice value inc. GST]] / 1 + AP[[#This Row],[GST %]]) * AP[[#This Row],[GST %]], 0)</f>
        <v>0</v>
      </c>
      <c r="P608" s="31">
        <f>_xlfn.XLOOKUP(AP[[#This Row],[Supplier name]], Supplier_master[Supplier name], Supplier_master[EOM or Net], 0)</f>
        <v>0</v>
      </c>
      <c r="Q608" s="31">
        <f>_xlfn.XLOOKUP(AP[[#This Row],[Supplier name]], Supplier_master[Supplier name], Supplier_master[Terms days], 0)</f>
        <v>0</v>
      </c>
      <c r="R6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8" s="4"/>
      <c r="T608" s="46">
        <f>IF(AP[[#This Row],[Payment date - override (dd/mm/yyyy)]] &lt;&gt; "", AP[[#This Row],[Payment date - override (dd/mm/yyyy)]], AP[[#This Row],[Due date (dd/mm/yyyy)]])</f>
        <v>0</v>
      </c>
      <c r="U608" s="46">
        <f t="shared" si="9"/>
        <v>52</v>
      </c>
    </row>
    <row r="609" spans="3:21" x14ac:dyDescent="0.25">
      <c r="C609" s="28"/>
      <c r="D609" s="20"/>
      <c r="E609" s="4"/>
      <c r="F609" s="37"/>
      <c r="G609" s="24"/>
      <c r="H609" s="31">
        <f>_xlfn.XLOOKUP(AP[[#This Row],[Supplier name]], Supplier_master[Supplier name], Supplier_master[Category L1], 0)</f>
        <v>0</v>
      </c>
      <c r="I609" s="64">
        <f>_xlfn.XLOOKUP(AP[[#This Row],[Supplier name]], Supplier_master[Supplier name], Supplier_master[Category L2], 0)</f>
        <v>0</v>
      </c>
      <c r="J609" s="55"/>
      <c r="K609" s="54"/>
      <c r="L609" s="57">
        <f>IF(AP[[#This Row],[Spend category L1 - Override]] &lt;&gt; "", AP[[#This Row],[Spend category L1 - Override]], AP[[#This Row],[Spend category L1]])</f>
        <v>0</v>
      </c>
      <c r="M609" s="57">
        <f>IF(AP[[#This Row],[Spend category L2 - Override]] &lt;&gt; "", AP[[#This Row],[Spend category L2 - Override]], AP[[#This Row],[Spend category L2]])</f>
        <v>0</v>
      </c>
      <c r="N609" s="51">
        <f>Assumptions!$D$15</f>
        <v>0.1</v>
      </c>
      <c r="O609" s="45">
        <f>IF(AP[[#This Row],[GST applies?]] = "Yes", (AP[[#This Row],[Invoice value inc. GST]] / 1 + AP[[#This Row],[GST %]]) * AP[[#This Row],[GST %]], 0)</f>
        <v>0</v>
      </c>
      <c r="P609" s="31">
        <f>_xlfn.XLOOKUP(AP[[#This Row],[Supplier name]], Supplier_master[Supplier name], Supplier_master[EOM or Net], 0)</f>
        <v>0</v>
      </c>
      <c r="Q609" s="31">
        <f>_xlfn.XLOOKUP(AP[[#This Row],[Supplier name]], Supplier_master[Supplier name], Supplier_master[Terms days], 0)</f>
        <v>0</v>
      </c>
      <c r="R6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9" s="4"/>
      <c r="T609" s="46">
        <f>IF(AP[[#This Row],[Payment date - override (dd/mm/yyyy)]] &lt;&gt; "", AP[[#This Row],[Payment date - override (dd/mm/yyyy)]], AP[[#This Row],[Due date (dd/mm/yyyy)]])</f>
        <v>0</v>
      </c>
      <c r="U609" s="46">
        <f t="shared" si="9"/>
        <v>52</v>
      </c>
    </row>
    <row r="610" spans="3:21" x14ac:dyDescent="0.25">
      <c r="C610" s="28"/>
      <c r="D610" s="20"/>
      <c r="E610" s="4"/>
      <c r="F610" s="37"/>
      <c r="G610" s="24"/>
      <c r="H610" s="31">
        <f>_xlfn.XLOOKUP(AP[[#This Row],[Supplier name]], Supplier_master[Supplier name], Supplier_master[Category L1], 0)</f>
        <v>0</v>
      </c>
      <c r="I610" s="64">
        <f>_xlfn.XLOOKUP(AP[[#This Row],[Supplier name]], Supplier_master[Supplier name], Supplier_master[Category L2], 0)</f>
        <v>0</v>
      </c>
      <c r="J610" s="55"/>
      <c r="K610" s="54"/>
      <c r="L610" s="57">
        <f>IF(AP[[#This Row],[Spend category L1 - Override]] &lt;&gt; "", AP[[#This Row],[Spend category L1 - Override]], AP[[#This Row],[Spend category L1]])</f>
        <v>0</v>
      </c>
      <c r="M610" s="57">
        <f>IF(AP[[#This Row],[Spend category L2 - Override]] &lt;&gt; "", AP[[#This Row],[Spend category L2 - Override]], AP[[#This Row],[Spend category L2]])</f>
        <v>0</v>
      </c>
      <c r="N610" s="51">
        <f>Assumptions!$D$15</f>
        <v>0.1</v>
      </c>
      <c r="O610" s="45">
        <f>IF(AP[[#This Row],[GST applies?]] = "Yes", (AP[[#This Row],[Invoice value inc. GST]] / 1 + AP[[#This Row],[GST %]]) * AP[[#This Row],[GST %]], 0)</f>
        <v>0</v>
      </c>
      <c r="P610" s="31">
        <f>_xlfn.XLOOKUP(AP[[#This Row],[Supplier name]], Supplier_master[Supplier name], Supplier_master[EOM or Net], 0)</f>
        <v>0</v>
      </c>
      <c r="Q610" s="31">
        <f>_xlfn.XLOOKUP(AP[[#This Row],[Supplier name]], Supplier_master[Supplier name], Supplier_master[Terms days], 0)</f>
        <v>0</v>
      </c>
      <c r="R6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0" s="4"/>
      <c r="T610" s="46">
        <f>IF(AP[[#This Row],[Payment date - override (dd/mm/yyyy)]] &lt;&gt; "", AP[[#This Row],[Payment date - override (dd/mm/yyyy)]], AP[[#This Row],[Due date (dd/mm/yyyy)]])</f>
        <v>0</v>
      </c>
      <c r="U610" s="46">
        <f t="shared" si="9"/>
        <v>52</v>
      </c>
    </row>
    <row r="611" spans="3:21" x14ac:dyDescent="0.25">
      <c r="C611" s="28"/>
      <c r="D611" s="20"/>
      <c r="E611" s="4"/>
      <c r="F611" s="37"/>
      <c r="G611" s="24"/>
      <c r="H611" s="31">
        <f>_xlfn.XLOOKUP(AP[[#This Row],[Supplier name]], Supplier_master[Supplier name], Supplier_master[Category L1], 0)</f>
        <v>0</v>
      </c>
      <c r="I611" s="64">
        <f>_xlfn.XLOOKUP(AP[[#This Row],[Supplier name]], Supplier_master[Supplier name], Supplier_master[Category L2], 0)</f>
        <v>0</v>
      </c>
      <c r="J611" s="55"/>
      <c r="K611" s="54"/>
      <c r="L611" s="57">
        <f>IF(AP[[#This Row],[Spend category L1 - Override]] &lt;&gt; "", AP[[#This Row],[Spend category L1 - Override]], AP[[#This Row],[Spend category L1]])</f>
        <v>0</v>
      </c>
      <c r="M611" s="57">
        <f>IF(AP[[#This Row],[Spend category L2 - Override]] &lt;&gt; "", AP[[#This Row],[Spend category L2 - Override]], AP[[#This Row],[Spend category L2]])</f>
        <v>0</v>
      </c>
      <c r="N611" s="51">
        <f>Assumptions!$D$15</f>
        <v>0.1</v>
      </c>
      <c r="O611" s="45">
        <f>IF(AP[[#This Row],[GST applies?]] = "Yes", (AP[[#This Row],[Invoice value inc. GST]] / 1 + AP[[#This Row],[GST %]]) * AP[[#This Row],[GST %]], 0)</f>
        <v>0</v>
      </c>
      <c r="P611" s="31">
        <f>_xlfn.XLOOKUP(AP[[#This Row],[Supplier name]], Supplier_master[Supplier name], Supplier_master[EOM or Net], 0)</f>
        <v>0</v>
      </c>
      <c r="Q611" s="31">
        <f>_xlfn.XLOOKUP(AP[[#This Row],[Supplier name]], Supplier_master[Supplier name], Supplier_master[Terms days], 0)</f>
        <v>0</v>
      </c>
      <c r="R6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1" s="4"/>
      <c r="T611" s="46">
        <f>IF(AP[[#This Row],[Payment date - override (dd/mm/yyyy)]] &lt;&gt; "", AP[[#This Row],[Payment date - override (dd/mm/yyyy)]], AP[[#This Row],[Due date (dd/mm/yyyy)]])</f>
        <v>0</v>
      </c>
      <c r="U611" s="46">
        <f t="shared" si="9"/>
        <v>52</v>
      </c>
    </row>
    <row r="612" spans="3:21" x14ac:dyDescent="0.25">
      <c r="C612" s="28"/>
      <c r="D612" s="20"/>
      <c r="E612" s="4"/>
      <c r="F612" s="37"/>
      <c r="G612" s="24"/>
      <c r="H612" s="31">
        <f>_xlfn.XLOOKUP(AP[[#This Row],[Supplier name]], Supplier_master[Supplier name], Supplier_master[Category L1], 0)</f>
        <v>0</v>
      </c>
      <c r="I612" s="64">
        <f>_xlfn.XLOOKUP(AP[[#This Row],[Supplier name]], Supplier_master[Supplier name], Supplier_master[Category L2], 0)</f>
        <v>0</v>
      </c>
      <c r="J612" s="55"/>
      <c r="K612" s="54"/>
      <c r="L612" s="57">
        <f>IF(AP[[#This Row],[Spend category L1 - Override]] &lt;&gt; "", AP[[#This Row],[Spend category L1 - Override]], AP[[#This Row],[Spend category L1]])</f>
        <v>0</v>
      </c>
      <c r="M612" s="57">
        <f>IF(AP[[#This Row],[Spend category L2 - Override]] &lt;&gt; "", AP[[#This Row],[Spend category L2 - Override]], AP[[#This Row],[Spend category L2]])</f>
        <v>0</v>
      </c>
      <c r="N612" s="51">
        <f>Assumptions!$D$15</f>
        <v>0.1</v>
      </c>
      <c r="O612" s="45">
        <f>IF(AP[[#This Row],[GST applies?]] = "Yes", (AP[[#This Row],[Invoice value inc. GST]] / 1 + AP[[#This Row],[GST %]]) * AP[[#This Row],[GST %]], 0)</f>
        <v>0</v>
      </c>
      <c r="P612" s="31">
        <f>_xlfn.XLOOKUP(AP[[#This Row],[Supplier name]], Supplier_master[Supplier name], Supplier_master[EOM or Net], 0)</f>
        <v>0</v>
      </c>
      <c r="Q612" s="31">
        <f>_xlfn.XLOOKUP(AP[[#This Row],[Supplier name]], Supplier_master[Supplier name], Supplier_master[Terms days], 0)</f>
        <v>0</v>
      </c>
      <c r="R6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2" s="4"/>
      <c r="T612" s="46">
        <f>IF(AP[[#This Row],[Payment date - override (dd/mm/yyyy)]] &lt;&gt; "", AP[[#This Row],[Payment date - override (dd/mm/yyyy)]], AP[[#This Row],[Due date (dd/mm/yyyy)]])</f>
        <v>0</v>
      </c>
      <c r="U612" s="46">
        <f t="shared" si="9"/>
        <v>52</v>
      </c>
    </row>
    <row r="613" spans="3:21" x14ac:dyDescent="0.25">
      <c r="C613" s="28"/>
      <c r="D613" s="20"/>
      <c r="E613" s="4"/>
      <c r="F613" s="37"/>
      <c r="G613" s="24"/>
      <c r="H613" s="31">
        <f>_xlfn.XLOOKUP(AP[[#This Row],[Supplier name]], Supplier_master[Supplier name], Supplier_master[Category L1], 0)</f>
        <v>0</v>
      </c>
      <c r="I613" s="64">
        <f>_xlfn.XLOOKUP(AP[[#This Row],[Supplier name]], Supplier_master[Supplier name], Supplier_master[Category L2], 0)</f>
        <v>0</v>
      </c>
      <c r="J613" s="55"/>
      <c r="K613" s="54"/>
      <c r="L613" s="57">
        <f>IF(AP[[#This Row],[Spend category L1 - Override]] &lt;&gt; "", AP[[#This Row],[Spend category L1 - Override]], AP[[#This Row],[Spend category L1]])</f>
        <v>0</v>
      </c>
      <c r="M613" s="57">
        <f>IF(AP[[#This Row],[Spend category L2 - Override]] &lt;&gt; "", AP[[#This Row],[Spend category L2 - Override]], AP[[#This Row],[Spend category L2]])</f>
        <v>0</v>
      </c>
      <c r="N613" s="51">
        <f>Assumptions!$D$15</f>
        <v>0.1</v>
      </c>
      <c r="O613" s="45">
        <f>IF(AP[[#This Row],[GST applies?]] = "Yes", (AP[[#This Row],[Invoice value inc. GST]] / 1 + AP[[#This Row],[GST %]]) * AP[[#This Row],[GST %]], 0)</f>
        <v>0</v>
      </c>
      <c r="P613" s="31">
        <f>_xlfn.XLOOKUP(AP[[#This Row],[Supplier name]], Supplier_master[Supplier name], Supplier_master[EOM or Net], 0)</f>
        <v>0</v>
      </c>
      <c r="Q613" s="31">
        <f>_xlfn.XLOOKUP(AP[[#This Row],[Supplier name]], Supplier_master[Supplier name], Supplier_master[Terms days], 0)</f>
        <v>0</v>
      </c>
      <c r="R6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3" s="4"/>
      <c r="T613" s="46">
        <f>IF(AP[[#This Row],[Payment date - override (dd/mm/yyyy)]] &lt;&gt; "", AP[[#This Row],[Payment date - override (dd/mm/yyyy)]], AP[[#This Row],[Due date (dd/mm/yyyy)]])</f>
        <v>0</v>
      </c>
      <c r="U613" s="46">
        <f t="shared" si="9"/>
        <v>52</v>
      </c>
    </row>
    <row r="614" spans="3:21" x14ac:dyDescent="0.25">
      <c r="C614" s="28"/>
      <c r="D614" s="20"/>
      <c r="E614" s="4"/>
      <c r="F614" s="37"/>
      <c r="G614" s="24"/>
      <c r="H614" s="31">
        <f>_xlfn.XLOOKUP(AP[[#This Row],[Supplier name]], Supplier_master[Supplier name], Supplier_master[Category L1], 0)</f>
        <v>0</v>
      </c>
      <c r="I614" s="64">
        <f>_xlfn.XLOOKUP(AP[[#This Row],[Supplier name]], Supplier_master[Supplier name], Supplier_master[Category L2], 0)</f>
        <v>0</v>
      </c>
      <c r="J614" s="55"/>
      <c r="K614" s="54"/>
      <c r="L614" s="57">
        <f>IF(AP[[#This Row],[Spend category L1 - Override]] &lt;&gt; "", AP[[#This Row],[Spend category L1 - Override]], AP[[#This Row],[Spend category L1]])</f>
        <v>0</v>
      </c>
      <c r="M614" s="57">
        <f>IF(AP[[#This Row],[Spend category L2 - Override]] &lt;&gt; "", AP[[#This Row],[Spend category L2 - Override]], AP[[#This Row],[Spend category L2]])</f>
        <v>0</v>
      </c>
      <c r="N614" s="51">
        <f>Assumptions!$D$15</f>
        <v>0.1</v>
      </c>
      <c r="O614" s="45">
        <f>IF(AP[[#This Row],[GST applies?]] = "Yes", (AP[[#This Row],[Invoice value inc. GST]] / 1 + AP[[#This Row],[GST %]]) * AP[[#This Row],[GST %]], 0)</f>
        <v>0</v>
      </c>
      <c r="P614" s="31">
        <f>_xlfn.XLOOKUP(AP[[#This Row],[Supplier name]], Supplier_master[Supplier name], Supplier_master[EOM or Net], 0)</f>
        <v>0</v>
      </c>
      <c r="Q614" s="31">
        <f>_xlfn.XLOOKUP(AP[[#This Row],[Supplier name]], Supplier_master[Supplier name], Supplier_master[Terms days], 0)</f>
        <v>0</v>
      </c>
      <c r="R6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4" s="4"/>
      <c r="T614" s="46">
        <f>IF(AP[[#This Row],[Payment date - override (dd/mm/yyyy)]] &lt;&gt; "", AP[[#This Row],[Payment date - override (dd/mm/yyyy)]], AP[[#This Row],[Due date (dd/mm/yyyy)]])</f>
        <v>0</v>
      </c>
      <c r="U614" s="46">
        <f t="shared" si="9"/>
        <v>52</v>
      </c>
    </row>
    <row r="615" spans="3:21" x14ac:dyDescent="0.25">
      <c r="C615" s="28"/>
      <c r="D615" s="20"/>
      <c r="E615" s="4"/>
      <c r="F615" s="37"/>
      <c r="G615" s="24"/>
      <c r="H615" s="31">
        <f>_xlfn.XLOOKUP(AP[[#This Row],[Supplier name]], Supplier_master[Supplier name], Supplier_master[Category L1], 0)</f>
        <v>0</v>
      </c>
      <c r="I615" s="64">
        <f>_xlfn.XLOOKUP(AP[[#This Row],[Supplier name]], Supplier_master[Supplier name], Supplier_master[Category L2], 0)</f>
        <v>0</v>
      </c>
      <c r="J615" s="55"/>
      <c r="K615" s="54"/>
      <c r="L615" s="57">
        <f>IF(AP[[#This Row],[Spend category L1 - Override]] &lt;&gt; "", AP[[#This Row],[Spend category L1 - Override]], AP[[#This Row],[Spend category L1]])</f>
        <v>0</v>
      </c>
      <c r="M615" s="57">
        <f>IF(AP[[#This Row],[Spend category L2 - Override]] &lt;&gt; "", AP[[#This Row],[Spend category L2 - Override]], AP[[#This Row],[Spend category L2]])</f>
        <v>0</v>
      </c>
      <c r="N615" s="51">
        <f>Assumptions!$D$15</f>
        <v>0.1</v>
      </c>
      <c r="O615" s="45">
        <f>IF(AP[[#This Row],[GST applies?]] = "Yes", (AP[[#This Row],[Invoice value inc. GST]] / 1 + AP[[#This Row],[GST %]]) * AP[[#This Row],[GST %]], 0)</f>
        <v>0</v>
      </c>
      <c r="P615" s="31">
        <f>_xlfn.XLOOKUP(AP[[#This Row],[Supplier name]], Supplier_master[Supplier name], Supplier_master[EOM or Net], 0)</f>
        <v>0</v>
      </c>
      <c r="Q615" s="31">
        <f>_xlfn.XLOOKUP(AP[[#This Row],[Supplier name]], Supplier_master[Supplier name], Supplier_master[Terms days], 0)</f>
        <v>0</v>
      </c>
      <c r="R6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5" s="4"/>
      <c r="T615" s="46">
        <f>IF(AP[[#This Row],[Payment date - override (dd/mm/yyyy)]] &lt;&gt; "", AP[[#This Row],[Payment date - override (dd/mm/yyyy)]], AP[[#This Row],[Due date (dd/mm/yyyy)]])</f>
        <v>0</v>
      </c>
      <c r="U615" s="46">
        <f t="shared" si="9"/>
        <v>52</v>
      </c>
    </row>
    <row r="616" spans="3:21" x14ac:dyDescent="0.25">
      <c r="C616" s="28"/>
      <c r="D616" s="20"/>
      <c r="E616" s="4"/>
      <c r="F616" s="37"/>
      <c r="G616" s="24"/>
      <c r="H616" s="31">
        <f>_xlfn.XLOOKUP(AP[[#This Row],[Supplier name]], Supplier_master[Supplier name], Supplier_master[Category L1], 0)</f>
        <v>0</v>
      </c>
      <c r="I616" s="64">
        <f>_xlfn.XLOOKUP(AP[[#This Row],[Supplier name]], Supplier_master[Supplier name], Supplier_master[Category L2], 0)</f>
        <v>0</v>
      </c>
      <c r="J616" s="55"/>
      <c r="K616" s="54"/>
      <c r="L616" s="57">
        <f>IF(AP[[#This Row],[Spend category L1 - Override]] &lt;&gt; "", AP[[#This Row],[Spend category L1 - Override]], AP[[#This Row],[Spend category L1]])</f>
        <v>0</v>
      </c>
      <c r="M616" s="57">
        <f>IF(AP[[#This Row],[Spend category L2 - Override]] &lt;&gt; "", AP[[#This Row],[Spend category L2 - Override]], AP[[#This Row],[Spend category L2]])</f>
        <v>0</v>
      </c>
      <c r="N616" s="51">
        <f>Assumptions!$D$15</f>
        <v>0.1</v>
      </c>
      <c r="O616" s="45">
        <f>IF(AP[[#This Row],[GST applies?]] = "Yes", (AP[[#This Row],[Invoice value inc. GST]] / 1 + AP[[#This Row],[GST %]]) * AP[[#This Row],[GST %]], 0)</f>
        <v>0</v>
      </c>
      <c r="P616" s="31">
        <f>_xlfn.XLOOKUP(AP[[#This Row],[Supplier name]], Supplier_master[Supplier name], Supplier_master[EOM or Net], 0)</f>
        <v>0</v>
      </c>
      <c r="Q616" s="31">
        <f>_xlfn.XLOOKUP(AP[[#This Row],[Supplier name]], Supplier_master[Supplier name], Supplier_master[Terms days], 0)</f>
        <v>0</v>
      </c>
      <c r="R6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6" s="4"/>
      <c r="T616" s="46">
        <f>IF(AP[[#This Row],[Payment date - override (dd/mm/yyyy)]] &lt;&gt; "", AP[[#This Row],[Payment date - override (dd/mm/yyyy)]], AP[[#This Row],[Due date (dd/mm/yyyy)]])</f>
        <v>0</v>
      </c>
      <c r="U616" s="46">
        <f t="shared" si="9"/>
        <v>52</v>
      </c>
    </row>
    <row r="617" spans="3:21" x14ac:dyDescent="0.25">
      <c r="C617" s="28"/>
      <c r="D617" s="20"/>
      <c r="E617" s="4"/>
      <c r="F617" s="37"/>
      <c r="G617" s="24"/>
      <c r="H617" s="31">
        <f>_xlfn.XLOOKUP(AP[[#This Row],[Supplier name]], Supplier_master[Supplier name], Supplier_master[Category L1], 0)</f>
        <v>0</v>
      </c>
      <c r="I617" s="64">
        <f>_xlfn.XLOOKUP(AP[[#This Row],[Supplier name]], Supplier_master[Supplier name], Supplier_master[Category L2], 0)</f>
        <v>0</v>
      </c>
      <c r="J617" s="55"/>
      <c r="K617" s="54"/>
      <c r="L617" s="57">
        <f>IF(AP[[#This Row],[Spend category L1 - Override]] &lt;&gt; "", AP[[#This Row],[Spend category L1 - Override]], AP[[#This Row],[Spend category L1]])</f>
        <v>0</v>
      </c>
      <c r="M617" s="57">
        <f>IF(AP[[#This Row],[Spend category L2 - Override]] &lt;&gt; "", AP[[#This Row],[Spend category L2 - Override]], AP[[#This Row],[Spend category L2]])</f>
        <v>0</v>
      </c>
      <c r="N617" s="51">
        <f>Assumptions!$D$15</f>
        <v>0.1</v>
      </c>
      <c r="O617" s="45">
        <f>IF(AP[[#This Row],[GST applies?]] = "Yes", (AP[[#This Row],[Invoice value inc. GST]] / 1 + AP[[#This Row],[GST %]]) * AP[[#This Row],[GST %]], 0)</f>
        <v>0</v>
      </c>
      <c r="P617" s="31">
        <f>_xlfn.XLOOKUP(AP[[#This Row],[Supplier name]], Supplier_master[Supplier name], Supplier_master[EOM or Net], 0)</f>
        <v>0</v>
      </c>
      <c r="Q617" s="31">
        <f>_xlfn.XLOOKUP(AP[[#This Row],[Supplier name]], Supplier_master[Supplier name], Supplier_master[Terms days], 0)</f>
        <v>0</v>
      </c>
      <c r="R6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7" s="4"/>
      <c r="T617" s="46">
        <f>IF(AP[[#This Row],[Payment date - override (dd/mm/yyyy)]] &lt;&gt; "", AP[[#This Row],[Payment date - override (dd/mm/yyyy)]], AP[[#This Row],[Due date (dd/mm/yyyy)]])</f>
        <v>0</v>
      </c>
      <c r="U617" s="46">
        <f t="shared" si="9"/>
        <v>52</v>
      </c>
    </row>
    <row r="618" spans="3:21" x14ac:dyDescent="0.25">
      <c r="C618" s="28"/>
      <c r="D618" s="20"/>
      <c r="E618" s="4"/>
      <c r="F618" s="37"/>
      <c r="G618" s="24"/>
      <c r="H618" s="31">
        <f>_xlfn.XLOOKUP(AP[[#This Row],[Supplier name]], Supplier_master[Supplier name], Supplier_master[Category L1], 0)</f>
        <v>0</v>
      </c>
      <c r="I618" s="64">
        <f>_xlfn.XLOOKUP(AP[[#This Row],[Supplier name]], Supplier_master[Supplier name], Supplier_master[Category L2], 0)</f>
        <v>0</v>
      </c>
      <c r="J618" s="55"/>
      <c r="K618" s="54"/>
      <c r="L618" s="57">
        <f>IF(AP[[#This Row],[Spend category L1 - Override]] &lt;&gt; "", AP[[#This Row],[Spend category L1 - Override]], AP[[#This Row],[Spend category L1]])</f>
        <v>0</v>
      </c>
      <c r="M618" s="57">
        <f>IF(AP[[#This Row],[Spend category L2 - Override]] &lt;&gt; "", AP[[#This Row],[Spend category L2 - Override]], AP[[#This Row],[Spend category L2]])</f>
        <v>0</v>
      </c>
      <c r="N618" s="51">
        <f>Assumptions!$D$15</f>
        <v>0.1</v>
      </c>
      <c r="O618" s="45">
        <f>IF(AP[[#This Row],[GST applies?]] = "Yes", (AP[[#This Row],[Invoice value inc. GST]] / 1 + AP[[#This Row],[GST %]]) * AP[[#This Row],[GST %]], 0)</f>
        <v>0</v>
      </c>
      <c r="P618" s="31">
        <f>_xlfn.XLOOKUP(AP[[#This Row],[Supplier name]], Supplier_master[Supplier name], Supplier_master[EOM or Net], 0)</f>
        <v>0</v>
      </c>
      <c r="Q618" s="31">
        <f>_xlfn.XLOOKUP(AP[[#This Row],[Supplier name]], Supplier_master[Supplier name], Supplier_master[Terms days], 0)</f>
        <v>0</v>
      </c>
      <c r="R6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8" s="4"/>
      <c r="T618" s="46">
        <f>IF(AP[[#This Row],[Payment date - override (dd/mm/yyyy)]] &lt;&gt; "", AP[[#This Row],[Payment date - override (dd/mm/yyyy)]], AP[[#This Row],[Due date (dd/mm/yyyy)]])</f>
        <v>0</v>
      </c>
      <c r="U618" s="46">
        <f t="shared" si="9"/>
        <v>52</v>
      </c>
    </row>
    <row r="619" spans="3:21" x14ac:dyDescent="0.25">
      <c r="C619" s="28"/>
      <c r="D619" s="20"/>
      <c r="E619" s="4"/>
      <c r="F619" s="37"/>
      <c r="G619" s="24"/>
      <c r="H619" s="31">
        <f>_xlfn.XLOOKUP(AP[[#This Row],[Supplier name]], Supplier_master[Supplier name], Supplier_master[Category L1], 0)</f>
        <v>0</v>
      </c>
      <c r="I619" s="64">
        <f>_xlfn.XLOOKUP(AP[[#This Row],[Supplier name]], Supplier_master[Supplier name], Supplier_master[Category L2], 0)</f>
        <v>0</v>
      </c>
      <c r="J619" s="55"/>
      <c r="K619" s="54"/>
      <c r="L619" s="57">
        <f>IF(AP[[#This Row],[Spend category L1 - Override]] &lt;&gt; "", AP[[#This Row],[Spend category L1 - Override]], AP[[#This Row],[Spend category L1]])</f>
        <v>0</v>
      </c>
      <c r="M619" s="57">
        <f>IF(AP[[#This Row],[Spend category L2 - Override]] &lt;&gt; "", AP[[#This Row],[Spend category L2 - Override]], AP[[#This Row],[Spend category L2]])</f>
        <v>0</v>
      </c>
      <c r="N619" s="51">
        <f>Assumptions!$D$15</f>
        <v>0.1</v>
      </c>
      <c r="O619" s="45">
        <f>IF(AP[[#This Row],[GST applies?]] = "Yes", (AP[[#This Row],[Invoice value inc. GST]] / 1 + AP[[#This Row],[GST %]]) * AP[[#This Row],[GST %]], 0)</f>
        <v>0</v>
      </c>
      <c r="P619" s="31">
        <f>_xlfn.XLOOKUP(AP[[#This Row],[Supplier name]], Supplier_master[Supplier name], Supplier_master[EOM or Net], 0)</f>
        <v>0</v>
      </c>
      <c r="Q619" s="31">
        <f>_xlfn.XLOOKUP(AP[[#This Row],[Supplier name]], Supplier_master[Supplier name], Supplier_master[Terms days], 0)</f>
        <v>0</v>
      </c>
      <c r="R6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9" s="4"/>
      <c r="T619" s="46">
        <f>IF(AP[[#This Row],[Payment date - override (dd/mm/yyyy)]] &lt;&gt; "", AP[[#This Row],[Payment date - override (dd/mm/yyyy)]], AP[[#This Row],[Due date (dd/mm/yyyy)]])</f>
        <v>0</v>
      </c>
      <c r="U619" s="46">
        <f t="shared" si="9"/>
        <v>52</v>
      </c>
    </row>
    <row r="620" spans="3:21" x14ac:dyDescent="0.25">
      <c r="C620" s="28"/>
      <c r="D620" s="20"/>
      <c r="E620" s="4"/>
      <c r="F620" s="37"/>
      <c r="G620" s="24"/>
      <c r="H620" s="31">
        <f>_xlfn.XLOOKUP(AP[[#This Row],[Supplier name]], Supplier_master[Supplier name], Supplier_master[Category L1], 0)</f>
        <v>0</v>
      </c>
      <c r="I620" s="64">
        <f>_xlfn.XLOOKUP(AP[[#This Row],[Supplier name]], Supplier_master[Supplier name], Supplier_master[Category L2], 0)</f>
        <v>0</v>
      </c>
      <c r="J620" s="55"/>
      <c r="K620" s="54"/>
      <c r="L620" s="57">
        <f>IF(AP[[#This Row],[Spend category L1 - Override]] &lt;&gt; "", AP[[#This Row],[Spend category L1 - Override]], AP[[#This Row],[Spend category L1]])</f>
        <v>0</v>
      </c>
      <c r="M620" s="57">
        <f>IF(AP[[#This Row],[Spend category L2 - Override]] &lt;&gt; "", AP[[#This Row],[Spend category L2 - Override]], AP[[#This Row],[Spend category L2]])</f>
        <v>0</v>
      </c>
      <c r="N620" s="51">
        <f>Assumptions!$D$15</f>
        <v>0.1</v>
      </c>
      <c r="O620" s="45">
        <f>IF(AP[[#This Row],[GST applies?]] = "Yes", (AP[[#This Row],[Invoice value inc. GST]] / 1 + AP[[#This Row],[GST %]]) * AP[[#This Row],[GST %]], 0)</f>
        <v>0</v>
      </c>
      <c r="P620" s="31">
        <f>_xlfn.XLOOKUP(AP[[#This Row],[Supplier name]], Supplier_master[Supplier name], Supplier_master[EOM or Net], 0)</f>
        <v>0</v>
      </c>
      <c r="Q620" s="31">
        <f>_xlfn.XLOOKUP(AP[[#This Row],[Supplier name]], Supplier_master[Supplier name], Supplier_master[Terms days], 0)</f>
        <v>0</v>
      </c>
      <c r="R6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0" s="4"/>
      <c r="T620" s="46">
        <f>IF(AP[[#This Row],[Payment date - override (dd/mm/yyyy)]] &lt;&gt; "", AP[[#This Row],[Payment date - override (dd/mm/yyyy)]], AP[[#This Row],[Due date (dd/mm/yyyy)]])</f>
        <v>0</v>
      </c>
      <c r="U620" s="46">
        <f t="shared" si="9"/>
        <v>52</v>
      </c>
    </row>
    <row r="621" spans="3:21" x14ac:dyDescent="0.25">
      <c r="C621" s="28"/>
      <c r="D621" s="20"/>
      <c r="E621" s="4"/>
      <c r="F621" s="37"/>
      <c r="G621" s="24"/>
      <c r="H621" s="31">
        <f>_xlfn.XLOOKUP(AP[[#This Row],[Supplier name]], Supplier_master[Supplier name], Supplier_master[Category L1], 0)</f>
        <v>0</v>
      </c>
      <c r="I621" s="64">
        <f>_xlfn.XLOOKUP(AP[[#This Row],[Supplier name]], Supplier_master[Supplier name], Supplier_master[Category L2], 0)</f>
        <v>0</v>
      </c>
      <c r="J621" s="55"/>
      <c r="K621" s="54"/>
      <c r="L621" s="57">
        <f>IF(AP[[#This Row],[Spend category L1 - Override]] &lt;&gt; "", AP[[#This Row],[Spend category L1 - Override]], AP[[#This Row],[Spend category L1]])</f>
        <v>0</v>
      </c>
      <c r="M621" s="57">
        <f>IF(AP[[#This Row],[Spend category L2 - Override]] &lt;&gt; "", AP[[#This Row],[Spend category L2 - Override]], AP[[#This Row],[Spend category L2]])</f>
        <v>0</v>
      </c>
      <c r="N621" s="51">
        <f>Assumptions!$D$15</f>
        <v>0.1</v>
      </c>
      <c r="O621" s="45">
        <f>IF(AP[[#This Row],[GST applies?]] = "Yes", (AP[[#This Row],[Invoice value inc. GST]] / 1 + AP[[#This Row],[GST %]]) * AP[[#This Row],[GST %]], 0)</f>
        <v>0</v>
      </c>
      <c r="P621" s="31">
        <f>_xlfn.XLOOKUP(AP[[#This Row],[Supplier name]], Supplier_master[Supplier name], Supplier_master[EOM or Net], 0)</f>
        <v>0</v>
      </c>
      <c r="Q621" s="31">
        <f>_xlfn.XLOOKUP(AP[[#This Row],[Supplier name]], Supplier_master[Supplier name], Supplier_master[Terms days], 0)</f>
        <v>0</v>
      </c>
      <c r="R6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1" s="4"/>
      <c r="T621" s="46">
        <f>IF(AP[[#This Row],[Payment date - override (dd/mm/yyyy)]] &lt;&gt; "", AP[[#This Row],[Payment date - override (dd/mm/yyyy)]], AP[[#This Row],[Due date (dd/mm/yyyy)]])</f>
        <v>0</v>
      </c>
      <c r="U621" s="46">
        <f t="shared" si="9"/>
        <v>52</v>
      </c>
    </row>
    <row r="622" spans="3:21" x14ac:dyDescent="0.25">
      <c r="C622" s="28"/>
      <c r="D622" s="20"/>
      <c r="E622" s="4"/>
      <c r="F622" s="37"/>
      <c r="G622" s="24"/>
      <c r="H622" s="31">
        <f>_xlfn.XLOOKUP(AP[[#This Row],[Supplier name]], Supplier_master[Supplier name], Supplier_master[Category L1], 0)</f>
        <v>0</v>
      </c>
      <c r="I622" s="64">
        <f>_xlfn.XLOOKUP(AP[[#This Row],[Supplier name]], Supplier_master[Supplier name], Supplier_master[Category L2], 0)</f>
        <v>0</v>
      </c>
      <c r="J622" s="55"/>
      <c r="K622" s="54"/>
      <c r="L622" s="57">
        <f>IF(AP[[#This Row],[Spend category L1 - Override]] &lt;&gt; "", AP[[#This Row],[Spend category L1 - Override]], AP[[#This Row],[Spend category L1]])</f>
        <v>0</v>
      </c>
      <c r="M622" s="57">
        <f>IF(AP[[#This Row],[Spend category L2 - Override]] &lt;&gt; "", AP[[#This Row],[Spend category L2 - Override]], AP[[#This Row],[Spend category L2]])</f>
        <v>0</v>
      </c>
      <c r="N622" s="51">
        <f>Assumptions!$D$15</f>
        <v>0.1</v>
      </c>
      <c r="O622" s="45">
        <f>IF(AP[[#This Row],[GST applies?]] = "Yes", (AP[[#This Row],[Invoice value inc. GST]] / 1 + AP[[#This Row],[GST %]]) * AP[[#This Row],[GST %]], 0)</f>
        <v>0</v>
      </c>
      <c r="P622" s="31">
        <f>_xlfn.XLOOKUP(AP[[#This Row],[Supplier name]], Supplier_master[Supplier name], Supplier_master[EOM or Net], 0)</f>
        <v>0</v>
      </c>
      <c r="Q622" s="31">
        <f>_xlfn.XLOOKUP(AP[[#This Row],[Supplier name]], Supplier_master[Supplier name], Supplier_master[Terms days], 0)</f>
        <v>0</v>
      </c>
      <c r="R6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2" s="4"/>
      <c r="T622" s="46">
        <f>IF(AP[[#This Row],[Payment date - override (dd/mm/yyyy)]] &lt;&gt; "", AP[[#This Row],[Payment date - override (dd/mm/yyyy)]], AP[[#This Row],[Due date (dd/mm/yyyy)]])</f>
        <v>0</v>
      </c>
      <c r="U622" s="46">
        <f t="shared" si="9"/>
        <v>52</v>
      </c>
    </row>
    <row r="623" spans="3:21" x14ac:dyDescent="0.25">
      <c r="C623" s="28"/>
      <c r="D623" s="20"/>
      <c r="E623" s="4"/>
      <c r="F623" s="37"/>
      <c r="G623" s="24"/>
      <c r="H623" s="31">
        <f>_xlfn.XLOOKUP(AP[[#This Row],[Supplier name]], Supplier_master[Supplier name], Supplier_master[Category L1], 0)</f>
        <v>0</v>
      </c>
      <c r="I623" s="64">
        <f>_xlfn.XLOOKUP(AP[[#This Row],[Supplier name]], Supplier_master[Supplier name], Supplier_master[Category L2], 0)</f>
        <v>0</v>
      </c>
      <c r="J623" s="55"/>
      <c r="K623" s="54"/>
      <c r="L623" s="57">
        <f>IF(AP[[#This Row],[Spend category L1 - Override]] &lt;&gt; "", AP[[#This Row],[Spend category L1 - Override]], AP[[#This Row],[Spend category L1]])</f>
        <v>0</v>
      </c>
      <c r="M623" s="57">
        <f>IF(AP[[#This Row],[Spend category L2 - Override]] &lt;&gt; "", AP[[#This Row],[Spend category L2 - Override]], AP[[#This Row],[Spend category L2]])</f>
        <v>0</v>
      </c>
      <c r="N623" s="51">
        <f>Assumptions!$D$15</f>
        <v>0.1</v>
      </c>
      <c r="O623" s="45">
        <f>IF(AP[[#This Row],[GST applies?]] = "Yes", (AP[[#This Row],[Invoice value inc. GST]] / 1 + AP[[#This Row],[GST %]]) * AP[[#This Row],[GST %]], 0)</f>
        <v>0</v>
      </c>
      <c r="P623" s="31">
        <f>_xlfn.XLOOKUP(AP[[#This Row],[Supplier name]], Supplier_master[Supplier name], Supplier_master[EOM or Net], 0)</f>
        <v>0</v>
      </c>
      <c r="Q623" s="31">
        <f>_xlfn.XLOOKUP(AP[[#This Row],[Supplier name]], Supplier_master[Supplier name], Supplier_master[Terms days], 0)</f>
        <v>0</v>
      </c>
      <c r="R6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3" s="4"/>
      <c r="T623" s="46">
        <f>IF(AP[[#This Row],[Payment date - override (dd/mm/yyyy)]] &lt;&gt; "", AP[[#This Row],[Payment date - override (dd/mm/yyyy)]], AP[[#This Row],[Due date (dd/mm/yyyy)]])</f>
        <v>0</v>
      </c>
      <c r="U623" s="46">
        <f t="shared" si="9"/>
        <v>52</v>
      </c>
    </row>
    <row r="624" spans="3:21" x14ac:dyDescent="0.25">
      <c r="C624" s="28"/>
      <c r="D624" s="20"/>
      <c r="E624" s="4"/>
      <c r="F624" s="37"/>
      <c r="G624" s="24"/>
      <c r="H624" s="31">
        <f>_xlfn.XLOOKUP(AP[[#This Row],[Supplier name]], Supplier_master[Supplier name], Supplier_master[Category L1], 0)</f>
        <v>0</v>
      </c>
      <c r="I624" s="64">
        <f>_xlfn.XLOOKUP(AP[[#This Row],[Supplier name]], Supplier_master[Supplier name], Supplier_master[Category L2], 0)</f>
        <v>0</v>
      </c>
      <c r="J624" s="55"/>
      <c r="K624" s="54"/>
      <c r="L624" s="57">
        <f>IF(AP[[#This Row],[Spend category L1 - Override]] &lt;&gt; "", AP[[#This Row],[Spend category L1 - Override]], AP[[#This Row],[Spend category L1]])</f>
        <v>0</v>
      </c>
      <c r="M624" s="57">
        <f>IF(AP[[#This Row],[Spend category L2 - Override]] &lt;&gt; "", AP[[#This Row],[Spend category L2 - Override]], AP[[#This Row],[Spend category L2]])</f>
        <v>0</v>
      </c>
      <c r="N624" s="51">
        <f>Assumptions!$D$15</f>
        <v>0.1</v>
      </c>
      <c r="O624" s="45">
        <f>IF(AP[[#This Row],[GST applies?]] = "Yes", (AP[[#This Row],[Invoice value inc. GST]] / 1 + AP[[#This Row],[GST %]]) * AP[[#This Row],[GST %]], 0)</f>
        <v>0</v>
      </c>
      <c r="P624" s="31">
        <f>_xlfn.XLOOKUP(AP[[#This Row],[Supplier name]], Supplier_master[Supplier name], Supplier_master[EOM or Net], 0)</f>
        <v>0</v>
      </c>
      <c r="Q624" s="31">
        <f>_xlfn.XLOOKUP(AP[[#This Row],[Supplier name]], Supplier_master[Supplier name], Supplier_master[Terms days], 0)</f>
        <v>0</v>
      </c>
      <c r="R6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4" s="4"/>
      <c r="T624" s="46">
        <f>IF(AP[[#This Row],[Payment date - override (dd/mm/yyyy)]] &lt;&gt; "", AP[[#This Row],[Payment date - override (dd/mm/yyyy)]], AP[[#This Row],[Due date (dd/mm/yyyy)]])</f>
        <v>0</v>
      </c>
      <c r="U624" s="46">
        <f t="shared" si="9"/>
        <v>52</v>
      </c>
    </row>
    <row r="625" spans="3:21" x14ac:dyDescent="0.25">
      <c r="C625" s="28"/>
      <c r="D625" s="20"/>
      <c r="E625" s="4"/>
      <c r="F625" s="37"/>
      <c r="G625" s="24"/>
      <c r="H625" s="31">
        <f>_xlfn.XLOOKUP(AP[[#This Row],[Supplier name]], Supplier_master[Supplier name], Supplier_master[Category L1], 0)</f>
        <v>0</v>
      </c>
      <c r="I625" s="64">
        <f>_xlfn.XLOOKUP(AP[[#This Row],[Supplier name]], Supplier_master[Supplier name], Supplier_master[Category L2], 0)</f>
        <v>0</v>
      </c>
      <c r="J625" s="55"/>
      <c r="K625" s="54"/>
      <c r="L625" s="57">
        <f>IF(AP[[#This Row],[Spend category L1 - Override]] &lt;&gt; "", AP[[#This Row],[Spend category L1 - Override]], AP[[#This Row],[Spend category L1]])</f>
        <v>0</v>
      </c>
      <c r="M625" s="57">
        <f>IF(AP[[#This Row],[Spend category L2 - Override]] &lt;&gt; "", AP[[#This Row],[Spend category L2 - Override]], AP[[#This Row],[Spend category L2]])</f>
        <v>0</v>
      </c>
      <c r="N625" s="51">
        <f>Assumptions!$D$15</f>
        <v>0.1</v>
      </c>
      <c r="O625" s="45">
        <f>IF(AP[[#This Row],[GST applies?]] = "Yes", (AP[[#This Row],[Invoice value inc. GST]] / 1 + AP[[#This Row],[GST %]]) * AP[[#This Row],[GST %]], 0)</f>
        <v>0</v>
      </c>
      <c r="P625" s="31">
        <f>_xlfn.XLOOKUP(AP[[#This Row],[Supplier name]], Supplier_master[Supplier name], Supplier_master[EOM or Net], 0)</f>
        <v>0</v>
      </c>
      <c r="Q625" s="31">
        <f>_xlfn.XLOOKUP(AP[[#This Row],[Supplier name]], Supplier_master[Supplier name], Supplier_master[Terms days], 0)</f>
        <v>0</v>
      </c>
      <c r="R6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5" s="4"/>
      <c r="T625" s="46">
        <f>IF(AP[[#This Row],[Payment date - override (dd/mm/yyyy)]] &lt;&gt; "", AP[[#This Row],[Payment date - override (dd/mm/yyyy)]], AP[[#This Row],[Due date (dd/mm/yyyy)]])</f>
        <v>0</v>
      </c>
      <c r="U625" s="46">
        <f t="shared" si="9"/>
        <v>52</v>
      </c>
    </row>
    <row r="626" spans="3:21" x14ac:dyDescent="0.25">
      <c r="C626" s="28"/>
      <c r="D626" s="20"/>
      <c r="E626" s="4"/>
      <c r="F626" s="37"/>
      <c r="G626" s="24"/>
      <c r="H626" s="31">
        <f>_xlfn.XLOOKUP(AP[[#This Row],[Supplier name]], Supplier_master[Supplier name], Supplier_master[Category L1], 0)</f>
        <v>0</v>
      </c>
      <c r="I626" s="64">
        <f>_xlfn.XLOOKUP(AP[[#This Row],[Supplier name]], Supplier_master[Supplier name], Supplier_master[Category L2], 0)</f>
        <v>0</v>
      </c>
      <c r="J626" s="55"/>
      <c r="K626" s="54"/>
      <c r="L626" s="57">
        <f>IF(AP[[#This Row],[Spend category L1 - Override]] &lt;&gt; "", AP[[#This Row],[Spend category L1 - Override]], AP[[#This Row],[Spend category L1]])</f>
        <v>0</v>
      </c>
      <c r="M626" s="57">
        <f>IF(AP[[#This Row],[Spend category L2 - Override]] &lt;&gt; "", AP[[#This Row],[Spend category L2 - Override]], AP[[#This Row],[Spend category L2]])</f>
        <v>0</v>
      </c>
      <c r="N626" s="51">
        <f>Assumptions!$D$15</f>
        <v>0.1</v>
      </c>
      <c r="O626" s="45">
        <f>IF(AP[[#This Row],[GST applies?]] = "Yes", (AP[[#This Row],[Invoice value inc. GST]] / 1 + AP[[#This Row],[GST %]]) * AP[[#This Row],[GST %]], 0)</f>
        <v>0</v>
      </c>
      <c r="P626" s="31">
        <f>_xlfn.XLOOKUP(AP[[#This Row],[Supplier name]], Supplier_master[Supplier name], Supplier_master[EOM or Net], 0)</f>
        <v>0</v>
      </c>
      <c r="Q626" s="31">
        <f>_xlfn.XLOOKUP(AP[[#This Row],[Supplier name]], Supplier_master[Supplier name], Supplier_master[Terms days], 0)</f>
        <v>0</v>
      </c>
      <c r="R6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6" s="4"/>
      <c r="T626" s="46">
        <f>IF(AP[[#This Row],[Payment date - override (dd/mm/yyyy)]] &lt;&gt; "", AP[[#This Row],[Payment date - override (dd/mm/yyyy)]], AP[[#This Row],[Due date (dd/mm/yyyy)]])</f>
        <v>0</v>
      </c>
      <c r="U626" s="46">
        <f t="shared" si="9"/>
        <v>52</v>
      </c>
    </row>
    <row r="627" spans="3:21" x14ac:dyDescent="0.25">
      <c r="C627" s="28"/>
      <c r="D627" s="20"/>
      <c r="E627" s="4"/>
      <c r="F627" s="37"/>
      <c r="G627" s="24"/>
      <c r="H627" s="31">
        <f>_xlfn.XLOOKUP(AP[[#This Row],[Supplier name]], Supplier_master[Supplier name], Supplier_master[Category L1], 0)</f>
        <v>0</v>
      </c>
      <c r="I627" s="64">
        <f>_xlfn.XLOOKUP(AP[[#This Row],[Supplier name]], Supplier_master[Supplier name], Supplier_master[Category L2], 0)</f>
        <v>0</v>
      </c>
      <c r="J627" s="55"/>
      <c r="K627" s="54"/>
      <c r="L627" s="57">
        <f>IF(AP[[#This Row],[Spend category L1 - Override]] &lt;&gt; "", AP[[#This Row],[Spend category L1 - Override]], AP[[#This Row],[Spend category L1]])</f>
        <v>0</v>
      </c>
      <c r="M627" s="57">
        <f>IF(AP[[#This Row],[Spend category L2 - Override]] &lt;&gt; "", AP[[#This Row],[Spend category L2 - Override]], AP[[#This Row],[Spend category L2]])</f>
        <v>0</v>
      </c>
      <c r="N627" s="51">
        <f>Assumptions!$D$15</f>
        <v>0.1</v>
      </c>
      <c r="O627" s="45">
        <f>IF(AP[[#This Row],[GST applies?]] = "Yes", (AP[[#This Row],[Invoice value inc. GST]] / 1 + AP[[#This Row],[GST %]]) * AP[[#This Row],[GST %]], 0)</f>
        <v>0</v>
      </c>
      <c r="P627" s="31">
        <f>_xlfn.XLOOKUP(AP[[#This Row],[Supplier name]], Supplier_master[Supplier name], Supplier_master[EOM or Net], 0)</f>
        <v>0</v>
      </c>
      <c r="Q627" s="31">
        <f>_xlfn.XLOOKUP(AP[[#This Row],[Supplier name]], Supplier_master[Supplier name], Supplier_master[Terms days], 0)</f>
        <v>0</v>
      </c>
      <c r="R6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7" s="4"/>
      <c r="T627" s="46">
        <f>IF(AP[[#This Row],[Payment date - override (dd/mm/yyyy)]] &lt;&gt; "", AP[[#This Row],[Payment date - override (dd/mm/yyyy)]], AP[[#This Row],[Due date (dd/mm/yyyy)]])</f>
        <v>0</v>
      </c>
      <c r="U627" s="46">
        <f t="shared" si="9"/>
        <v>52</v>
      </c>
    </row>
    <row r="628" spans="3:21" x14ac:dyDescent="0.25">
      <c r="C628" s="28"/>
      <c r="D628" s="20"/>
      <c r="E628" s="4"/>
      <c r="F628" s="37"/>
      <c r="G628" s="24"/>
      <c r="H628" s="31">
        <f>_xlfn.XLOOKUP(AP[[#This Row],[Supplier name]], Supplier_master[Supplier name], Supplier_master[Category L1], 0)</f>
        <v>0</v>
      </c>
      <c r="I628" s="64">
        <f>_xlfn.XLOOKUP(AP[[#This Row],[Supplier name]], Supplier_master[Supplier name], Supplier_master[Category L2], 0)</f>
        <v>0</v>
      </c>
      <c r="J628" s="55"/>
      <c r="K628" s="54"/>
      <c r="L628" s="57">
        <f>IF(AP[[#This Row],[Spend category L1 - Override]] &lt;&gt; "", AP[[#This Row],[Spend category L1 - Override]], AP[[#This Row],[Spend category L1]])</f>
        <v>0</v>
      </c>
      <c r="M628" s="57">
        <f>IF(AP[[#This Row],[Spend category L2 - Override]] &lt;&gt; "", AP[[#This Row],[Spend category L2 - Override]], AP[[#This Row],[Spend category L2]])</f>
        <v>0</v>
      </c>
      <c r="N628" s="51">
        <f>Assumptions!$D$15</f>
        <v>0.1</v>
      </c>
      <c r="O628" s="45">
        <f>IF(AP[[#This Row],[GST applies?]] = "Yes", (AP[[#This Row],[Invoice value inc. GST]] / 1 + AP[[#This Row],[GST %]]) * AP[[#This Row],[GST %]], 0)</f>
        <v>0</v>
      </c>
      <c r="P628" s="31">
        <f>_xlfn.XLOOKUP(AP[[#This Row],[Supplier name]], Supplier_master[Supplier name], Supplier_master[EOM or Net], 0)</f>
        <v>0</v>
      </c>
      <c r="Q628" s="31">
        <f>_xlfn.XLOOKUP(AP[[#This Row],[Supplier name]], Supplier_master[Supplier name], Supplier_master[Terms days], 0)</f>
        <v>0</v>
      </c>
      <c r="R6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8" s="4"/>
      <c r="T628" s="46">
        <f>IF(AP[[#This Row],[Payment date - override (dd/mm/yyyy)]] &lt;&gt; "", AP[[#This Row],[Payment date - override (dd/mm/yyyy)]], AP[[#This Row],[Due date (dd/mm/yyyy)]])</f>
        <v>0</v>
      </c>
      <c r="U628" s="46">
        <f t="shared" si="9"/>
        <v>52</v>
      </c>
    </row>
    <row r="629" spans="3:21" x14ac:dyDescent="0.25">
      <c r="C629" s="28"/>
      <c r="D629" s="20"/>
      <c r="E629" s="4"/>
      <c r="F629" s="37"/>
      <c r="G629" s="24"/>
      <c r="H629" s="31">
        <f>_xlfn.XLOOKUP(AP[[#This Row],[Supplier name]], Supplier_master[Supplier name], Supplier_master[Category L1], 0)</f>
        <v>0</v>
      </c>
      <c r="I629" s="64">
        <f>_xlfn.XLOOKUP(AP[[#This Row],[Supplier name]], Supplier_master[Supplier name], Supplier_master[Category L2], 0)</f>
        <v>0</v>
      </c>
      <c r="J629" s="55"/>
      <c r="K629" s="54"/>
      <c r="L629" s="57">
        <f>IF(AP[[#This Row],[Spend category L1 - Override]] &lt;&gt; "", AP[[#This Row],[Spend category L1 - Override]], AP[[#This Row],[Spend category L1]])</f>
        <v>0</v>
      </c>
      <c r="M629" s="57">
        <f>IF(AP[[#This Row],[Spend category L2 - Override]] &lt;&gt; "", AP[[#This Row],[Spend category L2 - Override]], AP[[#This Row],[Spend category L2]])</f>
        <v>0</v>
      </c>
      <c r="N629" s="51">
        <f>Assumptions!$D$15</f>
        <v>0.1</v>
      </c>
      <c r="O629" s="45">
        <f>IF(AP[[#This Row],[GST applies?]] = "Yes", (AP[[#This Row],[Invoice value inc. GST]] / 1 + AP[[#This Row],[GST %]]) * AP[[#This Row],[GST %]], 0)</f>
        <v>0</v>
      </c>
      <c r="P629" s="31">
        <f>_xlfn.XLOOKUP(AP[[#This Row],[Supplier name]], Supplier_master[Supplier name], Supplier_master[EOM or Net], 0)</f>
        <v>0</v>
      </c>
      <c r="Q629" s="31">
        <f>_xlfn.XLOOKUP(AP[[#This Row],[Supplier name]], Supplier_master[Supplier name], Supplier_master[Terms days], 0)</f>
        <v>0</v>
      </c>
      <c r="R6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9" s="4"/>
      <c r="T629" s="46">
        <f>IF(AP[[#This Row],[Payment date - override (dd/mm/yyyy)]] &lt;&gt; "", AP[[#This Row],[Payment date - override (dd/mm/yyyy)]], AP[[#This Row],[Due date (dd/mm/yyyy)]])</f>
        <v>0</v>
      </c>
      <c r="U629" s="46">
        <f t="shared" si="9"/>
        <v>52</v>
      </c>
    </row>
    <row r="630" spans="3:21" x14ac:dyDescent="0.25">
      <c r="C630" s="28"/>
      <c r="D630" s="20"/>
      <c r="E630" s="4"/>
      <c r="F630" s="37"/>
      <c r="G630" s="24"/>
      <c r="H630" s="31">
        <f>_xlfn.XLOOKUP(AP[[#This Row],[Supplier name]], Supplier_master[Supplier name], Supplier_master[Category L1], 0)</f>
        <v>0</v>
      </c>
      <c r="I630" s="64">
        <f>_xlfn.XLOOKUP(AP[[#This Row],[Supplier name]], Supplier_master[Supplier name], Supplier_master[Category L2], 0)</f>
        <v>0</v>
      </c>
      <c r="J630" s="55"/>
      <c r="K630" s="54"/>
      <c r="L630" s="57">
        <f>IF(AP[[#This Row],[Spend category L1 - Override]] &lt;&gt; "", AP[[#This Row],[Spend category L1 - Override]], AP[[#This Row],[Spend category L1]])</f>
        <v>0</v>
      </c>
      <c r="M630" s="57">
        <f>IF(AP[[#This Row],[Spend category L2 - Override]] &lt;&gt; "", AP[[#This Row],[Spend category L2 - Override]], AP[[#This Row],[Spend category L2]])</f>
        <v>0</v>
      </c>
      <c r="N630" s="51">
        <f>Assumptions!$D$15</f>
        <v>0.1</v>
      </c>
      <c r="O630" s="45">
        <f>IF(AP[[#This Row],[GST applies?]] = "Yes", (AP[[#This Row],[Invoice value inc. GST]] / 1 + AP[[#This Row],[GST %]]) * AP[[#This Row],[GST %]], 0)</f>
        <v>0</v>
      </c>
      <c r="P630" s="31">
        <f>_xlfn.XLOOKUP(AP[[#This Row],[Supplier name]], Supplier_master[Supplier name], Supplier_master[EOM or Net], 0)</f>
        <v>0</v>
      </c>
      <c r="Q630" s="31">
        <f>_xlfn.XLOOKUP(AP[[#This Row],[Supplier name]], Supplier_master[Supplier name], Supplier_master[Terms days], 0)</f>
        <v>0</v>
      </c>
      <c r="R6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0" s="4"/>
      <c r="T630" s="46">
        <f>IF(AP[[#This Row],[Payment date - override (dd/mm/yyyy)]] &lt;&gt; "", AP[[#This Row],[Payment date - override (dd/mm/yyyy)]], AP[[#This Row],[Due date (dd/mm/yyyy)]])</f>
        <v>0</v>
      </c>
      <c r="U630" s="46">
        <f t="shared" si="9"/>
        <v>52</v>
      </c>
    </row>
    <row r="631" spans="3:21" x14ac:dyDescent="0.25">
      <c r="C631" s="28"/>
      <c r="D631" s="20"/>
      <c r="E631" s="4"/>
      <c r="F631" s="37"/>
      <c r="G631" s="24"/>
      <c r="H631" s="31">
        <f>_xlfn.XLOOKUP(AP[[#This Row],[Supplier name]], Supplier_master[Supplier name], Supplier_master[Category L1], 0)</f>
        <v>0</v>
      </c>
      <c r="I631" s="64">
        <f>_xlfn.XLOOKUP(AP[[#This Row],[Supplier name]], Supplier_master[Supplier name], Supplier_master[Category L2], 0)</f>
        <v>0</v>
      </c>
      <c r="J631" s="55"/>
      <c r="K631" s="54"/>
      <c r="L631" s="57">
        <f>IF(AP[[#This Row],[Spend category L1 - Override]] &lt;&gt; "", AP[[#This Row],[Spend category L1 - Override]], AP[[#This Row],[Spend category L1]])</f>
        <v>0</v>
      </c>
      <c r="M631" s="57">
        <f>IF(AP[[#This Row],[Spend category L2 - Override]] &lt;&gt; "", AP[[#This Row],[Spend category L2 - Override]], AP[[#This Row],[Spend category L2]])</f>
        <v>0</v>
      </c>
      <c r="N631" s="51">
        <f>Assumptions!$D$15</f>
        <v>0.1</v>
      </c>
      <c r="O631" s="45">
        <f>IF(AP[[#This Row],[GST applies?]] = "Yes", (AP[[#This Row],[Invoice value inc. GST]] / 1 + AP[[#This Row],[GST %]]) * AP[[#This Row],[GST %]], 0)</f>
        <v>0</v>
      </c>
      <c r="P631" s="31">
        <f>_xlfn.XLOOKUP(AP[[#This Row],[Supplier name]], Supplier_master[Supplier name], Supplier_master[EOM or Net], 0)</f>
        <v>0</v>
      </c>
      <c r="Q631" s="31">
        <f>_xlfn.XLOOKUP(AP[[#This Row],[Supplier name]], Supplier_master[Supplier name], Supplier_master[Terms days], 0)</f>
        <v>0</v>
      </c>
      <c r="R6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1" s="4"/>
      <c r="T631" s="46">
        <f>IF(AP[[#This Row],[Payment date - override (dd/mm/yyyy)]] &lt;&gt; "", AP[[#This Row],[Payment date - override (dd/mm/yyyy)]], AP[[#This Row],[Due date (dd/mm/yyyy)]])</f>
        <v>0</v>
      </c>
      <c r="U631" s="46">
        <f t="shared" si="9"/>
        <v>52</v>
      </c>
    </row>
    <row r="632" spans="3:21" x14ac:dyDescent="0.25">
      <c r="C632" s="28"/>
      <c r="D632" s="20"/>
      <c r="E632" s="4"/>
      <c r="F632" s="37"/>
      <c r="G632" s="24"/>
      <c r="H632" s="31">
        <f>_xlfn.XLOOKUP(AP[[#This Row],[Supplier name]], Supplier_master[Supplier name], Supplier_master[Category L1], 0)</f>
        <v>0</v>
      </c>
      <c r="I632" s="64">
        <f>_xlfn.XLOOKUP(AP[[#This Row],[Supplier name]], Supplier_master[Supplier name], Supplier_master[Category L2], 0)</f>
        <v>0</v>
      </c>
      <c r="J632" s="55"/>
      <c r="K632" s="54"/>
      <c r="L632" s="57">
        <f>IF(AP[[#This Row],[Spend category L1 - Override]] &lt;&gt; "", AP[[#This Row],[Spend category L1 - Override]], AP[[#This Row],[Spend category L1]])</f>
        <v>0</v>
      </c>
      <c r="M632" s="57">
        <f>IF(AP[[#This Row],[Spend category L2 - Override]] &lt;&gt; "", AP[[#This Row],[Spend category L2 - Override]], AP[[#This Row],[Spend category L2]])</f>
        <v>0</v>
      </c>
      <c r="N632" s="51">
        <f>Assumptions!$D$15</f>
        <v>0.1</v>
      </c>
      <c r="O632" s="45">
        <f>IF(AP[[#This Row],[GST applies?]] = "Yes", (AP[[#This Row],[Invoice value inc. GST]] / 1 + AP[[#This Row],[GST %]]) * AP[[#This Row],[GST %]], 0)</f>
        <v>0</v>
      </c>
      <c r="P632" s="31">
        <f>_xlfn.XLOOKUP(AP[[#This Row],[Supplier name]], Supplier_master[Supplier name], Supplier_master[EOM or Net], 0)</f>
        <v>0</v>
      </c>
      <c r="Q632" s="31">
        <f>_xlfn.XLOOKUP(AP[[#This Row],[Supplier name]], Supplier_master[Supplier name], Supplier_master[Terms days], 0)</f>
        <v>0</v>
      </c>
      <c r="R6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2" s="4"/>
      <c r="T632" s="46">
        <f>IF(AP[[#This Row],[Payment date - override (dd/mm/yyyy)]] &lt;&gt; "", AP[[#This Row],[Payment date - override (dd/mm/yyyy)]], AP[[#This Row],[Due date (dd/mm/yyyy)]])</f>
        <v>0</v>
      </c>
      <c r="U632" s="46">
        <f t="shared" si="9"/>
        <v>52</v>
      </c>
    </row>
    <row r="633" spans="3:21" x14ac:dyDescent="0.25">
      <c r="C633" s="28"/>
      <c r="D633" s="20"/>
      <c r="E633" s="4"/>
      <c r="F633" s="37"/>
      <c r="G633" s="24"/>
      <c r="H633" s="31">
        <f>_xlfn.XLOOKUP(AP[[#This Row],[Supplier name]], Supplier_master[Supplier name], Supplier_master[Category L1], 0)</f>
        <v>0</v>
      </c>
      <c r="I633" s="64">
        <f>_xlfn.XLOOKUP(AP[[#This Row],[Supplier name]], Supplier_master[Supplier name], Supplier_master[Category L2], 0)</f>
        <v>0</v>
      </c>
      <c r="J633" s="55"/>
      <c r="K633" s="54"/>
      <c r="L633" s="57">
        <f>IF(AP[[#This Row],[Spend category L1 - Override]] &lt;&gt; "", AP[[#This Row],[Spend category L1 - Override]], AP[[#This Row],[Spend category L1]])</f>
        <v>0</v>
      </c>
      <c r="M633" s="57">
        <f>IF(AP[[#This Row],[Spend category L2 - Override]] &lt;&gt; "", AP[[#This Row],[Spend category L2 - Override]], AP[[#This Row],[Spend category L2]])</f>
        <v>0</v>
      </c>
      <c r="N633" s="51">
        <f>Assumptions!$D$15</f>
        <v>0.1</v>
      </c>
      <c r="O633" s="45">
        <f>IF(AP[[#This Row],[GST applies?]] = "Yes", (AP[[#This Row],[Invoice value inc. GST]] / 1 + AP[[#This Row],[GST %]]) * AP[[#This Row],[GST %]], 0)</f>
        <v>0</v>
      </c>
      <c r="P633" s="31">
        <f>_xlfn.XLOOKUP(AP[[#This Row],[Supplier name]], Supplier_master[Supplier name], Supplier_master[EOM or Net], 0)</f>
        <v>0</v>
      </c>
      <c r="Q633" s="31">
        <f>_xlfn.XLOOKUP(AP[[#This Row],[Supplier name]], Supplier_master[Supplier name], Supplier_master[Terms days], 0)</f>
        <v>0</v>
      </c>
      <c r="R6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3" s="4"/>
      <c r="T633" s="46">
        <f>IF(AP[[#This Row],[Payment date - override (dd/mm/yyyy)]] &lt;&gt; "", AP[[#This Row],[Payment date - override (dd/mm/yyyy)]], AP[[#This Row],[Due date (dd/mm/yyyy)]])</f>
        <v>0</v>
      </c>
      <c r="U633" s="46">
        <f t="shared" si="9"/>
        <v>52</v>
      </c>
    </row>
    <row r="634" spans="3:21" x14ac:dyDescent="0.25">
      <c r="C634" s="28"/>
      <c r="D634" s="20"/>
      <c r="E634" s="4"/>
      <c r="F634" s="37"/>
      <c r="G634" s="24"/>
      <c r="H634" s="31">
        <f>_xlfn.XLOOKUP(AP[[#This Row],[Supplier name]], Supplier_master[Supplier name], Supplier_master[Category L1], 0)</f>
        <v>0</v>
      </c>
      <c r="I634" s="64">
        <f>_xlfn.XLOOKUP(AP[[#This Row],[Supplier name]], Supplier_master[Supplier name], Supplier_master[Category L2], 0)</f>
        <v>0</v>
      </c>
      <c r="J634" s="55"/>
      <c r="K634" s="54"/>
      <c r="L634" s="57">
        <f>IF(AP[[#This Row],[Spend category L1 - Override]] &lt;&gt; "", AP[[#This Row],[Spend category L1 - Override]], AP[[#This Row],[Spend category L1]])</f>
        <v>0</v>
      </c>
      <c r="M634" s="57">
        <f>IF(AP[[#This Row],[Spend category L2 - Override]] &lt;&gt; "", AP[[#This Row],[Spend category L2 - Override]], AP[[#This Row],[Spend category L2]])</f>
        <v>0</v>
      </c>
      <c r="N634" s="51">
        <f>Assumptions!$D$15</f>
        <v>0.1</v>
      </c>
      <c r="O634" s="45">
        <f>IF(AP[[#This Row],[GST applies?]] = "Yes", (AP[[#This Row],[Invoice value inc. GST]] / 1 + AP[[#This Row],[GST %]]) * AP[[#This Row],[GST %]], 0)</f>
        <v>0</v>
      </c>
      <c r="P634" s="31">
        <f>_xlfn.XLOOKUP(AP[[#This Row],[Supplier name]], Supplier_master[Supplier name], Supplier_master[EOM or Net], 0)</f>
        <v>0</v>
      </c>
      <c r="Q634" s="31">
        <f>_xlfn.XLOOKUP(AP[[#This Row],[Supplier name]], Supplier_master[Supplier name], Supplier_master[Terms days], 0)</f>
        <v>0</v>
      </c>
      <c r="R6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4" s="4"/>
      <c r="T634" s="46">
        <f>IF(AP[[#This Row],[Payment date - override (dd/mm/yyyy)]] &lt;&gt; "", AP[[#This Row],[Payment date - override (dd/mm/yyyy)]], AP[[#This Row],[Due date (dd/mm/yyyy)]])</f>
        <v>0</v>
      </c>
      <c r="U634" s="46">
        <f t="shared" si="9"/>
        <v>52</v>
      </c>
    </row>
    <row r="635" spans="3:21" x14ac:dyDescent="0.25">
      <c r="C635" s="28"/>
      <c r="D635" s="20"/>
      <c r="E635" s="4"/>
      <c r="F635" s="37"/>
      <c r="G635" s="24"/>
      <c r="H635" s="31">
        <f>_xlfn.XLOOKUP(AP[[#This Row],[Supplier name]], Supplier_master[Supplier name], Supplier_master[Category L1], 0)</f>
        <v>0</v>
      </c>
      <c r="I635" s="64">
        <f>_xlfn.XLOOKUP(AP[[#This Row],[Supplier name]], Supplier_master[Supplier name], Supplier_master[Category L2], 0)</f>
        <v>0</v>
      </c>
      <c r="J635" s="55"/>
      <c r="K635" s="54"/>
      <c r="L635" s="57">
        <f>IF(AP[[#This Row],[Spend category L1 - Override]] &lt;&gt; "", AP[[#This Row],[Spend category L1 - Override]], AP[[#This Row],[Spend category L1]])</f>
        <v>0</v>
      </c>
      <c r="M635" s="57">
        <f>IF(AP[[#This Row],[Spend category L2 - Override]] &lt;&gt; "", AP[[#This Row],[Spend category L2 - Override]], AP[[#This Row],[Spend category L2]])</f>
        <v>0</v>
      </c>
      <c r="N635" s="51">
        <f>Assumptions!$D$15</f>
        <v>0.1</v>
      </c>
      <c r="O635" s="45">
        <f>IF(AP[[#This Row],[GST applies?]] = "Yes", (AP[[#This Row],[Invoice value inc. GST]] / 1 + AP[[#This Row],[GST %]]) * AP[[#This Row],[GST %]], 0)</f>
        <v>0</v>
      </c>
      <c r="P635" s="31">
        <f>_xlfn.XLOOKUP(AP[[#This Row],[Supplier name]], Supplier_master[Supplier name], Supplier_master[EOM or Net], 0)</f>
        <v>0</v>
      </c>
      <c r="Q635" s="31">
        <f>_xlfn.XLOOKUP(AP[[#This Row],[Supplier name]], Supplier_master[Supplier name], Supplier_master[Terms days], 0)</f>
        <v>0</v>
      </c>
      <c r="R6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5" s="4"/>
      <c r="T635" s="46">
        <f>IF(AP[[#This Row],[Payment date - override (dd/mm/yyyy)]] &lt;&gt; "", AP[[#This Row],[Payment date - override (dd/mm/yyyy)]], AP[[#This Row],[Due date (dd/mm/yyyy)]])</f>
        <v>0</v>
      </c>
      <c r="U635" s="46">
        <f t="shared" si="9"/>
        <v>52</v>
      </c>
    </row>
    <row r="636" spans="3:21" x14ac:dyDescent="0.25">
      <c r="C636" s="28"/>
      <c r="D636" s="20"/>
      <c r="E636" s="4"/>
      <c r="F636" s="37"/>
      <c r="G636" s="24"/>
      <c r="H636" s="31">
        <f>_xlfn.XLOOKUP(AP[[#This Row],[Supplier name]], Supplier_master[Supplier name], Supplier_master[Category L1], 0)</f>
        <v>0</v>
      </c>
      <c r="I636" s="64">
        <f>_xlfn.XLOOKUP(AP[[#This Row],[Supplier name]], Supplier_master[Supplier name], Supplier_master[Category L2], 0)</f>
        <v>0</v>
      </c>
      <c r="J636" s="55"/>
      <c r="K636" s="54"/>
      <c r="L636" s="57">
        <f>IF(AP[[#This Row],[Spend category L1 - Override]] &lt;&gt; "", AP[[#This Row],[Spend category L1 - Override]], AP[[#This Row],[Spend category L1]])</f>
        <v>0</v>
      </c>
      <c r="M636" s="57">
        <f>IF(AP[[#This Row],[Spend category L2 - Override]] &lt;&gt; "", AP[[#This Row],[Spend category L2 - Override]], AP[[#This Row],[Spend category L2]])</f>
        <v>0</v>
      </c>
      <c r="N636" s="51">
        <f>Assumptions!$D$15</f>
        <v>0.1</v>
      </c>
      <c r="O636" s="45">
        <f>IF(AP[[#This Row],[GST applies?]] = "Yes", (AP[[#This Row],[Invoice value inc. GST]] / 1 + AP[[#This Row],[GST %]]) * AP[[#This Row],[GST %]], 0)</f>
        <v>0</v>
      </c>
      <c r="P636" s="31">
        <f>_xlfn.XLOOKUP(AP[[#This Row],[Supplier name]], Supplier_master[Supplier name], Supplier_master[EOM or Net], 0)</f>
        <v>0</v>
      </c>
      <c r="Q636" s="31">
        <f>_xlfn.XLOOKUP(AP[[#This Row],[Supplier name]], Supplier_master[Supplier name], Supplier_master[Terms days], 0)</f>
        <v>0</v>
      </c>
      <c r="R6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6" s="4"/>
      <c r="T636" s="46">
        <f>IF(AP[[#This Row],[Payment date - override (dd/mm/yyyy)]] &lt;&gt; "", AP[[#This Row],[Payment date - override (dd/mm/yyyy)]], AP[[#This Row],[Due date (dd/mm/yyyy)]])</f>
        <v>0</v>
      </c>
      <c r="U636" s="46">
        <f t="shared" si="9"/>
        <v>52</v>
      </c>
    </row>
    <row r="637" spans="3:21" x14ac:dyDescent="0.25">
      <c r="C637" s="28"/>
      <c r="D637" s="20"/>
      <c r="E637" s="4"/>
      <c r="F637" s="37"/>
      <c r="G637" s="24"/>
      <c r="H637" s="31">
        <f>_xlfn.XLOOKUP(AP[[#This Row],[Supplier name]], Supplier_master[Supplier name], Supplier_master[Category L1], 0)</f>
        <v>0</v>
      </c>
      <c r="I637" s="64">
        <f>_xlfn.XLOOKUP(AP[[#This Row],[Supplier name]], Supplier_master[Supplier name], Supplier_master[Category L2], 0)</f>
        <v>0</v>
      </c>
      <c r="J637" s="55"/>
      <c r="K637" s="54"/>
      <c r="L637" s="57">
        <f>IF(AP[[#This Row],[Spend category L1 - Override]] &lt;&gt; "", AP[[#This Row],[Spend category L1 - Override]], AP[[#This Row],[Spend category L1]])</f>
        <v>0</v>
      </c>
      <c r="M637" s="57">
        <f>IF(AP[[#This Row],[Spend category L2 - Override]] &lt;&gt; "", AP[[#This Row],[Spend category L2 - Override]], AP[[#This Row],[Spend category L2]])</f>
        <v>0</v>
      </c>
      <c r="N637" s="51">
        <f>Assumptions!$D$15</f>
        <v>0.1</v>
      </c>
      <c r="O637" s="45">
        <f>IF(AP[[#This Row],[GST applies?]] = "Yes", (AP[[#This Row],[Invoice value inc. GST]] / 1 + AP[[#This Row],[GST %]]) * AP[[#This Row],[GST %]], 0)</f>
        <v>0</v>
      </c>
      <c r="P637" s="31">
        <f>_xlfn.XLOOKUP(AP[[#This Row],[Supplier name]], Supplier_master[Supplier name], Supplier_master[EOM or Net], 0)</f>
        <v>0</v>
      </c>
      <c r="Q637" s="31">
        <f>_xlfn.XLOOKUP(AP[[#This Row],[Supplier name]], Supplier_master[Supplier name], Supplier_master[Terms days], 0)</f>
        <v>0</v>
      </c>
      <c r="R6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7" s="4"/>
      <c r="T637" s="46">
        <f>IF(AP[[#This Row],[Payment date - override (dd/mm/yyyy)]] &lt;&gt; "", AP[[#This Row],[Payment date - override (dd/mm/yyyy)]], AP[[#This Row],[Due date (dd/mm/yyyy)]])</f>
        <v>0</v>
      </c>
      <c r="U637" s="46">
        <f t="shared" si="9"/>
        <v>52</v>
      </c>
    </row>
    <row r="638" spans="3:21" x14ac:dyDescent="0.25">
      <c r="C638" s="28"/>
      <c r="D638" s="20"/>
      <c r="E638" s="4"/>
      <c r="F638" s="37"/>
      <c r="G638" s="24"/>
      <c r="H638" s="31">
        <f>_xlfn.XLOOKUP(AP[[#This Row],[Supplier name]], Supplier_master[Supplier name], Supplier_master[Category L1], 0)</f>
        <v>0</v>
      </c>
      <c r="I638" s="64">
        <f>_xlfn.XLOOKUP(AP[[#This Row],[Supplier name]], Supplier_master[Supplier name], Supplier_master[Category L2], 0)</f>
        <v>0</v>
      </c>
      <c r="J638" s="55"/>
      <c r="K638" s="54"/>
      <c r="L638" s="57">
        <f>IF(AP[[#This Row],[Spend category L1 - Override]] &lt;&gt; "", AP[[#This Row],[Spend category L1 - Override]], AP[[#This Row],[Spend category L1]])</f>
        <v>0</v>
      </c>
      <c r="M638" s="57">
        <f>IF(AP[[#This Row],[Spend category L2 - Override]] &lt;&gt; "", AP[[#This Row],[Spend category L2 - Override]], AP[[#This Row],[Spend category L2]])</f>
        <v>0</v>
      </c>
      <c r="N638" s="51">
        <f>Assumptions!$D$15</f>
        <v>0.1</v>
      </c>
      <c r="O638" s="45">
        <f>IF(AP[[#This Row],[GST applies?]] = "Yes", (AP[[#This Row],[Invoice value inc. GST]] / 1 + AP[[#This Row],[GST %]]) * AP[[#This Row],[GST %]], 0)</f>
        <v>0</v>
      </c>
      <c r="P638" s="31">
        <f>_xlfn.XLOOKUP(AP[[#This Row],[Supplier name]], Supplier_master[Supplier name], Supplier_master[EOM or Net], 0)</f>
        <v>0</v>
      </c>
      <c r="Q638" s="31">
        <f>_xlfn.XLOOKUP(AP[[#This Row],[Supplier name]], Supplier_master[Supplier name], Supplier_master[Terms days], 0)</f>
        <v>0</v>
      </c>
      <c r="R6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8" s="4"/>
      <c r="T638" s="46">
        <f>IF(AP[[#This Row],[Payment date - override (dd/mm/yyyy)]] &lt;&gt; "", AP[[#This Row],[Payment date - override (dd/mm/yyyy)]], AP[[#This Row],[Due date (dd/mm/yyyy)]])</f>
        <v>0</v>
      </c>
      <c r="U638" s="46">
        <f t="shared" si="9"/>
        <v>52</v>
      </c>
    </row>
    <row r="639" spans="3:21" x14ac:dyDescent="0.25">
      <c r="C639" s="28"/>
      <c r="D639" s="20"/>
      <c r="E639" s="4"/>
      <c r="F639" s="37"/>
      <c r="G639" s="24"/>
      <c r="H639" s="31">
        <f>_xlfn.XLOOKUP(AP[[#This Row],[Supplier name]], Supplier_master[Supplier name], Supplier_master[Category L1], 0)</f>
        <v>0</v>
      </c>
      <c r="I639" s="64">
        <f>_xlfn.XLOOKUP(AP[[#This Row],[Supplier name]], Supplier_master[Supplier name], Supplier_master[Category L2], 0)</f>
        <v>0</v>
      </c>
      <c r="J639" s="55"/>
      <c r="K639" s="54"/>
      <c r="L639" s="57">
        <f>IF(AP[[#This Row],[Spend category L1 - Override]] &lt;&gt; "", AP[[#This Row],[Spend category L1 - Override]], AP[[#This Row],[Spend category L1]])</f>
        <v>0</v>
      </c>
      <c r="M639" s="57">
        <f>IF(AP[[#This Row],[Spend category L2 - Override]] &lt;&gt; "", AP[[#This Row],[Spend category L2 - Override]], AP[[#This Row],[Spend category L2]])</f>
        <v>0</v>
      </c>
      <c r="N639" s="51">
        <f>Assumptions!$D$15</f>
        <v>0.1</v>
      </c>
      <c r="O639" s="45">
        <f>IF(AP[[#This Row],[GST applies?]] = "Yes", (AP[[#This Row],[Invoice value inc. GST]] / 1 + AP[[#This Row],[GST %]]) * AP[[#This Row],[GST %]], 0)</f>
        <v>0</v>
      </c>
      <c r="P639" s="31">
        <f>_xlfn.XLOOKUP(AP[[#This Row],[Supplier name]], Supplier_master[Supplier name], Supplier_master[EOM or Net], 0)</f>
        <v>0</v>
      </c>
      <c r="Q639" s="31">
        <f>_xlfn.XLOOKUP(AP[[#This Row],[Supplier name]], Supplier_master[Supplier name], Supplier_master[Terms days], 0)</f>
        <v>0</v>
      </c>
      <c r="R6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9" s="4"/>
      <c r="T639" s="46">
        <f>IF(AP[[#This Row],[Payment date - override (dd/mm/yyyy)]] &lt;&gt; "", AP[[#This Row],[Payment date - override (dd/mm/yyyy)]], AP[[#This Row],[Due date (dd/mm/yyyy)]])</f>
        <v>0</v>
      </c>
      <c r="U639" s="46">
        <f t="shared" si="9"/>
        <v>52</v>
      </c>
    </row>
    <row r="640" spans="3:21" x14ac:dyDescent="0.25">
      <c r="C640" s="28"/>
      <c r="D640" s="20"/>
      <c r="E640" s="4"/>
      <c r="F640" s="37"/>
      <c r="G640" s="24"/>
      <c r="H640" s="31">
        <f>_xlfn.XLOOKUP(AP[[#This Row],[Supplier name]], Supplier_master[Supplier name], Supplier_master[Category L1], 0)</f>
        <v>0</v>
      </c>
      <c r="I640" s="64">
        <f>_xlfn.XLOOKUP(AP[[#This Row],[Supplier name]], Supplier_master[Supplier name], Supplier_master[Category L2], 0)</f>
        <v>0</v>
      </c>
      <c r="J640" s="55"/>
      <c r="K640" s="54"/>
      <c r="L640" s="57">
        <f>IF(AP[[#This Row],[Spend category L1 - Override]] &lt;&gt; "", AP[[#This Row],[Spend category L1 - Override]], AP[[#This Row],[Spend category L1]])</f>
        <v>0</v>
      </c>
      <c r="M640" s="57">
        <f>IF(AP[[#This Row],[Spend category L2 - Override]] &lt;&gt; "", AP[[#This Row],[Spend category L2 - Override]], AP[[#This Row],[Spend category L2]])</f>
        <v>0</v>
      </c>
      <c r="N640" s="51">
        <f>Assumptions!$D$15</f>
        <v>0.1</v>
      </c>
      <c r="O640" s="45">
        <f>IF(AP[[#This Row],[GST applies?]] = "Yes", (AP[[#This Row],[Invoice value inc. GST]] / 1 + AP[[#This Row],[GST %]]) * AP[[#This Row],[GST %]], 0)</f>
        <v>0</v>
      </c>
      <c r="P640" s="31">
        <f>_xlfn.XLOOKUP(AP[[#This Row],[Supplier name]], Supplier_master[Supplier name], Supplier_master[EOM or Net], 0)</f>
        <v>0</v>
      </c>
      <c r="Q640" s="31">
        <f>_xlfn.XLOOKUP(AP[[#This Row],[Supplier name]], Supplier_master[Supplier name], Supplier_master[Terms days], 0)</f>
        <v>0</v>
      </c>
      <c r="R6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0" s="4"/>
      <c r="T640" s="46">
        <f>IF(AP[[#This Row],[Payment date - override (dd/mm/yyyy)]] &lt;&gt; "", AP[[#This Row],[Payment date - override (dd/mm/yyyy)]], AP[[#This Row],[Due date (dd/mm/yyyy)]])</f>
        <v>0</v>
      </c>
      <c r="U640" s="46">
        <f t="shared" si="9"/>
        <v>52</v>
      </c>
    </row>
    <row r="641" spans="3:21" x14ac:dyDescent="0.25">
      <c r="C641" s="28"/>
      <c r="D641" s="20"/>
      <c r="E641" s="4"/>
      <c r="F641" s="37"/>
      <c r="G641" s="24"/>
      <c r="H641" s="31">
        <f>_xlfn.XLOOKUP(AP[[#This Row],[Supplier name]], Supplier_master[Supplier name], Supplier_master[Category L1], 0)</f>
        <v>0</v>
      </c>
      <c r="I641" s="64">
        <f>_xlfn.XLOOKUP(AP[[#This Row],[Supplier name]], Supplier_master[Supplier name], Supplier_master[Category L2], 0)</f>
        <v>0</v>
      </c>
      <c r="J641" s="55"/>
      <c r="K641" s="54"/>
      <c r="L641" s="57">
        <f>IF(AP[[#This Row],[Spend category L1 - Override]] &lt;&gt; "", AP[[#This Row],[Spend category L1 - Override]], AP[[#This Row],[Spend category L1]])</f>
        <v>0</v>
      </c>
      <c r="M641" s="57">
        <f>IF(AP[[#This Row],[Spend category L2 - Override]] &lt;&gt; "", AP[[#This Row],[Spend category L2 - Override]], AP[[#This Row],[Spend category L2]])</f>
        <v>0</v>
      </c>
      <c r="N641" s="51">
        <f>Assumptions!$D$15</f>
        <v>0.1</v>
      </c>
      <c r="O641" s="45">
        <f>IF(AP[[#This Row],[GST applies?]] = "Yes", (AP[[#This Row],[Invoice value inc. GST]] / 1 + AP[[#This Row],[GST %]]) * AP[[#This Row],[GST %]], 0)</f>
        <v>0</v>
      </c>
      <c r="P641" s="31">
        <f>_xlfn.XLOOKUP(AP[[#This Row],[Supplier name]], Supplier_master[Supplier name], Supplier_master[EOM or Net], 0)</f>
        <v>0</v>
      </c>
      <c r="Q641" s="31">
        <f>_xlfn.XLOOKUP(AP[[#This Row],[Supplier name]], Supplier_master[Supplier name], Supplier_master[Terms days], 0)</f>
        <v>0</v>
      </c>
      <c r="R6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1" s="4"/>
      <c r="T641" s="46">
        <f>IF(AP[[#This Row],[Payment date - override (dd/mm/yyyy)]] &lt;&gt; "", AP[[#This Row],[Payment date - override (dd/mm/yyyy)]], AP[[#This Row],[Due date (dd/mm/yyyy)]])</f>
        <v>0</v>
      </c>
      <c r="U641" s="46">
        <f t="shared" si="9"/>
        <v>52</v>
      </c>
    </row>
    <row r="642" spans="3:21" x14ac:dyDescent="0.25">
      <c r="C642" s="28"/>
      <c r="D642" s="20"/>
      <c r="E642" s="4"/>
      <c r="F642" s="37"/>
      <c r="G642" s="24"/>
      <c r="H642" s="31">
        <f>_xlfn.XLOOKUP(AP[[#This Row],[Supplier name]], Supplier_master[Supplier name], Supplier_master[Category L1], 0)</f>
        <v>0</v>
      </c>
      <c r="I642" s="64">
        <f>_xlfn.XLOOKUP(AP[[#This Row],[Supplier name]], Supplier_master[Supplier name], Supplier_master[Category L2], 0)</f>
        <v>0</v>
      </c>
      <c r="J642" s="55"/>
      <c r="K642" s="54"/>
      <c r="L642" s="57">
        <f>IF(AP[[#This Row],[Spend category L1 - Override]] &lt;&gt; "", AP[[#This Row],[Spend category L1 - Override]], AP[[#This Row],[Spend category L1]])</f>
        <v>0</v>
      </c>
      <c r="M642" s="57">
        <f>IF(AP[[#This Row],[Spend category L2 - Override]] &lt;&gt; "", AP[[#This Row],[Spend category L2 - Override]], AP[[#This Row],[Spend category L2]])</f>
        <v>0</v>
      </c>
      <c r="N642" s="51">
        <f>Assumptions!$D$15</f>
        <v>0.1</v>
      </c>
      <c r="O642" s="45">
        <f>IF(AP[[#This Row],[GST applies?]] = "Yes", (AP[[#This Row],[Invoice value inc. GST]] / 1 + AP[[#This Row],[GST %]]) * AP[[#This Row],[GST %]], 0)</f>
        <v>0</v>
      </c>
      <c r="P642" s="31">
        <f>_xlfn.XLOOKUP(AP[[#This Row],[Supplier name]], Supplier_master[Supplier name], Supplier_master[EOM or Net], 0)</f>
        <v>0</v>
      </c>
      <c r="Q642" s="31">
        <f>_xlfn.XLOOKUP(AP[[#This Row],[Supplier name]], Supplier_master[Supplier name], Supplier_master[Terms days], 0)</f>
        <v>0</v>
      </c>
      <c r="R6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2" s="4"/>
      <c r="T642" s="46">
        <f>IF(AP[[#This Row],[Payment date - override (dd/mm/yyyy)]] &lt;&gt; "", AP[[#This Row],[Payment date - override (dd/mm/yyyy)]], AP[[#This Row],[Due date (dd/mm/yyyy)]])</f>
        <v>0</v>
      </c>
      <c r="U642" s="46">
        <f t="shared" si="9"/>
        <v>52</v>
      </c>
    </row>
    <row r="643" spans="3:21" x14ac:dyDescent="0.25">
      <c r="C643" s="28"/>
      <c r="D643" s="20"/>
      <c r="E643" s="4"/>
      <c r="F643" s="37"/>
      <c r="G643" s="24"/>
      <c r="H643" s="31">
        <f>_xlfn.XLOOKUP(AP[[#This Row],[Supplier name]], Supplier_master[Supplier name], Supplier_master[Category L1], 0)</f>
        <v>0</v>
      </c>
      <c r="I643" s="64">
        <f>_xlfn.XLOOKUP(AP[[#This Row],[Supplier name]], Supplier_master[Supplier name], Supplier_master[Category L2], 0)</f>
        <v>0</v>
      </c>
      <c r="J643" s="55"/>
      <c r="K643" s="54"/>
      <c r="L643" s="57">
        <f>IF(AP[[#This Row],[Spend category L1 - Override]] &lt;&gt; "", AP[[#This Row],[Spend category L1 - Override]], AP[[#This Row],[Spend category L1]])</f>
        <v>0</v>
      </c>
      <c r="M643" s="57">
        <f>IF(AP[[#This Row],[Spend category L2 - Override]] &lt;&gt; "", AP[[#This Row],[Spend category L2 - Override]], AP[[#This Row],[Spend category L2]])</f>
        <v>0</v>
      </c>
      <c r="N643" s="51">
        <f>Assumptions!$D$15</f>
        <v>0.1</v>
      </c>
      <c r="O643" s="45">
        <f>IF(AP[[#This Row],[GST applies?]] = "Yes", (AP[[#This Row],[Invoice value inc. GST]] / 1 + AP[[#This Row],[GST %]]) * AP[[#This Row],[GST %]], 0)</f>
        <v>0</v>
      </c>
      <c r="P643" s="31">
        <f>_xlfn.XLOOKUP(AP[[#This Row],[Supplier name]], Supplier_master[Supplier name], Supplier_master[EOM or Net], 0)</f>
        <v>0</v>
      </c>
      <c r="Q643" s="31">
        <f>_xlfn.XLOOKUP(AP[[#This Row],[Supplier name]], Supplier_master[Supplier name], Supplier_master[Terms days], 0)</f>
        <v>0</v>
      </c>
      <c r="R6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3" s="4"/>
      <c r="T643" s="46">
        <f>IF(AP[[#This Row],[Payment date - override (dd/mm/yyyy)]] &lt;&gt; "", AP[[#This Row],[Payment date - override (dd/mm/yyyy)]], AP[[#This Row],[Due date (dd/mm/yyyy)]])</f>
        <v>0</v>
      </c>
      <c r="U643" s="46">
        <f t="shared" si="9"/>
        <v>52</v>
      </c>
    </row>
    <row r="644" spans="3:21" x14ac:dyDescent="0.25">
      <c r="C644" s="28"/>
      <c r="D644" s="20"/>
      <c r="E644" s="4"/>
      <c r="F644" s="37"/>
      <c r="G644" s="24"/>
      <c r="H644" s="31">
        <f>_xlfn.XLOOKUP(AP[[#This Row],[Supplier name]], Supplier_master[Supplier name], Supplier_master[Category L1], 0)</f>
        <v>0</v>
      </c>
      <c r="I644" s="64">
        <f>_xlfn.XLOOKUP(AP[[#This Row],[Supplier name]], Supplier_master[Supplier name], Supplier_master[Category L2], 0)</f>
        <v>0</v>
      </c>
      <c r="J644" s="55"/>
      <c r="K644" s="54"/>
      <c r="L644" s="57">
        <f>IF(AP[[#This Row],[Spend category L1 - Override]] &lt;&gt; "", AP[[#This Row],[Spend category L1 - Override]], AP[[#This Row],[Spend category L1]])</f>
        <v>0</v>
      </c>
      <c r="M644" s="57">
        <f>IF(AP[[#This Row],[Spend category L2 - Override]] &lt;&gt; "", AP[[#This Row],[Spend category L2 - Override]], AP[[#This Row],[Spend category L2]])</f>
        <v>0</v>
      </c>
      <c r="N644" s="51">
        <f>Assumptions!$D$15</f>
        <v>0.1</v>
      </c>
      <c r="O644" s="45">
        <f>IF(AP[[#This Row],[GST applies?]] = "Yes", (AP[[#This Row],[Invoice value inc. GST]] / 1 + AP[[#This Row],[GST %]]) * AP[[#This Row],[GST %]], 0)</f>
        <v>0</v>
      </c>
      <c r="P644" s="31">
        <f>_xlfn.XLOOKUP(AP[[#This Row],[Supplier name]], Supplier_master[Supplier name], Supplier_master[EOM or Net], 0)</f>
        <v>0</v>
      </c>
      <c r="Q644" s="31">
        <f>_xlfn.XLOOKUP(AP[[#This Row],[Supplier name]], Supplier_master[Supplier name], Supplier_master[Terms days], 0)</f>
        <v>0</v>
      </c>
      <c r="R6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4" s="4"/>
      <c r="T644" s="46">
        <f>IF(AP[[#This Row],[Payment date - override (dd/mm/yyyy)]] &lt;&gt; "", AP[[#This Row],[Payment date - override (dd/mm/yyyy)]], AP[[#This Row],[Due date (dd/mm/yyyy)]])</f>
        <v>0</v>
      </c>
      <c r="U644" s="46">
        <f t="shared" si="9"/>
        <v>52</v>
      </c>
    </row>
    <row r="645" spans="3:21" x14ac:dyDescent="0.25">
      <c r="C645" s="28"/>
      <c r="D645" s="20"/>
      <c r="E645" s="4"/>
      <c r="F645" s="37"/>
      <c r="G645" s="24"/>
      <c r="H645" s="31">
        <f>_xlfn.XLOOKUP(AP[[#This Row],[Supplier name]], Supplier_master[Supplier name], Supplier_master[Category L1], 0)</f>
        <v>0</v>
      </c>
      <c r="I645" s="64">
        <f>_xlfn.XLOOKUP(AP[[#This Row],[Supplier name]], Supplier_master[Supplier name], Supplier_master[Category L2], 0)</f>
        <v>0</v>
      </c>
      <c r="J645" s="55"/>
      <c r="K645" s="54"/>
      <c r="L645" s="57">
        <f>IF(AP[[#This Row],[Spend category L1 - Override]] &lt;&gt; "", AP[[#This Row],[Spend category L1 - Override]], AP[[#This Row],[Spend category L1]])</f>
        <v>0</v>
      </c>
      <c r="M645" s="57">
        <f>IF(AP[[#This Row],[Spend category L2 - Override]] &lt;&gt; "", AP[[#This Row],[Spend category L2 - Override]], AP[[#This Row],[Spend category L2]])</f>
        <v>0</v>
      </c>
      <c r="N645" s="51">
        <f>Assumptions!$D$15</f>
        <v>0.1</v>
      </c>
      <c r="O645" s="45">
        <f>IF(AP[[#This Row],[GST applies?]] = "Yes", (AP[[#This Row],[Invoice value inc. GST]] / 1 + AP[[#This Row],[GST %]]) * AP[[#This Row],[GST %]], 0)</f>
        <v>0</v>
      </c>
      <c r="P645" s="31">
        <f>_xlfn.XLOOKUP(AP[[#This Row],[Supplier name]], Supplier_master[Supplier name], Supplier_master[EOM or Net], 0)</f>
        <v>0</v>
      </c>
      <c r="Q645" s="31">
        <f>_xlfn.XLOOKUP(AP[[#This Row],[Supplier name]], Supplier_master[Supplier name], Supplier_master[Terms days], 0)</f>
        <v>0</v>
      </c>
      <c r="R6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5" s="4"/>
      <c r="T645" s="46">
        <f>IF(AP[[#This Row],[Payment date - override (dd/mm/yyyy)]] &lt;&gt; "", AP[[#This Row],[Payment date - override (dd/mm/yyyy)]], AP[[#This Row],[Due date (dd/mm/yyyy)]])</f>
        <v>0</v>
      </c>
      <c r="U645" s="46">
        <f t="shared" si="9"/>
        <v>52</v>
      </c>
    </row>
    <row r="646" spans="3:21" x14ac:dyDescent="0.25">
      <c r="C646" s="28"/>
      <c r="D646" s="20"/>
      <c r="E646" s="4"/>
      <c r="F646" s="37"/>
      <c r="G646" s="24"/>
      <c r="H646" s="31">
        <f>_xlfn.XLOOKUP(AP[[#This Row],[Supplier name]], Supplier_master[Supplier name], Supplier_master[Category L1], 0)</f>
        <v>0</v>
      </c>
      <c r="I646" s="64">
        <f>_xlfn.XLOOKUP(AP[[#This Row],[Supplier name]], Supplier_master[Supplier name], Supplier_master[Category L2], 0)</f>
        <v>0</v>
      </c>
      <c r="J646" s="55"/>
      <c r="K646" s="54"/>
      <c r="L646" s="57">
        <f>IF(AP[[#This Row],[Spend category L1 - Override]] &lt;&gt; "", AP[[#This Row],[Spend category L1 - Override]], AP[[#This Row],[Spend category L1]])</f>
        <v>0</v>
      </c>
      <c r="M646" s="57">
        <f>IF(AP[[#This Row],[Spend category L2 - Override]] &lt;&gt; "", AP[[#This Row],[Spend category L2 - Override]], AP[[#This Row],[Spend category L2]])</f>
        <v>0</v>
      </c>
      <c r="N646" s="51">
        <f>Assumptions!$D$15</f>
        <v>0.1</v>
      </c>
      <c r="O646" s="45">
        <f>IF(AP[[#This Row],[GST applies?]] = "Yes", (AP[[#This Row],[Invoice value inc. GST]] / 1 + AP[[#This Row],[GST %]]) * AP[[#This Row],[GST %]], 0)</f>
        <v>0</v>
      </c>
      <c r="P646" s="31">
        <f>_xlfn.XLOOKUP(AP[[#This Row],[Supplier name]], Supplier_master[Supplier name], Supplier_master[EOM or Net], 0)</f>
        <v>0</v>
      </c>
      <c r="Q646" s="31">
        <f>_xlfn.XLOOKUP(AP[[#This Row],[Supplier name]], Supplier_master[Supplier name], Supplier_master[Terms days], 0)</f>
        <v>0</v>
      </c>
      <c r="R6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6" s="4"/>
      <c r="T646" s="46">
        <f>IF(AP[[#This Row],[Payment date - override (dd/mm/yyyy)]] &lt;&gt; "", AP[[#This Row],[Payment date - override (dd/mm/yyyy)]], AP[[#This Row],[Due date (dd/mm/yyyy)]])</f>
        <v>0</v>
      </c>
      <c r="U646" s="46">
        <f t="shared" si="9"/>
        <v>52</v>
      </c>
    </row>
    <row r="647" spans="3:21" x14ac:dyDescent="0.25">
      <c r="C647" s="28"/>
      <c r="D647" s="20"/>
      <c r="E647" s="4"/>
      <c r="F647" s="37"/>
      <c r="G647" s="24"/>
      <c r="H647" s="31">
        <f>_xlfn.XLOOKUP(AP[[#This Row],[Supplier name]], Supplier_master[Supplier name], Supplier_master[Category L1], 0)</f>
        <v>0</v>
      </c>
      <c r="I647" s="64">
        <f>_xlfn.XLOOKUP(AP[[#This Row],[Supplier name]], Supplier_master[Supplier name], Supplier_master[Category L2], 0)</f>
        <v>0</v>
      </c>
      <c r="J647" s="55"/>
      <c r="K647" s="54"/>
      <c r="L647" s="57">
        <f>IF(AP[[#This Row],[Spend category L1 - Override]] &lt;&gt; "", AP[[#This Row],[Spend category L1 - Override]], AP[[#This Row],[Spend category L1]])</f>
        <v>0</v>
      </c>
      <c r="M647" s="57">
        <f>IF(AP[[#This Row],[Spend category L2 - Override]] &lt;&gt; "", AP[[#This Row],[Spend category L2 - Override]], AP[[#This Row],[Spend category L2]])</f>
        <v>0</v>
      </c>
      <c r="N647" s="51">
        <f>Assumptions!$D$15</f>
        <v>0.1</v>
      </c>
      <c r="O647" s="45">
        <f>IF(AP[[#This Row],[GST applies?]] = "Yes", (AP[[#This Row],[Invoice value inc. GST]] / 1 + AP[[#This Row],[GST %]]) * AP[[#This Row],[GST %]], 0)</f>
        <v>0</v>
      </c>
      <c r="P647" s="31">
        <f>_xlfn.XLOOKUP(AP[[#This Row],[Supplier name]], Supplier_master[Supplier name], Supplier_master[EOM or Net], 0)</f>
        <v>0</v>
      </c>
      <c r="Q647" s="31">
        <f>_xlfn.XLOOKUP(AP[[#This Row],[Supplier name]], Supplier_master[Supplier name], Supplier_master[Terms days], 0)</f>
        <v>0</v>
      </c>
      <c r="R6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7" s="4"/>
      <c r="T647" s="46">
        <f>IF(AP[[#This Row],[Payment date - override (dd/mm/yyyy)]] &lt;&gt; "", AP[[#This Row],[Payment date - override (dd/mm/yyyy)]], AP[[#This Row],[Due date (dd/mm/yyyy)]])</f>
        <v>0</v>
      </c>
      <c r="U647" s="46">
        <f t="shared" si="9"/>
        <v>52</v>
      </c>
    </row>
    <row r="648" spans="3:21" x14ac:dyDescent="0.25">
      <c r="C648" s="28"/>
      <c r="D648" s="20"/>
      <c r="E648" s="4"/>
      <c r="F648" s="37"/>
      <c r="G648" s="24"/>
      <c r="H648" s="31">
        <f>_xlfn.XLOOKUP(AP[[#This Row],[Supplier name]], Supplier_master[Supplier name], Supplier_master[Category L1], 0)</f>
        <v>0</v>
      </c>
      <c r="I648" s="64">
        <f>_xlfn.XLOOKUP(AP[[#This Row],[Supplier name]], Supplier_master[Supplier name], Supplier_master[Category L2], 0)</f>
        <v>0</v>
      </c>
      <c r="J648" s="55"/>
      <c r="K648" s="54"/>
      <c r="L648" s="57">
        <f>IF(AP[[#This Row],[Spend category L1 - Override]] &lt;&gt; "", AP[[#This Row],[Spend category L1 - Override]], AP[[#This Row],[Spend category L1]])</f>
        <v>0</v>
      </c>
      <c r="M648" s="57">
        <f>IF(AP[[#This Row],[Spend category L2 - Override]] &lt;&gt; "", AP[[#This Row],[Spend category L2 - Override]], AP[[#This Row],[Spend category L2]])</f>
        <v>0</v>
      </c>
      <c r="N648" s="51">
        <f>Assumptions!$D$15</f>
        <v>0.1</v>
      </c>
      <c r="O648" s="45">
        <f>IF(AP[[#This Row],[GST applies?]] = "Yes", (AP[[#This Row],[Invoice value inc. GST]] / 1 + AP[[#This Row],[GST %]]) * AP[[#This Row],[GST %]], 0)</f>
        <v>0</v>
      </c>
      <c r="P648" s="31">
        <f>_xlfn.XLOOKUP(AP[[#This Row],[Supplier name]], Supplier_master[Supplier name], Supplier_master[EOM or Net], 0)</f>
        <v>0</v>
      </c>
      <c r="Q648" s="31">
        <f>_xlfn.XLOOKUP(AP[[#This Row],[Supplier name]], Supplier_master[Supplier name], Supplier_master[Terms days], 0)</f>
        <v>0</v>
      </c>
      <c r="R6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8" s="4"/>
      <c r="T648" s="46">
        <f>IF(AP[[#This Row],[Payment date - override (dd/mm/yyyy)]] &lt;&gt; "", AP[[#This Row],[Payment date - override (dd/mm/yyyy)]], AP[[#This Row],[Due date (dd/mm/yyyy)]])</f>
        <v>0</v>
      </c>
      <c r="U648" s="46">
        <f t="shared" si="9"/>
        <v>52</v>
      </c>
    </row>
    <row r="649" spans="3:21" x14ac:dyDescent="0.25">
      <c r="C649" s="28"/>
      <c r="D649" s="20"/>
      <c r="E649" s="4"/>
      <c r="F649" s="37"/>
      <c r="G649" s="24"/>
      <c r="H649" s="31">
        <f>_xlfn.XLOOKUP(AP[[#This Row],[Supplier name]], Supplier_master[Supplier name], Supplier_master[Category L1], 0)</f>
        <v>0</v>
      </c>
      <c r="I649" s="64">
        <f>_xlfn.XLOOKUP(AP[[#This Row],[Supplier name]], Supplier_master[Supplier name], Supplier_master[Category L2], 0)</f>
        <v>0</v>
      </c>
      <c r="J649" s="55"/>
      <c r="K649" s="54"/>
      <c r="L649" s="57">
        <f>IF(AP[[#This Row],[Spend category L1 - Override]] &lt;&gt; "", AP[[#This Row],[Spend category L1 - Override]], AP[[#This Row],[Spend category L1]])</f>
        <v>0</v>
      </c>
      <c r="M649" s="57">
        <f>IF(AP[[#This Row],[Spend category L2 - Override]] &lt;&gt; "", AP[[#This Row],[Spend category L2 - Override]], AP[[#This Row],[Spend category L2]])</f>
        <v>0</v>
      </c>
      <c r="N649" s="51">
        <f>Assumptions!$D$15</f>
        <v>0.1</v>
      </c>
      <c r="O649" s="45">
        <f>IF(AP[[#This Row],[GST applies?]] = "Yes", (AP[[#This Row],[Invoice value inc. GST]] / 1 + AP[[#This Row],[GST %]]) * AP[[#This Row],[GST %]], 0)</f>
        <v>0</v>
      </c>
      <c r="P649" s="31">
        <f>_xlfn.XLOOKUP(AP[[#This Row],[Supplier name]], Supplier_master[Supplier name], Supplier_master[EOM or Net], 0)</f>
        <v>0</v>
      </c>
      <c r="Q649" s="31">
        <f>_xlfn.XLOOKUP(AP[[#This Row],[Supplier name]], Supplier_master[Supplier name], Supplier_master[Terms days], 0)</f>
        <v>0</v>
      </c>
      <c r="R6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9" s="4"/>
      <c r="T649" s="46">
        <f>IF(AP[[#This Row],[Payment date - override (dd/mm/yyyy)]] &lt;&gt; "", AP[[#This Row],[Payment date - override (dd/mm/yyyy)]], AP[[#This Row],[Due date (dd/mm/yyyy)]])</f>
        <v>0</v>
      </c>
      <c r="U649" s="46">
        <f t="shared" ref="U649:U712" si="10">IF(GST_Freq="Monthly",
    DATE(YEAR(E649), MONTH(E649) + 1, 21),
    IF(GST_Freq="Quarterly",
        IF(MOD(MONTH(E649) + 2 - MOD(MOD(MONTH(E649) - GST_First_Month, 12), 3), 12) = 0,
            DATE(YEAR(E649), MONTH(E649) + 4 - MOD(MOD(MONTH(E649) - GST_First_Month, 12), 3), 28),
            DATE(YEAR(E649), MONTH(E649) + 3 - MOD(MOD(MONTH(E649) - GST_First_Month, 12), 3), 28)
        ),
        "Invalid frequency"
    )
)</f>
        <v>52</v>
      </c>
    </row>
    <row r="650" spans="3:21" x14ac:dyDescent="0.25">
      <c r="C650" s="28"/>
      <c r="D650" s="20"/>
      <c r="E650" s="4"/>
      <c r="F650" s="37"/>
      <c r="G650" s="24"/>
      <c r="H650" s="31">
        <f>_xlfn.XLOOKUP(AP[[#This Row],[Supplier name]], Supplier_master[Supplier name], Supplier_master[Category L1], 0)</f>
        <v>0</v>
      </c>
      <c r="I650" s="64">
        <f>_xlfn.XLOOKUP(AP[[#This Row],[Supplier name]], Supplier_master[Supplier name], Supplier_master[Category L2], 0)</f>
        <v>0</v>
      </c>
      <c r="J650" s="55"/>
      <c r="K650" s="54"/>
      <c r="L650" s="57">
        <f>IF(AP[[#This Row],[Spend category L1 - Override]] &lt;&gt; "", AP[[#This Row],[Spend category L1 - Override]], AP[[#This Row],[Spend category L1]])</f>
        <v>0</v>
      </c>
      <c r="M650" s="57">
        <f>IF(AP[[#This Row],[Spend category L2 - Override]] &lt;&gt; "", AP[[#This Row],[Spend category L2 - Override]], AP[[#This Row],[Spend category L2]])</f>
        <v>0</v>
      </c>
      <c r="N650" s="51">
        <f>Assumptions!$D$15</f>
        <v>0.1</v>
      </c>
      <c r="O650" s="45">
        <f>IF(AP[[#This Row],[GST applies?]] = "Yes", (AP[[#This Row],[Invoice value inc. GST]] / 1 + AP[[#This Row],[GST %]]) * AP[[#This Row],[GST %]], 0)</f>
        <v>0</v>
      </c>
      <c r="P650" s="31">
        <f>_xlfn.XLOOKUP(AP[[#This Row],[Supplier name]], Supplier_master[Supplier name], Supplier_master[EOM or Net], 0)</f>
        <v>0</v>
      </c>
      <c r="Q650" s="31">
        <f>_xlfn.XLOOKUP(AP[[#This Row],[Supplier name]], Supplier_master[Supplier name], Supplier_master[Terms days], 0)</f>
        <v>0</v>
      </c>
      <c r="R6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0" s="4"/>
      <c r="T650" s="46">
        <f>IF(AP[[#This Row],[Payment date - override (dd/mm/yyyy)]] &lt;&gt; "", AP[[#This Row],[Payment date - override (dd/mm/yyyy)]], AP[[#This Row],[Due date (dd/mm/yyyy)]])</f>
        <v>0</v>
      </c>
      <c r="U650" s="46">
        <f t="shared" si="10"/>
        <v>52</v>
      </c>
    </row>
    <row r="651" spans="3:21" x14ac:dyDescent="0.25">
      <c r="C651" s="28"/>
      <c r="D651" s="20"/>
      <c r="E651" s="4"/>
      <c r="F651" s="37"/>
      <c r="G651" s="24"/>
      <c r="H651" s="31">
        <f>_xlfn.XLOOKUP(AP[[#This Row],[Supplier name]], Supplier_master[Supplier name], Supplier_master[Category L1], 0)</f>
        <v>0</v>
      </c>
      <c r="I651" s="64">
        <f>_xlfn.XLOOKUP(AP[[#This Row],[Supplier name]], Supplier_master[Supplier name], Supplier_master[Category L2], 0)</f>
        <v>0</v>
      </c>
      <c r="J651" s="55"/>
      <c r="K651" s="54"/>
      <c r="L651" s="57">
        <f>IF(AP[[#This Row],[Spend category L1 - Override]] &lt;&gt; "", AP[[#This Row],[Spend category L1 - Override]], AP[[#This Row],[Spend category L1]])</f>
        <v>0</v>
      </c>
      <c r="M651" s="57">
        <f>IF(AP[[#This Row],[Spend category L2 - Override]] &lt;&gt; "", AP[[#This Row],[Spend category L2 - Override]], AP[[#This Row],[Spend category L2]])</f>
        <v>0</v>
      </c>
      <c r="N651" s="51">
        <f>Assumptions!$D$15</f>
        <v>0.1</v>
      </c>
      <c r="O651" s="45">
        <f>IF(AP[[#This Row],[GST applies?]] = "Yes", (AP[[#This Row],[Invoice value inc. GST]] / 1 + AP[[#This Row],[GST %]]) * AP[[#This Row],[GST %]], 0)</f>
        <v>0</v>
      </c>
      <c r="P651" s="31">
        <f>_xlfn.XLOOKUP(AP[[#This Row],[Supplier name]], Supplier_master[Supplier name], Supplier_master[EOM or Net], 0)</f>
        <v>0</v>
      </c>
      <c r="Q651" s="31">
        <f>_xlfn.XLOOKUP(AP[[#This Row],[Supplier name]], Supplier_master[Supplier name], Supplier_master[Terms days], 0)</f>
        <v>0</v>
      </c>
      <c r="R6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1" s="4"/>
      <c r="T651" s="46">
        <f>IF(AP[[#This Row],[Payment date - override (dd/mm/yyyy)]] &lt;&gt; "", AP[[#This Row],[Payment date - override (dd/mm/yyyy)]], AP[[#This Row],[Due date (dd/mm/yyyy)]])</f>
        <v>0</v>
      </c>
      <c r="U651" s="46">
        <f t="shared" si="10"/>
        <v>52</v>
      </c>
    </row>
    <row r="652" spans="3:21" x14ac:dyDescent="0.25">
      <c r="C652" s="28"/>
      <c r="D652" s="20"/>
      <c r="E652" s="4"/>
      <c r="F652" s="37"/>
      <c r="G652" s="24"/>
      <c r="H652" s="31">
        <f>_xlfn.XLOOKUP(AP[[#This Row],[Supplier name]], Supplier_master[Supplier name], Supplier_master[Category L1], 0)</f>
        <v>0</v>
      </c>
      <c r="I652" s="64">
        <f>_xlfn.XLOOKUP(AP[[#This Row],[Supplier name]], Supplier_master[Supplier name], Supplier_master[Category L2], 0)</f>
        <v>0</v>
      </c>
      <c r="J652" s="55"/>
      <c r="K652" s="54"/>
      <c r="L652" s="57">
        <f>IF(AP[[#This Row],[Spend category L1 - Override]] &lt;&gt; "", AP[[#This Row],[Spend category L1 - Override]], AP[[#This Row],[Spend category L1]])</f>
        <v>0</v>
      </c>
      <c r="M652" s="57">
        <f>IF(AP[[#This Row],[Spend category L2 - Override]] &lt;&gt; "", AP[[#This Row],[Spend category L2 - Override]], AP[[#This Row],[Spend category L2]])</f>
        <v>0</v>
      </c>
      <c r="N652" s="51">
        <f>Assumptions!$D$15</f>
        <v>0.1</v>
      </c>
      <c r="O652" s="45">
        <f>IF(AP[[#This Row],[GST applies?]] = "Yes", (AP[[#This Row],[Invoice value inc. GST]] / 1 + AP[[#This Row],[GST %]]) * AP[[#This Row],[GST %]], 0)</f>
        <v>0</v>
      </c>
      <c r="P652" s="31">
        <f>_xlfn.XLOOKUP(AP[[#This Row],[Supplier name]], Supplier_master[Supplier name], Supplier_master[EOM or Net], 0)</f>
        <v>0</v>
      </c>
      <c r="Q652" s="31">
        <f>_xlfn.XLOOKUP(AP[[#This Row],[Supplier name]], Supplier_master[Supplier name], Supplier_master[Terms days], 0)</f>
        <v>0</v>
      </c>
      <c r="R6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2" s="4"/>
      <c r="T652" s="46">
        <f>IF(AP[[#This Row],[Payment date - override (dd/mm/yyyy)]] &lt;&gt; "", AP[[#This Row],[Payment date - override (dd/mm/yyyy)]], AP[[#This Row],[Due date (dd/mm/yyyy)]])</f>
        <v>0</v>
      </c>
      <c r="U652" s="46">
        <f t="shared" si="10"/>
        <v>52</v>
      </c>
    </row>
    <row r="653" spans="3:21" x14ac:dyDescent="0.25">
      <c r="C653" s="28"/>
      <c r="D653" s="20"/>
      <c r="E653" s="4"/>
      <c r="F653" s="37"/>
      <c r="G653" s="24"/>
      <c r="H653" s="31">
        <f>_xlfn.XLOOKUP(AP[[#This Row],[Supplier name]], Supplier_master[Supplier name], Supplier_master[Category L1], 0)</f>
        <v>0</v>
      </c>
      <c r="I653" s="64">
        <f>_xlfn.XLOOKUP(AP[[#This Row],[Supplier name]], Supplier_master[Supplier name], Supplier_master[Category L2], 0)</f>
        <v>0</v>
      </c>
      <c r="J653" s="55"/>
      <c r="K653" s="54"/>
      <c r="L653" s="57">
        <f>IF(AP[[#This Row],[Spend category L1 - Override]] &lt;&gt; "", AP[[#This Row],[Spend category L1 - Override]], AP[[#This Row],[Spend category L1]])</f>
        <v>0</v>
      </c>
      <c r="M653" s="57">
        <f>IF(AP[[#This Row],[Spend category L2 - Override]] &lt;&gt; "", AP[[#This Row],[Spend category L2 - Override]], AP[[#This Row],[Spend category L2]])</f>
        <v>0</v>
      </c>
      <c r="N653" s="51">
        <f>Assumptions!$D$15</f>
        <v>0.1</v>
      </c>
      <c r="O653" s="45">
        <f>IF(AP[[#This Row],[GST applies?]] = "Yes", (AP[[#This Row],[Invoice value inc. GST]] / 1 + AP[[#This Row],[GST %]]) * AP[[#This Row],[GST %]], 0)</f>
        <v>0</v>
      </c>
      <c r="P653" s="31">
        <f>_xlfn.XLOOKUP(AP[[#This Row],[Supplier name]], Supplier_master[Supplier name], Supplier_master[EOM or Net], 0)</f>
        <v>0</v>
      </c>
      <c r="Q653" s="31">
        <f>_xlfn.XLOOKUP(AP[[#This Row],[Supplier name]], Supplier_master[Supplier name], Supplier_master[Terms days], 0)</f>
        <v>0</v>
      </c>
      <c r="R6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3" s="4"/>
      <c r="T653" s="46">
        <f>IF(AP[[#This Row],[Payment date - override (dd/mm/yyyy)]] &lt;&gt; "", AP[[#This Row],[Payment date - override (dd/mm/yyyy)]], AP[[#This Row],[Due date (dd/mm/yyyy)]])</f>
        <v>0</v>
      </c>
      <c r="U653" s="46">
        <f t="shared" si="10"/>
        <v>52</v>
      </c>
    </row>
    <row r="654" spans="3:21" x14ac:dyDescent="0.25">
      <c r="C654" s="28"/>
      <c r="D654" s="20"/>
      <c r="E654" s="4"/>
      <c r="F654" s="37"/>
      <c r="G654" s="24"/>
      <c r="H654" s="31">
        <f>_xlfn.XLOOKUP(AP[[#This Row],[Supplier name]], Supplier_master[Supplier name], Supplier_master[Category L1], 0)</f>
        <v>0</v>
      </c>
      <c r="I654" s="64">
        <f>_xlfn.XLOOKUP(AP[[#This Row],[Supplier name]], Supplier_master[Supplier name], Supplier_master[Category L2], 0)</f>
        <v>0</v>
      </c>
      <c r="J654" s="55"/>
      <c r="K654" s="54"/>
      <c r="L654" s="57">
        <f>IF(AP[[#This Row],[Spend category L1 - Override]] &lt;&gt; "", AP[[#This Row],[Spend category L1 - Override]], AP[[#This Row],[Spend category L1]])</f>
        <v>0</v>
      </c>
      <c r="M654" s="57">
        <f>IF(AP[[#This Row],[Spend category L2 - Override]] &lt;&gt; "", AP[[#This Row],[Spend category L2 - Override]], AP[[#This Row],[Spend category L2]])</f>
        <v>0</v>
      </c>
      <c r="N654" s="51">
        <f>Assumptions!$D$15</f>
        <v>0.1</v>
      </c>
      <c r="O654" s="45">
        <f>IF(AP[[#This Row],[GST applies?]] = "Yes", (AP[[#This Row],[Invoice value inc. GST]] / 1 + AP[[#This Row],[GST %]]) * AP[[#This Row],[GST %]], 0)</f>
        <v>0</v>
      </c>
      <c r="P654" s="31">
        <f>_xlfn.XLOOKUP(AP[[#This Row],[Supplier name]], Supplier_master[Supplier name], Supplier_master[EOM or Net], 0)</f>
        <v>0</v>
      </c>
      <c r="Q654" s="31">
        <f>_xlfn.XLOOKUP(AP[[#This Row],[Supplier name]], Supplier_master[Supplier name], Supplier_master[Terms days], 0)</f>
        <v>0</v>
      </c>
      <c r="R6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4" s="4"/>
      <c r="T654" s="46">
        <f>IF(AP[[#This Row],[Payment date - override (dd/mm/yyyy)]] &lt;&gt; "", AP[[#This Row],[Payment date - override (dd/mm/yyyy)]], AP[[#This Row],[Due date (dd/mm/yyyy)]])</f>
        <v>0</v>
      </c>
      <c r="U654" s="46">
        <f t="shared" si="10"/>
        <v>52</v>
      </c>
    </row>
    <row r="655" spans="3:21" x14ac:dyDescent="0.25">
      <c r="C655" s="28"/>
      <c r="D655" s="20"/>
      <c r="E655" s="4"/>
      <c r="F655" s="37"/>
      <c r="G655" s="24"/>
      <c r="H655" s="31">
        <f>_xlfn.XLOOKUP(AP[[#This Row],[Supplier name]], Supplier_master[Supplier name], Supplier_master[Category L1], 0)</f>
        <v>0</v>
      </c>
      <c r="I655" s="64">
        <f>_xlfn.XLOOKUP(AP[[#This Row],[Supplier name]], Supplier_master[Supplier name], Supplier_master[Category L2], 0)</f>
        <v>0</v>
      </c>
      <c r="J655" s="55"/>
      <c r="K655" s="54"/>
      <c r="L655" s="57">
        <f>IF(AP[[#This Row],[Spend category L1 - Override]] &lt;&gt; "", AP[[#This Row],[Spend category L1 - Override]], AP[[#This Row],[Spend category L1]])</f>
        <v>0</v>
      </c>
      <c r="M655" s="57">
        <f>IF(AP[[#This Row],[Spend category L2 - Override]] &lt;&gt; "", AP[[#This Row],[Spend category L2 - Override]], AP[[#This Row],[Spend category L2]])</f>
        <v>0</v>
      </c>
      <c r="N655" s="51">
        <f>Assumptions!$D$15</f>
        <v>0.1</v>
      </c>
      <c r="O655" s="45">
        <f>IF(AP[[#This Row],[GST applies?]] = "Yes", (AP[[#This Row],[Invoice value inc. GST]] / 1 + AP[[#This Row],[GST %]]) * AP[[#This Row],[GST %]], 0)</f>
        <v>0</v>
      </c>
      <c r="P655" s="31">
        <f>_xlfn.XLOOKUP(AP[[#This Row],[Supplier name]], Supplier_master[Supplier name], Supplier_master[EOM or Net], 0)</f>
        <v>0</v>
      </c>
      <c r="Q655" s="31">
        <f>_xlfn.XLOOKUP(AP[[#This Row],[Supplier name]], Supplier_master[Supplier name], Supplier_master[Terms days], 0)</f>
        <v>0</v>
      </c>
      <c r="R6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5" s="4"/>
      <c r="T655" s="46">
        <f>IF(AP[[#This Row],[Payment date - override (dd/mm/yyyy)]] &lt;&gt; "", AP[[#This Row],[Payment date - override (dd/mm/yyyy)]], AP[[#This Row],[Due date (dd/mm/yyyy)]])</f>
        <v>0</v>
      </c>
      <c r="U655" s="46">
        <f t="shared" si="10"/>
        <v>52</v>
      </c>
    </row>
    <row r="656" spans="3:21" x14ac:dyDescent="0.25">
      <c r="C656" s="28"/>
      <c r="D656" s="20"/>
      <c r="E656" s="4"/>
      <c r="F656" s="37"/>
      <c r="G656" s="24"/>
      <c r="H656" s="31">
        <f>_xlfn.XLOOKUP(AP[[#This Row],[Supplier name]], Supplier_master[Supplier name], Supplier_master[Category L1], 0)</f>
        <v>0</v>
      </c>
      <c r="I656" s="64">
        <f>_xlfn.XLOOKUP(AP[[#This Row],[Supplier name]], Supplier_master[Supplier name], Supplier_master[Category L2], 0)</f>
        <v>0</v>
      </c>
      <c r="J656" s="55"/>
      <c r="K656" s="54"/>
      <c r="L656" s="57">
        <f>IF(AP[[#This Row],[Spend category L1 - Override]] &lt;&gt; "", AP[[#This Row],[Spend category L1 - Override]], AP[[#This Row],[Spend category L1]])</f>
        <v>0</v>
      </c>
      <c r="M656" s="57">
        <f>IF(AP[[#This Row],[Spend category L2 - Override]] &lt;&gt; "", AP[[#This Row],[Spend category L2 - Override]], AP[[#This Row],[Spend category L2]])</f>
        <v>0</v>
      </c>
      <c r="N656" s="51">
        <f>Assumptions!$D$15</f>
        <v>0.1</v>
      </c>
      <c r="O656" s="45">
        <f>IF(AP[[#This Row],[GST applies?]] = "Yes", (AP[[#This Row],[Invoice value inc. GST]] / 1 + AP[[#This Row],[GST %]]) * AP[[#This Row],[GST %]], 0)</f>
        <v>0</v>
      </c>
      <c r="P656" s="31">
        <f>_xlfn.XLOOKUP(AP[[#This Row],[Supplier name]], Supplier_master[Supplier name], Supplier_master[EOM or Net], 0)</f>
        <v>0</v>
      </c>
      <c r="Q656" s="31">
        <f>_xlfn.XLOOKUP(AP[[#This Row],[Supplier name]], Supplier_master[Supplier name], Supplier_master[Terms days], 0)</f>
        <v>0</v>
      </c>
      <c r="R6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6" s="4"/>
      <c r="T656" s="46">
        <f>IF(AP[[#This Row],[Payment date - override (dd/mm/yyyy)]] &lt;&gt; "", AP[[#This Row],[Payment date - override (dd/mm/yyyy)]], AP[[#This Row],[Due date (dd/mm/yyyy)]])</f>
        <v>0</v>
      </c>
      <c r="U656" s="46">
        <f t="shared" si="10"/>
        <v>52</v>
      </c>
    </row>
    <row r="657" spans="3:21" x14ac:dyDescent="0.25">
      <c r="C657" s="28"/>
      <c r="D657" s="20"/>
      <c r="E657" s="4"/>
      <c r="F657" s="37"/>
      <c r="G657" s="24"/>
      <c r="H657" s="31">
        <f>_xlfn.XLOOKUP(AP[[#This Row],[Supplier name]], Supplier_master[Supplier name], Supplier_master[Category L1], 0)</f>
        <v>0</v>
      </c>
      <c r="I657" s="64">
        <f>_xlfn.XLOOKUP(AP[[#This Row],[Supplier name]], Supplier_master[Supplier name], Supplier_master[Category L2], 0)</f>
        <v>0</v>
      </c>
      <c r="J657" s="55"/>
      <c r="K657" s="54"/>
      <c r="L657" s="57">
        <f>IF(AP[[#This Row],[Spend category L1 - Override]] &lt;&gt; "", AP[[#This Row],[Spend category L1 - Override]], AP[[#This Row],[Spend category L1]])</f>
        <v>0</v>
      </c>
      <c r="M657" s="57">
        <f>IF(AP[[#This Row],[Spend category L2 - Override]] &lt;&gt; "", AP[[#This Row],[Spend category L2 - Override]], AP[[#This Row],[Spend category L2]])</f>
        <v>0</v>
      </c>
      <c r="N657" s="51">
        <f>Assumptions!$D$15</f>
        <v>0.1</v>
      </c>
      <c r="O657" s="45">
        <f>IF(AP[[#This Row],[GST applies?]] = "Yes", (AP[[#This Row],[Invoice value inc. GST]] / 1 + AP[[#This Row],[GST %]]) * AP[[#This Row],[GST %]], 0)</f>
        <v>0</v>
      </c>
      <c r="P657" s="31">
        <f>_xlfn.XLOOKUP(AP[[#This Row],[Supplier name]], Supplier_master[Supplier name], Supplier_master[EOM or Net], 0)</f>
        <v>0</v>
      </c>
      <c r="Q657" s="31">
        <f>_xlfn.XLOOKUP(AP[[#This Row],[Supplier name]], Supplier_master[Supplier name], Supplier_master[Terms days], 0)</f>
        <v>0</v>
      </c>
      <c r="R6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7" s="4"/>
      <c r="T657" s="46">
        <f>IF(AP[[#This Row],[Payment date - override (dd/mm/yyyy)]] &lt;&gt; "", AP[[#This Row],[Payment date - override (dd/mm/yyyy)]], AP[[#This Row],[Due date (dd/mm/yyyy)]])</f>
        <v>0</v>
      </c>
      <c r="U657" s="46">
        <f t="shared" si="10"/>
        <v>52</v>
      </c>
    </row>
    <row r="658" spans="3:21" x14ac:dyDescent="0.25">
      <c r="C658" s="28"/>
      <c r="D658" s="20"/>
      <c r="E658" s="4"/>
      <c r="F658" s="37"/>
      <c r="G658" s="24"/>
      <c r="H658" s="31">
        <f>_xlfn.XLOOKUP(AP[[#This Row],[Supplier name]], Supplier_master[Supplier name], Supplier_master[Category L1], 0)</f>
        <v>0</v>
      </c>
      <c r="I658" s="64">
        <f>_xlfn.XLOOKUP(AP[[#This Row],[Supplier name]], Supplier_master[Supplier name], Supplier_master[Category L2], 0)</f>
        <v>0</v>
      </c>
      <c r="J658" s="55"/>
      <c r="K658" s="54"/>
      <c r="L658" s="57">
        <f>IF(AP[[#This Row],[Spend category L1 - Override]] &lt;&gt; "", AP[[#This Row],[Spend category L1 - Override]], AP[[#This Row],[Spend category L1]])</f>
        <v>0</v>
      </c>
      <c r="M658" s="57">
        <f>IF(AP[[#This Row],[Spend category L2 - Override]] &lt;&gt; "", AP[[#This Row],[Spend category L2 - Override]], AP[[#This Row],[Spend category L2]])</f>
        <v>0</v>
      </c>
      <c r="N658" s="51">
        <f>Assumptions!$D$15</f>
        <v>0.1</v>
      </c>
      <c r="O658" s="45">
        <f>IF(AP[[#This Row],[GST applies?]] = "Yes", (AP[[#This Row],[Invoice value inc. GST]] / 1 + AP[[#This Row],[GST %]]) * AP[[#This Row],[GST %]], 0)</f>
        <v>0</v>
      </c>
      <c r="P658" s="31">
        <f>_xlfn.XLOOKUP(AP[[#This Row],[Supplier name]], Supplier_master[Supplier name], Supplier_master[EOM or Net], 0)</f>
        <v>0</v>
      </c>
      <c r="Q658" s="31">
        <f>_xlfn.XLOOKUP(AP[[#This Row],[Supplier name]], Supplier_master[Supplier name], Supplier_master[Terms days], 0)</f>
        <v>0</v>
      </c>
      <c r="R6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8" s="4"/>
      <c r="T658" s="46">
        <f>IF(AP[[#This Row],[Payment date - override (dd/mm/yyyy)]] &lt;&gt; "", AP[[#This Row],[Payment date - override (dd/mm/yyyy)]], AP[[#This Row],[Due date (dd/mm/yyyy)]])</f>
        <v>0</v>
      </c>
      <c r="U658" s="46">
        <f t="shared" si="10"/>
        <v>52</v>
      </c>
    </row>
    <row r="659" spans="3:21" x14ac:dyDescent="0.25">
      <c r="C659" s="28"/>
      <c r="D659" s="20"/>
      <c r="E659" s="4"/>
      <c r="F659" s="37"/>
      <c r="G659" s="24"/>
      <c r="H659" s="31">
        <f>_xlfn.XLOOKUP(AP[[#This Row],[Supplier name]], Supplier_master[Supplier name], Supplier_master[Category L1], 0)</f>
        <v>0</v>
      </c>
      <c r="I659" s="64">
        <f>_xlfn.XLOOKUP(AP[[#This Row],[Supplier name]], Supplier_master[Supplier name], Supplier_master[Category L2], 0)</f>
        <v>0</v>
      </c>
      <c r="J659" s="55"/>
      <c r="K659" s="54"/>
      <c r="L659" s="57">
        <f>IF(AP[[#This Row],[Spend category L1 - Override]] &lt;&gt; "", AP[[#This Row],[Spend category L1 - Override]], AP[[#This Row],[Spend category L1]])</f>
        <v>0</v>
      </c>
      <c r="M659" s="57">
        <f>IF(AP[[#This Row],[Spend category L2 - Override]] &lt;&gt; "", AP[[#This Row],[Spend category L2 - Override]], AP[[#This Row],[Spend category L2]])</f>
        <v>0</v>
      </c>
      <c r="N659" s="51">
        <f>Assumptions!$D$15</f>
        <v>0.1</v>
      </c>
      <c r="O659" s="45">
        <f>IF(AP[[#This Row],[GST applies?]] = "Yes", (AP[[#This Row],[Invoice value inc. GST]] / 1 + AP[[#This Row],[GST %]]) * AP[[#This Row],[GST %]], 0)</f>
        <v>0</v>
      </c>
      <c r="P659" s="31">
        <f>_xlfn.XLOOKUP(AP[[#This Row],[Supplier name]], Supplier_master[Supplier name], Supplier_master[EOM or Net], 0)</f>
        <v>0</v>
      </c>
      <c r="Q659" s="31">
        <f>_xlfn.XLOOKUP(AP[[#This Row],[Supplier name]], Supplier_master[Supplier name], Supplier_master[Terms days], 0)</f>
        <v>0</v>
      </c>
      <c r="R6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9" s="4"/>
      <c r="T659" s="46">
        <f>IF(AP[[#This Row],[Payment date - override (dd/mm/yyyy)]] &lt;&gt; "", AP[[#This Row],[Payment date - override (dd/mm/yyyy)]], AP[[#This Row],[Due date (dd/mm/yyyy)]])</f>
        <v>0</v>
      </c>
      <c r="U659" s="46">
        <f t="shared" si="10"/>
        <v>52</v>
      </c>
    </row>
    <row r="660" spans="3:21" x14ac:dyDescent="0.25">
      <c r="C660" s="28"/>
      <c r="D660" s="20"/>
      <c r="E660" s="4"/>
      <c r="F660" s="37"/>
      <c r="G660" s="24"/>
      <c r="H660" s="31">
        <f>_xlfn.XLOOKUP(AP[[#This Row],[Supplier name]], Supplier_master[Supplier name], Supplier_master[Category L1], 0)</f>
        <v>0</v>
      </c>
      <c r="I660" s="64">
        <f>_xlfn.XLOOKUP(AP[[#This Row],[Supplier name]], Supplier_master[Supplier name], Supplier_master[Category L2], 0)</f>
        <v>0</v>
      </c>
      <c r="J660" s="55"/>
      <c r="K660" s="54"/>
      <c r="L660" s="57">
        <f>IF(AP[[#This Row],[Spend category L1 - Override]] &lt;&gt; "", AP[[#This Row],[Spend category L1 - Override]], AP[[#This Row],[Spend category L1]])</f>
        <v>0</v>
      </c>
      <c r="M660" s="57">
        <f>IF(AP[[#This Row],[Spend category L2 - Override]] &lt;&gt; "", AP[[#This Row],[Spend category L2 - Override]], AP[[#This Row],[Spend category L2]])</f>
        <v>0</v>
      </c>
      <c r="N660" s="51">
        <f>Assumptions!$D$15</f>
        <v>0.1</v>
      </c>
      <c r="O660" s="45">
        <f>IF(AP[[#This Row],[GST applies?]] = "Yes", (AP[[#This Row],[Invoice value inc. GST]] / 1 + AP[[#This Row],[GST %]]) * AP[[#This Row],[GST %]], 0)</f>
        <v>0</v>
      </c>
      <c r="P660" s="31">
        <f>_xlfn.XLOOKUP(AP[[#This Row],[Supplier name]], Supplier_master[Supplier name], Supplier_master[EOM or Net], 0)</f>
        <v>0</v>
      </c>
      <c r="Q660" s="31">
        <f>_xlfn.XLOOKUP(AP[[#This Row],[Supplier name]], Supplier_master[Supplier name], Supplier_master[Terms days], 0)</f>
        <v>0</v>
      </c>
      <c r="R6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0" s="4"/>
      <c r="T660" s="46">
        <f>IF(AP[[#This Row],[Payment date - override (dd/mm/yyyy)]] &lt;&gt; "", AP[[#This Row],[Payment date - override (dd/mm/yyyy)]], AP[[#This Row],[Due date (dd/mm/yyyy)]])</f>
        <v>0</v>
      </c>
      <c r="U660" s="46">
        <f t="shared" si="10"/>
        <v>52</v>
      </c>
    </row>
    <row r="661" spans="3:21" x14ac:dyDescent="0.25">
      <c r="C661" s="28"/>
      <c r="D661" s="20"/>
      <c r="E661" s="4"/>
      <c r="F661" s="37"/>
      <c r="G661" s="24"/>
      <c r="H661" s="31">
        <f>_xlfn.XLOOKUP(AP[[#This Row],[Supplier name]], Supplier_master[Supplier name], Supplier_master[Category L1], 0)</f>
        <v>0</v>
      </c>
      <c r="I661" s="64">
        <f>_xlfn.XLOOKUP(AP[[#This Row],[Supplier name]], Supplier_master[Supplier name], Supplier_master[Category L2], 0)</f>
        <v>0</v>
      </c>
      <c r="J661" s="55"/>
      <c r="K661" s="54"/>
      <c r="L661" s="57">
        <f>IF(AP[[#This Row],[Spend category L1 - Override]] &lt;&gt; "", AP[[#This Row],[Spend category L1 - Override]], AP[[#This Row],[Spend category L1]])</f>
        <v>0</v>
      </c>
      <c r="M661" s="57">
        <f>IF(AP[[#This Row],[Spend category L2 - Override]] &lt;&gt; "", AP[[#This Row],[Spend category L2 - Override]], AP[[#This Row],[Spend category L2]])</f>
        <v>0</v>
      </c>
      <c r="N661" s="51">
        <f>Assumptions!$D$15</f>
        <v>0.1</v>
      </c>
      <c r="O661" s="45">
        <f>IF(AP[[#This Row],[GST applies?]] = "Yes", (AP[[#This Row],[Invoice value inc. GST]] / 1 + AP[[#This Row],[GST %]]) * AP[[#This Row],[GST %]], 0)</f>
        <v>0</v>
      </c>
      <c r="P661" s="31">
        <f>_xlfn.XLOOKUP(AP[[#This Row],[Supplier name]], Supplier_master[Supplier name], Supplier_master[EOM or Net], 0)</f>
        <v>0</v>
      </c>
      <c r="Q661" s="31">
        <f>_xlfn.XLOOKUP(AP[[#This Row],[Supplier name]], Supplier_master[Supplier name], Supplier_master[Terms days], 0)</f>
        <v>0</v>
      </c>
      <c r="R6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1" s="4"/>
      <c r="T661" s="46">
        <f>IF(AP[[#This Row],[Payment date - override (dd/mm/yyyy)]] &lt;&gt; "", AP[[#This Row],[Payment date - override (dd/mm/yyyy)]], AP[[#This Row],[Due date (dd/mm/yyyy)]])</f>
        <v>0</v>
      </c>
      <c r="U661" s="46">
        <f t="shared" si="10"/>
        <v>52</v>
      </c>
    </row>
    <row r="662" spans="3:21" x14ac:dyDescent="0.25">
      <c r="C662" s="28"/>
      <c r="D662" s="20"/>
      <c r="E662" s="4"/>
      <c r="F662" s="37"/>
      <c r="G662" s="24"/>
      <c r="H662" s="31">
        <f>_xlfn.XLOOKUP(AP[[#This Row],[Supplier name]], Supplier_master[Supplier name], Supplier_master[Category L1], 0)</f>
        <v>0</v>
      </c>
      <c r="I662" s="64">
        <f>_xlfn.XLOOKUP(AP[[#This Row],[Supplier name]], Supplier_master[Supplier name], Supplier_master[Category L2], 0)</f>
        <v>0</v>
      </c>
      <c r="J662" s="55"/>
      <c r="K662" s="54"/>
      <c r="L662" s="57">
        <f>IF(AP[[#This Row],[Spend category L1 - Override]] &lt;&gt; "", AP[[#This Row],[Spend category L1 - Override]], AP[[#This Row],[Spend category L1]])</f>
        <v>0</v>
      </c>
      <c r="M662" s="57">
        <f>IF(AP[[#This Row],[Spend category L2 - Override]] &lt;&gt; "", AP[[#This Row],[Spend category L2 - Override]], AP[[#This Row],[Spend category L2]])</f>
        <v>0</v>
      </c>
      <c r="N662" s="51">
        <f>Assumptions!$D$15</f>
        <v>0.1</v>
      </c>
      <c r="O662" s="45">
        <f>IF(AP[[#This Row],[GST applies?]] = "Yes", (AP[[#This Row],[Invoice value inc. GST]] / 1 + AP[[#This Row],[GST %]]) * AP[[#This Row],[GST %]], 0)</f>
        <v>0</v>
      </c>
      <c r="P662" s="31">
        <f>_xlfn.XLOOKUP(AP[[#This Row],[Supplier name]], Supplier_master[Supplier name], Supplier_master[EOM or Net], 0)</f>
        <v>0</v>
      </c>
      <c r="Q662" s="31">
        <f>_xlfn.XLOOKUP(AP[[#This Row],[Supplier name]], Supplier_master[Supplier name], Supplier_master[Terms days], 0)</f>
        <v>0</v>
      </c>
      <c r="R6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2" s="4"/>
      <c r="T662" s="46">
        <f>IF(AP[[#This Row],[Payment date - override (dd/mm/yyyy)]] &lt;&gt; "", AP[[#This Row],[Payment date - override (dd/mm/yyyy)]], AP[[#This Row],[Due date (dd/mm/yyyy)]])</f>
        <v>0</v>
      </c>
      <c r="U662" s="46">
        <f t="shared" si="10"/>
        <v>52</v>
      </c>
    </row>
    <row r="663" spans="3:21" x14ac:dyDescent="0.25">
      <c r="C663" s="28"/>
      <c r="D663" s="20"/>
      <c r="E663" s="4"/>
      <c r="F663" s="37"/>
      <c r="G663" s="24"/>
      <c r="H663" s="31">
        <f>_xlfn.XLOOKUP(AP[[#This Row],[Supplier name]], Supplier_master[Supplier name], Supplier_master[Category L1], 0)</f>
        <v>0</v>
      </c>
      <c r="I663" s="64">
        <f>_xlfn.XLOOKUP(AP[[#This Row],[Supplier name]], Supplier_master[Supplier name], Supplier_master[Category L2], 0)</f>
        <v>0</v>
      </c>
      <c r="J663" s="55"/>
      <c r="K663" s="54"/>
      <c r="L663" s="57">
        <f>IF(AP[[#This Row],[Spend category L1 - Override]] &lt;&gt; "", AP[[#This Row],[Spend category L1 - Override]], AP[[#This Row],[Spend category L1]])</f>
        <v>0</v>
      </c>
      <c r="M663" s="57">
        <f>IF(AP[[#This Row],[Spend category L2 - Override]] &lt;&gt; "", AP[[#This Row],[Spend category L2 - Override]], AP[[#This Row],[Spend category L2]])</f>
        <v>0</v>
      </c>
      <c r="N663" s="51">
        <f>Assumptions!$D$15</f>
        <v>0.1</v>
      </c>
      <c r="O663" s="45">
        <f>IF(AP[[#This Row],[GST applies?]] = "Yes", (AP[[#This Row],[Invoice value inc. GST]] / 1 + AP[[#This Row],[GST %]]) * AP[[#This Row],[GST %]], 0)</f>
        <v>0</v>
      </c>
      <c r="P663" s="31">
        <f>_xlfn.XLOOKUP(AP[[#This Row],[Supplier name]], Supplier_master[Supplier name], Supplier_master[EOM or Net], 0)</f>
        <v>0</v>
      </c>
      <c r="Q663" s="31">
        <f>_xlfn.XLOOKUP(AP[[#This Row],[Supplier name]], Supplier_master[Supplier name], Supplier_master[Terms days], 0)</f>
        <v>0</v>
      </c>
      <c r="R6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3" s="4"/>
      <c r="T663" s="46">
        <f>IF(AP[[#This Row],[Payment date - override (dd/mm/yyyy)]] &lt;&gt; "", AP[[#This Row],[Payment date - override (dd/mm/yyyy)]], AP[[#This Row],[Due date (dd/mm/yyyy)]])</f>
        <v>0</v>
      </c>
      <c r="U663" s="46">
        <f t="shared" si="10"/>
        <v>52</v>
      </c>
    </row>
    <row r="664" spans="3:21" x14ac:dyDescent="0.25">
      <c r="C664" s="28"/>
      <c r="D664" s="20"/>
      <c r="E664" s="4"/>
      <c r="F664" s="37"/>
      <c r="G664" s="24"/>
      <c r="H664" s="31">
        <f>_xlfn.XLOOKUP(AP[[#This Row],[Supplier name]], Supplier_master[Supplier name], Supplier_master[Category L1], 0)</f>
        <v>0</v>
      </c>
      <c r="I664" s="64">
        <f>_xlfn.XLOOKUP(AP[[#This Row],[Supplier name]], Supplier_master[Supplier name], Supplier_master[Category L2], 0)</f>
        <v>0</v>
      </c>
      <c r="J664" s="55"/>
      <c r="K664" s="54"/>
      <c r="L664" s="57">
        <f>IF(AP[[#This Row],[Spend category L1 - Override]] &lt;&gt; "", AP[[#This Row],[Spend category L1 - Override]], AP[[#This Row],[Spend category L1]])</f>
        <v>0</v>
      </c>
      <c r="M664" s="57">
        <f>IF(AP[[#This Row],[Spend category L2 - Override]] &lt;&gt; "", AP[[#This Row],[Spend category L2 - Override]], AP[[#This Row],[Spend category L2]])</f>
        <v>0</v>
      </c>
      <c r="N664" s="51">
        <f>Assumptions!$D$15</f>
        <v>0.1</v>
      </c>
      <c r="O664" s="45">
        <f>IF(AP[[#This Row],[GST applies?]] = "Yes", (AP[[#This Row],[Invoice value inc. GST]] / 1 + AP[[#This Row],[GST %]]) * AP[[#This Row],[GST %]], 0)</f>
        <v>0</v>
      </c>
      <c r="P664" s="31">
        <f>_xlfn.XLOOKUP(AP[[#This Row],[Supplier name]], Supplier_master[Supplier name], Supplier_master[EOM or Net], 0)</f>
        <v>0</v>
      </c>
      <c r="Q664" s="31">
        <f>_xlfn.XLOOKUP(AP[[#This Row],[Supplier name]], Supplier_master[Supplier name], Supplier_master[Terms days], 0)</f>
        <v>0</v>
      </c>
      <c r="R6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4" s="4"/>
      <c r="T664" s="46">
        <f>IF(AP[[#This Row],[Payment date - override (dd/mm/yyyy)]] &lt;&gt; "", AP[[#This Row],[Payment date - override (dd/mm/yyyy)]], AP[[#This Row],[Due date (dd/mm/yyyy)]])</f>
        <v>0</v>
      </c>
      <c r="U664" s="46">
        <f t="shared" si="10"/>
        <v>52</v>
      </c>
    </row>
    <row r="665" spans="3:21" x14ac:dyDescent="0.25">
      <c r="C665" s="28"/>
      <c r="D665" s="20"/>
      <c r="E665" s="4"/>
      <c r="F665" s="37"/>
      <c r="G665" s="24"/>
      <c r="H665" s="31">
        <f>_xlfn.XLOOKUP(AP[[#This Row],[Supplier name]], Supplier_master[Supplier name], Supplier_master[Category L1], 0)</f>
        <v>0</v>
      </c>
      <c r="I665" s="64">
        <f>_xlfn.XLOOKUP(AP[[#This Row],[Supplier name]], Supplier_master[Supplier name], Supplier_master[Category L2], 0)</f>
        <v>0</v>
      </c>
      <c r="J665" s="55"/>
      <c r="K665" s="54"/>
      <c r="L665" s="57">
        <f>IF(AP[[#This Row],[Spend category L1 - Override]] &lt;&gt; "", AP[[#This Row],[Spend category L1 - Override]], AP[[#This Row],[Spend category L1]])</f>
        <v>0</v>
      </c>
      <c r="M665" s="57">
        <f>IF(AP[[#This Row],[Spend category L2 - Override]] &lt;&gt; "", AP[[#This Row],[Spend category L2 - Override]], AP[[#This Row],[Spend category L2]])</f>
        <v>0</v>
      </c>
      <c r="N665" s="51">
        <f>Assumptions!$D$15</f>
        <v>0.1</v>
      </c>
      <c r="O665" s="45">
        <f>IF(AP[[#This Row],[GST applies?]] = "Yes", (AP[[#This Row],[Invoice value inc. GST]] / 1 + AP[[#This Row],[GST %]]) * AP[[#This Row],[GST %]], 0)</f>
        <v>0</v>
      </c>
      <c r="P665" s="31">
        <f>_xlfn.XLOOKUP(AP[[#This Row],[Supplier name]], Supplier_master[Supplier name], Supplier_master[EOM or Net], 0)</f>
        <v>0</v>
      </c>
      <c r="Q665" s="31">
        <f>_xlfn.XLOOKUP(AP[[#This Row],[Supplier name]], Supplier_master[Supplier name], Supplier_master[Terms days], 0)</f>
        <v>0</v>
      </c>
      <c r="R6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5" s="4"/>
      <c r="T665" s="46">
        <f>IF(AP[[#This Row],[Payment date - override (dd/mm/yyyy)]] &lt;&gt; "", AP[[#This Row],[Payment date - override (dd/mm/yyyy)]], AP[[#This Row],[Due date (dd/mm/yyyy)]])</f>
        <v>0</v>
      </c>
      <c r="U665" s="46">
        <f t="shared" si="10"/>
        <v>52</v>
      </c>
    </row>
    <row r="666" spans="3:21" x14ac:dyDescent="0.25">
      <c r="C666" s="28"/>
      <c r="D666" s="20"/>
      <c r="E666" s="4"/>
      <c r="F666" s="37"/>
      <c r="G666" s="24"/>
      <c r="H666" s="31">
        <f>_xlfn.XLOOKUP(AP[[#This Row],[Supplier name]], Supplier_master[Supplier name], Supplier_master[Category L1], 0)</f>
        <v>0</v>
      </c>
      <c r="I666" s="64">
        <f>_xlfn.XLOOKUP(AP[[#This Row],[Supplier name]], Supplier_master[Supplier name], Supplier_master[Category L2], 0)</f>
        <v>0</v>
      </c>
      <c r="J666" s="55"/>
      <c r="K666" s="54"/>
      <c r="L666" s="57">
        <f>IF(AP[[#This Row],[Spend category L1 - Override]] &lt;&gt; "", AP[[#This Row],[Spend category L1 - Override]], AP[[#This Row],[Spend category L1]])</f>
        <v>0</v>
      </c>
      <c r="M666" s="57">
        <f>IF(AP[[#This Row],[Spend category L2 - Override]] &lt;&gt; "", AP[[#This Row],[Spend category L2 - Override]], AP[[#This Row],[Spend category L2]])</f>
        <v>0</v>
      </c>
      <c r="N666" s="51">
        <f>Assumptions!$D$15</f>
        <v>0.1</v>
      </c>
      <c r="O666" s="45">
        <f>IF(AP[[#This Row],[GST applies?]] = "Yes", (AP[[#This Row],[Invoice value inc. GST]] / 1 + AP[[#This Row],[GST %]]) * AP[[#This Row],[GST %]], 0)</f>
        <v>0</v>
      </c>
      <c r="P666" s="31">
        <f>_xlfn.XLOOKUP(AP[[#This Row],[Supplier name]], Supplier_master[Supplier name], Supplier_master[EOM or Net], 0)</f>
        <v>0</v>
      </c>
      <c r="Q666" s="31">
        <f>_xlfn.XLOOKUP(AP[[#This Row],[Supplier name]], Supplier_master[Supplier name], Supplier_master[Terms days], 0)</f>
        <v>0</v>
      </c>
      <c r="R6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6" s="4"/>
      <c r="T666" s="46">
        <f>IF(AP[[#This Row],[Payment date - override (dd/mm/yyyy)]] &lt;&gt; "", AP[[#This Row],[Payment date - override (dd/mm/yyyy)]], AP[[#This Row],[Due date (dd/mm/yyyy)]])</f>
        <v>0</v>
      </c>
      <c r="U666" s="46">
        <f t="shared" si="10"/>
        <v>52</v>
      </c>
    </row>
    <row r="667" spans="3:21" x14ac:dyDescent="0.25">
      <c r="C667" s="28"/>
      <c r="D667" s="20"/>
      <c r="E667" s="4"/>
      <c r="F667" s="37"/>
      <c r="G667" s="24"/>
      <c r="H667" s="31">
        <f>_xlfn.XLOOKUP(AP[[#This Row],[Supplier name]], Supplier_master[Supplier name], Supplier_master[Category L1], 0)</f>
        <v>0</v>
      </c>
      <c r="I667" s="64">
        <f>_xlfn.XLOOKUP(AP[[#This Row],[Supplier name]], Supplier_master[Supplier name], Supplier_master[Category L2], 0)</f>
        <v>0</v>
      </c>
      <c r="J667" s="55"/>
      <c r="K667" s="54"/>
      <c r="L667" s="57">
        <f>IF(AP[[#This Row],[Spend category L1 - Override]] &lt;&gt; "", AP[[#This Row],[Spend category L1 - Override]], AP[[#This Row],[Spend category L1]])</f>
        <v>0</v>
      </c>
      <c r="M667" s="57">
        <f>IF(AP[[#This Row],[Spend category L2 - Override]] &lt;&gt; "", AP[[#This Row],[Spend category L2 - Override]], AP[[#This Row],[Spend category L2]])</f>
        <v>0</v>
      </c>
      <c r="N667" s="51">
        <f>Assumptions!$D$15</f>
        <v>0.1</v>
      </c>
      <c r="O667" s="45">
        <f>IF(AP[[#This Row],[GST applies?]] = "Yes", (AP[[#This Row],[Invoice value inc. GST]] / 1 + AP[[#This Row],[GST %]]) * AP[[#This Row],[GST %]], 0)</f>
        <v>0</v>
      </c>
      <c r="P667" s="31">
        <f>_xlfn.XLOOKUP(AP[[#This Row],[Supplier name]], Supplier_master[Supplier name], Supplier_master[EOM or Net], 0)</f>
        <v>0</v>
      </c>
      <c r="Q667" s="31">
        <f>_xlfn.XLOOKUP(AP[[#This Row],[Supplier name]], Supplier_master[Supplier name], Supplier_master[Terms days], 0)</f>
        <v>0</v>
      </c>
      <c r="R6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7" s="4"/>
      <c r="T667" s="46">
        <f>IF(AP[[#This Row],[Payment date - override (dd/mm/yyyy)]] &lt;&gt; "", AP[[#This Row],[Payment date - override (dd/mm/yyyy)]], AP[[#This Row],[Due date (dd/mm/yyyy)]])</f>
        <v>0</v>
      </c>
      <c r="U667" s="46">
        <f t="shared" si="10"/>
        <v>52</v>
      </c>
    </row>
    <row r="668" spans="3:21" x14ac:dyDescent="0.25">
      <c r="C668" s="28"/>
      <c r="D668" s="20"/>
      <c r="E668" s="4"/>
      <c r="F668" s="37"/>
      <c r="G668" s="24"/>
      <c r="H668" s="31">
        <f>_xlfn.XLOOKUP(AP[[#This Row],[Supplier name]], Supplier_master[Supplier name], Supplier_master[Category L1], 0)</f>
        <v>0</v>
      </c>
      <c r="I668" s="64">
        <f>_xlfn.XLOOKUP(AP[[#This Row],[Supplier name]], Supplier_master[Supplier name], Supplier_master[Category L2], 0)</f>
        <v>0</v>
      </c>
      <c r="J668" s="55"/>
      <c r="K668" s="54"/>
      <c r="L668" s="57">
        <f>IF(AP[[#This Row],[Spend category L1 - Override]] &lt;&gt; "", AP[[#This Row],[Spend category L1 - Override]], AP[[#This Row],[Spend category L1]])</f>
        <v>0</v>
      </c>
      <c r="M668" s="57">
        <f>IF(AP[[#This Row],[Spend category L2 - Override]] &lt;&gt; "", AP[[#This Row],[Spend category L2 - Override]], AP[[#This Row],[Spend category L2]])</f>
        <v>0</v>
      </c>
      <c r="N668" s="51">
        <f>Assumptions!$D$15</f>
        <v>0.1</v>
      </c>
      <c r="O668" s="45">
        <f>IF(AP[[#This Row],[GST applies?]] = "Yes", (AP[[#This Row],[Invoice value inc. GST]] / 1 + AP[[#This Row],[GST %]]) * AP[[#This Row],[GST %]], 0)</f>
        <v>0</v>
      </c>
      <c r="P668" s="31">
        <f>_xlfn.XLOOKUP(AP[[#This Row],[Supplier name]], Supplier_master[Supplier name], Supplier_master[EOM or Net], 0)</f>
        <v>0</v>
      </c>
      <c r="Q668" s="31">
        <f>_xlfn.XLOOKUP(AP[[#This Row],[Supplier name]], Supplier_master[Supplier name], Supplier_master[Terms days], 0)</f>
        <v>0</v>
      </c>
      <c r="R6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8" s="4"/>
      <c r="T668" s="46">
        <f>IF(AP[[#This Row],[Payment date - override (dd/mm/yyyy)]] &lt;&gt; "", AP[[#This Row],[Payment date - override (dd/mm/yyyy)]], AP[[#This Row],[Due date (dd/mm/yyyy)]])</f>
        <v>0</v>
      </c>
      <c r="U668" s="46">
        <f t="shared" si="10"/>
        <v>52</v>
      </c>
    </row>
    <row r="669" spans="3:21" x14ac:dyDescent="0.25">
      <c r="C669" s="28"/>
      <c r="D669" s="20"/>
      <c r="E669" s="4"/>
      <c r="F669" s="37"/>
      <c r="G669" s="24"/>
      <c r="H669" s="31">
        <f>_xlfn.XLOOKUP(AP[[#This Row],[Supplier name]], Supplier_master[Supplier name], Supplier_master[Category L1], 0)</f>
        <v>0</v>
      </c>
      <c r="I669" s="64">
        <f>_xlfn.XLOOKUP(AP[[#This Row],[Supplier name]], Supplier_master[Supplier name], Supplier_master[Category L2], 0)</f>
        <v>0</v>
      </c>
      <c r="J669" s="55"/>
      <c r="K669" s="54"/>
      <c r="L669" s="57">
        <f>IF(AP[[#This Row],[Spend category L1 - Override]] &lt;&gt; "", AP[[#This Row],[Spend category L1 - Override]], AP[[#This Row],[Spend category L1]])</f>
        <v>0</v>
      </c>
      <c r="M669" s="57">
        <f>IF(AP[[#This Row],[Spend category L2 - Override]] &lt;&gt; "", AP[[#This Row],[Spend category L2 - Override]], AP[[#This Row],[Spend category L2]])</f>
        <v>0</v>
      </c>
      <c r="N669" s="51">
        <f>Assumptions!$D$15</f>
        <v>0.1</v>
      </c>
      <c r="O669" s="45">
        <f>IF(AP[[#This Row],[GST applies?]] = "Yes", (AP[[#This Row],[Invoice value inc. GST]] / 1 + AP[[#This Row],[GST %]]) * AP[[#This Row],[GST %]], 0)</f>
        <v>0</v>
      </c>
      <c r="P669" s="31">
        <f>_xlfn.XLOOKUP(AP[[#This Row],[Supplier name]], Supplier_master[Supplier name], Supplier_master[EOM or Net], 0)</f>
        <v>0</v>
      </c>
      <c r="Q669" s="31">
        <f>_xlfn.XLOOKUP(AP[[#This Row],[Supplier name]], Supplier_master[Supplier name], Supplier_master[Terms days], 0)</f>
        <v>0</v>
      </c>
      <c r="R6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9" s="4"/>
      <c r="T669" s="46">
        <f>IF(AP[[#This Row],[Payment date - override (dd/mm/yyyy)]] &lt;&gt; "", AP[[#This Row],[Payment date - override (dd/mm/yyyy)]], AP[[#This Row],[Due date (dd/mm/yyyy)]])</f>
        <v>0</v>
      </c>
      <c r="U669" s="46">
        <f t="shared" si="10"/>
        <v>52</v>
      </c>
    </row>
    <row r="670" spans="3:21" x14ac:dyDescent="0.25">
      <c r="C670" s="28"/>
      <c r="D670" s="20"/>
      <c r="E670" s="4"/>
      <c r="F670" s="37"/>
      <c r="G670" s="24"/>
      <c r="H670" s="31">
        <f>_xlfn.XLOOKUP(AP[[#This Row],[Supplier name]], Supplier_master[Supplier name], Supplier_master[Category L1], 0)</f>
        <v>0</v>
      </c>
      <c r="I670" s="64">
        <f>_xlfn.XLOOKUP(AP[[#This Row],[Supplier name]], Supplier_master[Supplier name], Supplier_master[Category L2], 0)</f>
        <v>0</v>
      </c>
      <c r="J670" s="55"/>
      <c r="K670" s="54"/>
      <c r="L670" s="57">
        <f>IF(AP[[#This Row],[Spend category L1 - Override]] &lt;&gt; "", AP[[#This Row],[Spend category L1 - Override]], AP[[#This Row],[Spend category L1]])</f>
        <v>0</v>
      </c>
      <c r="M670" s="57">
        <f>IF(AP[[#This Row],[Spend category L2 - Override]] &lt;&gt; "", AP[[#This Row],[Spend category L2 - Override]], AP[[#This Row],[Spend category L2]])</f>
        <v>0</v>
      </c>
      <c r="N670" s="51">
        <f>Assumptions!$D$15</f>
        <v>0.1</v>
      </c>
      <c r="O670" s="45">
        <f>IF(AP[[#This Row],[GST applies?]] = "Yes", (AP[[#This Row],[Invoice value inc. GST]] / 1 + AP[[#This Row],[GST %]]) * AP[[#This Row],[GST %]], 0)</f>
        <v>0</v>
      </c>
      <c r="P670" s="31">
        <f>_xlfn.XLOOKUP(AP[[#This Row],[Supplier name]], Supplier_master[Supplier name], Supplier_master[EOM or Net], 0)</f>
        <v>0</v>
      </c>
      <c r="Q670" s="31">
        <f>_xlfn.XLOOKUP(AP[[#This Row],[Supplier name]], Supplier_master[Supplier name], Supplier_master[Terms days], 0)</f>
        <v>0</v>
      </c>
      <c r="R6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0" s="4"/>
      <c r="T670" s="46">
        <f>IF(AP[[#This Row],[Payment date - override (dd/mm/yyyy)]] &lt;&gt; "", AP[[#This Row],[Payment date - override (dd/mm/yyyy)]], AP[[#This Row],[Due date (dd/mm/yyyy)]])</f>
        <v>0</v>
      </c>
      <c r="U670" s="46">
        <f t="shared" si="10"/>
        <v>52</v>
      </c>
    </row>
    <row r="671" spans="3:21" x14ac:dyDescent="0.25">
      <c r="C671" s="28"/>
      <c r="D671" s="20"/>
      <c r="E671" s="4"/>
      <c r="F671" s="37"/>
      <c r="G671" s="24"/>
      <c r="H671" s="31">
        <f>_xlfn.XLOOKUP(AP[[#This Row],[Supplier name]], Supplier_master[Supplier name], Supplier_master[Category L1], 0)</f>
        <v>0</v>
      </c>
      <c r="I671" s="64">
        <f>_xlfn.XLOOKUP(AP[[#This Row],[Supplier name]], Supplier_master[Supplier name], Supplier_master[Category L2], 0)</f>
        <v>0</v>
      </c>
      <c r="J671" s="55"/>
      <c r="K671" s="54"/>
      <c r="L671" s="57">
        <f>IF(AP[[#This Row],[Spend category L1 - Override]] &lt;&gt; "", AP[[#This Row],[Spend category L1 - Override]], AP[[#This Row],[Spend category L1]])</f>
        <v>0</v>
      </c>
      <c r="M671" s="57">
        <f>IF(AP[[#This Row],[Spend category L2 - Override]] &lt;&gt; "", AP[[#This Row],[Spend category L2 - Override]], AP[[#This Row],[Spend category L2]])</f>
        <v>0</v>
      </c>
      <c r="N671" s="51">
        <f>Assumptions!$D$15</f>
        <v>0.1</v>
      </c>
      <c r="O671" s="45">
        <f>IF(AP[[#This Row],[GST applies?]] = "Yes", (AP[[#This Row],[Invoice value inc. GST]] / 1 + AP[[#This Row],[GST %]]) * AP[[#This Row],[GST %]], 0)</f>
        <v>0</v>
      </c>
      <c r="P671" s="31">
        <f>_xlfn.XLOOKUP(AP[[#This Row],[Supplier name]], Supplier_master[Supplier name], Supplier_master[EOM or Net], 0)</f>
        <v>0</v>
      </c>
      <c r="Q671" s="31">
        <f>_xlfn.XLOOKUP(AP[[#This Row],[Supplier name]], Supplier_master[Supplier name], Supplier_master[Terms days], 0)</f>
        <v>0</v>
      </c>
      <c r="R6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1" s="4"/>
      <c r="T671" s="46">
        <f>IF(AP[[#This Row],[Payment date - override (dd/mm/yyyy)]] &lt;&gt; "", AP[[#This Row],[Payment date - override (dd/mm/yyyy)]], AP[[#This Row],[Due date (dd/mm/yyyy)]])</f>
        <v>0</v>
      </c>
      <c r="U671" s="46">
        <f t="shared" si="10"/>
        <v>52</v>
      </c>
    </row>
    <row r="672" spans="3:21" x14ac:dyDescent="0.25">
      <c r="C672" s="28"/>
      <c r="D672" s="20"/>
      <c r="E672" s="4"/>
      <c r="F672" s="37"/>
      <c r="G672" s="24"/>
      <c r="H672" s="31">
        <f>_xlfn.XLOOKUP(AP[[#This Row],[Supplier name]], Supplier_master[Supplier name], Supplier_master[Category L1], 0)</f>
        <v>0</v>
      </c>
      <c r="I672" s="64">
        <f>_xlfn.XLOOKUP(AP[[#This Row],[Supplier name]], Supplier_master[Supplier name], Supplier_master[Category L2], 0)</f>
        <v>0</v>
      </c>
      <c r="J672" s="55"/>
      <c r="K672" s="54"/>
      <c r="L672" s="57">
        <f>IF(AP[[#This Row],[Spend category L1 - Override]] &lt;&gt; "", AP[[#This Row],[Spend category L1 - Override]], AP[[#This Row],[Spend category L1]])</f>
        <v>0</v>
      </c>
      <c r="M672" s="57">
        <f>IF(AP[[#This Row],[Spend category L2 - Override]] &lt;&gt; "", AP[[#This Row],[Spend category L2 - Override]], AP[[#This Row],[Spend category L2]])</f>
        <v>0</v>
      </c>
      <c r="N672" s="51">
        <f>Assumptions!$D$15</f>
        <v>0.1</v>
      </c>
      <c r="O672" s="45">
        <f>IF(AP[[#This Row],[GST applies?]] = "Yes", (AP[[#This Row],[Invoice value inc. GST]] / 1 + AP[[#This Row],[GST %]]) * AP[[#This Row],[GST %]], 0)</f>
        <v>0</v>
      </c>
      <c r="P672" s="31">
        <f>_xlfn.XLOOKUP(AP[[#This Row],[Supplier name]], Supplier_master[Supplier name], Supplier_master[EOM or Net], 0)</f>
        <v>0</v>
      </c>
      <c r="Q672" s="31">
        <f>_xlfn.XLOOKUP(AP[[#This Row],[Supplier name]], Supplier_master[Supplier name], Supplier_master[Terms days], 0)</f>
        <v>0</v>
      </c>
      <c r="R6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2" s="4"/>
      <c r="T672" s="46">
        <f>IF(AP[[#This Row],[Payment date - override (dd/mm/yyyy)]] &lt;&gt; "", AP[[#This Row],[Payment date - override (dd/mm/yyyy)]], AP[[#This Row],[Due date (dd/mm/yyyy)]])</f>
        <v>0</v>
      </c>
      <c r="U672" s="46">
        <f t="shared" si="10"/>
        <v>52</v>
      </c>
    </row>
    <row r="673" spans="3:21" x14ac:dyDescent="0.25">
      <c r="C673" s="28"/>
      <c r="D673" s="20"/>
      <c r="E673" s="4"/>
      <c r="F673" s="37"/>
      <c r="G673" s="24"/>
      <c r="H673" s="31">
        <f>_xlfn.XLOOKUP(AP[[#This Row],[Supplier name]], Supplier_master[Supplier name], Supplier_master[Category L1], 0)</f>
        <v>0</v>
      </c>
      <c r="I673" s="64">
        <f>_xlfn.XLOOKUP(AP[[#This Row],[Supplier name]], Supplier_master[Supplier name], Supplier_master[Category L2], 0)</f>
        <v>0</v>
      </c>
      <c r="J673" s="55"/>
      <c r="K673" s="54"/>
      <c r="L673" s="57">
        <f>IF(AP[[#This Row],[Spend category L1 - Override]] &lt;&gt; "", AP[[#This Row],[Spend category L1 - Override]], AP[[#This Row],[Spend category L1]])</f>
        <v>0</v>
      </c>
      <c r="M673" s="57">
        <f>IF(AP[[#This Row],[Spend category L2 - Override]] &lt;&gt; "", AP[[#This Row],[Spend category L2 - Override]], AP[[#This Row],[Spend category L2]])</f>
        <v>0</v>
      </c>
      <c r="N673" s="51">
        <f>Assumptions!$D$15</f>
        <v>0.1</v>
      </c>
      <c r="O673" s="45">
        <f>IF(AP[[#This Row],[GST applies?]] = "Yes", (AP[[#This Row],[Invoice value inc. GST]] / 1 + AP[[#This Row],[GST %]]) * AP[[#This Row],[GST %]], 0)</f>
        <v>0</v>
      </c>
      <c r="P673" s="31">
        <f>_xlfn.XLOOKUP(AP[[#This Row],[Supplier name]], Supplier_master[Supplier name], Supplier_master[EOM or Net], 0)</f>
        <v>0</v>
      </c>
      <c r="Q673" s="31">
        <f>_xlfn.XLOOKUP(AP[[#This Row],[Supplier name]], Supplier_master[Supplier name], Supplier_master[Terms days], 0)</f>
        <v>0</v>
      </c>
      <c r="R6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3" s="4"/>
      <c r="T673" s="46">
        <f>IF(AP[[#This Row],[Payment date - override (dd/mm/yyyy)]] &lt;&gt; "", AP[[#This Row],[Payment date - override (dd/mm/yyyy)]], AP[[#This Row],[Due date (dd/mm/yyyy)]])</f>
        <v>0</v>
      </c>
      <c r="U673" s="46">
        <f t="shared" si="10"/>
        <v>52</v>
      </c>
    </row>
    <row r="674" spans="3:21" x14ac:dyDescent="0.25">
      <c r="C674" s="28"/>
      <c r="D674" s="20"/>
      <c r="E674" s="4"/>
      <c r="F674" s="37"/>
      <c r="G674" s="24"/>
      <c r="H674" s="31">
        <f>_xlfn.XLOOKUP(AP[[#This Row],[Supplier name]], Supplier_master[Supplier name], Supplier_master[Category L1], 0)</f>
        <v>0</v>
      </c>
      <c r="I674" s="64">
        <f>_xlfn.XLOOKUP(AP[[#This Row],[Supplier name]], Supplier_master[Supplier name], Supplier_master[Category L2], 0)</f>
        <v>0</v>
      </c>
      <c r="J674" s="55"/>
      <c r="K674" s="54"/>
      <c r="L674" s="57">
        <f>IF(AP[[#This Row],[Spend category L1 - Override]] &lt;&gt; "", AP[[#This Row],[Spend category L1 - Override]], AP[[#This Row],[Spend category L1]])</f>
        <v>0</v>
      </c>
      <c r="M674" s="57">
        <f>IF(AP[[#This Row],[Spend category L2 - Override]] &lt;&gt; "", AP[[#This Row],[Spend category L2 - Override]], AP[[#This Row],[Spend category L2]])</f>
        <v>0</v>
      </c>
      <c r="N674" s="51">
        <f>Assumptions!$D$15</f>
        <v>0.1</v>
      </c>
      <c r="O674" s="45">
        <f>IF(AP[[#This Row],[GST applies?]] = "Yes", (AP[[#This Row],[Invoice value inc. GST]] / 1 + AP[[#This Row],[GST %]]) * AP[[#This Row],[GST %]], 0)</f>
        <v>0</v>
      </c>
      <c r="P674" s="31">
        <f>_xlfn.XLOOKUP(AP[[#This Row],[Supplier name]], Supplier_master[Supplier name], Supplier_master[EOM or Net], 0)</f>
        <v>0</v>
      </c>
      <c r="Q674" s="31">
        <f>_xlfn.XLOOKUP(AP[[#This Row],[Supplier name]], Supplier_master[Supplier name], Supplier_master[Terms days], 0)</f>
        <v>0</v>
      </c>
      <c r="R6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4" s="4"/>
      <c r="T674" s="46">
        <f>IF(AP[[#This Row],[Payment date - override (dd/mm/yyyy)]] &lt;&gt; "", AP[[#This Row],[Payment date - override (dd/mm/yyyy)]], AP[[#This Row],[Due date (dd/mm/yyyy)]])</f>
        <v>0</v>
      </c>
      <c r="U674" s="46">
        <f t="shared" si="10"/>
        <v>52</v>
      </c>
    </row>
    <row r="675" spans="3:21" x14ac:dyDescent="0.25">
      <c r="C675" s="28"/>
      <c r="D675" s="20"/>
      <c r="E675" s="4"/>
      <c r="F675" s="37"/>
      <c r="G675" s="24"/>
      <c r="H675" s="31">
        <f>_xlfn.XLOOKUP(AP[[#This Row],[Supplier name]], Supplier_master[Supplier name], Supplier_master[Category L1], 0)</f>
        <v>0</v>
      </c>
      <c r="I675" s="64">
        <f>_xlfn.XLOOKUP(AP[[#This Row],[Supplier name]], Supplier_master[Supplier name], Supplier_master[Category L2], 0)</f>
        <v>0</v>
      </c>
      <c r="J675" s="55"/>
      <c r="K675" s="54"/>
      <c r="L675" s="57">
        <f>IF(AP[[#This Row],[Spend category L1 - Override]] &lt;&gt; "", AP[[#This Row],[Spend category L1 - Override]], AP[[#This Row],[Spend category L1]])</f>
        <v>0</v>
      </c>
      <c r="M675" s="57">
        <f>IF(AP[[#This Row],[Spend category L2 - Override]] &lt;&gt; "", AP[[#This Row],[Spend category L2 - Override]], AP[[#This Row],[Spend category L2]])</f>
        <v>0</v>
      </c>
      <c r="N675" s="51">
        <f>Assumptions!$D$15</f>
        <v>0.1</v>
      </c>
      <c r="O675" s="45">
        <f>IF(AP[[#This Row],[GST applies?]] = "Yes", (AP[[#This Row],[Invoice value inc. GST]] / 1 + AP[[#This Row],[GST %]]) * AP[[#This Row],[GST %]], 0)</f>
        <v>0</v>
      </c>
      <c r="P675" s="31">
        <f>_xlfn.XLOOKUP(AP[[#This Row],[Supplier name]], Supplier_master[Supplier name], Supplier_master[EOM or Net], 0)</f>
        <v>0</v>
      </c>
      <c r="Q675" s="31">
        <f>_xlfn.XLOOKUP(AP[[#This Row],[Supplier name]], Supplier_master[Supplier name], Supplier_master[Terms days], 0)</f>
        <v>0</v>
      </c>
      <c r="R6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5" s="4"/>
      <c r="T675" s="46">
        <f>IF(AP[[#This Row],[Payment date - override (dd/mm/yyyy)]] &lt;&gt; "", AP[[#This Row],[Payment date - override (dd/mm/yyyy)]], AP[[#This Row],[Due date (dd/mm/yyyy)]])</f>
        <v>0</v>
      </c>
      <c r="U675" s="46">
        <f t="shared" si="10"/>
        <v>52</v>
      </c>
    </row>
    <row r="676" spans="3:21" x14ac:dyDescent="0.25">
      <c r="C676" s="28"/>
      <c r="D676" s="20"/>
      <c r="E676" s="4"/>
      <c r="F676" s="37"/>
      <c r="G676" s="24"/>
      <c r="H676" s="31">
        <f>_xlfn.XLOOKUP(AP[[#This Row],[Supplier name]], Supplier_master[Supplier name], Supplier_master[Category L1], 0)</f>
        <v>0</v>
      </c>
      <c r="I676" s="64">
        <f>_xlfn.XLOOKUP(AP[[#This Row],[Supplier name]], Supplier_master[Supplier name], Supplier_master[Category L2], 0)</f>
        <v>0</v>
      </c>
      <c r="J676" s="55"/>
      <c r="K676" s="54"/>
      <c r="L676" s="57">
        <f>IF(AP[[#This Row],[Spend category L1 - Override]] &lt;&gt; "", AP[[#This Row],[Spend category L1 - Override]], AP[[#This Row],[Spend category L1]])</f>
        <v>0</v>
      </c>
      <c r="M676" s="57">
        <f>IF(AP[[#This Row],[Spend category L2 - Override]] &lt;&gt; "", AP[[#This Row],[Spend category L2 - Override]], AP[[#This Row],[Spend category L2]])</f>
        <v>0</v>
      </c>
      <c r="N676" s="51">
        <f>Assumptions!$D$15</f>
        <v>0.1</v>
      </c>
      <c r="O676" s="45">
        <f>IF(AP[[#This Row],[GST applies?]] = "Yes", (AP[[#This Row],[Invoice value inc. GST]] / 1 + AP[[#This Row],[GST %]]) * AP[[#This Row],[GST %]], 0)</f>
        <v>0</v>
      </c>
      <c r="P676" s="31">
        <f>_xlfn.XLOOKUP(AP[[#This Row],[Supplier name]], Supplier_master[Supplier name], Supplier_master[EOM or Net], 0)</f>
        <v>0</v>
      </c>
      <c r="Q676" s="31">
        <f>_xlfn.XLOOKUP(AP[[#This Row],[Supplier name]], Supplier_master[Supplier name], Supplier_master[Terms days], 0)</f>
        <v>0</v>
      </c>
      <c r="R6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6" s="4"/>
      <c r="T676" s="46">
        <f>IF(AP[[#This Row],[Payment date - override (dd/mm/yyyy)]] &lt;&gt; "", AP[[#This Row],[Payment date - override (dd/mm/yyyy)]], AP[[#This Row],[Due date (dd/mm/yyyy)]])</f>
        <v>0</v>
      </c>
      <c r="U676" s="46">
        <f t="shared" si="10"/>
        <v>52</v>
      </c>
    </row>
    <row r="677" spans="3:21" x14ac:dyDescent="0.25">
      <c r="C677" s="28"/>
      <c r="D677" s="20"/>
      <c r="E677" s="4"/>
      <c r="F677" s="37"/>
      <c r="G677" s="24"/>
      <c r="H677" s="31">
        <f>_xlfn.XLOOKUP(AP[[#This Row],[Supplier name]], Supplier_master[Supplier name], Supplier_master[Category L1], 0)</f>
        <v>0</v>
      </c>
      <c r="I677" s="64">
        <f>_xlfn.XLOOKUP(AP[[#This Row],[Supplier name]], Supplier_master[Supplier name], Supplier_master[Category L2], 0)</f>
        <v>0</v>
      </c>
      <c r="J677" s="55"/>
      <c r="K677" s="54"/>
      <c r="L677" s="57">
        <f>IF(AP[[#This Row],[Spend category L1 - Override]] &lt;&gt; "", AP[[#This Row],[Spend category L1 - Override]], AP[[#This Row],[Spend category L1]])</f>
        <v>0</v>
      </c>
      <c r="M677" s="57">
        <f>IF(AP[[#This Row],[Spend category L2 - Override]] &lt;&gt; "", AP[[#This Row],[Spend category L2 - Override]], AP[[#This Row],[Spend category L2]])</f>
        <v>0</v>
      </c>
      <c r="N677" s="51">
        <f>Assumptions!$D$15</f>
        <v>0.1</v>
      </c>
      <c r="O677" s="45">
        <f>IF(AP[[#This Row],[GST applies?]] = "Yes", (AP[[#This Row],[Invoice value inc. GST]] / 1 + AP[[#This Row],[GST %]]) * AP[[#This Row],[GST %]], 0)</f>
        <v>0</v>
      </c>
      <c r="P677" s="31">
        <f>_xlfn.XLOOKUP(AP[[#This Row],[Supplier name]], Supplier_master[Supplier name], Supplier_master[EOM or Net], 0)</f>
        <v>0</v>
      </c>
      <c r="Q677" s="31">
        <f>_xlfn.XLOOKUP(AP[[#This Row],[Supplier name]], Supplier_master[Supplier name], Supplier_master[Terms days], 0)</f>
        <v>0</v>
      </c>
      <c r="R6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7" s="4"/>
      <c r="T677" s="46">
        <f>IF(AP[[#This Row],[Payment date - override (dd/mm/yyyy)]] &lt;&gt; "", AP[[#This Row],[Payment date - override (dd/mm/yyyy)]], AP[[#This Row],[Due date (dd/mm/yyyy)]])</f>
        <v>0</v>
      </c>
      <c r="U677" s="46">
        <f t="shared" si="10"/>
        <v>52</v>
      </c>
    </row>
    <row r="678" spans="3:21" x14ac:dyDescent="0.25">
      <c r="C678" s="28"/>
      <c r="D678" s="20"/>
      <c r="E678" s="4"/>
      <c r="F678" s="37"/>
      <c r="G678" s="24"/>
      <c r="H678" s="31">
        <f>_xlfn.XLOOKUP(AP[[#This Row],[Supplier name]], Supplier_master[Supplier name], Supplier_master[Category L1], 0)</f>
        <v>0</v>
      </c>
      <c r="I678" s="64">
        <f>_xlfn.XLOOKUP(AP[[#This Row],[Supplier name]], Supplier_master[Supplier name], Supplier_master[Category L2], 0)</f>
        <v>0</v>
      </c>
      <c r="J678" s="55"/>
      <c r="K678" s="54"/>
      <c r="L678" s="57">
        <f>IF(AP[[#This Row],[Spend category L1 - Override]] &lt;&gt; "", AP[[#This Row],[Spend category L1 - Override]], AP[[#This Row],[Spend category L1]])</f>
        <v>0</v>
      </c>
      <c r="M678" s="57">
        <f>IF(AP[[#This Row],[Spend category L2 - Override]] &lt;&gt; "", AP[[#This Row],[Spend category L2 - Override]], AP[[#This Row],[Spend category L2]])</f>
        <v>0</v>
      </c>
      <c r="N678" s="51">
        <f>Assumptions!$D$15</f>
        <v>0.1</v>
      </c>
      <c r="O678" s="45">
        <f>IF(AP[[#This Row],[GST applies?]] = "Yes", (AP[[#This Row],[Invoice value inc. GST]] / 1 + AP[[#This Row],[GST %]]) * AP[[#This Row],[GST %]], 0)</f>
        <v>0</v>
      </c>
      <c r="P678" s="31">
        <f>_xlfn.XLOOKUP(AP[[#This Row],[Supplier name]], Supplier_master[Supplier name], Supplier_master[EOM or Net], 0)</f>
        <v>0</v>
      </c>
      <c r="Q678" s="31">
        <f>_xlfn.XLOOKUP(AP[[#This Row],[Supplier name]], Supplier_master[Supplier name], Supplier_master[Terms days], 0)</f>
        <v>0</v>
      </c>
      <c r="R6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8" s="4"/>
      <c r="T678" s="46">
        <f>IF(AP[[#This Row],[Payment date - override (dd/mm/yyyy)]] &lt;&gt; "", AP[[#This Row],[Payment date - override (dd/mm/yyyy)]], AP[[#This Row],[Due date (dd/mm/yyyy)]])</f>
        <v>0</v>
      </c>
      <c r="U678" s="46">
        <f t="shared" si="10"/>
        <v>52</v>
      </c>
    </row>
    <row r="679" spans="3:21" x14ac:dyDescent="0.25">
      <c r="C679" s="28"/>
      <c r="D679" s="20"/>
      <c r="E679" s="4"/>
      <c r="F679" s="37"/>
      <c r="G679" s="24"/>
      <c r="H679" s="31">
        <f>_xlfn.XLOOKUP(AP[[#This Row],[Supplier name]], Supplier_master[Supplier name], Supplier_master[Category L1], 0)</f>
        <v>0</v>
      </c>
      <c r="I679" s="64">
        <f>_xlfn.XLOOKUP(AP[[#This Row],[Supplier name]], Supplier_master[Supplier name], Supplier_master[Category L2], 0)</f>
        <v>0</v>
      </c>
      <c r="J679" s="55"/>
      <c r="K679" s="54"/>
      <c r="L679" s="57">
        <f>IF(AP[[#This Row],[Spend category L1 - Override]] &lt;&gt; "", AP[[#This Row],[Spend category L1 - Override]], AP[[#This Row],[Spend category L1]])</f>
        <v>0</v>
      </c>
      <c r="M679" s="57">
        <f>IF(AP[[#This Row],[Spend category L2 - Override]] &lt;&gt; "", AP[[#This Row],[Spend category L2 - Override]], AP[[#This Row],[Spend category L2]])</f>
        <v>0</v>
      </c>
      <c r="N679" s="51">
        <f>Assumptions!$D$15</f>
        <v>0.1</v>
      </c>
      <c r="O679" s="45">
        <f>IF(AP[[#This Row],[GST applies?]] = "Yes", (AP[[#This Row],[Invoice value inc. GST]] / 1 + AP[[#This Row],[GST %]]) * AP[[#This Row],[GST %]], 0)</f>
        <v>0</v>
      </c>
      <c r="P679" s="31">
        <f>_xlfn.XLOOKUP(AP[[#This Row],[Supplier name]], Supplier_master[Supplier name], Supplier_master[EOM or Net], 0)</f>
        <v>0</v>
      </c>
      <c r="Q679" s="31">
        <f>_xlfn.XLOOKUP(AP[[#This Row],[Supplier name]], Supplier_master[Supplier name], Supplier_master[Terms days], 0)</f>
        <v>0</v>
      </c>
      <c r="R6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9" s="4"/>
      <c r="T679" s="46">
        <f>IF(AP[[#This Row],[Payment date - override (dd/mm/yyyy)]] &lt;&gt; "", AP[[#This Row],[Payment date - override (dd/mm/yyyy)]], AP[[#This Row],[Due date (dd/mm/yyyy)]])</f>
        <v>0</v>
      </c>
      <c r="U679" s="46">
        <f t="shared" si="10"/>
        <v>52</v>
      </c>
    </row>
    <row r="680" spans="3:21" x14ac:dyDescent="0.25">
      <c r="C680" s="28"/>
      <c r="D680" s="20"/>
      <c r="E680" s="4"/>
      <c r="F680" s="37"/>
      <c r="G680" s="24"/>
      <c r="H680" s="31">
        <f>_xlfn.XLOOKUP(AP[[#This Row],[Supplier name]], Supplier_master[Supplier name], Supplier_master[Category L1], 0)</f>
        <v>0</v>
      </c>
      <c r="I680" s="64">
        <f>_xlfn.XLOOKUP(AP[[#This Row],[Supplier name]], Supplier_master[Supplier name], Supplier_master[Category L2], 0)</f>
        <v>0</v>
      </c>
      <c r="J680" s="55"/>
      <c r="K680" s="54"/>
      <c r="L680" s="57">
        <f>IF(AP[[#This Row],[Spend category L1 - Override]] &lt;&gt; "", AP[[#This Row],[Spend category L1 - Override]], AP[[#This Row],[Spend category L1]])</f>
        <v>0</v>
      </c>
      <c r="M680" s="57">
        <f>IF(AP[[#This Row],[Spend category L2 - Override]] &lt;&gt; "", AP[[#This Row],[Spend category L2 - Override]], AP[[#This Row],[Spend category L2]])</f>
        <v>0</v>
      </c>
      <c r="N680" s="51">
        <f>Assumptions!$D$15</f>
        <v>0.1</v>
      </c>
      <c r="O680" s="45">
        <f>IF(AP[[#This Row],[GST applies?]] = "Yes", (AP[[#This Row],[Invoice value inc. GST]] / 1 + AP[[#This Row],[GST %]]) * AP[[#This Row],[GST %]], 0)</f>
        <v>0</v>
      </c>
      <c r="P680" s="31">
        <f>_xlfn.XLOOKUP(AP[[#This Row],[Supplier name]], Supplier_master[Supplier name], Supplier_master[EOM or Net], 0)</f>
        <v>0</v>
      </c>
      <c r="Q680" s="31">
        <f>_xlfn.XLOOKUP(AP[[#This Row],[Supplier name]], Supplier_master[Supplier name], Supplier_master[Terms days], 0)</f>
        <v>0</v>
      </c>
      <c r="R6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0" s="4"/>
      <c r="T680" s="46">
        <f>IF(AP[[#This Row],[Payment date - override (dd/mm/yyyy)]] &lt;&gt; "", AP[[#This Row],[Payment date - override (dd/mm/yyyy)]], AP[[#This Row],[Due date (dd/mm/yyyy)]])</f>
        <v>0</v>
      </c>
      <c r="U680" s="46">
        <f t="shared" si="10"/>
        <v>52</v>
      </c>
    </row>
    <row r="681" spans="3:21" x14ac:dyDescent="0.25">
      <c r="C681" s="28"/>
      <c r="D681" s="20"/>
      <c r="E681" s="4"/>
      <c r="F681" s="37"/>
      <c r="G681" s="24"/>
      <c r="H681" s="31">
        <f>_xlfn.XLOOKUP(AP[[#This Row],[Supplier name]], Supplier_master[Supplier name], Supplier_master[Category L1], 0)</f>
        <v>0</v>
      </c>
      <c r="I681" s="64">
        <f>_xlfn.XLOOKUP(AP[[#This Row],[Supplier name]], Supplier_master[Supplier name], Supplier_master[Category L2], 0)</f>
        <v>0</v>
      </c>
      <c r="J681" s="55"/>
      <c r="K681" s="54"/>
      <c r="L681" s="57">
        <f>IF(AP[[#This Row],[Spend category L1 - Override]] &lt;&gt; "", AP[[#This Row],[Spend category L1 - Override]], AP[[#This Row],[Spend category L1]])</f>
        <v>0</v>
      </c>
      <c r="M681" s="57">
        <f>IF(AP[[#This Row],[Spend category L2 - Override]] &lt;&gt; "", AP[[#This Row],[Spend category L2 - Override]], AP[[#This Row],[Spend category L2]])</f>
        <v>0</v>
      </c>
      <c r="N681" s="51">
        <f>Assumptions!$D$15</f>
        <v>0.1</v>
      </c>
      <c r="O681" s="45">
        <f>IF(AP[[#This Row],[GST applies?]] = "Yes", (AP[[#This Row],[Invoice value inc. GST]] / 1 + AP[[#This Row],[GST %]]) * AP[[#This Row],[GST %]], 0)</f>
        <v>0</v>
      </c>
      <c r="P681" s="31">
        <f>_xlfn.XLOOKUP(AP[[#This Row],[Supplier name]], Supplier_master[Supplier name], Supplier_master[EOM or Net], 0)</f>
        <v>0</v>
      </c>
      <c r="Q681" s="31">
        <f>_xlfn.XLOOKUP(AP[[#This Row],[Supplier name]], Supplier_master[Supplier name], Supplier_master[Terms days], 0)</f>
        <v>0</v>
      </c>
      <c r="R6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1" s="4"/>
      <c r="T681" s="46">
        <f>IF(AP[[#This Row],[Payment date - override (dd/mm/yyyy)]] &lt;&gt; "", AP[[#This Row],[Payment date - override (dd/mm/yyyy)]], AP[[#This Row],[Due date (dd/mm/yyyy)]])</f>
        <v>0</v>
      </c>
      <c r="U681" s="46">
        <f t="shared" si="10"/>
        <v>52</v>
      </c>
    </row>
    <row r="682" spans="3:21" x14ac:dyDescent="0.25">
      <c r="C682" s="28"/>
      <c r="D682" s="20"/>
      <c r="E682" s="4"/>
      <c r="F682" s="37"/>
      <c r="G682" s="24"/>
      <c r="H682" s="31">
        <f>_xlfn.XLOOKUP(AP[[#This Row],[Supplier name]], Supplier_master[Supplier name], Supplier_master[Category L1], 0)</f>
        <v>0</v>
      </c>
      <c r="I682" s="64">
        <f>_xlfn.XLOOKUP(AP[[#This Row],[Supplier name]], Supplier_master[Supplier name], Supplier_master[Category L2], 0)</f>
        <v>0</v>
      </c>
      <c r="J682" s="55"/>
      <c r="K682" s="54"/>
      <c r="L682" s="57">
        <f>IF(AP[[#This Row],[Spend category L1 - Override]] &lt;&gt; "", AP[[#This Row],[Spend category L1 - Override]], AP[[#This Row],[Spend category L1]])</f>
        <v>0</v>
      </c>
      <c r="M682" s="57">
        <f>IF(AP[[#This Row],[Spend category L2 - Override]] &lt;&gt; "", AP[[#This Row],[Spend category L2 - Override]], AP[[#This Row],[Spend category L2]])</f>
        <v>0</v>
      </c>
      <c r="N682" s="51">
        <f>Assumptions!$D$15</f>
        <v>0.1</v>
      </c>
      <c r="O682" s="45">
        <f>IF(AP[[#This Row],[GST applies?]] = "Yes", (AP[[#This Row],[Invoice value inc. GST]] / 1 + AP[[#This Row],[GST %]]) * AP[[#This Row],[GST %]], 0)</f>
        <v>0</v>
      </c>
      <c r="P682" s="31">
        <f>_xlfn.XLOOKUP(AP[[#This Row],[Supplier name]], Supplier_master[Supplier name], Supplier_master[EOM or Net], 0)</f>
        <v>0</v>
      </c>
      <c r="Q682" s="31">
        <f>_xlfn.XLOOKUP(AP[[#This Row],[Supplier name]], Supplier_master[Supplier name], Supplier_master[Terms days], 0)</f>
        <v>0</v>
      </c>
      <c r="R6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2" s="4"/>
      <c r="T682" s="46">
        <f>IF(AP[[#This Row],[Payment date - override (dd/mm/yyyy)]] &lt;&gt; "", AP[[#This Row],[Payment date - override (dd/mm/yyyy)]], AP[[#This Row],[Due date (dd/mm/yyyy)]])</f>
        <v>0</v>
      </c>
      <c r="U682" s="46">
        <f t="shared" si="10"/>
        <v>52</v>
      </c>
    </row>
    <row r="683" spans="3:21" x14ac:dyDescent="0.25">
      <c r="C683" s="28"/>
      <c r="D683" s="20"/>
      <c r="E683" s="4"/>
      <c r="F683" s="37"/>
      <c r="G683" s="24"/>
      <c r="H683" s="31">
        <f>_xlfn.XLOOKUP(AP[[#This Row],[Supplier name]], Supplier_master[Supplier name], Supplier_master[Category L1], 0)</f>
        <v>0</v>
      </c>
      <c r="I683" s="64">
        <f>_xlfn.XLOOKUP(AP[[#This Row],[Supplier name]], Supplier_master[Supplier name], Supplier_master[Category L2], 0)</f>
        <v>0</v>
      </c>
      <c r="J683" s="55"/>
      <c r="K683" s="54"/>
      <c r="L683" s="57">
        <f>IF(AP[[#This Row],[Spend category L1 - Override]] &lt;&gt; "", AP[[#This Row],[Spend category L1 - Override]], AP[[#This Row],[Spend category L1]])</f>
        <v>0</v>
      </c>
      <c r="M683" s="57">
        <f>IF(AP[[#This Row],[Spend category L2 - Override]] &lt;&gt; "", AP[[#This Row],[Spend category L2 - Override]], AP[[#This Row],[Spend category L2]])</f>
        <v>0</v>
      </c>
      <c r="N683" s="51">
        <f>Assumptions!$D$15</f>
        <v>0.1</v>
      </c>
      <c r="O683" s="45">
        <f>IF(AP[[#This Row],[GST applies?]] = "Yes", (AP[[#This Row],[Invoice value inc. GST]] / 1 + AP[[#This Row],[GST %]]) * AP[[#This Row],[GST %]], 0)</f>
        <v>0</v>
      </c>
      <c r="P683" s="31">
        <f>_xlfn.XLOOKUP(AP[[#This Row],[Supplier name]], Supplier_master[Supplier name], Supplier_master[EOM or Net], 0)</f>
        <v>0</v>
      </c>
      <c r="Q683" s="31">
        <f>_xlfn.XLOOKUP(AP[[#This Row],[Supplier name]], Supplier_master[Supplier name], Supplier_master[Terms days], 0)</f>
        <v>0</v>
      </c>
      <c r="R6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3" s="4"/>
      <c r="T683" s="46">
        <f>IF(AP[[#This Row],[Payment date - override (dd/mm/yyyy)]] &lt;&gt; "", AP[[#This Row],[Payment date - override (dd/mm/yyyy)]], AP[[#This Row],[Due date (dd/mm/yyyy)]])</f>
        <v>0</v>
      </c>
      <c r="U683" s="46">
        <f t="shared" si="10"/>
        <v>52</v>
      </c>
    </row>
    <row r="684" spans="3:21" x14ac:dyDescent="0.25">
      <c r="C684" s="28"/>
      <c r="D684" s="20"/>
      <c r="E684" s="4"/>
      <c r="F684" s="37"/>
      <c r="G684" s="24"/>
      <c r="H684" s="31">
        <f>_xlfn.XLOOKUP(AP[[#This Row],[Supplier name]], Supplier_master[Supplier name], Supplier_master[Category L1], 0)</f>
        <v>0</v>
      </c>
      <c r="I684" s="64">
        <f>_xlfn.XLOOKUP(AP[[#This Row],[Supplier name]], Supplier_master[Supplier name], Supplier_master[Category L2], 0)</f>
        <v>0</v>
      </c>
      <c r="J684" s="55"/>
      <c r="K684" s="54"/>
      <c r="L684" s="57">
        <f>IF(AP[[#This Row],[Spend category L1 - Override]] &lt;&gt; "", AP[[#This Row],[Spend category L1 - Override]], AP[[#This Row],[Spend category L1]])</f>
        <v>0</v>
      </c>
      <c r="M684" s="57">
        <f>IF(AP[[#This Row],[Spend category L2 - Override]] &lt;&gt; "", AP[[#This Row],[Spend category L2 - Override]], AP[[#This Row],[Spend category L2]])</f>
        <v>0</v>
      </c>
      <c r="N684" s="51">
        <f>Assumptions!$D$15</f>
        <v>0.1</v>
      </c>
      <c r="O684" s="45">
        <f>IF(AP[[#This Row],[GST applies?]] = "Yes", (AP[[#This Row],[Invoice value inc. GST]] / 1 + AP[[#This Row],[GST %]]) * AP[[#This Row],[GST %]], 0)</f>
        <v>0</v>
      </c>
      <c r="P684" s="31">
        <f>_xlfn.XLOOKUP(AP[[#This Row],[Supplier name]], Supplier_master[Supplier name], Supplier_master[EOM or Net], 0)</f>
        <v>0</v>
      </c>
      <c r="Q684" s="31">
        <f>_xlfn.XLOOKUP(AP[[#This Row],[Supplier name]], Supplier_master[Supplier name], Supplier_master[Terms days], 0)</f>
        <v>0</v>
      </c>
      <c r="R6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4" s="4"/>
      <c r="T684" s="46">
        <f>IF(AP[[#This Row],[Payment date - override (dd/mm/yyyy)]] &lt;&gt; "", AP[[#This Row],[Payment date - override (dd/mm/yyyy)]], AP[[#This Row],[Due date (dd/mm/yyyy)]])</f>
        <v>0</v>
      </c>
      <c r="U684" s="46">
        <f t="shared" si="10"/>
        <v>52</v>
      </c>
    </row>
    <row r="685" spans="3:21" x14ac:dyDescent="0.25">
      <c r="C685" s="28"/>
      <c r="D685" s="20"/>
      <c r="E685" s="4"/>
      <c r="F685" s="37"/>
      <c r="G685" s="24"/>
      <c r="H685" s="31">
        <f>_xlfn.XLOOKUP(AP[[#This Row],[Supplier name]], Supplier_master[Supplier name], Supplier_master[Category L1], 0)</f>
        <v>0</v>
      </c>
      <c r="I685" s="64">
        <f>_xlfn.XLOOKUP(AP[[#This Row],[Supplier name]], Supplier_master[Supplier name], Supplier_master[Category L2], 0)</f>
        <v>0</v>
      </c>
      <c r="J685" s="55"/>
      <c r="K685" s="54"/>
      <c r="L685" s="57">
        <f>IF(AP[[#This Row],[Spend category L1 - Override]] &lt;&gt; "", AP[[#This Row],[Spend category L1 - Override]], AP[[#This Row],[Spend category L1]])</f>
        <v>0</v>
      </c>
      <c r="M685" s="57">
        <f>IF(AP[[#This Row],[Spend category L2 - Override]] &lt;&gt; "", AP[[#This Row],[Spend category L2 - Override]], AP[[#This Row],[Spend category L2]])</f>
        <v>0</v>
      </c>
      <c r="N685" s="51">
        <f>Assumptions!$D$15</f>
        <v>0.1</v>
      </c>
      <c r="O685" s="45">
        <f>IF(AP[[#This Row],[GST applies?]] = "Yes", (AP[[#This Row],[Invoice value inc. GST]] / 1 + AP[[#This Row],[GST %]]) * AP[[#This Row],[GST %]], 0)</f>
        <v>0</v>
      </c>
      <c r="P685" s="31">
        <f>_xlfn.XLOOKUP(AP[[#This Row],[Supplier name]], Supplier_master[Supplier name], Supplier_master[EOM or Net], 0)</f>
        <v>0</v>
      </c>
      <c r="Q685" s="31">
        <f>_xlfn.XLOOKUP(AP[[#This Row],[Supplier name]], Supplier_master[Supplier name], Supplier_master[Terms days], 0)</f>
        <v>0</v>
      </c>
      <c r="R6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5" s="4"/>
      <c r="T685" s="46">
        <f>IF(AP[[#This Row],[Payment date - override (dd/mm/yyyy)]] &lt;&gt; "", AP[[#This Row],[Payment date - override (dd/mm/yyyy)]], AP[[#This Row],[Due date (dd/mm/yyyy)]])</f>
        <v>0</v>
      </c>
      <c r="U685" s="46">
        <f t="shared" si="10"/>
        <v>52</v>
      </c>
    </row>
    <row r="686" spans="3:21" x14ac:dyDescent="0.25">
      <c r="C686" s="28"/>
      <c r="D686" s="20"/>
      <c r="E686" s="4"/>
      <c r="F686" s="37"/>
      <c r="G686" s="24"/>
      <c r="H686" s="31">
        <f>_xlfn.XLOOKUP(AP[[#This Row],[Supplier name]], Supplier_master[Supplier name], Supplier_master[Category L1], 0)</f>
        <v>0</v>
      </c>
      <c r="I686" s="64">
        <f>_xlfn.XLOOKUP(AP[[#This Row],[Supplier name]], Supplier_master[Supplier name], Supplier_master[Category L2], 0)</f>
        <v>0</v>
      </c>
      <c r="J686" s="55"/>
      <c r="K686" s="54"/>
      <c r="L686" s="57">
        <f>IF(AP[[#This Row],[Spend category L1 - Override]] &lt;&gt; "", AP[[#This Row],[Spend category L1 - Override]], AP[[#This Row],[Spend category L1]])</f>
        <v>0</v>
      </c>
      <c r="M686" s="57">
        <f>IF(AP[[#This Row],[Spend category L2 - Override]] &lt;&gt; "", AP[[#This Row],[Spend category L2 - Override]], AP[[#This Row],[Spend category L2]])</f>
        <v>0</v>
      </c>
      <c r="N686" s="51">
        <f>Assumptions!$D$15</f>
        <v>0.1</v>
      </c>
      <c r="O686" s="45">
        <f>IF(AP[[#This Row],[GST applies?]] = "Yes", (AP[[#This Row],[Invoice value inc. GST]] / 1 + AP[[#This Row],[GST %]]) * AP[[#This Row],[GST %]], 0)</f>
        <v>0</v>
      </c>
      <c r="P686" s="31">
        <f>_xlfn.XLOOKUP(AP[[#This Row],[Supplier name]], Supplier_master[Supplier name], Supplier_master[EOM or Net], 0)</f>
        <v>0</v>
      </c>
      <c r="Q686" s="31">
        <f>_xlfn.XLOOKUP(AP[[#This Row],[Supplier name]], Supplier_master[Supplier name], Supplier_master[Terms days], 0)</f>
        <v>0</v>
      </c>
      <c r="R6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6" s="4"/>
      <c r="T686" s="46">
        <f>IF(AP[[#This Row],[Payment date - override (dd/mm/yyyy)]] &lt;&gt; "", AP[[#This Row],[Payment date - override (dd/mm/yyyy)]], AP[[#This Row],[Due date (dd/mm/yyyy)]])</f>
        <v>0</v>
      </c>
      <c r="U686" s="46">
        <f t="shared" si="10"/>
        <v>52</v>
      </c>
    </row>
    <row r="687" spans="3:21" x14ac:dyDescent="0.25">
      <c r="C687" s="28"/>
      <c r="D687" s="20"/>
      <c r="E687" s="4"/>
      <c r="F687" s="37"/>
      <c r="G687" s="24"/>
      <c r="H687" s="31">
        <f>_xlfn.XLOOKUP(AP[[#This Row],[Supplier name]], Supplier_master[Supplier name], Supplier_master[Category L1], 0)</f>
        <v>0</v>
      </c>
      <c r="I687" s="64">
        <f>_xlfn.XLOOKUP(AP[[#This Row],[Supplier name]], Supplier_master[Supplier name], Supplier_master[Category L2], 0)</f>
        <v>0</v>
      </c>
      <c r="J687" s="55"/>
      <c r="K687" s="54"/>
      <c r="L687" s="57">
        <f>IF(AP[[#This Row],[Spend category L1 - Override]] &lt;&gt; "", AP[[#This Row],[Spend category L1 - Override]], AP[[#This Row],[Spend category L1]])</f>
        <v>0</v>
      </c>
      <c r="M687" s="57">
        <f>IF(AP[[#This Row],[Spend category L2 - Override]] &lt;&gt; "", AP[[#This Row],[Spend category L2 - Override]], AP[[#This Row],[Spend category L2]])</f>
        <v>0</v>
      </c>
      <c r="N687" s="51">
        <f>Assumptions!$D$15</f>
        <v>0.1</v>
      </c>
      <c r="O687" s="45">
        <f>IF(AP[[#This Row],[GST applies?]] = "Yes", (AP[[#This Row],[Invoice value inc. GST]] / 1 + AP[[#This Row],[GST %]]) * AP[[#This Row],[GST %]], 0)</f>
        <v>0</v>
      </c>
      <c r="P687" s="31">
        <f>_xlfn.XLOOKUP(AP[[#This Row],[Supplier name]], Supplier_master[Supplier name], Supplier_master[EOM or Net], 0)</f>
        <v>0</v>
      </c>
      <c r="Q687" s="31">
        <f>_xlfn.XLOOKUP(AP[[#This Row],[Supplier name]], Supplier_master[Supplier name], Supplier_master[Terms days], 0)</f>
        <v>0</v>
      </c>
      <c r="R6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7" s="4"/>
      <c r="T687" s="46">
        <f>IF(AP[[#This Row],[Payment date - override (dd/mm/yyyy)]] &lt;&gt; "", AP[[#This Row],[Payment date - override (dd/mm/yyyy)]], AP[[#This Row],[Due date (dd/mm/yyyy)]])</f>
        <v>0</v>
      </c>
      <c r="U687" s="46">
        <f t="shared" si="10"/>
        <v>52</v>
      </c>
    </row>
    <row r="688" spans="3:21" x14ac:dyDescent="0.25">
      <c r="C688" s="28"/>
      <c r="D688" s="20"/>
      <c r="E688" s="4"/>
      <c r="F688" s="37"/>
      <c r="G688" s="24"/>
      <c r="H688" s="31">
        <f>_xlfn.XLOOKUP(AP[[#This Row],[Supplier name]], Supplier_master[Supplier name], Supplier_master[Category L1], 0)</f>
        <v>0</v>
      </c>
      <c r="I688" s="64">
        <f>_xlfn.XLOOKUP(AP[[#This Row],[Supplier name]], Supplier_master[Supplier name], Supplier_master[Category L2], 0)</f>
        <v>0</v>
      </c>
      <c r="J688" s="55"/>
      <c r="K688" s="54"/>
      <c r="L688" s="57">
        <f>IF(AP[[#This Row],[Spend category L1 - Override]] &lt;&gt; "", AP[[#This Row],[Spend category L1 - Override]], AP[[#This Row],[Spend category L1]])</f>
        <v>0</v>
      </c>
      <c r="M688" s="57">
        <f>IF(AP[[#This Row],[Spend category L2 - Override]] &lt;&gt; "", AP[[#This Row],[Spend category L2 - Override]], AP[[#This Row],[Spend category L2]])</f>
        <v>0</v>
      </c>
      <c r="N688" s="51">
        <f>Assumptions!$D$15</f>
        <v>0.1</v>
      </c>
      <c r="O688" s="45">
        <f>IF(AP[[#This Row],[GST applies?]] = "Yes", (AP[[#This Row],[Invoice value inc. GST]] / 1 + AP[[#This Row],[GST %]]) * AP[[#This Row],[GST %]], 0)</f>
        <v>0</v>
      </c>
      <c r="P688" s="31">
        <f>_xlfn.XLOOKUP(AP[[#This Row],[Supplier name]], Supplier_master[Supplier name], Supplier_master[EOM or Net], 0)</f>
        <v>0</v>
      </c>
      <c r="Q688" s="31">
        <f>_xlfn.XLOOKUP(AP[[#This Row],[Supplier name]], Supplier_master[Supplier name], Supplier_master[Terms days], 0)</f>
        <v>0</v>
      </c>
      <c r="R6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8" s="4"/>
      <c r="T688" s="46">
        <f>IF(AP[[#This Row],[Payment date - override (dd/mm/yyyy)]] &lt;&gt; "", AP[[#This Row],[Payment date - override (dd/mm/yyyy)]], AP[[#This Row],[Due date (dd/mm/yyyy)]])</f>
        <v>0</v>
      </c>
      <c r="U688" s="46">
        <f t="shared" si="10"/>
        <v>52</v>
      </c>
    </row>
    <row r="689" spans="3:21" x14ac:dyDescent="0.25">
      <c r="C689" s="28"/>
      <c r="D689" s="20"/>
      <c r="E689" s="4"/>
      <c r="F689" s="37"/>
      <c r="G689" s="24"/>
      <c r="H689" s="31">
        <f>_xlfn.XLOOKUP(AP[[#This Row],[Supplier name]], Supplier_master[Supplier name], Supplier_master[Category L1], 0)</f>
        <v>0</v>
      </c>
      <c r="I689" s="64">
        <f>_xlfn.XLOOKUP(AP[[#This Row],[Supplier name]], Supplier_master[Supplier name], Supplier_master[Category L2], 0)</f>
        <v>0</v>
      </c>
      <c r="J689" s="55"/>
      <c r="K689" s="54"/>
      <c r="L689" s="57">
        <f>IF(AP[[#This Row],[Spend category L1 - Override]] &lt;&gt; "", AP[[#This Row],[Spend category L1 - Override]], AP[[#This Row],[Spend category L1]])</f>
        <v>0</v>
      </c>
      <c r="M689" s="57">
        <f>IF(AP[[#This Row],[Spend category L2 - Override]] &lt;&gt; "", AP[[#This Row],[Spend category L2 - Override]], AP[[#This Row],[Spend category L2]])</f>
        <v>0</v>
      </c>
      <c r="N689" s="51">
        <f>Assumptions!$D$15</f>
        <v>0.1</v>
      </c>
      <c r="O689" s="45">
        <f>IF(AP[[#This Row],[GST applies?]] = "Yes", (AP[[#This Row],[Invoice value inc. GST]] / 1 + AP[[#This Row],[GST %]]) * AP[[#This Row],[GST %]], 0)</f>
        <v>0</v>
      </c>
      <c r="P689" s="31">
        <f>_xlfn.XLOOKUP(AP[[#This Row],[Supplier name]], Supplier_master[Supplier name], Supplier_master[EOM or Net], 0)</f>
        <v>0</v>
      </c>
      <c r="Q689" s="31">
        <f>_xlfn.XLOOKUP(AP[[#This Row],[Supplier name]], Supplier_master[Supplier name], Supplier_master[Terms days], 0)</f>
        <v>0</v>
      </c>
      <c r="R6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9" s="4"/>
      <c r="T689" s="46">
        <f>IF(AP[[#This Row],[Payment date - override (dd/mm/yyyy)]] &lt;&gt; "", AP[[#This Row],[Payment date - override (dd/mm/yyyy)]], AP[[#This Row],[Due date (dd/mm/yyyy)]])</f>
        <v>0</v>
      </c>
      <c r="U689" s="46">
        <f t="shared" si="10"/>
        <v>52</v>
      </c>
    </row>
    <row r="690" spans="3:21" x14ac:dyDescent="0.25">
      <c r="C690" s="28"/>
      <c r="D690" s="20"/>
      <c r="E690" s="4"/>
      <c r="F690" s="37"/>
      <c r="G690" s="24"/>
      <c r="H690" s="31">
        <f>_xlfn.XLOOKUP(AP[[#This Row],[Supplier name]], Supplier_master[Supplier name], Supplier_master[Category L1], 0)</f>
        <v>0</v>
      </c>
      <c r="I690" s="64">
        <f>_xlfn.XLOOKUP(AP[[#This Row],[Supplier name]], Supplier_master[Supplier name], Supplier_master[Category L2], 0)</f>
        <v>0</v>
      </c>
      <c r="J690" s="55"/>
      <c r="K690" s="54"/>
      <c r="L690" s="57">
        <f>IF(AP[[#This Row],[Spend category L1 - Override]] &lt;&gt; "", AP[[#This Row],[Spend category L1 - Override]], AP[[#This Row],[Spend category L1]])</f>
        <v>0</v>
      </c>
      <c r="M690" s="57">
        <f>IF(AP[[#This Row],[Spend category L2 - Override]] &lt;&gt; "", AP[[#This Row],[Spend category L2 - Override]], AP[[#This Row],[Spend category L2]])</f>
        <v>0</v>
      </c>
      <c r="N690" s="51">
        <f>Assumptions!$D$15</f>
        <v>0.1</v>
      </c>
      <c r="O690" s="45">
        <f>IF(AP[[#This Row],[GST applies?]] = "Yes", (AP[[#This Row],[Invoice value inc. GST]] / 1 + AP[[#This Row],[GST %]]) * AP[[#This Row],[GST %]], 0)</f>
        <v>0</v>
      </c>
      <c r="P690" s="31">
        <f>_xlfn.XLOOKUP(AP[[#This Row],[Supplier name]], Supplier_master[Supplier name], Supplier_master[EOM or Net], 0)</f>
        <v>0</v>
      </c>
      <c r="Q690" s="31">
        <f>_xlfn.XLOOKUP(AP[[#This Row],[Supplier name]], Supplier_master[Supplier name], Supplier_master[Terms days], 0)</f>
        <v>0</v>
      </c>
      <c r="R6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0" s="4"/>
      <c r="T690" s="46">
        <f>IF(AP[[#This Row],[Payment date - override (dd/mm/yyyy)]] &lt;&gt; "", AP[[#This Row],[Payment date - override (dd/mm/yyyy)]], AP[[#This Row],[Due date (dd/mm/yyyy)]])</f>
        <v>0</v>
      </c>
      <c r="U690" s="46">
        <f t="shared" si="10"/>
        <v>52</v>
      </c>
    </row>
    <row r="691" spans="3:21" x14ac:dyDescent="0.25">
      <c r="C691" s="28"/>
      <c r="D691" s="20"/>
      <c r="E691" s="4"/>
      <c r="F691" s="37"/>
      <c r="G691" s="24"/>
      <c r="H691" s="31">
        <f>_xlfn.XLOOKUP(AP[[#This Row],[Supplier name]], Supplier_master[Supplier name], Supplier_master[Category L1], 0)</f>
        <v>0</v>
      </c>
      <c r="I691" s="64">
        <f>_xlfn.XLOOKUP(AP[[#This Row],[Supplier name]], Supplier_master[Supplier name], Supplier_master[Category L2], 0)</f>
        <v>0</v>
      </c>
      <c r="J691" s="55"/>
      <c r="K691" s="54"/>
      <c r="L691" s="57">
        <f>IF(AP[[#This Row],[Spend category L1 - Override]] &lt;&gt; "", AP[[#This Row],[Spend category L1 - Override]], AP[[#This Row],[Spend category L1]])</f>
        <v>0</v>
      </c>
      <c r="M691" s="57">
        <f>IF(AP[[#This Row],[Spend category L2 - Override]] &lt;&gt; "", AP[[#This Row],[Spend category L2 - Override]], AP[[#This Row],[Spend category L2]])</f>
        <v>0</v>
      </c>
      <c r="N691" s="51">
        <f>Assumptions!$D$15</f>
        <v>0.1</v>
      </c>
      <c r="O691" s="45">
        <f>IF(AP[[#This Row],[GST applies?]] = "Yes", (AP[[#This Row],[Invoice value inc. GST]] / 1 + AP[[#This Row],[GST %]]) * AP[[#This Row],[GST %]], 0)</f>
        <v>0</v>
      </c>
      <c r="P691" s="31">
        <f>_xlfn.XLOOKUP(AP[[#This Row],[Supplier name]], Supplier_master[Supplier name], Supplier_master[EOM or Net], 0)</f>
        <v>0</v>
      </c>
      <c r="Q691" s="31">
        <f>_xlfn.XLOOKUP(AP[[#This Row],[Supplier name]], Supplier_master[Supplier name], Supplier_master[Terms days], 0)</f>
        <v>0</v>
      </c>
      <c r="R6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1" s="4"/>
      <c r="T691" s="46">
        <f>IF(AP[[#This Row],[Payment date - override (dd/mm/yyyy)]] &lt;&gt; "", AP[[#This Row],[Payment date - override (dd/mm/yyyy)]], AP[[#This Row],[Due date (dd/mm/yyyy)]])</f>
        <v>0</v>
      </c>
      <c r="U691" s="46">
        <f t="shared" si="10"/>
        <v>52</v>
      </c>
    </row>
    <row r="692" spans="3:21" x14ac:dyDescent="0.25">
      <c r="C692" s="28"/>
      <c r="D692" s="20"/>
      <c r="E692" s="4"/>
      <c r="F692" s="37"/>
      <c r="G692" s="24"/>
      <c r="H692" s="31">
        <f>_xlfn.XLOOKUP(AP[[#This Row],[Supplier name]], Supplier_master[Supplier name], Supplier_master[Category L1], 0)</f>
        <v>0</v>
      </c>
      <c r="I692" s="64">
        <f>_xlfn.XLOOKUP(AP[[#This Row],[Supplier name]], Supplier_master[Supplier name], Supplier_master[Category L2], 0)</f>
        <v>0</v>
      </c>
      <c r="J692" s="55"/>
      <c r="K692" s="54"/>
      <c r="L692" s="57">
        <f>IF(AP[[#This Row],[Spend category L1 - Override]] &lt;&gt; "", AP[[#This Row],[Spend category L1 - Override]], AP[[#This Row],[Spend category L1]])</f>
        <v>0</v>
      </c>
      <c r="M692" s="57">
        <f>IF(AP[[#This Row],[Spend category L2 - Override]] &lt;&gt; "", AP[[#This Row],[Spend category L2 - Override]], AP[[#This Row],[Spend category L2]])</f>
        <v>0</v>
      </c>
      <c r="N692" s="51">
        <f>Assumptions!$D$15</f>
        <v>0.1</v>
      </c>
      <c r="O692" s="45">
        <f>IF(AP[[#This Row],[GST applies?]] = "Yes", (AP[[#This Row],[Invoice value inc. GST]] / 1 + AP[[#This Row],[GST %]]) * AP[[#This Row],[GST %]], 0)</f>
        <v>0</v>
      </c>
      <c r="P692" s="31">
        <f>_xlfn.XLOOKUP(AP[[#This Row],[Supplier name]], Supplier_master[Supplier name], Supplier_master[EOM or Net], 0)</f>
        <v>0</v>
      </c>
      <c r="Q692" s="31">
        <f>_xlfn.XLOOKUP(AP[[#This Row],[Supplier name]], Supplier_master[Supplier name], Supplier_master[Terms days], 0)</f>
        <v>0</v>
      </c>
      <c r="R6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2" s="4"/>
      <c r="T692" s="46">
        <f>IF(AP[[#This Row],[Payment date - override (dd/mm/yyyy)]] &lt;&gt; "", AP[[#This Row],[Payment date - override (dd/mm/yyyy)]], AP[[#This Row],[Due date (dd/mm/yyyy)]])</f>
        <v>0</v>
      </c>
      <c r="U692" s="46">
        <f t="shared" si="10"/>
        <v>52</v>
      </c>
    </row>
    <row r="693" spans="3:21" x14ac:dyDescent="0.25">
      <c r="C693" s="28"/>
      <c r="D693" s="20"/>
      <c r="E693" s="4"/>
      <c r="F693" s="37"/>
      <c r="G693" s="24"/>
      <c r="H693" s="31">
        <f>_xlfn.XLOOKUP(AP[[#This Row],[Supplier name]], Supplier_master[Supplier name], Supplier_master[Category L1], 0)</f>
        <v>0</v>
      </c>
      <c r="I693" s="64">
        <f>_xlfn.XLOOKUP(AP[[#This Row],[Supplier name]], Supplier_master[Supplier name], Supplier_master[Category L2], 0)</f>
        <v>0</v>
      </c>
      <c r="J693" s="55"/>
      <c r="K693" s="54"/>
      <c r="L693" s="57">
        <f>IF(AP[[#This Row],[Spend category L1 - Override]] &lt;&gt; "", AP[[#This Row],[Spend category L1 - Override]], AP[[#This Row],[Spend category L1]])</f>
        <v>0</v>
      </c>
      <c r="M693" s="57">
        <f>IF(AP[[#This Row],[Spend category L2 - Override]] &lt;&gt; "", AP[[#This Row],[Spend category L2 - Override]], AP[[#This Row],[Spend category L2]])</f>
        <v>0</v>
      </c>
      <c r="N693" s="51">
        <f>Assumptions!$D$15</f>
        <v>0.1</v>
      </c>
      <c r="O693" s="45">
        <f>IF(AP[[#This Row],[GST applies?]] = "Yes", (AP[[#This Row],[Invoice value inc. GST]] / 1 + AP[[#This Row],[GST %]]) * AP[[#This Row],[GST %]], 0)</f>
        <v>0</v>
      </c>
      <c r="P693" s="31">
        <f>_xlfn.XLOOKUP(AP[[#This Row],[Supplier name]], Supplier_master[Supplier name], Supplier_master[EOM or Net], 0)</f>
        <v>0</v>
      </c>
      <c r="Q693" s="31">
        <f>_xlfn.XLOOKUP(AP[[#This Row],[Supplier name]], Supplier_master[Supplier name], Supplier_master[Terms days], 0)</f>
        <v>0</v>
      </c>
      <c r="R6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3" s="4"/>
      <c r="T693" s="46">
        <f>IF(AP[[#This Row],[Payment date - override (dd/mm/yyyy)]] &lt;&gt; "", AP[[#This Row],[Payment date - override (dd/mm/yyyy)]], AP[[#This Row],[Due date (dd/mm/yyyy)]])</f>
        <v>0</v>
      </c>
      <c r="U693" s="46">
        <f t="shared" si="10"/>
        <v>52</v>
      </c>
    </row>
    <row r="694" spans="3:21" x14ac:dyDescent="0.25">
      <c r="C694" s="28"/>
      <c r="D694" s="20"/>
      <c r="E694" s="4"/>
      <c r="F694" s="37"/>
      <c r="G694" s="24"/>
      <c r="H694" s="31">
        <f>_xlfn.XLOOKUP(AP[[#This Row],[Supplier name]], Supplier_master[Supplier name], Supplier_master[Category L1], 0)</f>
        <v>0</v>
      </c>
      <c r="I694" s="64">
        <f>_xlfn.XLOOKUP(AP[[#This Row],[Supplier name]], Supplier_master[Supplier name], Supplier_master[Category L2], 0)</f>
        <v>0</v>
      </c>
      <c r="J694" s="55"/>
      <c r="K694" s="54"/>
      <c r="L694" s="57">
        <f>IF(AP[[#This Row],[Spend category L1 - Override]] &lt;&gt; "", AP[[#This Row],[Spend category L1 - Override]], AP[[#This Row],[Spend category L1]])</f>
        <v>0</v>
      </c>
      <c r="M694" s="57">
        <f>IF(AP[[#This Row],[Spend category L2 - Override]] &lt;&gt; "", AP[[#This Row],[Spend category L2 - Override]], AP[[#This Row],[Spend category L2]])</f>
        <v>0</v>
      </c>
      <c r="N694" s="51">
        <f>Assumptions!$D$15</f>
        <v>0.1</v>
      </c>
      <c r="O694" s="45">
        <f>IF(AP[[#This Row],[GST applies?]] = "Yes", (AP[[#This Row],[Invoice value inc. GST]] / 1 + AP[[#This Row],[GST %]]) * AP[[#This Row],[GST %]], 0)</f>
        <v>0</v>
      </c>
      <c r="P694" s="31">
        <f>_xlfn.XLOOKUP(AP[[#This Row],[Supplier name]], Supplier_master[Supplier name], Supplier_master[EOM or Net], 0)</f>
        <v>0</v>
      </c>
      <c r="Q694" s="31">
        <f>_xlfn.XLOOKUP(AP[[#This Row],[Supplier name]], Supplier_master[Supplier name], Supplier_master[Terms days], 0)</f>
        <v>0</v>
      </c>
      <c r="R6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4" s="4"/>
      <c r="T694" s="46">
        <f>IF(AP[[#This Row],[Payment date - override (dd/mm/yyyy)]] &lt;&gt; "", AP[[#This Row],[Payment date - override (dd/mm/yyyy)]], AP[[#This Row],[Due date (dd/mm/yyyy)]])</f>
        <v>0</v>
      </c>
      <c r="U694" s="46">
        <f t="shared" si="10"/>
        <v>52</v>
      </c>
    </row>
    <row r="695" spans="3:21" x14ac:dyDescent="0.25">
      <c r="C695" s="28"/>
      <c r="D695" s="20"/>
      <c r="E695" s="4"/>
      <c r="F695" s="37"/>
      <c r="G695" s="24"/>
      <c r="H695" s="31">
        <f>_xlfn.XLOOKUP(AP[[#This Row],[Supplier name]], Supplier_master[Supplier name], Supplier_master[Category L1], 0)</f>
        <v>0</v>
      </c>
      <c r="I695" s="64">
        <f>_xlfn.XLOOKUP(AP[[#This Row],[Supplier name]], Supplier_master[Supplier name], Supplier_master[Category L2], 0)</f>
        <v>0</v>
      </c>
      <c r="J695" s="55"/>
      <c r="K695" s="54"/>
      <c r="L695" s="57">
        <f>IF(AP[[#This Row],[Spend category L1 - Override]] &lt;&gt; "", AP[[#This Row],[Spend category L1 - Override]], AP[[#This Row],[Spend category L1]])</f>
        <v>0</v>
      </c>
      <c r="M695" s="57">
        <f>IF(AP[[#This Row],[Spend category L2 - Override]] &lt;&gt; "", AP[[#This Row],[Spend category L2 - Override]], AP[[#This Row],[Spend category L2]])</f>
        <v>0</v>
      </c>
      <c r="N695" s="51">
        <f>Assumptions!$D$15</f>
        <v>0.1</v>
      </c>
      <c r="O695" s="45">
        <f>IF(AP[[#This Row],[GST applies?]] = "Yes", (AP[[#This Row],[Invoice value inc. GST]] / 1 + AP[[#This Row],[GST %]]) * AP[[#This Row],[GST %]], 0)</f>
        <v>0</v>
      </c>
      <c r="P695" s="31">
        <f>_xlfn.XLOOKUP(AP[[#This Row],[Supplier name]], Supplier_master[Supplier name], Supplier_master[EOM or Net], 0)</f>
        <v>0</v>
      </c>
      <c r="Q695" s="31">
        <f>_xlfn.XLOOKUP(AP[[#This Row],[Supplier name]], Supplier_master[Supplier name], Supplier_master[Terms days], 0)</f>
        <v>0</v>
      </c>
      <c r="R6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5" s="4"/>
      <c r="T695" s="46">
        <f>IF(AP[[#This Row],[Payment date - override (dd/mm/yyyy)]] &lt;&gt; "", AP[[#This Row],[Payment date - override (dd/mm/yyyy)]], AP[[#This Row],[Due date (dd/mm/yyyy)]])</f>
        <v>0</v>
      </c>
      <c r="U695" s="46">
        <f t="shared" si="10"/>
        <v>52</v>
      </c>
    </row>
    <row r="696" spans="3:21" x14ac:dyDescent="0.25">
      <c r="C696" s="28"/>
      <c r="D696" s="20"/>
      <c r="E696" s="4"/>
      <c r="F696" s="37"/>
      <c r="G696" s="24"/>
      <c r="H696" s="31">
        <f>_xlfn.XLOOKUP(AP[[#This Row],[Supplier name]], Supplier_master[Supplier name], Supplier_master[Category L1], 0)</f>
        <v>0</v>
      </c>
      <c r="I696" s="64">
        <f>_xlfn.XLOOKUP(AP[[#This Row],[Supplier name]], Supplier_master[Supplier name], Supplier_master[Category L2], 0)</f>
        <v>0</v>
      </c>
      <c r="J696" s="55"/>
      <c r="K696" s="54"/>
      <c r="L696" s="57">
        <f>IF(AP[[#This Row],[Spend category L1 - Override]] &lt;&gt; "", AP[[#This Row],[Spend category L1 - Override]], AP[[#This Row],[Spend category L1]])</f>
        <v>0</v>
      </c>
      <c r="M696" s="57">
        <f>IF(AP[[#This Row],[Spend category L2 - Override]] &lt;&gt; "", AP[[#This Row],[Spend category L2 - Override]], AP[[#This Row],[Spend category L2]])</f>
        <v>0</v>
      </c>
      <c r="N696" s="51">
        <f>Assumptions!$D$15</f>
        <v>0.1</v>
      </c>
      <c r="O696" s="45">
        <f>IF(AP[[#This Row],[GST applies?]] = "Yes", (AP[[#This Row],[Invoice value inc. GST]] / 1 + AP[[#This Row],[GST %]]) * AP[[#This Row],[GST %]], 0)</f>
        <v>0</v>
      </c>
      <c r="P696" s="31">
        <f>_xlfn.XLOOKUP(AP[[#This Row],[Supplier name]], Supplier_master[Supplier name], Supplier_master[EOM or Net], 0)</f>
        <v>0</v>
      </c>
      <c r="Q696" s="31">
        <f>_xlfn.XLOOKUP(AP[[#This Row],[Supplier name]], Supplier_master[Supplier name], Supplier_master[Terms days], 0)</f>
        <v>0</v>
      </c>
      <c r="R6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6" s="4"/>
      <c r="T696" s="46">
        <f>IF(AP[[#This Row],[Payment date - override (dd/mm/yyyy)]] &lt;&gt; "", AP[[#This Row],[Payment date - override (dd/mm/yyyy)]], AP[[#This Row],[Due date (dd/mm/yyyy)]])</f>
        <v>0</v>
      </c>
      <c r="U696" s="46">
        <f t="shared" si="10"/>
        <v>52</v>
      </c>
    </row>
    <row r="697" spans="3:21" x14ac:dyDescent="0.25">
      <c r="C697" s="28"/>
      <c r="D697" s="20"/>
      <c r="E697" s="4"/>
      <c r="F697" s="37"/>
      <c r="G697" s="24"/>
      <c r="H697" s="31">
        <f>_xlfn.XLOOKUP(AP[[#This Row],[Supplier name]], Supplier_master[Supplier name], Supplier_master[Category L1], 0)</f>
        <v>0</v>
      </c>
      <c r="I697" s="64">
        <f>_xlfn.XLOOKUP(AP[[#This Row],[Supplier name]], Supplier_master[Supplier name], Supplier_master[Category L2], 0)</f>
        <v>0</v>
      </c>
      <c r="J697" s="55"/>
      <c r="K697" s="54"/>
      <c r="L697" s="57">
        <f>IF(AP[[#This Row],[Spend category L1 - Override]] &lt;&gt; "", AP[[#This Row],[Spend category L1 - Override]], AP[[#This Row],[Spend category L1]])</f>
        <v>0</v>
      </c>
      <c r="M697" s="57">
        <f>IF(AP[[#This Row],[Spend category L2 - Override]] &lt;&gt; "", AP[[#This Row],[Spend category L2 - Override]], AP[[#This Row],[Spend category L2]])</f>
        <v>0</v>
      </c>
      <c r="N697" s="51">
        <f>Assumptions!$D$15</f>
        <v>0.1</v>
      </c>
      <c r="O697" s="45">
        <f>IF(AP[[#This Row],[GST applies?]] = "Yes", (AP[[#This Row],[Invoice value inc. GST]] / 1 + AP[[#This Row],[GST %]]) * AP[[#This Row],[GST %]], 0)</f>
        <v>0</v>
      </c>
      <c r="P697" s="31">
        <f>_xlfn.XLOOKUP(AP[[#This Row],[Supplier name]], Supplier_master[Supplier name], Supplier_master[EOM or Net], 0)</f>
        <v>0</v>
      </c>
      <c r="Q697" s="31">
        <f>_xlfn.XLOOKUP(AP[[#This Row],[Supplier name]], Supplier_master[Supplier name], Supplier_master[Terms days], 0)</f>
        <v>0</v>
      </c>
      <c r="R6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7" s="4"/>
      <c r="T697" s="46">
        <f>IF(AP[[#This Row],[Payment date - override (dd/mm/yyyy)]] &lt;&gt; "", AP[[#This Row],[Payment date - override (dd/mm/yyyy)]], AP[[#This Row],[Due date (dd/mm/yyyy)]])</f>
        <v>0</v>
      </c>
      <c r="U697" s="46">
        <f t="shared" si="10"/>
        <v>52</v>
      </c>
    </row>
    <row r="698" spans="3:21" x14ac:dyDescent="0.25">
      <c r="C698" s="28"/>
      <c r="D698" s="20"/>
      <c r="E698" s="4"/>
      <c r="F698" s="37"/>
      <c r="G698" s="24"/>
      <c r="H698" s="31">
        <f>_xlfn.XLOOKUP(AP[[#This Row],[Supplier name]], Supplier_master[Supplier name], Supplier_master[Category L1], 0)</f>
        <v>0</v>
      </c>
      <c r="I698" s="64">
        <f>_xlfn.XLOOKUP(AP[[#This Row],[Supplier name]], Supplier_master[Supplier name], Supplier_master[Category L2], 0)</f>
        <v>0</v>
      </c>
      <c r="J698" s="55"/>
      <c r="K698" s="54"/>
      <c r="L698" s="57">
        <f>IF(AP[[#This Row],[Spend category L1 - Override]] &lt;&gt; "", AP[[#This Row],[Spend category L1 - Override]], AP[[#This Row],[Spend category L1]])</f>
        <v>0</v>
      </c>
      <c r="M698" s="57">
        <f>IF(AP[[#This Row],[Spend category L2 - Override]] &lt;&gt; "", AP[[#This Row],[Spend category L2 - Override]], AP[[#This Row],[Spend category L2]])</f>
        <v>0</v>
      </c>
      <c r="N698" s="51">
        <f>Assumptions!$D$15</f>
        <v>0.1</v>
      </c>
      <c r="O698" s="45">
        <f>IF(AP[[#This Row],[GST applies?]] = "Yes", (AP[[#This Row],[Invoice value inc. GST]] / 1 + AP[[#This Row],[GST %]]) * AP[[#This Row],[GST %]], 0)</f>
        <v>0</v>
      </c>
      <c r="P698" s="31">
        <f>_xlfn.XLOOKUP(AP[[#This Row],[Supplier name]], Supplier_master[Supplier name], Supplier_master[EOM or Net], 0)</f>
        <v>0</v>
      </c>
      <c r="Q698" s="31">
        <f>_xlfn.XLOOKUP(AP[[#This Row],[Supplier name]], Supplier_master[Supplier name], Supplier_master[Terms days], 0)</f>
        <v>0</v>
      </c>
      <c r="R6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8" s="4"/>
      <c r="T698" s="46">
        <f>IF(AP[[#This Row],[Payment date - override (dd/mm/yyyy)]] &lt;&gt; "", AP[[#This Row],[Payment date - override (dd/mm/yyyy)]], AP[[#This Row],[Due date (dd/mm/yyyy)]])</f>
        <v>0</v>
      </c>
      <c r="U698" s="46">
        <f t="shared" si="10"/>
        <v>52</v>
      </c>
    </row>
    <row r="699" spans="3:21" x14ac:dyDescent="0.25">
      <c r="C699" s="28"/>
      <c r="D699" s="20"/>
      <c r="E699" s="4"/>
      <c r="F699" s="37"/>
      <c r="G699" s="24"/>
      <c r="H699" s="31">
        <f>_xlfn.XLOOKUP(AP[[#This Row],[Supplier name]], Supplier_master[Supplier name], Supplier_master[Category L1], 0)</f>
        <v>0</v>
      </c>
      <c r="I699" s="64">
        <f>_xlfn.XLOOKUP(AP[[#This Row],[Supplier name]], Supplier_master[Supplier name], Supplier_master[Category L2], 0)</f>
        <v>0</v>
      </c>
      <c r="J699" s="55"/>
      <c r="K699" s="54"/>
      <c r="L699" s="57">
        <f>IF(AP[[#This Row],[Spend category L1 - Override]] &lt;&gt; "", AP[[#This Row],[Spend category L1 - Override]], AP[[#This Row],[Spend category L1]])</f>
        <v>0</v>
      </c>
      <c r="M699" s="57">
        <f>IF(AP[[#This Row],[Spend category L2 - Override]] &lt;&gt; "", AP[[#This Row],[Spend category L2 - Override]], AP[[#This Row],[Spend category L2]])</f>
        <v>0</v>
      </c>
      <c r="N699" s="51">
        <f>Assumptions!$D$15</f>
        <v>0.1</v>
      </c>
      <c r="O699" s="45">
        <f>IF(AP[[#This Row],[GST applies?]] = "Yes", (AP[[#This Row],[Invoice value inc. GST]] / 1 + AP[[#This Row],[GST %]]) * AP[[#This Row],[GST %]], 0)</f>
        <v>0</v>
      </c>
      <c r="P699" s="31">
        <f>_xlfn.XLOOKUP(AP[[#This Row],[Supplier name]], Supplier_master[Supplier name], Supplier_master[EOM or Net], 0)</f>
        <v>0</v>
      </c>
      <c r="Q699" s="31">
        <f>_xlfn.XLOOKUP(AP[[#This Row],[Supplier name]], Supplier_master[Supplier name], Supplier_master[Terms days], 0)</f>
        <v>0</v>
      </c>
      <c r="R6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9" s="4"/>
      <c r="T699" s="46">
        <f>IF(AP[[#This Row],[Payment date - override (dd/mm/yyyy)]] &lt;&gt; "", AP[[#This Row],[Payment date - override (dd/mm/yyyy)]], AP[[#This Row],[Due date (dd/mm/yyyy)]])</f>
        <v>0</v>
      </c>
      <c r="U699" s="46">
        <f t="shared" si="10"/>
        <v>52</v>
      </c>
    </row>
    <row r="700" spans="3:21" x14ac:dyDescent="0.25">
      <c r="C700" s="28"/>
      <c r="D700" s="20"/>
      <c r="E700" s="4"/>
      <c r="F700" s="37"/>
      <c r="G700" s="24"/>
      <c r="H700" s="31">
        <f>_xlfn.XLOOKUP(AP[[#This Row],[Supplier name]], Supplier_master[Supplier name], Supplier_master[Category L1], 0)</f>
        <v>0</v>
      </c>
      <c r="I700" s="64">
        <f>_xlfn.XLOOKUP(AP[[#This Row],[Supplier name]], Supplier_master[Supplier name], Supplier_master[Category L2], 0)</f>
        <v>0</v>
      </c>
      <c r="J700" s="55"/>
      <c r="K700" s="54"/>
      <c r="L700" s="57">
        <f>IF(AP[[#This Row],[Spend category L1 - Override]] &lt;&gt; "", AP[[#This Row],[Spend category L1 - Override]], AP[[#This Row],[Spend category L1]])</f>
        <v>0</v>
      </c>
      <c r="M700" s="57">
        <f>IF(AP[[#This Row],[Spend category L2 - Override]] &lt;&gt; "", AP[[#This Row],[Spend category L2 - Override]], AP[[#This Row],[Spend category L2]])</f>
        <v>0</v>
      </c>
      <c r="N700" s="51">
        <f>Assumptions!$D$15</f>
        <v>0.1</v>
      </c>
      <c r="O700" s="45">
        <f>IF(AP[[#This Row],[GST applies?]] = "Yes", (AP[[#This Row],[Invoice value inc. GST]] / 1 + AP[[#This Row],[GST %]]) * AP[[#This Row],[GST %]], 0)</f>
        <v>0</v>
      </c>
      <c r="P700" s="31">
        <f>_xlfn.XLOOKUP(AP[[#This Row],[Supplier name]], Supplier_master[Supplier name], Supplier_master[EOM or Net], 0)</f>
        <v>0</v>
      </c>
      <c r="Q700" s="31">
        <f>_xlfn.XLOOKUP(AP[[#This Row],[Supplier name]], Supplier_master[Supplier name], Supplier_master[Terms days], 0)</f>
        <v>0</v>
      </c>
      <c r="R7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0" s="4"/>
      <c r="T700" s="46">
        <f>IF(AP[[#This Row],[Payment date - override (dd/mm/yyyy)]] &lt;&gt; "", AP[[#This Row],[Payment date - override (dd/mm/yyyy)]], AP[[#This Row],[Due date (dd/mm/yyyy)]])</f>
        <v>0</v>
      </c>
      <c r="U700" s="46">
        <f t="shared" si="10"/>
        <v>52</v>
      </c>
    </row>
    <row r="701" spans="3:21" x14ac:dyDescent="0.25">
      <c r="C701" s="28"/>
      <c r="D701" s="20"/>
      <c r="E701" s="4"/>
      <c r="F701" s="37"/>
      <c r="G701" s="24"/>
      <c r="H701" s="31">
        <f>_xlfn.XLOOKUP(AP[[#This Row],[Supplier name]], Supplier_master[Supplier name], Supplier_master[Category L1], 0)</f>
        <v>0</v>
      </c>
      <c r="I701" s="64">
        <f>_xlfn.XLOOKUP(AP[[#This Row],[Supplier name]], Supplier_master[Supplier name], Supplier_master[Category L2], 0)</f>
        <v>0</v>
      </c>
      <c r="J701" s="55"/>
      <c r="K701" s="54"/>
      <c r="L701" s="57">
        <f>IF(AP[[#This Row],[Spend category L1 - Override]] &lt;&gt; "", AP[[#This Row],[Spend category L1 - Override]], AP[[#This Row],[Spend category L1]])</f>
        <v>0</v>
      </c>
      <c r="M701" s="57">
        <f>IF(AP[[#This Row],[Spend category L2 - Override]] &lt;&gt; "", AP[[#This Row],[Spend category L2 - Override]], AP[[#This Row],[Spend category L2]])</f>
        <v>0</v>
      </c>
      <c r="N701" s="51">
        <f>Assumptions!$D$15</f>
        <v>0.1</v>
      </c>
      <c r="O701" s="45">
        <f>IF(AP[[#This Row],[GST applies?]] = "Yes", (AP[[#This Row],[Invoice value inc. GST]] / 1 + AP[[#This Row],[GST %]]) * AP[[#This Row],[GST %]], 0)</f>
        <v>0</v>
      </c>
      <c r="P701" s="31">
        <f>_xlfn.XLOOKUP(AP[[#This Row],[Supplier name]], Supplier_master[Supplier name], Supplier_master[EOM or Net], 0)</f>
        <v>0</v>
      </c>
      <c r="Q701" s="31">
        <f>_xlfn.XLOOKUP(AP[[#This Row],[Supplier name]], Supplier_master[Supplier name], Supplier_master[Terms days], 0)</f>
        <v>0</v>
      </c>
      <c r="R7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1" s="4"/>
      <c r="T701" s="46">
        <f>IF(AP[[#This Row],[Payment date - override (dd/mm/yyyy)]] &lt;&gt; "", AP[[#This Row],[Payment date - override (dd/mm/yyyy)]], AP[[#This Row],[Due date (dd/mm/yyyy)]])</f>
        <v>0</v>
      </c>
      <c r="U701" s="46">
        <f t="shared" si="10"/>
        <v>52</v>
      </c>
    </row>
    <row r="702" spans="3:21" x14ac:dyDescent="0.25">
      <c r="C702" s="28"/>
      <c r="D702" s="20"/>
      <c r="E702" s="4"/>
      <c r="F702" s="37"/>
      <c r="G702" s="24"/>
      <c r="H702" s="31">
        <f>_xlfn.XLOOKUP(AP[[#This Row],[Supplier name]], Supplier_master[Supplier name], Supplier_master[Category L1], 0)</f>
        <v>0</v>
      </c>
      <c r="I702" s="64">
        <f>_xlfn.XLOOKUP(AP[[#This Row],[Supplier name]], Supplier_master[Supplier name], Supplier_master[Category L2], 0)</f>
        <v>0</v>
      </c>
      <c r="J702" s="55"/>
      <c r="K702" s="54"/>
      <c r="L702" s="57">
        <f>IF(AP[[#This Row],[Spend category L1 - Override]] &lt;&gt; "", AP[[#This Row],[Spend category L1 - Override]], AP[[#This Row],[Spend category L1]])</f>
        <v>0</v>
      </c>
      <c r="M702" s="57">
        <f>IF(AP[[#This Row],[Spend category L2 - Override]] &lt;&gt; "", AP[[#This Row],[Spend category L2 - Override]], AP[[#This Row],[Spend category L2]])</f>
        <v>0</v>
      </c>
      <c r="N702" s="51">
        <f>Assumptions!$D$15</f>
        <v>0.1</v>
      </c>
      <c r="O702" s="45">
        <f>IF(AP[[#This Row],[GST applies?]] = "Yes", (AP[[#This Row],[Invoice value inc. GST]] / 1 + AP[[#This Row],[GST %]]) * AP[[#This Row],[GST %]], 0)</f>
        <v>0</v>
      </c>
      <c r="P702" s="31">
        <f>_xlfn.XLOOKUP(AP[[#This Row],[Supplier name]], Supplier_master[Supplier name], Supplier_master[EOM or Net], 0)</f>
        <v>0</v>
      </c>
      <c r="Q702" s="31">
        <f>_xlfn.XLOOKUP(AP[[#This Row],[Supplier name]], Supplier_master[Supplier name], Supplier_master[Terms days], 0)</f>
        <v>0</v>
      </c>
      <c r="R7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2" s="4"/>
      <c r="T702" s="46">
        <f>IF(AP[[#This Row],[Payment date - override (dd/mm/yyyy)]] &lt;&gt; "", AP[[#This Row],[Payment date - override (dd/mm/yyyy)]], AP[[#This Row],[Due date (dd/mm/yyyy)]])</f>
        <v>0</v>
      </c>
      <c r="U702" s="46">
        <f t="shared" si="10"/>
        <v>52</v>
      </c>
    </row>
    <row r="703" spans="3:21" x14ac:dyDescent="0.25">
      <c r="C703" s="28"/>
      <c r="D703" s="20"/>
      <c r="E703" s="4"/>
      <c r="F703" s="37"/>
      <c r="G703" s="24"/>
      <c r="H703" s="31">
        <f>_xlfn.XLOOKUP(AP[[#This Row],[Supplier name]], Supplier_master[Supplier name], Supplier_master[Category L1], 0)</f>
        <v>0</v>
      </c>
      <c r="I703" s="64">
        <f>_xlfn.XLOOKUP(AP[[#This Row],[Supplier name]], Supplier_master[Supplier name], Supplier_master[Category L2], 0)</f>
        <v>0</v>
      </c>
      <c r="J703" s="55"/>
      <c r="K703" s="54"/>
      <c r="L703" s="57">
        <f>IF(AP[[#This Row],[Spend category L1 - Override]] &lt;&gt; "", AP[[#This Row],[Spend category L1 - Override]], AP[[#This Row],[Spend category L1]])</f>
        <v>0</v>
      </c>
      <c r="M703" s="57">
        <f>IF(AP[[#This Row],[Spend category L2 - Override]] &lt;&gt; "", AP[[#This Row],[Spend category L2 - Override]], AP[[#This Row],[Spend category L2]])</f>
        <v>0</v>
      </c>
      <c r="N703" s="51">
        <f>Assumptions!$D$15</f>
        <v>0.1</v>
      </c>
      <c r="O703" s="45">
        <f>IF(AP[[#This Row],[GST applies?]] = "Yes", (AP[[#This Row],[Invoice value inc. GST]] / 1 + AP[[#This Row],[GST %]]) * AP[[#This Row],[GST %]], 0)</f>
        <v>0</v>
      </c>
      <c r="P703" s="31">
        <f>_xlfn.XLOOKUP(AP[[#This Row],[Supplier name]], Supplier_master[Supplier name], Supplier_master[EOM or Net], 0)</f>
        <v>0</v>
      </c>
      <c r="Q703" s="31">
        <f>_xlfn.XLOOKUP(AP[[#This Row],[Supplier name]], Supplier_master[Supplier name], Supplier_master[Terms days], 0)</f>
        <v>0</v>
      </c>
      <c r="R7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3" s="4"/>
      <c r="T703" s="46">
        <f>IF(AP[[#This Row],[Payment date - override (dd/mm/yyyy)]] &lt;&gt; "", AP[[#This Row],[Payment date - override (dd/mm/yyyy)]], AP[[#This Row],[Due date (dd/mm/yyyy)]])</f>
        <v>0</v>
      </c>
      <c r="U703" s="46">
        <f t="shared" si="10"/>
        <v>52</v>
      </c>
    </row>
    <row r="704" spans="3:21" x14ac:dyDescent="0.25">
      <c r="C704" s="28"/>
      <c r="D704" s="20"/>
      <c r="E704" s="4"/>
      <c r="F704" s="37"/>
      <c r="G704" s="24"/>
      <c r="H704" s="31">
        <f>_xlfn.XLOOKUP(AP[[#This Row],[Supplier name]], Supplier_master[Supplier name], Supplier_master[Category L1], 0)</f>
        <v>0</v>
      </c>
      <c r="I704" s="64">
        <f>_xlfn.XLOOKUP(AP[[#This Row],[Supplier name]], Supplier_master[Supplier name], Supplier_master[Category L2], 0)</f>
        <v>0</v>
      </c>
      <c r="J704" s="55"/>
      <c r="K704" s="54"/>
      <c r="L704" s="57">
        <f>IF(AP[[#This Row],[Spend category L1 - Override]] &lt;&gt; "", AP[[#This Row],[Spend category L1 - Override]], AP[[#This Row],[Spend category L1]])</f>
        <v>0</v>
      </c>
      <c r="M704" s="57">
        <f>IF(AP[[#This Row],[Spend category L2 - Override]] &lt;&gt; "", AP[[#This Row],[Spend category L2 - Override]], AP[[#This Row],[Spend category L2]])</f>
        <v>0</v>
      </c>
      <c r="N704" s="51">
        <f>Assumptions!$D$15</f>
        <v>0.1</v>
      </c>
      <c r="O704" s="45">
        <f>IF(AP[[#This Row],[GST applies?]] = "Yes", (AP[[#This Row],[Invoice value inc. GST]] / 1 + AP[[#This Row],[GST %]]) * AP[[#This Row],[GST %]], 0)</f>
        <v>0</v>
      </c>
      <c r="P704" s="31">
        <f>_xlfn.XLOOKUP(AP[[#This Row],[Supplier name]], Supplier_master[Supplier name], Supplier_master[EOM or Net], 0)</f>
        <v>0</v>
      </c>
      <c r="Q704" s="31">
        <f>_xlfn.XLOOKUP(AP[[#This Row],[Supplier name]], Supplier_master[Supplier name], Supplier_master[Terms days], 0)</f>
        <v>0</v>
      </c>
      <c r="R7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4" s="4"/>
      <c r="T704" s="46">
        <f>IF(AP[[#This Row],[Payment date - override (dd/mm/yyyy)]] &lt;&gt; "", AP[[#This Row],[Payment date - override (dd/mm/yyyy)]], AP[[#This Row],[Due date (dd/mm/yyyy)]])</f>
        <v>0</v>
      </c>
      <c r="U704" s="46">
        <f t="shared" si="10"/>
        <v>52</v>
      </c>
    </row>
    <row r="705" spans="3:21" x14ac:dyDescent="0.25">
      <c r="C705" s="28"/>
      <c r="D705" s="20"/>
      <c r="E705" s="4"/>
      <c r="F705" s="37"/>
      <c r="G705" s="24"/>
      <c r="H705" s="31">
        <f>_xlfn.XLOOKUP(AP[[#This Row],[Supplier name]], Supplier_master[Supplier name], Supplier_master[Category L1], 0)</f>
        <v>0</v>
      </c>
      <c r="I705" s="64">
        <f>_xlfn.XLOOKUP(AP[[#This Row],[Supplier name]], Supplier_master[Supplier name], Supplier_master[Category L2], 0)</f>
        <v>0</v>
      </c>
      <c r="J705" s="55"/>
      <c r="K705" s="54"/>
      <c r="L705" s="57">
        <f>IF(AP[[#This Row],[Spend category L1 - Override]] &lt;&gt; "", AP[[#This Row],[Spend category L1 - Override]], AP[[#This Row],[Spend category L1]])</f>
        <v>0</v>
      </c>
      <c r="M705" s="57">
        <f>IF(AP[[#This Row],[Spend category L2 - Override]] &lt;&gt; "", AP[[#This Row],[Spend category L2 - Override]], AP[[#This Row],[Spend category L2]])</f>
        <v>0</v>
      </c>
      <c r="N705" s="51">
        <f>Assumptions!$D$15</f>
        <v>0.1</v>
      </c>
      <c r="O705" s="45">
        <f>IF(AP[[#This Row],[GST applies?]] = "Yes", (AP[[#This Row],[Invoice value inc. GST]] / 1 + AP[[#This Row],[GST %]]) * AP[[#This Row],[GST %]], 0)</f>
        <v>0</v>
      </c>
      <c r="P705" s="31">
        <f>_xlfn.XLOOKUP(AP[[#This Row],[Supplier name]], Supplier_master[Supplier name], Supplier_master[EOM or Net], 0)</f>
        <v>0</v>
      </c>
      <c r="Q705" s="31">
        <f>_xlfn.XLOOKUP(AP[[#This Row],[Supplier name]], Supplier_master[Supplier name], Supplier_master[Terms days], 0)</f>
        <v>0</v>
      </c>
      <c r="R7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5" s="4"/>
      <c r="T705" s="46">
        <f>IF(AP[[#This Row],[Payment date - override (dd/mm/yyyy)]] &lt;&gt; "", AP[[#This Row],[Payment date - override (dd/mm/yyyy)]], AP[[#This Row],[Due date (dd/mm/yyyy)]])</f>
        <v>0</v>
      </c>
      <c r="U705" s="46">
        <f t="shared" si="10"/>
        <v>52</v>
      </c>
    </row>
    <row r="706" spans="3:21" x14ac:dyDescent="0.25">
      <c r="C706" s="28"/>
      <c r="D706" s="20"/>
      <c r="E706" s="4"/>
      <c r="F706" s="37"/>
      <c r="G706" s="24"/>
      <c r="H706" s="31">
        <f>_xlfn.XLOOKUP(AP[[#This Row],[Supplier name]], Supplier_master[Supplier name], Supplier_master[Category L1], 0)</f>
        <v>0</v>
      </c>
      <c r="I706" s="64">
        <f>_xlfn.XLOOKUP(AP[[#This Row],[Supplier name]], Supplier_master[Supplier name], Supplier_master[Category L2], 0)</f>
        <v>0</v>
      </c>
      <c r="J706" s="55"/>
      <c r="K706" s="54"/>
      <c r="L706" s="57">
        <f>IF(AP[[#This Row],[Spend category L1 - Override]] &lt;&gt; "", AP[[#This Row],[Spend category L1 - Override]], AP[[#This Row],[Spend category L1]])</f>
        <v>0</v>
      </c>
      <c r="M706" s="57">
        <f>IF(AP[[#This Row],[Spend category L2 - Override]] &lt;&gt; "", AP[[#This Row],[Spend category L2 - Override]], AP[[#This Row],[Spend category L2]])</f>
        <v>0</v>
      </c>
      <c r="N706" s="51">
        <f>Assumptions!$D$15</f>
        <v>0.1</v>
      </c>
      <c r="O706" s="45">
        <f>IF(AP[[#This Row],[GST applies?]] = "Yes", (AP[[#This Row],[Invoice value inc. GST]] / 1 + AP[[#This Row],[GST %]]) * AP[[#This Row],[GST %]], 0)</f>
        <v>0</v>
      </c>
      <c r="P706" s="31">
        <f>_xlfn.XLOOKUP(AP[[#This Row],[Supplier name]], Supplier_master[Supplier name], Supplier_master[EOM or Net], 0)</f>
        <v>0</v>
      </c>
      <c r="Q706" s="31">
        <f>_xlfn.XLOOKUP(AP[[#This Row],[Supplier name]], Supplier_master[Supplier name], Supplier_master[Terms days], 0)</f>
        <v>0</v>
      </c>
      <c r="R7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6" s="4"/>
      <c r="T706" s="46">
        <f>IF(AP[[#This Row],[Payment date - override (dd/mm/yyyy)]] &lt;&gt; "", AP[[#This Row],[Payment date - override (dd/mm/yyyy)]], AP[[#This Row],[Due date (dd/mm/yyyy)]])</f>
        <v>0</v>
      </c>
      <c r="U706" s="46">
        <f t="shared" si="10"/>
        <v>52</v>
      </c>
    </row>
    <row r="707" spans="3:21" x14ac:dyDescent="0.25">
      <c r="C707" s="28"/>
      <c r="D707" s="20"/>
      <c r="E707" s="4"/>
      <c r="F707" s="37"/>
      <c r="G707" s="24"/>
      <c r="H707" s="31">
        <f>_xlfn.XLOOKUP(AP[[#This Row],[Supplier name]], Supplier_master[Supplier name], Supplier_master[Category L1], 0)</f>
        <v>0</v>
      </c>
      <c r="I707" s="64">
        <f>_xlfn.XLOOKUP(AP[[#This Row],[Supplier name]], Supplier_master[Supplier name], Supplier_master[Category L2], 0)</f>
        <v>0</v>
      </c>
      <c r="J707" s="55"/>
      <c r="K707" s="54"/>
      <c r="L707" s="57">
        <f>IF(AP[[#This Row],[Spend category L1 - Override]] &lt;&gt; "", AP[[#This Row],[Spend category L1 - Override]], AP[[#This Row],[Spend category L1]])</f>
        <v>0</v>
      </c>
      <c r="M707" s="57">
        <f>IF(AP[[#This Row],[Spend category L2 - Override]] &lt;&gt; "", AP[[#This Row],[Spend category L2 - Override]], AP[[#This Row],[Spend category L2]])</f>
        <v>0</v>
      </c>
      <c r="N707" s="51">
        <f>Assumptions!$D$15</f>
        <v>0.1</v>
      </c>
      <c r="O707" s="45">
        <f>IF(AP[[#This Row],[GST applies?]] = "Yes", (AP[[#This Row],[Invoice value inc. GST]] / 1 + AP[[#This Row],[GST %]]) * AP[[#This Row],[GST %]], 0)</f>
        <v>0</v>
      </c>
      <c r="P707" s="31">
        <f>_xlfn.XLOOKUP(AP[[#This Row],[Supplier name]], Supplier_master[Supplier name], Supplier_master[EOM or Net], 0)</f>
        <v>0</v>
      </c>
      <c r="Q707" s="31">
        <f>_xlfn.XLOOKUP(AP[[#This Row],[Supplier name]], Supplier_master[Supplier name], Supplier_master[Terms days], 0)</f>
        <v>0</v>
      </c>
      <c r="R7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7" s="4"/>
      <c r="T707" s="46">
        <f>IF(AP[[#This Row],[Payment date - override (dd/mm/yyyy)]] &lt;&gt; "", AP[[#This Row],[Payment date - override (dd/mm/yyyy)]], AP[[#This Row],[Due date (dd/mm/yyyy)]])</f>
        <v>0</v>
      </c>
      <c r="U707" s="46">
        <f t="shared" si="10"/>
        <v>52</v>
      </c>
    </row>
    <row r="708" spans="3:21" x14ac:dyDescent="0.25">
      <c r="C708" s="28"/>
      <c r="D708" s="20"/>
      <c r="E708" s="4"/>
      <c r="F708" s="37"/>
      <c r="G708" s="24"/>
      <c r="H708" s="31">
        <f>_xlfn.XLOOKUP(AP[[#This Row],[Supplier name]], Supplier_master[Supplier name], Supplier_master[Category L1], 0)</f>
        <v>0</v>
      </c>
      <c r="I708" s="64">
        <f>_xlfn.XLOOKUP(AP[[#This Row],[Supplier name]], Supplier_master[Supplier name], Supplier_master[Category L2], 0)</f>
        <v>0</v>
      </c>
      <c r="J708" s="55"/>
      <c r="K708" s="54"/>
      <c r="L708" s="57">
        <f>IF(AP[[#This Row],[Spend category L1 - Override]] &lt;&gt; "", AP[[#This Row],[Spend category L1 - Override]], AP[[#This Row],[Spend category L1]])</f>
        <v>0</v>
      </c>
      <c r="M708" s="57">
        <f>IF(AP[[#This Row],[Spend category L2 - Override]] &lt;&gt; "", AP[[#This Row],[Spend category L2 - Override]], AP[[#This Row],[Spend category L2]])</f>
        <v>0</v>
      </c>
      <c r="N708" s="51">
        <f>Assumptions!$D$15</f>
        <v>0.1</v>
      </c>
      <c r="O708" s="45">
        <f>IF(AP[[#This Row],[GST applies?]] = "Yes", (AP[[#This Row],[Invoice value inc. GST]] / 1 + AP[[#This Row],[GST %]]) * AP[[#This Row],[GST %]], 0)</f>
        <v>0</v>
      </c>
      <c r="P708" s="31">
        <f>_xlfn.XLOOKUP(AP[[#This Row],[Supplier name]], Supplier_master[Supplier name], Supplier_master[EOM or Net], 0)</f>
        <v>0</v>
      </c>
      <c r="Q708" s="31">
        <f>_xlfn.XLOOKUP(AP[[#This Row],[Supplier name]], Supplier_master[Supplier name], Supplier_master[Terms days], 0)</f>
        <v>0</v>
      </c>
      <c r="R7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8" s="4"/>
      <c r="T708" s="46">
        <f>IF(AP[[#This Row],[Payment date - override (dd/mm/yyyy)]] &lt;&gt; "", AP[[#This Row],[Payment date - override (dd/mm/yyyy)]], AP[[#This Row],[Due date (dd/mm/yyyy)]])</f>
        <v>0</v>
      </c>
      <c r="U708" s="46">
        <f t="shared" si="10"/>
        <v>52</v>
      </c>
    </row>
    <row r="709" spans="3:21" x14ac:dyDescent="0.25">
      <c r="C709" s="28"/>
      <c r="D709" s="20"/>
      <c r="E709" s="4"/>
      <c r="F709" s="37"/>
      <c r="G709" s="24"/>
      <c r="H709" s="31">
        <f>_xlfn.XLOOKUP(AP[[#This Row],[Supplier name]], Supplier_master[Supplier name], Supplier_master[Category L1], 0)</f>
        <v>0</v>
      </c>
      <c r="I709" s="64">
        <f>_xlfn.XLOOKUP(AP[[#This Row],[Supplier name]], Supplier_master[Supplier name], Supplier_master[Category L2], 0)</f>
        <v>0</v>
      </c>
      <c r="J709" s="55"/>
      <c r="K709" s="54"/>
      <c r="L709" s="57">
        <f>IF(AP[[#This Row],[Spend category L1 - Override]] &lt;&gt; "", AP[[#This Row],[Spend category L1 - Override]], AP[[#This Row],[Spend category L1]])</f>
        <v>0</v>
      </c>
      <c r="M709" s="57">
        <f>IF(AP[[#This Row],[Spend category L2 - Override]] &lt;&gt; "", AP[[#This Row],[Spend category L2 - Override]], AP[[#This Row],[Spend category L2]])</f>
        <v>0</v>
      </c>
      <c r="N709" s="51">
        <f>Assumptions!$D$15</f>
        <v>0.1</v>
      </c>
      <c r="O709" s="45">
        <f>IF(AP[[#This Row],[GST applies?]] = "Yes", (AP[[#This Row],[Invoice value inc. GST]] / 1 + AP[[#This Row],[GST %]]) * AP[[#This Row],[GST %]], 0)</f>
        <v>0</v>
      </c>
      <c r="P709" s="31">
        <f>_xlfn.XLOOKUP(AP[[#This Row],[Supplier name]], Supplier_master[Supplier name], Supplier_master[EOM or Net], 0)</f>
        <v>0</v>
      </c>
      <c r="Q709" s="31">
        <f>_xlfn.XLOOKUP(AP[[#This Row],[Supplier name]], Supplier_master[Supplier name], Supplier_master[Terms days], 0)</f>
        <v>0</v>
      </c>
      <c r="R7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9" s="4"/>
      <c r="T709" s="46">
        <f>IF(AP[[#This Row],[Payment date - override (dd/mm/yyyy)]] &lt;&gt; "", AP[[#This Row],[Payment date - override (dd/mm/yyyy)]], AP[[#This Row],[Due date (dd/mm/yyyy)]])</f>
        <v>0</v>
      </c>
      <c r="U709" s="46">
        <f t="shared" si="10"/>
        <v>52</v>
      </c>
    </row>
    <row r="710" spans="3:21" x14ac:dyDescent="0.25">
      <c r="C710" s="28"/>
      <c r="D710" s="20"/>
      <c r="E710" s="4"/>
      <c r="F710" s="37"/>
      <c r="G710" s="24"/>
      <c r="H710" s="31">
        <f>_xlfn.XLOOKUP(AP[[#This Row],[Supplier name]], Supplier_master[Supplier name], Supplier_master[Category L1], 0)</f>
        <v>0</v>
      </c>
      <c r="I710" s="64">
        <f>_xlfn.XLOOKUP(AP[[#This Row],[Supplier name]], Supplier_master[Supplier name], Supplier_master[Category L2], 0)</f>
        <v>0</v>
      </c>
      <c r="J710" s="55"/>
      <c r="K710" s="54"/>
      <c r="L710" s="57">
        <f>IF(AP[[#This Row],[Spend category L1 - Override]] &lt;&gt; "", AP[[#This Row],[Spend category L1 - Override]], AP[[#This Row],[Spend category L1]])</f>
        <v>0</v>
      </c>
      <c r="M710" s="57">
        <f>IF(AP[[#This Row],[Spend category L2 - Override]] &lt;&gt; "", AP[[#This Row],[Spend category L2 - Override]], AP[[#This Row],[Spend category L2]])</f>
        <v>0</v>
      </c>
      <c r="N710" s="51">
        <f>Assumptions!$D$15</f>
        <v>0.1</v>
      </c>
      <c r="O710" s="45">
        <f>IF(AP[[#This Row],[GST applies?]] = "Yes", (AP[[#This Row],[Invoice value inc. GST]] / 1 + AP[[#This Row],[GST %]]) * AP[[#This Row],[GST %]], 0)</f>
        <v>0</v>
      </c>
      <c r="P710" s="31">
        <f>_xlfn.XLOOKUP(AP[[#This Row],[Supplier name]], Supplier_master[Supplier name], Supplier_master[EOM or Net], 0)</f>
        <v>0</v>
      </c>
      <c r="Q710" s="31">
        <f>_xlfn.XLOOKUP(AP[[#This Row],[Supplier name]], Supplier_master[Supplier name], Supplier_master[Terms days], 0)</f>
        <v>0</v>
      </c>
      <c r="R7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0" s="4"/>
      <c r="T710" s="46">
        <f>IF(AP[[#This Row],[Payment date - override (dd/mm/yyyy)]] &lt;&gt; "", AP[[#This Row],[Payment date - override (dd/mm/yyyy)]], AP[[#This Row],[Due date (dd/mm/yyyy)]])</f>
        <v>0</v>
      </c>
      <c r="U710" s="46">
        <f t="shared" si="10"/>
        <v>52</v>
      </c>
    </row>
    <row r="711" spans="3:21" x14ac:dyDescent="0.25">
      <c r="C711" s="28"/>
      <c r="D711" s="20"/>
      <c r="E711" s="4"/>
      <c r="F711" s="37"/>
      <c r="G711" s="24"/>
      <c r="H711" s="31">
        <f>_xlfn.XLOOKUP(AP[[#This Row],[Supplier name]], Supplier_master[Supplier name], Supplier_master[Category L1], 0)</f>
        <v>0</v>
      </c>
      <c r="I711" s="64">
        <f>_xlfn.XLOOKUP(AP[[#This Row],[Supplier name]], Supplier_master[Supplier name], Supplier_master[Category L2], 0)</f>
        <v>0</v>
      </c>
      <c r="J711" s="55"/>
      <c r="K711" s="54"/>
      <c r="L711" s="57">
        <f>IF(AP[[#This Row],[Spend category L1 - Override]] &lt;&gt; "", AP[[#This Row],[Spend category L1 - Override]], AP[[#This Row],[Spend category L1]])</f>
        <v>0</v>
      </c>
      <c r="M711" s="57">
        <f>IF(AP[[#This Row],[Spend category L2 - Override]] &lt;&gt; "", AP[[#This Row],[Spend category L2 - Override]], AP[[#This Row],[Spend category L2]])</f>
        <v>0</v>
      </c>
      <c r="N711" s="51">
        <f>Assumptions!$D$15</f>
        <v>0.1</v>
      </c>
      <c r="O711" s="45">
        <f>IF(AP[[#This Row],[GST applies?]] = "Yes", (AP[[#This Row],[Invoice value inc. GST]] / 1 + AP[[#This Row],[GST %]]) * AP[[#This Row],[GST %]], 0)</f>
        <v>0</v>
      </c>
      <c r="P711" s="31">
        <f>_xlfn.XLOOKUP(AP[[#This Row],[Supplier name]], Supplier_master[Supplier name], Supplier_master[EOM or Net], 0)</f>
        <v>0</v>
      </c>
      <c r="Q711" s="31">
        <f>_xlfn.XLOOKUP(AP[[#This Row],[Supplier name]], Supplier_master[Supplier name], Supplier_master[Terms days], 0)</f>
        <v>0</v>
      </c>
      <c r="R7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1" s="4"/>
      <c r="T711" s="46">
        <f>IF(AP[[#This Row],[Payment date - override (dd/mm/yyyy)]] &lt;&gt; "", AP[[#This Row],[Payment date - override (dd/mm/yyyy)]], AP[[#This Row],[Due date (dd/mm/yyyy)]])</f>
        <v>0</v>
      </c>
      <c r="U711" s="46">
        <f t="shared" si="10"/>
        <v>52</v>
      </c>
    </row>
    <row r="712" spans="3:21" x14ac:dyDescent="0.25">
      <c r="C712" s="28"/>
      <c r="D712" s="20"/>
      <c r="E712" s="4"/>
      <c r="F712" s="37"/>
      <c r="G712" s="24"/>
      <c r="H712" s="31">
        <f>_xlfn.XLOOKUP(AP[[#This Row],[Supplier name]], Supplier_master[Supplier name], Supplier_master[Category L1], 0)</f>
        <v>0</v>
      </c>
      <c r="I712" s="64">
        <f>_xlfn.XLOOKUP(AP[[#This Row],[Supplier name]], Supplier_master[Supplier name], Supplier_master[Category L2], 0)</f>
        <v>0</v>
      </c>
      <c r="J712" s="55"/>
      <c r="K712" s="54"/>
      <c r="L712" s="57">
        <f>IF(AP[[#This Row],[Spend category L1 - Override]] &lt;&gt; "", AP[[#This Row],[Spend category L1 - Override]], AP[[#This Row],[Spend category L1]])</f>
        <v>0</v>
      </c>
      <c r="M712" s="57">
        <f>IF(AP[[#This Row],[Spend category L2 - Override]] &lt;&gt; "", AP[[#This Row],[Spend category L2 - Override]], AP[[#This Row],[Spend category L2]])</f>
        <v>0</v>
      </c>
      <c r="N712" s="51">
        <f>Assumptions!$D$15</f>
        <v>0.1</v>
      </c>
      <c r="O712" s="45">
        <f>IF(AP[[#This Row],[GST applies?]] = "Yes", (AP[[#This Row],[Invoice value inc. GST]] / 1 + AP[[#This Row],[GST %]]) * AP[[#This Row],[GST %]], 0)</f>
        <v>0</v>
      </c>
      <c r="P712" s="31">
        <f>_xlfn.XLOOKUP(AP[[#This Row],[Supplier name]], Supplier_master[Supplier name], Supplier_master[EOM or Net], 0)</f>
        <v>0</v>
      </c>
      <c r="Q712" s="31">
        <f>_xlfn.XLOOKUP(AP[[#This Row],[Supplier name]], Supplier_master[Supplier name], Supplier_master[Terms days], 0)</f>
        <v>0</v>
      </c>
      <c r="R7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2" s="4"/>
      <c r="T712" s="46">
        <f>IF(AP[[#This Row],[Payment date - override (dd/mm/yyyy)]] &lt;&gt; "", AP[[#This Row],[Payment date - override (dd/mm/yyyy)]], AP[[#This Row],[Due date (dd/mm/yyyy)]])</f>
        <v>0</v>
      </c>
      <c r="U712" s="46">
        <f t="shared" si="10"/>
        <v>52</v>
      </c>
    </row>
    <row r="713" spans="3:21" x14ac:dyDescent="0.25">
      <c r="C713" s="28"/>
      <c r="D713" s="20"/>
      <c r="E713" s="4"/>
      <c r="F713" s="37"/>
      <c r="G713" s="24"/>
      <c r="H713" s="31">
        <f>_xlfn.XLOOKUP(AP[[#This Row],[Supplier name]], Supplier_master[Supplier name], Supplier_master[Category L1], 0)</f>
        <v>0</v>
      </c>
      <c r="I713" s="64">
        <f>_xlfn.XLOOKUP(AP[[#This Row],[Supplier name]], Supplier_master[Supplier name], Supplier_master[Category L2], 0)</f>
        <v>0</v>
      </c>
      <c r="J713" s="55"/>
      <c r="K713" s="54"/>
      <c r="L713" s="57">
        <f>IF(AP[[#This Row],[Spend category L1 - Override]] &lt;&gt; "", AP[[#This Row],[Spend category L1 - Override]], AP[[#This Row],[Spend category L1]])</f>
        <v>0</v>
      </c>
      <c r="M713" s="57">
        <f>IF(AP[[#This Row],[Spend category L2 - Override]] &lt;&gt; "", AP[[#This Row],[Spend category L2 - Override]], AP[[#This Row],[Spend category L2]])</f>
        <v>0</v>
      </c>
      <c r="N713" s="51">
        <f>Assumptions!$D$15</f>
        <v>0.1</v>
      </c>
      <c r="O713" s="45">
        <f>IF(AP[[#This Row],[GST applies?]] = "Yes", (AP[[#This Row],[Invoice value inc. GST]] / 1 + AP[[#This Row],[GST %]]) * AP[[#This Row],[GST %]], 0)</f>
        <v>0</v>
      </c>
      <c r="P713" s="31">
        <f>_xlfn.XLOOKUP(AP[[#This Row],[Supplier name]], Supplier_master[Supplier name], Supplier_master[EOM or Net], 0)</f>
        <v>0</v>
      </c>
      <c r="Q713" s="31">
        <f>_xlfn.XLOOKUP(AP[[#This Row],[Supplier name]], Supplier_master[Supplier name], Supplier_master[Terms days], 0)</f>
        <v>0</v>
      </c>
      <c r="R7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3" s="4"/>
      <c r="T713" s="46">
        <f>IF(AP[[#This Row],[Payment date - override (dd/mm/yyyy)]] &lt;&gt; "", AP[[#This Row],[Payment date - override (dd/mm/yyyy)]], AP[[#This Row],[Due date (dd/mm/yyyy)]])</f>
        <v>0</v>
      </c>
      <c r="U713" s="46">
        <f t="shared" ref="U713:U776" si="11">IF(GST_Freq="Monthly",
    DATE(YEAR(E713), MONTH(E713) + 1, 21),
    IF(GST_Freq="Quarterly",
        IF(MOD(MONTH(E713) + 2 - MOD(MOD(MONTH(E713) - GST_First_Month, 12), 3), 12) = 0,
            DATE(YEAR(E713), MONTH(E713) + 4 - MOD(MOD(MONTH(E713) - GST_First_Month, 12), 3), 28),
            DATE(YEAR(E713), MONTH(E713) + 3 - MOD(MOD(MONTH(E713) - GST_First_Month, 12), 3), 28)
        ),
        "Invalid frequency"
    )
)</f>
        <v>52</v>
      </c>
    </row>
    <row r="714" spans="3:21" x14ac:dyDescent="0.25">
      <c r="C714" s="28"/>
      <c r="D714" s="20"/>
      <c r="E714" s="4"/>
      <c r="F714" s="37"/>
      <c r="G714" s="24"/>
      <c r="H714" s="31">
        <f>_xlfn.XLOOKUP(AP[[#This Row],[Supplier name]], Supplier_master[Supplier name], Supplier_master[Category L1], 0)</f>
        <v>0</v>
      </c>
      <c r="I714" s="64">
        <f>_xlfn.XLOOKUP(AP[[#This Row],[Supplier name]], Supplier_master[Supplier name], Supplier_master[Category L2], 0)</f>
        <v>0</v>
      </c>
      <c r="J714" s="55"/>
      <c r="K714" s="54"/>
      <c r="L714" s="57">
        <f>IF(AP[[#This Row],[Spend category L1 - Override]] &lt;&gt; "", AP[[#This Row],[Spend category L1 - Override]], AP[[#This Row],[Spend category L1]])</f>
        <v>0</v>
      </c>
      <c r="M714" s="57">
        <f>IF(AP[[#This Row],[Spend category L2 - Override]] &lt;&gt; "", AP[[#This Row],[Spend category L2 - Override]], AP[[#This Row],[Spend category L2]])</f>
        <v>0</v>
      </c>
      <c r="N714" s="51">
        <f>Assumptions!$D$15</f>
        <v>0.1</v>
      </c>
      <c r="O714" s="45">
        <f>IF(AP[[#This Row],[GST applies?]] = "Yes", (AP[[#This Row],[Invoice value inc. GST]] / 1 + AP[[#This Row],[GST %]]) * AP[[#This Row],[GST %]], 0)</f>
        <v>0</v>
      </c>
      <c r="P714" s="31">
        <f>_xlfn.XLOOKUP(AP[[#This Row],[Supplier name]], Supplier_master[Supplier name], Supplier_master[EOM or Net], 0)</f>
        <v>0</v>
      </c>
      <c r="Q714" s="31">
        <f>_xlfn.XLOOKUP(AP[[#This Row],[Supplier name]], Supplier_master[Supplier name], Supplier_master[Terms days], 0)</f>
        <v>0</v>
      </c>
      <c r="R7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4" s="4"/>
      <c r="T714" s="46">
        <f>IF(AP[[#This Row],[Payment date - override (dd/mm/yyyy)]] &lt;&gt; "", AP[[#This Row],[Payment date - override (dd/mm/yyyy)]], AP[[#This Row],[Due date (dd/mm/yyyy)]])</f>
        <v>0</v>
      </c>
      <c r="U714" s="46">
        <f t="shared" si="11"/>
        <v>52</v>
      </c>
    </row>
    <row r="715" spans="3:21" x14ac:dyDescent="0.25">
      <c r="C715" s="28"/>
      <c r="D715" s="20"/>
      <c r="E715" s="4"/>
      <c r="F715" s="37"/>
      <c r="G715" s="24"/>
      <c r="H715" s="31">
        <f>_xlfn.XLOOKUP(AP[[#This Row],[Supplier name]], Supplier_master[Supplier name], Supplier_master[Category L1], 0)</f>
        <v>0</v>
      </c>
      <c r="I715" s="64">
        <f>_xlfn.XLOOKUP(AP[[#This Row],[Supplier name]], Supplier_master[Supplier name], Supplier_master[Category L2], 0)</f>
        <v>0</v>
      </c>
      <c r="J715" s="55"/>
      <c r="K715" s="54"/>
      <c r="L715" s="57">
        <f>IF(AP[[#This Row],[Spend category L1 - Override]] &lt;&gt; "", AP[[#This Row],[Spend category L1 - Override]], AP[[#This Row],[Spend category L1]])</f>
        <v>0</v>
      </c>
      <c r="M715" s="57">
        <f>IF(AP[[#This Row],[Spend category L2 - Override]] &lt;&gt; "", AP[[#This Row],[Spend category L2 - Override]], AP[[#This Row],[Spend category L2]])</f>
        <v>0</v>
      </c>
      <c r="N715" s="51">
        <f>Assumptions!$D$15</f>
        <v>0.1</v>
      </c>
      <c r="O715" s="45">
        <f>IF(AP[[#This Row],[GST applies?]] = "Yes", (AP[[#This Row],[Invoice value inc. GST]] / 1 + AP[[#This Row],[GST %]]) * AP[[#This Row],[GST %]], 0)</f>
        <v>0</v>
      </c>
      <c r="P715" s="31">
        <f>_xlfn.XLOOKUP(AP[[#This Row],[Supplier name]], Supplier_master[Supplier name], Supplier_master[EOM or Net], 0)</f>
        <v>0</v>
      </c>
      <c r="Q715" s="31">
        <f>_xlfn.XLOOKUP(AP[[#This Row],[Supplier name]], Supplier_master[Supplier name], Supplier_master[Terms days], 0)</f>
        <v>0</v>
      </c>
      <c r="R7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5" s="4"/>
      <c r="T715" s="46">
        <f>IF(AP[[#This Row],[Payment date - override (dd/mm/yyyy)]] &lt;&gt; "", AP[[#This Row],[Payment date - override (dd/mm/yyyy)]], AP[[#This Row],[Due date (dd/mm/yyyy)]])</f>
        <v>0</v>
      </c>
      <c r="U715" s="46">
        <f t="shared" si="11"/>
        <v>52</v>
      </c>
    </row>
    <row r="716" spans="3:21" x14ac:dyDescent="0.25">
      <c r="C716" s="28"/>
      <c r="D716" s="20"/>
      <c r="E716" s="4"/>
      <c r="F716" s="37"/>
      <c r="G716" s="24"/>
      <c r="H716" s="31">
        <f>_xlfn.XLOOKUP(AP[[#This Row],[Supplier name]], Supplier_master[Supplier name], Supplier_master[Category L1], 0)</f>
        <v>0</v>
      </c>
      <c r="I716" s="64">
        <f>_xlfn.XLOOKUP(AP[[#This Row],[Supplier name]], Supplier_master[Supplier name], Supplier_master[Category L2], 0)</f>
        <v>0</v>
      </c>
      <c r="J716" s="55"/>
      <c r="K716" s="54"/>
      <c r="L716" s="57">
        <f>IF(AP[[#This Row],[Spend category L1 - Override]] &lt;&gt; "", AP[[#This Row],[Spend category L1 - Override]], AP[[#This Row],[Spend category L1]])</f>
        <v>0</v>
      </c>
      <c r="M716" s="57">
        <f>IF(AP[[#This Row],[Spend category L2 - Override]] &lt;&gt; "", AP[[#This Row],[Spend category L2 - Override]], AP[[#This Row],[Spend category L2]])</f>
        <v>0</v>
      </c>
      <c r="N716" s="51">
        <f>Assumptions!$D$15</f>
        <v>0.1</v>
      </c>
      <c r="O716" s="45">
        <f>IF(AP[[#This Row],[GST applies?]] = "Yes", (AP[[#This Row],[Invoice value inc. GST]] / 1 + AP[[#This Row],[GST %]]) * AP[[#This Row],[GST %]], 0)</f>
        <v>0</v>
      </c>
      <c r="P716" s="31">
        <f>_xlfn.XLOOKUP(AP[[#This Row],[Supplier name]], Supplier_master[Supplier name], Supplier_master[EOM or Net], 0)</f>
        <v>0</v>
      </c>
      <c r="Q716" s="31">
        <f>_xlfn.XLOOKUP(AP[[#This Row],[Supplier name]], Supplier_master[Supplier name], Supplier_master[Terms days], 0)</f>
        <v>0</v>
      </c>
      <c r="R7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6" s="4"/>
      <c r="T716" s="46">
        <f>IF(AP[[#This Row],[Payment date - override (dd/mm/yyyy)]] &lt;&gt; "", AP[[#This Row],[Payment date - override (dd/mm/yyyy)]], AP[[#This Row],[Due date (dd/mm/yyyy)]])</f>
        <v>0</v>
      </c>
      <c r="U716" s="46">
        <f t="shared" si="11"/>
        <v>52</v>
      </c>
    </row>
    <row r="717" spans="3:21" x14ac:dyDescent="0.25">
      <c r="C717" s="28"/>
      <c r="D717" s="20"/>
      <c r="E717" s="4"/>
      <c r="F717" s="37"/>
      <c r="G717" s="24"/>
      <c r="H717" s="31">
        <f>_xlfn.XLOOKUP(AP[[#This Row],[Supplier name]], Supplier_master[Supplier name], Supplier_master[Category L1], 0)</f>
        <v>0</v>
      </c>
      <c r="I717" s="64">
        <f>_xlfn.XLOOKUP(AP[[#This Row],[Supplier name]], Supplier_master[Supplier name], Supplier_master[Category L2], 0)</f>
        <v>0</v>
      </c>
      <c r="J717" s="55"/>
      <c r="K717" s="54"/>
      <c r="L717" s="57">
        <f>IF(AP[[#This Row],[Spend category L1 - Override]] &lt;&gt; "", AP[[#This Row],[Spend category L1 - Override]], AP[[#This Row],[Spend category L1]])</f>
        <v>0</v>
      </c>
      <c r="M717" s="57">
        <f>IF(AP[[#This Row],[Spend category L2 - Override]] &lt;&gt; "", AP[[#This Row],[Spend category L2 - Override]], AP[[#This Row],[Spend category L2]])</f>
        <v>0</v>
      </c>
      <c r="N717" s="51">
        <f>Assumptions!$D$15</f>
        <v>0.1</v>
      </c>
      <c r="O717" s="45">
        <f>IF(AP[[#This Row],[GST applies?]] = "Yes", (AP[[#This Row],[Invoice value inc. GST]] / 1 + AP[[#This Row],[GST %]]) * AP[[#This Row],[GST %]], 0)</f>
        <v>0</v>
      </c>
      <c r="P717" s="31">
        <f>_xlfn.XLOOKUP(AP[[#This Row],[Supplier name]], Supplier_master[Supplier name], Supplier_master[EOM or Net], 0)</f>
        <v>0</v>
      </c>
      <c r="Q717" s="31">
        <f>_xlfn.XLOOKUP(AP[[#This Row],[Supplier name]], Supplier_master[Supplier name], Supplier_master[Terms days], 0)</f>
        <v>0</v>
      </c>
      <c r="R7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7" s="4"/>
      <c r="T717" s="46">
        <f>IF(AP[[#This Row],[Payment date - override (dd/mm/yyyy)]] &lt;&gt; "", AP[[#This Row],[Payment date - override (dd/mm/yyyy)]], AP[[#This Row],[Due date (dd/mm/yyyy)]])</f>
        <v>0</v>
      </c>
      <c r="U717" s="46">
        <f t="shared" si="11"/>
        <v>52</v>
      </c>
    </row>
    <row r="718" spans="3:21" x14ac:dyDescent="0.25">
      <c r="C718" s="28"/>
      <c r="D718" s="20"/>
      <c r="E718" s="4"/>
      <c r="F718" s="37"/>
      <c r="G718" s="24"/>
      <c r="H718" s="31">
        <f>_xlfn.XLOOKUP(AP[[#This Row],[Supplier name]], Supplier_master[Supplier name], Supplier_master[Category L1], 0)</f>
        <v>0</v>
      </c>
      <c r="I718" s="64">
        <f>_xlfn.XLOOKUP(AP[[#This Row],[Supplier name]], Supplier_master[Supplier name], Supplier_master[Category L2], 0)</f>
        <v>0</v>
      </c>
      <c r="J718" s="55"/>
      <c r="K718" s="54"/>
      <c r="L718" s="57">
        <f>IF(AP[[#This Row],[Spend category L1 - Override]] &lt;&gt; "", AP[[#This Row],[Spend category L1 - Override]], AP[[#This Row],[Spend category L1]])</f>
        <v>0</v>
      </c>
      <c r="M718" s="57">
        <f>IF(AP[[#This Row],[Spend category L2 - Override]] &lt;&gt; "", AP[[#This Row],[Spend category L2 - Override]], AP[[#This Row],[Spend category L2]])</f>
        <v>0</v>
      </c>
      <c r="N718" s="51">
        <f>Assumptions!$D$15</f>
        <v>0.1</v>
      </c>
      <c r="O718" s="45">
        <f>IF(AP[[#This Row],[GST applies?]] = "Yes", (AP[[#This Row],[Invoice value inc. GST]] / 1 + AP[[#This Row],[GST %]]) * AP[[#This Row],[GST %]], 0)</f>
        <v>0</v>
      </c>
      <c r="P718" s="31">
        <f>_xlfn.XLOOKUP(AP[[#This Row],[Supplier name]], Supplier_master[Supplier name], Supplier_master[EOM or Net], 0)</f>
        <v>0</v>
      </c>
      <c r="Q718" s="31">
        <f>_xlfn.XLOOKUP(AP[[#This Row],[Supplier name]], Supplier_master[Supplier name], Supplier_master[Terms days], 0)</f>
        <v>0</v>
      </c>
      <c r="R7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8" s="4"/>
      <c r="T718" s="46">
        <f>IF(AP[[#This Row],[Payment date - override (dd/mm/yyyy)]] &lt;&gt; "", AP[[#This Row],[Payment date - override (dd/mm/yyyy)]], AP[[#This Row],[Due date (dd/mm/yyyy)]])</f>
        <v>0</v>
      </c>
      <c r="U718" s="46">
        <f t="shared" si="11"/>
        <v>52</v>
      </c>
    </row>
    <row r="719" spans="3:21" x14ac:dyDescent="0.25">
      <c r="C719" s="28"/>
      <c r="D719" s="20"/>
      <c r="E719" s="4"/>
      <c r="F719" s="37"/>
      <c r="G719" s="24"/>
      <c r="H719" s="31">
        <f>_xlfn.XLOOKUP(AP[[#This Row],[Supplier name]], Supplier_master[Supplier name], Supplier_master[Category L1], 0)</f>
        <v>0</v>
      </c>
      <c r="I719" s="64">
        <f>_xlfn.XLOOKUP(AP[[#This Row],[Supplier name]], Supplier_master[Supplier name], Supplier_master[Category L2], 0)</f>
        <v>0</v>
      </c>
      <c r="J719" s="55"/>
      <c r="K719" s="54"/>
      <c r="L719" s="57">
        <f>IF(AP[[#This Row],[Spend category L1 - Override]] &lt;&gt; "", AP[[#This Row],[Spend category L1 - Override]], AP[[#This Row],[Spend category L1]])</f>
        <v>0</v>
      </c>
      <c r="M719" s="57">
        <f>IF(AP[[#This Row],[Spend category L2 - Override]] &lt;&gt; "", AP[[#This Row],[Spend category L2 - Override]], AP[[#This Row],[Spend category L2]])</f>
        <v>0</v>
      </c>
      <c r="N719" s="51">
        <f>Assumptions!$D$15</f>
        <v>0.1</v>
      </c>
      <c r="O719" s="45">
        <f>IF(AP[[#This Row],[GST applies?]] = "Yes", (AP[[#This Row],[Invoice value inc. GST]] / 1 + AP[[#This Row],[GST %]]) * AP[[#This Row],[GST %]], 0)</f>
        <v>0</v>
      </c>
      <c r="P719" s="31">
        <f>_xlfn.XLOOKUP(AP[[#This Row],[Supplier name]], Supplier_master[Supplier name], Supplier_master[EOM or Net], 0)</f>
        <v>0</v>
      </c>
      <c r="Q719" s="31">
        <f>_xlfn.XLOOKUP(AP[[#This Row],[Supplier name]], Supplier_master[Supplier name], Supplier_master[Terms days], 0)</f>
        <v>0</v>
      </c>
      <c r="R7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9" s="4"/>
      <c r="T719" s="46">
        <f>IF(AP[[#This Row],[Payment date - override (dd/mm/yyyy)]] &lt;&gt; "", AP[[#This Row],[Payment date - override (dd/mm/yyyy)]], AP[[#This Row],[Due date (dd/mm/yyyy)]])</f>
        <v>0</v>
      </c>
      <c r="U719" s="46">
        <f t="shared" si="11"/>
        <v>52</v>
      </c>
    </row>
    <row r="720" spans="3:21" x14ac:dyDescent="0.25">
      <c r="C720" s="28"/>
      <c r="D720" s="20"/>
      <c r="E720" s="4"/>
      <c r="F720" s="37"/>
      <c r="G720" s="24"/>
      <c r="H720" s="31">
        <f>_xlfn.XLOOKUP(AP[[#This Row],[Supplier name]], Supplier_master[Supplier name], Supplier_master[Category L1], 0)</f>
        <v>0</v>
      </c>
      <c r="I720" s="64">
        <f>_xlfn.XLOOKUP(AP[[#This Row],[Supplier name]], Supplier_master[Supplier name], Supplier_master[Category L2], 0)</f>
        <v>0</v>
      </c>
      <c r="J720" s="55"/>
      <c r="K720" s="54"/>
      <c r="L720" s="57">
        <f>IF(AP[[#This Row],[Spend category L1 - Override]] &lt;&gt; "", AP[[#This Row],[Spend category L1 - Override]], AP[[#This Row],[Spend category L1]])</f>
        <v>0</v>
      </c>
      <c r="M720" s="57">
        <f>IF(AP[[#This Row],[Spend category L2 - Override]] &lt;&gt; "", AP[[#This Row],[Spend category L2 - Override]], AP[[#This Row],[Spend category L2]])</f>
        <v>0</v>
      </c>
      <c r="N720" s="51">
        <f>Assumptions!$D$15</f>
        <v>0.1</v>
      </c>
      <c r="O720" s="45">
        <f>IF(AP[[#This Row],[GST applies?]] = "Yes", (AP[[#This Row],[Invoice value inc. GST]] / 1 + AP[[#This Row],[GST %]]) * AP[[#This Row],[GST %]], 0)</f>
        <v>0</v>
      </c>
      <c r="P720" s="31">
        <f>_xlfn.XLOOKUP(AP[[#This Row],[Supplier name]], Supplier_master[Supplier name], Supplier_master[EOM or Net], 0)</f>
        <v>0</v>
      </c>
      <c r="Q720" s="31">
        <f>_xlfn.XLOOKUP(AP[[#This Row],[Supplier name]], Supplier_master[Supplier name], Supplier_master[Terms days], 0)</f>
        <v>0</v>
      </c>
      <c r="R7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0" s="4"/>
      <c r="T720" s="46">
        <f>IF(AP[[#This Row],[Payment date - override (dd/mm/yyyy)]] &lt;&gt; "", AP[[#This Row],[Payment date - override (dd/mm/yyyy)]], AP[[#This Row],[Due date (dd/mm/yyyy)]])</f>
        <v>0</v>
      </c>
      <c r="U720" s="46">
        <f t="shared" si="11"/>
        <v>52</v>
      </c>
    </row>
    <row r="721" spans="3:21" x14ac:dyDescent="0.25">
      <c r="C721" s="28"/>
      <c r="D721" s="20"/>
      <c r="E721" s="4"/>
      <c r="F721" s="37"/>
      <c r="G721" s="24"/>
      <c r="H721" s="31">
        <f>_xlfn.XLOOKUP(AP[[#This Row],[Supplier name]], Supplier_master[Supplier name], Supplier_master[Category L1], 0)</f>
        <v>0</v>
      </c>
      <c r="I721" s="64">
        <f>_xlfn.XLOOKUP(AP[[#This Row],[Supplier name]], Supplier_master[Supplier name], Supplier_master[Category L2], 0)</f>
        <v>0</v>
      </c>
      <c r="J721" s="55"/>
      <c r="K721" s="54"/>
      <c r="L721" s="57">
        <f>IF(AP[[#This Row],[Spend category L1 - Override]] &lt;&gt; "", AP[[#This Row],[Spend category L1 - Override]], AP[[#This Row],[Spend category L1]])</f>
        <v>0</v>
      </c>
      <c r="M721" s="57">
        <f>IF(AP[[#This Row],[Spend category L2 - Override]] &lt;&gt; "", AP[[#This Row],[Spend category L2 - Override]], AP[[#This Row],[Spend category L2]])</f>
        <v>0</v>
      </c>
      <c r="N721" s="51">
        <f>Assumptions!$D$15</f>
        <v>0.1</v>
      </c>
      <c r="O721" s="45">
        <f>IF(AP[[#This Row],[GST applies?]] = "Yes", (AP[[#This Row],[Invoice value inc. GST]] / 1 + AP[[#This Row],[GST %]]) * AP[[#This Row],[GST %]], 0)</f>
        <v>0</v>
      </c>
      <c r="P721" s="31">
        <f>_xlfn.XLOOKUP(AP[[#This Row],[Supplier name]], Supplier_master[Supplier name], Supplier_master[EOM or Net], 0)</f>
        <v>0</v>
      </c>
      <c r="Q721" s="31">
        <f>_xlfn.XLOOKUP(AP[[#This Row],[Supplier name]], Supplier_master[Supplier name], Supplier_master[Terms days], 0)</f>
        <v>0</v>
      </c>
      <c r="R7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1" s="4"/>
      <c r="T721" s="46">
        <f>IF(AP[[#This Row],[Payment date - override (dd/mm/yyyy)]] &lt;&gt; "", AP[[#This Row],[Payment date - override (dd/mm/yyyy)]], AP[[#This Row],[Due date (dd/mm/yyyy)]])</f>
        <v>0</v>
      </c>
      <c r="U721" s="46">
        <f t="shared" si="11"/>
        <v>52</v>
      </c>
    </row>
    <row r="722" spans="3:21" x14ac:dyDescent="0.25">
      <c r="C722" s="28"/>
      <c r="D722" s="20"/>
      <c r="E722" s="4"/>
      <c r="F722" s="37"/>
      <c r="G722" s="24"/>
      <c r="H722" s="31">
        <f>_xlfn.XLOOKUP(AP[[#This Row],[Supplier name]], Supplier_master[Supplier name], Supplier_master[Category L1], 0)</f>
        <v>0</v>
      </c>
      <c r="I722" s="64">
        <f>_xlfn.XLOOKUP(AP[[#This Row],[Supplier name]], Supplier_master[Supplier name], Supplier_master[Category L2], 0)</f>
        <v>0</v>
      </c>
      <c r="J722" s="55"/>
      <c r="K722" s="54"/>
      <c r="L722" s="57">
        <f>IF(AP[[#This Row],[Spend category L1 - Override]] &lt;&gt; "", AP[[#This Row],[Spend category L1 - Override]], AP[[#This Row],[Spend category L1]])</f>
        <v>0</v>
      </c>
      <c r="M722" s="57">
        <f>IF(AP[[#This Row],[Spend category L2 - Override]] &lt;&gt; "", AP[[#This Row],[Spend category L2 - Override]], AP[[#This Row],[Spend category L2]])</f>
        <v>0</v>
      </c>
      <c r="N722" s="51">
        <f>Assumptions!$D$15</f>
        <v>0.1</v>
      </c>
      <c r="O722" s="45">
        <f>IF(AP[[#This Row],[GST applies?]] = "Yes", (AP[[#This Row],[Invoice value inc. GST]] / 1 + AP[[#This Row],[GST %]]) * AP[[#This Row],[GST %]], 0)</f>
        <v>0</v>
      </c>
      <c r="P722" s="31">
        <f>_xlfn.XLOOKUP(AP[[#This Row],[Supplier name]], Supplier_master[Supplier name], Supplier_master[EOM or Net], 0)</f>
        <v>0</v>
      </c>
      <c r="Q722" s="31">
        <f>_xlfn.XLOOKUP(AP[[#This Row],[Supplier name]], Supplier_master[Supplier name], Supplier_master[Terms days], 0)</f>
        <v>0</v>
      </c>
      <c r="R7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2" s="4"/>
      <c r="T722" s="46">
        <f>IF(AP[[#This Row],[Payment date - override (dd/mm/yyyy)]] &lt;&gt; "", AP[[#This Row],[Payment date - override (dd/mm/yyyy)]], AP[[#This Row],[Due date (dd/mm/yyyy)]])</f>
        <v>0</v>
      </c>
      <c r="U722" s="46">
        <f t="shared" si="11"/>
        <v>52</v>
      </c>
    </row>
    <row r="723" spans="3:21" x14ac:dyDescent="0.25">
      <c r="C723" s="28"/>
      <c r="D723" s="20"/>
      <c r="E723" s="4"/>
      <c r="F723" s="37"/>
      <c r="G723" s="24"/>
      <c r="H723" s="31">
        <f>_xlfn.XLOOKUP(AP[[#This Row],[Supplier name]], Supplier_master[Supplier name], Supplier_master[Category L1], 0)</f>
        <v>0</v>
      </c>
      <c r="I723" s="64">
        <f>_xlfn.XLOOKUP(AP[[#This Row],[Supplier name]], Supplier_master[Supplier name], Supplier_master[Category L2], 0)</f>
        <v>0</v>
      </c>
      <c r="J723" s="55"/>
      <c r="K723" s="54"/>
      <c r="L723" s="57">
        <f>IF(AP[[#This Row],[Spend category L1 - Override]] &lt;&gt; "", AP[[#This Row],[Spend category L1 - Override]], AP[[#This Row],[Spend category L1]])</f>
        <v>0</v>
      </c>
      <c r="M723" s="57">
        <f>IF(AP[[#This Row],[Spend category L2 - Override]] &lt;&gt; "", AP[[#This Row],[Spend category L2 - Override]], AP[[#This Row],[Spend category L2]])</f>
        <v>0</v>
      </c>
      <c r="N723" s="51">
        <f>Assumptions!$D$15</f>
        <v>0.1</v>
      </c>
      <c r="O723" s="45">
        <f>IF(AP[[#This Row],[GST applies?]] = "Yes", (AP[[#This Row],[Invoice value inc. GST]] / 1 + AP[[#This Row],[GST %]]) * AP[[#This Row],[GST %]], 0)</f>
        <v>0</v>
      </c>
      <c r="P723" s="31">
        <f>_xlfn.XLOOKUP(AP[[#This Row],[Supplier name]], Supplier_master[Supplier name], Supplier_master[EOM or Net], 0)</f>
        <v>0</v>
      </c>
      <c r="Q723" s="31">
        <f>_xlfn.XLOOKUP(AP[[#This Row],[Supplier name]], Supplier_master[Supplier name], Supplier_master[Terms days], 0)</f>
        <v>0</v>
      </c>
      <c r="R7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3" s="4"/>
      <c r="T723" s="46">
        <f>IF(AP[[#This Row],[Payment date - override (dd/mm/yyyy)]] &lt;&gt; "", AP[[#This Row],[Payment date - override (dd/mm/yyyy)]], AP[[#This Row],[Due date (dd/mm/yyyy)]])</f>
        <v>0</v>
      </c>
      <c r="U723" s="46">
        <f t="shared" si="11"/>
        <v>52</v>
      </c>
    </row>
    <row r="724" spans="3:21" x14ac:dyDescent="0.25">
      <c r="C724" s="28"/>
      <c r="D724" s="20"/>
      <c r="E724" s="4"/>
      <c r="F724" s="37"/>
      <c r="G724" s="24"/>
      <c r="H724" s="31">
        <f>_xlfn.XLOOKUP(AP[[#This Row],[Supplier name]], Supplier_master[Supplier name], Supplier_master[Category L1], 0)</f>
        <v>0</v>
      </c>
      <c r="I724" s="64">
        <f>_xlfn.XLOOKUP(AP[[#This Row],[Supplier name]], Supplier_master[Supplier name], Supplier_master[Category L2], 0)</f>
        <v>0</v>
      </c>
      <c r="J724" s="55"/>
      <c r="K724" s="54"/>
      <c r="L724" s="57">
        <f>IF(AP[[#This Row],[Spend category L1 - Override]] &lt;&gt; "", AP[[#This Row],[Spend category L1 - Override]], AP[[#This Row],[Spend category L1]])</f>
        <v>0</v>
      </c>
      <c r="M724" s="57">
        <f>IF(AP[[#This Row],[Spend category L2 - Override]] &lt;&gt; "", AP[[#This Row],[Spend category L2 - Override]], AP[[#This Row],[Spend category L2]])</f>
        <v>0</v>
      </c>
      <c r="N724" s="51">
        <f>Assumptions!$D$15</f>
        <v>0.1</v>
      </c>
      <c r="O724" s="45">
        <f>IF(AP[[#This Row],[GST applies?]] = "Yes", (AP[[#This Row],[Invoice value inc. GST]] / 1 + AP[[#This Row],[GST %]]) * AP[[#This Row],[GST %]], 0)</f>
        <v>0</v>
      </c>
      <c r="P724" s="31">
        <f>_xlfn.XLOOKUP(AP[[#This Row],[Supplier name]], Supplier_master[Supplier name], Supplier_master[EOM or Net], 0)</f>
        <v>0</v>
      </c>
      <c r="Q724" s="31">
        <f>_xlfn.XLOOKUP(AP[[#This Row],[Supplier name]], Supplier_master[Supplier name], Supplier_master[Terms days], 0)</f>
        <v>0</v>
      </c>
      <c r="R7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4" s="4"/>
      <c r="T724" s="46">
        <f>IF(AP[[#This Row],[Payment date - override (dd/mm/yyyy)]] &lt;&gt; "", AP[[#This Row],[Payment date - override (dd/mm/yyyy)]], AP[[#This Row],[Due date (dd/mm/yyyy)]])</f>
        <v>0</v>
      </c>
      <c r="U724" s="46">
        <f t="shared" si="11"/>
        <v>52</v>
      </c>
    </row>
    <row r="725" spans="3:21" x14ac:dyDescent="0.25">
      <c r="C725" s="28"/>
      <c r="D725" s="20"/>
      <c r="E725" s="4"/>
      <c r="F725" s="37"/>
      <c r="G725" s="24"/>
      <c r="H725" s="31">
        <f>_xlfn.XLOOKUP(AP[[#This Row],[Supplier name]], Supplier_master[Supplier name], Supplier_master[Category L1], 0)</f>
        <v>0</v>
      </c>
      <c r="I725" s="64">
        <f>_xlfn.XLOOKUP(AP[[#This Row],[Supplier name]], Supplier_master[Supplier name], Supplier_master[Category L2], 0)</f>
        <v>0</v>
      </c>
      <c r="J725" s="55"/>
      <c r="K725" s="54"/>
      <c r="L725" s="57">
        <f>IF(AP[[#This Row],[Spend category L1 - Override]] &lt;&gt; "", AP[[#This Row],[Spend category L1 - Override]], AP[[#This Row],[Spend category L1]])</f>
        <v>0</v>
      </c>
      <c r="M725" s="57">
        <f>IF(AP[[#This Row],[Spend category L2 - Override]] &lt;&gt; "", AP[[#This Row],[Spend category L2 - Override]], AP[[#This Row],[Spend category L2]])</f>
        <v>0</v>
      </c>
      <c r="N725" s="51">
        <f>Assumptions!$D$15</f>
        <v>0.1</v>
      </c>
      <c r="O725" s="45">
        <f>IF(AP[[#This Row],[GST applies?]] = "Yes", (AP[[#This Row],[Invoice value inc. GST]] / 1 + AP[[#This Row],[GST %]]) * AP[[#This Row],[GST %]], 0)</f>
        <v>0</v>
      </c>
      <c r="P725" s="31">
        <f>_xlfn.XLOOKUP(AP[[#This Row],[Supplier name]], Supplier_master[Supplier name], Supplier_master[EOM or Net], 0)</f>
        <v>0</v>
      </c>
      <c r="Q725" s="31">
        <f>_xlfn.XLOOKUP(AP[[#This Row],[Supplier name]], Supplier_master[Supplier name], Supplier_master[Terms days], 0)</f>
        <v>0</v>
      </c>
      <c r="R7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5" s="4"/>
      <c r="T725" s="46">
        <f>IF(AP[[#This Row],[Payment date - override (dd/mm/yyyy)]] &lt;&gt; "", AP[[#This Row],[Payment date - override (dd/mm/yyyy)]], AP[[#This Row],[Due date (dd/mm/yyyy)]])</f>
        <v>0</v>
      </c>
      <c r="U725" s="46">
        <f t="shared" si="11"/>
        <v>52</v>
      </c>
    </row>
    <row r="726" spans="3:21" x14ac:dyDescent="0.25">
      <c r="C726" s="28"/>
      <c r="D726" s="20"/>
      <c r="E726" s="4"/>
      <c r="F726" s="37"/>
      <c r="G726" s="24"/>
      <c r="H726" s="31">
        <f>_xlfn.XLOOKUP(AP[[#This Row],[Supplier name]], Supplier_master[Supplier name], Supplier_master[Category L1], 0)</f>
        <v>0</v>
      </c>
      <c r="I726" s="64">
        <f>_xlfn.XLOOKUP(AP[[#This Row],[Supplier name]], Supplier_master[Supplier name], Supplier_master[Category L2], 0)</f>
        <v>0</v>
      </c>
      <c r="J726" s="55"/>
      <c r="K726" s="54"/>
      <c r="L726" s="57">
        <f>IF(AP[[#This Row],[Spend category L1 - Override]] &lt;&gt; "", AP[[#This Row],[Spend category L1 - Override]], AP[[#This Row],[Spend category L1]])</f>
        <v>0</v>
      </c>
      <c r="M726" s="57">
        <f>IF(AP[[#This Row],[Spend category L2 - Override]] &lt;&gt; "", AP[[#This Row],[Spend category L2 - Override]], AP[[#This Row],[Spend category L2]])</f>
        <v>0</v>
      </c>
      <c r="N726" s="51">
        <f>Assumptions!$D$15</f>
        <v>0.1</v>
      </c>
      <c r="O726" s="45">
        <f>IF(AP[[#This Row],[GST applies?]] = "Yes", (AP[[#This Row],[Invoice value inc. GST]] / 1 + AP[[#This Row],[GST %]]) * AP[[#This Row],[GST %]], 0)</f>
        <v>0</v>
      </c>
      <c r="P726" s="31">
        <f>_xlfn.XLOOKUP(AP[[#This Row],[Supplier name]], Supplier_master[Supplier name], Supplier_master[EOM or Net], 0)</f>
        <v>0</v>
      </c>
      <c r="Q726" s="31">
        <f>_xlfn.XLOOKUP(AP[[#This Row],[Supplier name]], Supplier_master[Supplier name], Supplier_master[Terms days], 0)</f>
        <v>0</v>
      </c>
      <c r="R7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6" s="4"/>
      <c r="T726" s="46">
        <f>IF(AP[[#This Row],[Payment date - override (dd/mm/yyyy)]] &lt;&gt; "", AP[[#This Row],[Payment date - override (dd/mm/yyyy)]], AP[[#This Row],[Due date (dd/mm/yyyy)]])</f>
        <v>0</v>
      </c>
      <c r="U726" s="46">
        <f t="shared" si="11"/>
        <v>52</v>
      </c>
    </row>
    <row r="727" spans="3:21" x14ac:dyDescent="0.25">
      <c r="C727" s="28"/>
      <c r="D727" s="20"/>
      <c r="E727" s="4"/>
      <c r="F727" s="37"/>
      <c r="G727" s="24"/>
      <c r="H727" s="31">
        <f>_xlfn.XLOOKUP(AP[[#This Row],[Supplier name]], Supplier_master[Supplier name], Supplier_master[Category L1], 0)</f>
        <v>0</v>
      </c>
      <c r="I727" s="64">
        <f>_xlfn.XLOOKUP(AP[[#This Row],[Supplier name]], Supplier_master[Supplier name], Supplier_master[Category L2], 0)</f>
        <v>0</v>
      </c>
      <c r="J727" s="55"/>
      <c r="K727" s="54"/>
      <c r="L727" s="57">
        <f>IF(AP[[#This Row],[Spend category L1 - Override]] &lt;&gt; "", AP[[#This Row],[Spend category L1 - Override]], AP[[#This Row],[Spend category L1]])</f>
        <v>0</v>
      </c>
      <c r="M727" s="57">
        <f>IF(AP[[#This Row],[Spend category L2 - Override]] &lt;&gt; "", AP[[#This Row],[Spend category L2 - Override]], AP[[#This Row],[Spend category L2]])</f>
        <v>0</v>
      </c>
      <c r="N727" s="51">
        <f>Assumptions!$D$15</f>
        <v>0.1</v>
      </c>
      <c r="O727" s="45">
        <f>IF(AP[[#This Row],[GST applies?]] = "Yes", (AP[[#This Row],[Invoice value inc. GST]] / 1 + AP[[#This Row],[GST %]]) * AP[[#This Row],[GST %]], 0)</f>
        <v>0</v>
      </c>
      <c r="P727" s="31">
        <f>_xlfn.XLOOKUP(AP[[#This Row],[Supplier name]], Supplier_master[Supplier name], Supplier_master[EOM or Net], 0)</f>
        <v>0</v>
      </c>
      <c r="Q727" s="31">
        <f>_xlfn.XLOOKUP(AP[[#This Row],[Supplier name]], Supplier_master[Supplier name], Supplier_master[Terms days], 0)</f>
        <v>0</v>
      </c>
      <c r="R7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7" s="4"/>
      <c r="T727" s="46">
        <f>IF(AP[[#This Row],[Payment date - override (dd/mm/yyyy)]] &lt;&gt; "", AP[[#This Row],[Payment date - override (dd/mm/yyyy)]], AP[[#This Row],[Due date (dd/mm/yyyy)]])</f>
        <v>0</v>
      </c>
      <c r="U727" s="46">
        <f t="shared" si="11"/>
        <v>52</v>
      </c>
    </row>
    <row r="728" spans="3:21" x14ac:dyDescent="0.25">
      <c r="C728" s="28"/>
      <c r="D728" s="20"/>
      <c r="E728" s="4"/>
      <c r="F728" s="37"/>
      <c r="G728" s="24"/>
      <c r="H728" s="31">
        <f>_xlfn.XLOOKUP(AP[[#This Row],[Supplier name]], Supplier_master[Supplier name], Supplier_master[Category L1], 0)</f>
        <v>0</v>
      </c>
      <c r="I728" s="64">
        <f>_xlfn.XLOOKUP(AP[[#This Row],[Supplier name]], Supplier_master[Supplier name], Supplier_master[Category L2], 0)</f>
        <v>0</v>
      </c>
      <c r="J728" s="55"/>
      <c r="K728" s="54"/>
      <c r="L728" s="57">
        <f>IF(AP[[#This Row],[Spend category L1 - Override]] &lt;&gt; "", AP[[#This Row],[Spend category L1 - Override]], AP[[#This Row],[Spend category L1]])</f>
        <v>0</v>
      </c>
      <c r="M728" s="57">
        <f>IF(AP[[#This Row],[Spend category L2 - Override]] &lt;&gt; "", AP[[#This Row],[Spend category L2 - Override]], AP[[#This Row],[Spend category L2]])</f>
        <v>0</v>
      </c>
      <c r="N728" s="51">
        <f>Assumptions!$D$15</f>
        <v>0.1</v>
      </c>
      <c r="O728" s="45">
        <f>IF(AP[[#This Row],[GST applies?]] = "Yes", (AP[[#This Row],[Invoice value inc. GST]] / 1 + AP[[#This Row],[GST %]]) * AP[[#This Row],[GST %]], 0)</f>
        <v>0</v>
      </c>
      <c r="P728" s="31">
        <f>_xlfn.XLOOKUP(AP[[#This Row],[Supplier name]], Supplier_master[Supplier name], Supplier_master[EOM or Net], 0)</f>
        <v>0</v>
      </c>
      <c r="Q728" s="31">
        <f>_xlfn.XLOOKUP(AP[[#This Row],[Supplier name]], Supplier_master[Supplier name], Supplier_master[Terms days], 0)</f>
        <v>0</v>
      </c>
      <c r="R7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8" s="4"/>
      <c r="T728" s="46">
        <f>IF(AP[[#This Row],[Payment date - override (dd/mm/yyyy)]] &lt;&gt; "", AP[[#This Row],[Payment date - override (dd/mm/yyyy)]], AP[[#This Row],[Due date (dd/mm/yyyy)]])</f>
        <v>0</v>
      </c>
      <c r="U728" s="46">
        <f t="shared" si="11"/>
        <v>52</v>
      </c>
    </row>
    <row r="729" spans="3:21" x14ac:dyDescent="0.25">
      <c r="C729" s="28"/>
      <c r="D729" s="20"/>
      <c r="E729" s="4"/>
      <c r="F729" s="37"/>
      <c r="G729" s="24"/>
      <c r="H729" s="31">
        <f>_xlfn.XLOOKUP(AP[[#This Row],[Supplier name]], Supplier_master[Supplier name], Supplier_master[Category L1], 0)</f>
        <v>0</v>
      </c>
      <c r="I729" s="64">
        <f>_xlfn.XLOOKUP(AP[[#This Row],[Supplier name]], Supplier_master[Supplier name], Supplier_master[Category L2], 0)</f>
        <v>0</v>
      </c>
      <c r="J729" s="55"/>
      <c r="K729" s="54"/>
      <c r="L729" s="57">
        <f>IF(AP[[#This Row],[Spend category L1 - Override]] &lt;&gt; "", AP[[#This Row],[Spend category L1 - Override]], AP[[#This Row],[Spend category L1]])</f>
        <v>0</v>
      </c>
      <c r="M729" s="57">
        <f>IF(AP[[#This Row],[Spend category L2 - Override]] &lt;&gt; "", AP[[#This Row],[Spend category L2 - Override]], AP[[#This Row],[Spend category L2]])</f>
        <v>0</v>
      </c>
      <c r="N729" s="51">
        <f>Assumptions!$D$15</f>
        <v>0.1</v>
      </c>
      <c r="O729" s="45">
        <f>IF(AP[[#This Row],[GST applies?]] = "Yes", (AP[[#This Row],[Invoice value inc. GST]] / 1 + AP[[#This Row],[GST %]]) * AP[[#This Row],[GST %]], 0)</f>
        <v>0</v>
      </c>
      <c r="P729" s="31">
        <f>_xlfn.XLOOKUP(AP[[#This Row],[Supplier name]], Supplier_master[Supplier name], Supplier_master[EOM or Net], 0)</f>
        <v>0</v>
      </c>
      <c r="Q729" s="31">
        <f>_xlfn.XLOOKUP(AP[[#This Row],[Supplier name]], Supplier_master[Supplier name], Supplier_master[Terms days], 0)</f>
        <v>0</v>
      </c>
      <c r="R7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9" s="4"/>
      <c r="T729" s="46">
        <f>IF(AP[[#This Row],[Payment date - override (dd/mm/yyyy)]] &lt;&gt; "", AP[[#This Row],[Payment date - override (dd/mm/yyyy)]], AP[[#This Row],[Due date (dd/mm/yyyy)]])</f>
        <v>0</v>
      </c>
      <c r="U729" s="46">
        <f t="shared" si="11"/>
        <v>52</v>
      </c>
    </row>
    <row r="730" spans="3:21" x14ac:dyDescent="0.25">
      <c r="C730" s="28"/>
      <c r="D730" s="20"/>
      <c r="E730" s="4"/>
      <c r="F730" s="37"/>
      <c r="G730" s="24"/>
      <c r="H730" s="31">
        <f>_xlfn.XLOOKUP(AP[[#This Row],[Supplier name]], Supplier_master[Supplier name], Supplier_master[Category L1], 0)</f>
        <v>0</v>
      </c>
      <c r="I730" s="64">
        <f>_xlfn.XLOOKUP(AP[[#This Row],[Supplier name]], Supplier_master[Supplier name], Supplier_master[Category L2], 0)</f>
        <v>0</v>
      </c>
      <c r="J730" s="55"/>
      <c r="K730" s="54"/>
      <c r="L730" s="57">
        <f>IF(AP[[#This Row],[Spend category L1 - Override]] &lt;&gt; "", AP[[#This Row],[Spend category L1 - Override]], AP[[#This Row],[Spend category L1]])</f>
        <v>0</v>
      </c>
      <c r="M730" s="57">
        <f>IF(AP[[#This Row],[Spend category L2 - Override]] &lt;&gt; "", AP[[#This Row],[Spend category L2 - Override]], AP[[#This Row],[Spend category L2]])</f>
        <v>0</v>
      </c>
      <c r="N730" s="51">
        <f>Assumptions!$D$15</f>
        <v>0.1</v>
      </c>
      <c r="O730" s="45">
        <f>IF(AP[[#This Row],[GST applies?]] = "Yes", (AP[[#This Row],[Invoice value inc. GST]] / 1 + AP[[#This Row],[GST %]]) * AP[[#This Row],[GST %]], 0)</f>
        <v>0</v>
      </c>
      <c r="P730" s="31">
        <f>_xlfn.XLOOKUP(AP[[#This Row],[Supplier name]], Supplier_master[Supplier name], Supplier_master[EOM or Net], 0)</f>
        <v>0</v>
      </c>
      <c r="Q730" s="31">
        <f>_xlfn.XLOOKUP(AP[[#This Row],[Supplier name]], Supplier_master[Supplier name], Supplier_master[Terms days], 0)</f>
        <v>0</v>
      </c>
      <c r="R7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0" s="4"/>
      <c r="T730" s="46">
        <f>IF(AP[[#This Row],[Payment date - override (dd/mm/yyyy)]] &lt;&gt; "", AP[[#This Row],[Payment date - override (dd/mm/yyyy)]], AP[[#This Row],[Due date (dd/mm/yyyy)]])</f>
        <v>0</v>
      </c>
      <c r="U730" s="46">
        <f t="shared" si="11"/>
        <v>52</v>
      </c>
    </row>
    <row r="731" spans="3:21" x14ac:dyDescent="0.25">
      <c r="C731" s="28"/>
      <c r="D731" s="20"/>
      <c r="E731" s="4"/>
      <c r="F731" s="37"/>
      <c r="G731" s="24"/>
      <c r="H731" s="31">
        <f>_xlfn.XLOOKUP(AP[[#This Row],[Supplier name]], Supplier_master[Supplier name], Supplier_master[Category L1], 0)</f>
        <v>0</v>
      </c>
      <c r="I731" s="64">
        <f>_xlfn.XLOOKUP(AP[[#This Row],[Supplier name]], Supplier_master[Supplier name], Supplier_master[Category L2], 0)</f>
        <v>0</v>
      </c>
      <c r="J731" s="55"/>
      <c r="K731" s="54"/>
      <c r="L731" s="57">
        <f>IF(AP[[#This Row],[Spend category L1 - Override]] &lt;&gt; "", AP[[#This Row],[Spend category L1 - Override]], AP[[#This Row],[Spend category L1]])</f>
        <v>0</v>
      </c>
      <c r="M731" s="57">
        <f>IF(AP[[#This Row],[Spend category L2 - Override]] &lt;&gt; "", AP[[#This Row],[Spend category L2 - Override]], AP[[#This Row],[Spend category L2]])</f>
        <v>0</v>
      </c>
      <c r="N731" s="51">
        <f>Assumptions!$D$15</f>
        <v>0.1</v>
      </c>
      <c r="O731" s="45">
        <f>IF(AP[[#This Row],[GST applies?]] = "Yes", (AP[[#This Row],[Invoice value inc. GST]] / 1 + AP[[#This Row],[GST %]]) * AP[[#This Row],[GST %]], 0)</f>
        <v>0</v>
      </c>
      <c r="P731" s="31">
        <f>_xlfn.XLOOKUP(AP[[#This Row],[Supplier name]], Supplier_master[Supplier name], Supplier_master[EOM or Net], 0)</f>
        <v>0</v>
      </c>
      <c r="Q731" s="31">
        <f>_xlfn.XLOOKUP(AP[[#This Row],[Supplier name]], Supplier_master[Supplier name], Supplier_master[Terms days], 0)</f>
        <v>0</v>
      </c>
      <c r="R7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1" s="4"/>
      <c r="T731" s="46">
        <f>IF(AP[[#This Row],[Payment date - override (dd/mm/yyyy)]] &lt;&gt; "", AP[[#This Row],[Payment date - override (dd/mm/yyyy)]], AP[[#This Row],[Due date (dd/mm/yyyy)]])</f>
        <v>0</v>
      </c>
      <c r="U731" s="46">
        <f t="shared" si="11"/>
        <v>52</v>
      </c>
    </row>
    <row r="732" spans="3:21" x14ac:dyDescent="0.25">
      <c r="C732" s="28"/>
      <c r="D732" s="20"/>
      <c r="E732" s="4"/>
      <c r="F732" s="37"/>
      <c r="G732" s="24"/>
      <c r="H732" s="31">
        <f>_xlfn.XLOOKUP(AP[[#This Row],[Supplier name]], Supplier_master[Supplier name], Supplier_master[Category L1], 0)</f>
        <v>0</v>
      </c>
      <c r="I732" s="64">
        <f>_xlfn.XLOOKUP(AP[[#This Row],[Supplier name]], Supplier_master[Supplier name], Supplier_master[Category L2], 0)</f>
        <v>0</v>
      </c>
      <c r="J732" s="55"/>
      <c r="K732" s="54"/>
      <c r="L732" s="57">
        <f>IF(AP[[#This Row],[Spend category L1 - Override]] &lt;&gt; "", AP[[#This Row],[Spend category L1 - Override]], AP[[#This Row],[Spend category L1]])</f>
        <v>0</v>
      </c>
      <c r="M732" s="57">
        <f>IF(AP[[#This Row],[Spend category L2 - Override]] &lt;&gt; "", AP[[#This Row],[Spend category L2 - Override]], AP[[#This Row],[Spend category L2]])</f>
        <v>0</v>
      </c>
      <c r="N732" s="51">
        <f>Assumptions!$D$15</f>
        <v>0.1</v>
      </c>
      <c r="O732" s="45">
        <f>IF(AP[[#This Row],[GST applies?]] = "Yes", (AP[[#This Row],[Invoice value inc. GST]] / 1 + AP[[#This Row],[GST %]]) * AP[[#This Row],[GST %]], 0)</f>
        <v>0</v>
      </c>
      <c r="P732" s="31">
        <f>_xlfn.XLOOKUP(AP[[#This Row],[Supplier name]], Supplier_master[Supplier name], Supplier_master[EOM or Net], 0)</f>
        <v>0</v>
      </c>
      <c r="Q732" s="31">
        <f>_xlfn.XLOOKUP(AP[[#This Row],[Supplier name]], Supplier_master[Supplier name], Supplier_master[Terms days], 0)</f>
        <v>0</v>
      </c>
      <c r="R7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2" s="4"/>
      <c r="T732" s="46">
        <f>IF(AP[[#This Row],[Payment date - override (dd/mm/yyyy)]] &lt;&gt; "", AP[[#This Row],[Payment date - override (dd/mm/yyyy)]], AP[[#This Row],[Due date (dd/mm/yyyy)]])</f>
        <v>0</v>
      </c>
      <c r="U732" s="46">
        <f t="shared" si="11"/>
        <v>52</v>
      </c>
    </row>
    <row r="733" spans="3:21" x14ac:dyDescent="0.25">
      <c r="C733" s="28"/>
      <c r="D733" s="20"/>
      <c r="E733" s="4"/>
      <c r="F733" s="37"/>
      <c r="G733" s="24"/>
      <c r="H733" s="31">
        <f>_xlfn.XLOOKUP(AP[[#This Row],[Supplier name]], Supplier_master[Supplier name], Supplier_master[Category L1], 0)</f>
        <v>0</v>
      </c>
      <c r="I733" s="64">
        <f>_xlfn.XLOOKUP(AP[[#This Row],[Supplier name]], Supplier_master[Supplier name], Supplier_master[Category L2], 0)</f>
        <v>0</v>
      </c>
      <c r="J733" s="55"/>
      <c r="K733" s="54"/>
      <c r="L733" s="57">
        <f>IF(AP[[#This Row],[Spend category L1 - Override]] &lt;&gt; "", AP[[#This Row],[Spend category L1 - Override]], AP[[#This Row],[Spend category L1]])</f>
        <v>0</v>
      </c>
      <c r="M733" s="57">
        <f>IF(AP[[#This Row],[Spend category L2 - Override]] &lt;&gt; "", AP[[#This Row],[Spend category L2 - Override]], AP[[#This Row],[Spend category L2]])</f>
        <v>0</v>
      </c>
      <c r="N733" s="51">
        <f>Assumptions!$D$15</f>
        <v>0.1</v>
      </c>
      <c r="O733" s="45">
        <f>IF(AP[[#This Row],[GST applies?]] = "Yes", (AP[[#This Row],[Invoice value inc. GST]] / 1 + AP[[#This Row],[GST %]]) * AP[[#This Row],[GST %]], 0)</f>
        <v>0</v>
      </c>
      <c r="P733" s="31">
        <f>_xlfn.XLOOKUP(AP[[#This Row],[Supplier name]], Supplier_master[Supplier name], Supplier_master[EOM or Net], 0)</f>
        <v>0</v>
      </c>
      <c r="Q733" s="31">
        <f>_xlfn.XLOOKUP(AP[[#This Row],[Supplier name]], Supplier_master[Supplier name], Supplier_master[Terms days], 0)</f>
        <v>0</v>
      </c>
      <c r="R7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3" s="4"/>
      <c r="T733" s="46">
        <f>IF(AP[[#This Row],[Payment date - override (dd/mm/yyyy)]] &lt;&gt; "", AP[[#This Row],[Payment date - override (dd/mm/yyyy)]], AP[[#This Row],[Due date (dd/mm/yyyy)]])</f>
        <v>0</v>
      </c>
      <c r="U733" s="46">
        <f t="shared" si="11"/>
        <v>52</v>
      </c>
    </row>
    <row r="734" spans="3:21" x14ac:dyDescent="0.25">
      <c r="C734" s="28"/>
      <c r="D734" s="20"/>
      <c r="E734" s="4"/>
      <c r="F734" s="37"/>
      <c r="G734" s="24"/>
      <c r="H734" s="31">
        <f>_xlfn.XLOOKUP(AP[[#This Row],[Supplier name]], Supplier_master[Supplier name], Supplier_master[Category L1], 0)</f>
        <v>0</v>
      </c>
      <c r="I734" s="64">
        <f>_xlfn.XLOOKUP(AP[[#This Row],[Supplier name]], Supplier_master[Supplier name], Supplier_master[Category L2], 0)</f>
        <v>0</v>
      </c>
      <c r="J734" s="55"/>
      <c r="K734" s="54"/>
      <c r="L734" s="57">
        <f>IF(AP[[#This Row],[Spend category L1 - Override]] &lt;&gt; "", AP[[#This Row],[Spend category L1 - Override]], AP[[#This Row],[Spend category L1]])</f>
        <v>0</v>
      </c>
      <c r="M734" s="57">
        <f>IF(AP[[#This Row],[Spend category L2 - Override]] &lt;&gt; "", AP[[#This Row],[Spend category L2 - Override]], AP[[#This Row],[Spend category L2]])</f>
        <v>0</v>
      </c>
      <c r="N734" s="51">
        <f>Assumptions!$D$15</f>
        <v>0.1</v>
      </c>
      <c r="O734" s="45">
        <f>IF(AP[[#This Row],[GST applies?]] = "Yes", (AP[[#This Row],[Invoice value inc. GST]] / 1 + AP[[#This Row],[GST %]]) * AP[[#This Row],[GST %]], 0)</f>
        <v>0</v>
      </c>
      <c r="P734" s="31">
        <f>_xlfn.XLOOKUP(AP[[#This Row],[Supplier name]], Supplier_master[Supplier name], Supplier_master[EOM or Net], 0)</f>
        <v>0</v>
      </c>
      <c r="Q734" s="31">
        <f>_xlfn.XLOOKUP(AP[[#This Row],[Supplier name]], Supplier_master[Supplier name], Supplier_master[Terms days], 0)</f>
        <v>0</v>
      </c>
      <c r="R7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4" s="4"/>
      <c r="T734" s="46">
        <f>IF(AP[[#This Row],[Payment date - override (dd/mm/yyyy)]] &lt;&gt; "", AP[[#This Row],[Payment date - override (dd/mm/yyyy)]], AP[[#This Row],[Due date (dd/mm/yyyy)]])</f>
        <v>0</v>
      </c>
      <c r="U734" s="46">
        <f t="shared" si="11"/>
        <v>52</v>
      </c>
    </row>
    <row r="735" spans="3:21" x14ac:dyDescent="0.25">
      <c r="C735" s="28"/>
      <c r="D735" s="20"/>
      <c r="E735" s="4"/>
      <c r="F735" s="37"/>
      <c r="G735" s="24"/>
      <c r="H735" s="31">
        <f>_xlfn.XLOOKUP(AP[[#This Row],[Supplier name]], Supplier_master[Supplier name], Supplier_master[Category L1], 0)</f>
        <v>0</v>
      </c>
      <c r="I735" s="64">
        <f>_xlfn.XLOOKUP(AP[[#This Row],[Supplier name]], Supplier_master[Supplier name], Supplier_master[Category L2], 0)</f>
        <v>0</v>
      </c>
      <c r="J735" s="55"/>
      <c r="K735" s="54"/>
      <c r="L735" s="57">
        <f>IF(AP[[#This Row],[Spend category L1 - Override]] &lt;&gt; "", AP[[#This Row],[Spend category L1 - Override]], AP[[#This Row],[Spend category L1]])</f>
        <v>0</v>
      </c>
      <c r="M735" s="57">
        <f>IF(AP[[#This Row],[Spend category L2 - Override]] &lt;&gt; "", AP[[#This Row],[Spend category L2 - Override]], AP[[#This Row],[Spend category L2]])</f>
        <v>0</v>
      </c>
      <c r="N735" s="51">
        <f>Assumptions!$D$15</f>
        <v>0.1</v>
      </c>
      <c r="O735" s="45">
        <f>IF(AP[[#This Row],[GST applies?]] = "Yes", (AP[[#This Row],[Invoice value inc. GST]] / 1 + AP[[#This Row],[GST %]]) * AP[[#This Row],[GST %]], 0)</f>
        <v>0</v>
      </c>
      <c r="P735" s="31">
        <f>_xlfn.XLOOKUP(AP[[#This Row],[Supplier name]], Supplier_master[Supplier name], Supplier_master[EOM or Net], 0)</f>
        <v>0</v>
      </c>
      <c r="Q735" s="31">
        <f>_xlfn.XLOOKUP(AP[[#This Row],[Supplier name]], Supplier_master[Supplier name], Supplier_master[Terms days], 0)</f>
        <v>0</v>
      </c>
      <c r="R7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5" s="4"/>
      <c r="T735" s="46">
        <f>IF(AP[[#This Row],[Payment date - override (dd/mm/yyyy)]] &lt;&gt; "", AP[[#This Row],[Payment date - override (dd/mm/yyyy)]], AP[[#This Row],[Due date (dd/mm/yyyy)]])</f>
        <v>0</v>
      </c>
      <c r="U735" s="46">
        <f t="shared" si="11"/>
        <v>52</v>
      </c>
    </row>
    <row r="736" spans="3:21" x14ac:dyDescent="0.25">
      <c r="C736" s="28"/>
      <c r="D736" s="20"/>
      <c r="E736" s="4"/>
      <c r="F736" s="37"/>
      <c r="G736" s="24"/>
      <c r="H736" s="31">
        <f>_xlfn.XLOOKUP(AP[[#This Row],[Supplier name]], Supplier_master[Supplier name], Supplier_master[Category L1], 0)</f>
        <v>0</v>
      </c>
      <c r="I736" s="64">
        <f>_xlfn.XLOOKUP(AP[[#This Row],[Supplier name]], Supplier_master[Supplier name], Supplier_master[Category L2], 0)</f>
        <v>0</v>
      </c>
      <c r="J736" s="55"/>
      <c r="K736" s="54"/>
      <c r="L736" s="57">
        <f>IF(AP[[#This Row],[Spend category L1 - Override]] &lt;&gt; "", AP[[#This Row],[Spend category L1 - Override]], AP[[#This Row],[Spend category L1]])</f>
        <v>0</v>
      </c>
      <c r="M736" s="57">
        <f>IF(AP[[#This Row],[Spend category L2 - Override]] &lt;&gt; "", AP[[#This Row],[Spend category L2 - Override]], AP[[#This Row],[Spend category L2]])</f>
        <v>0</v>
      </c>
      <c r="N736" s="51">
        <f>Assumptions!$D$15</f>
        <v>0.1</v>
      </c>
      <c r="O736" s="45">
        <f>IF(AP[[#This Row],[GST applies?]] = "Yes", (AP[[#This Row],[Invoice value inc. GST]] / 1 + AP[[#This Row],[GST %]]) * AP[[#This Row],[GST %]], 0)</f>
        <v>0</v>
      </c>
      <c r="P736" s="31">
        <f>_xlfn.XLOOKUP(AP[[#This Row],[Supplier name]], Supplier_master[Supplier name], Supplier_master[EOM or Net], 0)</f>
        <v>0</v>
      </c>
      <c r="Q736" s="31">
        <f>_xlfn.XLOOKUP(AP[[#This Row],[Supplier name]], Supplier_master[Supplier name], Supplier_master[Terms days], 0)</f>
        <v>0</v>
      </c>
      <c r="R7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6" s="4"/>
      <c r="T736" s="46">
        <f>IF(AP[[#This Row],[Payment date - override (dd/mm/yyyy)]] &lt;&gt; "", AP[[#This Row],[Payment date - override (dd/mm/yyyy)]], AP[[#This Row],[Due date (dd/mm/yyyy)]])</f>
        <v>0</v>
      </c>
      <c r="U736" s="46">
        <f t="shared" si="11"/>
        <v>52</v>
      </c>
    </row>
    <row r="737" spans="3:21" x14ac:dyDescent="0.25">
      <c r="C737" s="28"/>
      <c r="D737" s="20"/>
      <c r="E737" s="4"/>
      <c r="F737" s="37"/>
      <c r="G737" s="24"/>
      <c r="H737" s="31">
        <f>_xlfn.XLOOKUP(AP[[#This Row],[Supplier name]], Supplier_master[Supplier name], Supplier_master[Category L1], 0)</f>
        <v>0</v>
      </c>
      <c r="I737" s="64">
        <f>_xlfn.XLOOKUP(AP[[#This Row],[Supplier name]], Supplier_master[Supplier name], Supplier_master[Category L2], 0)</f>
        <v>0</v>
      </c>
      <c r="J737" s="55"/>
      <c r="K737" s="54"/>
      <c r="L737" s="57">
        <f>IF(AP[[#This Row],[Spend category L1 - Override]] &lt;&gt; "", AP[[#This Row],[Spend category L1 - Override]], AP[[#This Row],[Spend category L1]])</f>
        <v>0</v>
      </c>
      <c r="M737" s="57">
        <f>IF(AP[[#This Row],[Spend category L2 - Override]] &lt;&gt; "", AP[[#This Row],[Spend category L2 - Override]], AP[[#This Row],[Spend category L2]])</f>
        <v>0</v>
      </c>
      <c r="N737" s="51">
        <f>Assumptions!$D$15</f>
        <v>0.1</v>
      </c>
      <c r="O737" s="45">
        <f>IF(AP[[#This Row],[GST applies?]] = "Yes", (AP[[#This Row],[Invoice value inc. GST]] / 1 + AP[[#This Row],[GST %]]) * AP[[#This Row],[GST %]], 0)</f>
        <v>0</v>
      </c>
      <c r="P737" s="31">
        <f>_xlfn.XLOOKUP(AP[[#This Row],[Supplier name]], Supplier_master[Supplier name], Supplier_master[EOM or Net], 0)</f>
        <v>0</v>
      </c>
      <c r="Q737" s="31">
        <f>_xlfn.XLOOKUP(AP[[#This Row],[Supplier name]], Supplier_master[Supplier name], Supplier_master[Terms days], 0)</f>
        <v>0</v>
      </c>
      <c r="R7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7" s="4"/>
      <c r="T737" s="46">
        <f>IF(AP[[#This Row],[Payment date - override (dd/mm/yyyy)]] &lt;&gt; "", AP[[#This Row],[Payment date - override (dd/mm/yyyy)]], AP[[#This Row],[Due date (dd/mm/yyyy)]])</f>
        <v>0</v>
      </c>
      <c r="U737" s="46">
        <f t="shared" si="11"/>
        <v>52</v>
      </c>
    </row>
    <row r="738" spans="3:21" x14ac:dyDescent="0.25">
      <c r="C738" s="28"/>
      <c r="D738" s="20"/>
      <c r="E738" s="4"/>
      <c r="F738" s="37"/>
      <c r="G738" s="24"/>
      <c r="H738" s="31">
        <f>_xlfn.XLOOKUP(AP[[#This Row],[Supplier name]], Supplier_master[Supplier name], Supplier_master[Category L1], 0)</f>
        <v>0</v>
      </c>
      <c r="I738" s="64">
        <f>_xlfn.XLOOKUP(AP[[#This Row],[Supplier name]], Supplier_master[Supplier name], Supplier_master[Category L2], 0)</f>
        <v>0</v>
      </c>
      <c r="J738" s="55"/>
      <c r="K738" s="54"/>
      <c r="L738" s="57">
        <f>IF(AP[[#This Row],[Spend category L1 - Override]] &lt;&gt; "", AP[[#This Row],[Spend category L1 - Override]], AP[[#This Row],[Spend category L1]])</f>
        <v>0</v>
      </c>
      <c r="M738" s="57">
        <f>IF(AP[[#This Row],[Spend category L2 - Override]] &lt;&gt; "", AP[[#This Row],[Spend category L2 - Override]], AP[[#This Row],[Spend category L2]])</f>
        <v>0</v>
      </c>
      <c r="N738" s="51">
        <f>Assumptions!$D$15</f>
        <v>0.1</v>
      </c>
      <c r="O738" s="45">
        <f>IF(AP[[#This Row],[GST applies?]] = "Yes", (AP[[#This Row],[Invoice value inc. GST]] / 1 + AP[[#This Row],[GST %]]) * AP[[#This Row],[GST %]], 0)</f>
        <v>0</v>
      </c>
      <c r="P738" s="31">
        <f>_xlfn.XLOOKUP(AP[[#This Row],[Supplier name]], Supplier_master[Supplier name], Supplier_master[EOM or Net], 0)</f>
        <v>0</v>
      </c>
      <c r="Q738" s="31">
        <f>_xlfn.XLOOKUP(AP[[#This Row],[Supplier name]], Supplier_master[Supplier name], Supplier_master[Terms days], 0)</f>
        <v>0</v>
      </c>
      <c r="R7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8" s="4"/>
      <c r="T738" s="46">
        <f>IF(AP[[#This Row],[Payment date - override (dd/mm/yyyy)]] &lt;&gt; "", AP[[#This Row],[Payment date - override (dd/mm/yyyy)]], AP[[#This Row],[Due date (dd/mm/yyyy)]])</f>
        <v>0</v>
      </c>
      <c r="U738" s="46">
        <f t="shared" si="11"/>
        <v>52</v>
      </c>
    </row>
    <row r="739" spans="3:21" x14ac:dyDescent="0.25">
      <c r="C739" s="28"/>
      <c r="D739" s="20"/>
      <c r="E739" s="4"/>
      <c r="F739" s="37"/>
      <c r="G739" s="24"/>
      <c r="H739" s="31">
        <f>_xlfn.XLOOKUP(AP[[#This Row],[Supplier name]], Supplier_master[Supplier name], Supplier_master[Category L1], 0)</f>
        <v>0</v>
      </c>
      <c r="I739" s="64">
        <f>_xlfn.XLOOKUP(AP[[#This Row],[Supplier name]], Supplier_master[Supplier name], Supplier_master[Category L2], 0)</f>
        <v>0</v>
      </c>
      <c r="J739" s="55"/>
      <c r="K739" s="54"/>
      <c r="L739" s="57">
        <f>IF(AP[[#This Row],[Spend category L1 - Override]] &lt;&gt; "", AP[[#This Row],[Spend category L1 - Override]], AP[[#This Row],[Spend category L1]])</f>
        <v>0</v>
      </c>
      <c r="M739" s="57">
        <f>IF(AP[[#This Row],[Spend category L2 - Override]] &lt;&gt; "", AP[[#This Row],[Spend category L2 - Override]], AP[[#This Row],[Spend category L2]])</f>
        <v>0</v>
      </c>
      <c r="N739" s="51">
        <f>Assumptions!$D$15</f>
        <v>0.1</v>
      </c>
      <c r="O739" s="45">
        <f>IF(AP[[#This Row],[GST applies?]] = "Yes", (AP[[#This Row],[Invoice value inc. GST]] / 1 + AP[[#This Row],[GST %]]) * AP[[#This Row],[GST %]], 0)</f>
        <v>0</v>
      </c>
      <c r="P739" s="31">
        <f>_xlfn.XLOOKUP(AP[[#This Row],[Supplier name]], Supplier_master[Supplier name], Supplier_master[EOM or Net], 0)</f>
        <v>0</v>
      </c>
      <c r="Q739" s="31">
        <f>_xlfn.XLOOKUP(AP[[#This Row],[Supplier name]], Supplier_master[Supplier name], Supplier_master[Terms days], 0)</f>
        <v>0</v>
      </c>
      <c r="R7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9" s="4"/>
      <c r="T739" s="46">
        <f>IF(AP[[#This Row],[Payment date - override (dd/mm/yyyy)]] &lt;&gt; "", AP[[#This Row],[Payment date - override (dd/mm/yyyy)]], AP[[#This Row],[Due date (dd/mm/yyyy)]])</f>
        <v>0</v>
      </c>
      <c r="U739" s="46">
        <f t="shared" si="11"/>
        <v>52</v>
      </c>
    </row>
    <row r="740" spans="3:21" x14ac:dyDescent="0.25">
      <c r="C740" s="28"/>
      <c r="D740" s="20"/>
      <c r="E740" s="4"/>
      <c r="F740" s="37"/>
      <c r="G740" s="24"/>
      <c r="H740" s="31">
        <f>_xlfn.XLOOKUP(AP[[#This Row],[Supplier name]], Supplier_master[Supplier name], Supplier_master[Category L1], 0)</f>
        <v>0</v>
      </c>
      <c r="I740" s="64">
        <f>_xlfn.XLOOKUP(AP[[#This Row],[Supplier name]], Supplier_master[Supplier name], Supplier_master[Category L2], 0)</f>
        <v>0</v>
      </c>
      <c r="J740" s="55"/>
      <c r="K740" s="54"/>
      <c r="L740" s="57">
        <f>IF(AP[[#This Row],[Spend category L1 - Override]] &lt;&gt; "", AP[[#This Row],[Spend category L1 - Override]], AP[[#This Row],[Spend category L1]])</f>
        <v>0</v>
      </c>
      <c r="M740" s="57">
        <f>IF(AP[[#This Row],[Spend category L2 - Override]] &lt;&gt; "", AP[[#This Row],[Spend category L2 - Override]], AP[[#This Row],[Spend category L2]])</f>
        <v>0</v>
      </c>
      <c r="N740" s="51">
        <f>Assumptions!$D$15</f>
        <v>0.1</v>
      </c>
      <c r="O740" s="45">
        <f>IF(AP[[#This Row],[GST applies?]] = "Yes", (AP[[#This Row],[Invoice value inc. GST]] / 1 + AP[[#This Row],[GST %]]) * AP[[#This Row],[GST %]], 0)</f>
        <v>0</v>
      </c>
      <c r="P740" s="31">
        <f>_xlfn.XLOOKUP(AP[[#This Row],[Supplier name]], Supplier_master[Supplier name], Supplier_master[EOM or Net], 0)</f>
        <v>0</v>
      </c>
      <c r="Q740" s="31">
        <f>_xlfn.XLOOKUP(AP[[#This Row],[Supplier name]], Supplier_master[Supplier name], Supplier_master[Terms days], 0)</f>
        <v>0</v>
      </c>
      <c r="R7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0" s="4"/>
      <c r="T740" s="46">
        <f>IF(AP[[#This Row],[Payment date - override (dd/mm/yyyy)]] &lt;&gt; "", AP[[#This Row],[Payment date - override (dd/mm/yyyy)]], AP[[#This Row],[Due date (dd/mm/yyyy)]])</f>
        <v>0</v>
      </c>
      <c r="U740" s="46">
        <f t="shared" si="11"/>
        <v>52</v>
      </c>
    </row>
    <row r="741" spans="3:21" x14ac:dyDescent="0.25">
      <c r="C741" s="28"/>
      <c r="D741" s="20"/>
      <c r="E741" s="4"/>
      <c r="F741" s="37"/>
      <c r="G741" s="24"/>
      <c r="H741" s="31">
        <f>_xlfn.XLOOKUP(AP[[#This Row],[Supplier name]], Supplier_master[Supplier name], Supplier_master[Category L1], 0)</f>
        <v>0</v>
      </c>
      <c r="I741" s="64">
        <f>_xlfn.XLOOKUP(AP[[#This Row],[Supplier name]], Supplier_master[Supplier name], Supplier_master[Category L2], 0)</f>
        <v>0</v>
      </c>
      <c r="J741" s="55"/>
      <c r="K741" s="54"/>
      <c r="L741" s="57">
        <f>IF(AP[[#This Row],[Spend category L1 - Override]] &lt;&gt; "", AP[[#This Row],[Spend category L1 - Override]], AP[[#This Row],[Spend category L1]])</f>
        <v>0</v>
      </c>
      <c r="M741" s="57">
        <f>IF(AP[[#This Row],[Spend category L2 - Override]] &lt;&gt; "", AP[[#This Row],[Spend category L2 - Override]], AP[[#This Row],[Spend category L2]])</f>
        <v>0</v>
      </c>
      <c r="N741" s="51">
        <f>Assumptions!$D$15</f>
        <v>0.1</v>
      </c>
      <c r="O741" s="45">
        <f>IF(AP[[#This Row],[GST applies?]] = "Yes", (AP[[#This Row],[Invoice value inc. GST]] / 1 + AP[[#This Row],[GST %]]) * AP[[#This Row],[GST %]], 0)</f>
        <v>0</v>
      </c>
      <c r="P741" s="31">
        <f>_xlfn.XLOOKUP(AP[[#This Row],[Supplier name]], Supplier_master[Supplier name], Supplier_master[EOM or Net], 0)</f>
        <v>0</v>
      </c>
      <c r="Q741" s="31">
        <f>_xlfn.XLOOKUP(AP[[#This Row],[Supplier name]], Supplier_master[Supplier name], Supplier_master[Terms days], 0)</f>
        <v>0</v>
      </c>
      <c r="R7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1" s="4"/>
      <c r="T741" s="46">
        <f>IF(AP[[#This Row],[Payment date - override (dd/mm/yyyy)]] &lt;&gt; "", AP[[#This Row],[Payment date - override (dd/mm/yyyy)]], AP[[#This Row],[Due date (dd/mm/yyyy)]])</f>
        <v>0</v>
      </c>
      <c r="U741" s="46">
        <f t="shared" si="11"/>
        <v>52</v>
      </c>
    </row>
    <row r="742" spans="3:21" x14ac:dyDescent="0.25">
      <c r="C742" s="28"/>
      <c r="D742" s="20"/>
      <c r="E742" s="4"/>
      <c r="F742" s="37"/>
      <c r="G742" s="24"/>
      <c r="H742" s="31">
        <f>_xlfn.XLOOKUP(AP[[#This Row],[Supplier name]], Supplier_master[Supplier name], Supplier_master[Category L1], 0)</f>
        <v>0</v>
      </c>
      <c r="I742" s="64">
        <f>_xlfn.XLOOKUP(AP[[#This Row],[Supplier name]], Supplier_master[Supplier name], Supplier_master[Category L2], 0)</f>
        <v>0</v>
      </c>
      <c r="J742" s="55"/>
      <c r="K742" s="54"/>
      <c r="L742" s="57">
        <f>IF(AP[[#This Row],[Spend category L1 - Override]] &lt;&gt; "", AP[[#This Row],[Spend category L1 - Override]], AP[[#This Row],[Spend category L1]])</f>
        <v>0</v>
      </c>
      <c r="M742" s="57">
        <f>IF(AP[[#This Row],[Spend category L2 - Override]] &lt;&gt; "", AP[[#This Row],[Spend category L2 - Override]], AP[[#This Row],[Spend category L2]])</f>
        <v>0</v>
      </c>
      <c r="N742" s="51">
        <f>Assumptions!$D$15</f>
        <v>0.1</v>
      </c>
      <c r="O742" s="45">
        <f>IF(AP[[#This Row],[GST applies?]] = "Yes", (AP[[#This Row],[Invoice value inc. GST]] / 1 + AP[[#This Row],[GST %]]) * AP[[#This Row],[GST %]], 0)</f>
        <v>0</v>
      </c>
      <c r="P742" s="31">
        <f>_xlfn.XLOOKUP(AP[[#This Row],[Supplier name]], Supplier_master[Supplier name], Supplier_master[EOM or Net], 0)</f>
        <v>0</v>
      </c>
      <c r="Q742" s="31">
        <f>_xlfn.XLOOKUP(AP[[#This Row],[Supplier name]], Supplier_master[Supplier name], Supplier_master[Terms days], 0)</f>
        <v>0</v>
      </c>
      <c r="R7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2" s="4"/>
      <c r="T742" s="46">
        <f>IF(AP[[#This Row],[Payment date - override (dd/mm/yyyy)]] &lt;&gt; "", AP[[#This Row],[Payment date - override (dd/mm/yyyy)]], AP[[#This Row],[Due date (dd/mm/yyyy)]])</f>
        <v>0</v>
      </c>
      <c r="U742" s="46">
        <f t="shared" si="11"/>
        <v>52</v>
      </c>
    </row>
    <row r="743" spans="3:21" x14ac:dyDescent="0.25">
      <c r="C743" s="28"/>
      <c r="D743" s="20"/>
      <c r="E743" s="4"/>
      <c r="F743" s="37"/>
      <c r="G743" s="24"/>
      <c r="H743" s="31">
        <f>_xlfn.XLOOKUP(AP[[#This Row],[Supplier name]], Supplier_master[Supplier name], Supplier_master[Category L1], 0)</f>
        <v>0</v>
      </c>
      <c r="I743" s="64">
        <f>_xlfn.XLOOKUP(AP[[#This Row],[Supplier name]], Supplier_master[Supplier name], Supplier_master[Category L2], 0)</f>
        <v>0</v>
      </c>
      <c r="J743" s="55"/>
      <c r="K743" s="54"/>
      <c r="L743" s="57">
        <f>IF(AP[[#This Row],[Spend category L1 - Override]] &lt;&gt; "", AP[[#This Row],[Spend category L1 - Override]], AP[[#This Row],[Spend category L1]])</f>
        <v>0</v>
      </c>
      <c r="M743" s="57">
        <f>IF(AP[[#This Row],[Spend category L2 - Override]] &lt;&gt; "", AP[[#This Row],[Spend category L2 - Override]], AP[[#This Row],[Spend category L2]])</f>
        <v>0</v>
      </c>
      <c r="N743" s="51">
        <f>Assumptions!$D$15</f>
        <v>0.1</v>
      </c>
      <c r="O743" s="45">
        <f>IF(AP[[#This Row],[GST applies?]] = "Yes", (AP[[#This Row],[Invoice value inc. GST]] / 1 + AP[[#This Row],[GST %]]) * AP[[#This Row],[GST %]], 0)</f>
        <v>0</v>
      </c>
      <c r="P743" s="31">
        <f>_xlfn.XLOOKUP(AP[[#This Row],[Supplier name]], Supplier_master[Supplier name], Supplier_master[EOM or Net], 0)</f>
        <v>0</v>
      </c>
      <c r="Q743" s="31">
        <f>_xlfn.XLOOKUP(AP[[#This Row],[Supplier name]], Supplier_master[Supplier name], Supplier_master[Terms days], 0)</f>
        <v>0</v>
      </c>
      <c r="R7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3" s="4"/>
      <c r="T743" s="46">
        <f>IF(AP[[#This Row],[Payment date - override (dd/mm/yyyy)]] &lt;&gt; "", AP[[#This Row],[Payment date - override (dd/mm/yyyy)]], AP[[#This Row],[Due date (dd/mm/yyyy)]])</f>
        <v>0</v>
      </c>
      <c r="U743" s="46">
        <f t="shared" si="11"/>
        <v>52</v>
      </c>
    </row>
    <row r="744" spans="3:21" x14ac:dyDescent="0.25">
      <c r="C744" s="28"/>
      <c r="D744" s="20"/>
      <c r="E744" s="4"/>
      <c r="F744" s="37"/>
      <c r="G744" s="24"/>
      <c r="H744" s="31">
        <f>_xlfn.XLOOKUP(AP[[#This Row],[Supplier name]], Supplier_master[Supplier name], Supplier_master[Category L1], 0)</f>
        <v>0</v>
      </c>
      <c r="I744" s="64">
        <f>_xlfn.XLOOKUP(AP[[#This Row],[Supplier name]], Supplier_master[Supplier name], Supplier_master[Category L2], 0)</f>
        <v>0</v>
      </c>
      <c r="J744" s="55"/>
      <c r="K744" s="54"/>
      <c r="L744" s="57">
        <f>IF(AP[[#This Row],[Spend category L1 - Override]] &lt;&gt; "", AP[[#This Row],[Spend category L1 - Override]], AP[[#This Row],[Spend category L1]])</f>
        <v>0</v>
      </c>
      <c r="M744" s="57">
        <f>IF(AP[[#This Row],[Spend category L2 - Override]] &lt;&gt; "", AP[[#This Row],[Spend category L2 - Override]], AP[[#This Row],[Spend category L2]])</f>
        <v>0</v>
      </c>
      <c r="N744" s="51">
        <f>Assumptions!$D$15</f>
        <v>0.1</v>
      </c>
      <c r="O744" s="45">
        <f>IF(AP[[#This Row],[GST applies?]] = "Yes", (AP[[#This Row],[Invoice value inc. GST]] / 1 + AP[[#This Row],[GST %]]) * AP[[#This Row],[GST %]], 0)</f>
        <v>0</v>
      </c>
      <c r="P744" s="31">
        <f>_xlfn.XLOOKUP(AP[[#This Row],[Supplier name]], Supplier_master[Supplier name], Supplier_master[EOM or Net], 0)</f>
        <v>0</v>
      </c>
      <c r="Q744" s="31">
        <f>_xlfn.XLOOKUP(AP[[#This Row],[Supplier name]], Supplier_master[Supplier name], Supplier_master[Terms days], 0)</f>
        <v>0</v>
      </c>
      <c r="R7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4" s="4"/>
      <c r="T744" s="46">
        <f>IF(AP[[#This Row],[Payment date - override (dd/mm/yyyy)]] &lt;&gt; "", AP[[#This Row],[Payment date - override (dd/mm/yyyy)]], AP[[#This Row],[Due date (dd/mm/yyyy)]])</f>
        <v>0</v>
      </c>
      <c r="U744" s="46">
        <f t="shared" si="11"/>
        <v>52</v>
      </c>
    </row>
    <row r="745" spans="3:21" x14ac:dyDescent="0.25">
      <c r="C745" s="28"/>
      <c r="D745" s="20"/>
      <c r="E745" s="4"/>
      <c r="F745" s="37"/>
      <c r="G745" s="24"/>
      <c r="H745" s="31">
        <f>_xlfn.XLOOKUP(AP[[#This Row],[Supplier name]], Supplier_master[Supplier name], Supplier_master[Category L1], 0)</f>
        <v>0</v>
      </c>
      <c r="I745" s="64">
        <f>_xlfn.XLOOKUP(AP[[#This Row],[Supplier name]], Supplier_master[Supplier name], Supplier_master[Category L2], 0)</f>
        <v>0</v>
      </c>
      <c r="J745" s="55"/>
      <c r="K745" s="54"/>
      <c r="L745" s="57">
        <f>IF(AP[[#This Row],[Spend category L1 - Override]] &lt;&gt; "", AP[[#This Row],[Spend category L1 - Override]], AP[[#This Row],[Spend category L1]])</f>
        <v>0</v>
      </c>
      <c r="M745" s="57">
        <f>IF(AP[[#This Row],[Spend category L2 - Override]] &lt;&gt; "", AP[[#This Row],[Spend category L2 - Override]], AP[[#This Row],[Spend category L2]])</f>
        <v>0</v>
      </c>
      <c r="N745" s="51">
        <f>Assumptions!$D$15</f>
        <v>0.1</v>
      </c>
      <c r="O745" s="45">
        <f>IF(AP[[#This Row],[GST applies?]] = "Yes", (AP[[#This Row],[Invoice value inc. GST]] / 1 + AP[[#This Row],[GST %]]) * AP[[#This Row],[GST %]], 0)</f>
        <v>0</v>
      </c>
      <c r="P745" s="31">
        <f>_xlfn.XLOOKUP(AP[[#This Row],[Supplier name]], Supplier_master[Supplier name], Supplier_master[EOM or Net], 0)</f>
        <v>0</v>
      </c>
      <c r="Q745" s="31">
        <f>_xlfn.XLOOKUP(AP[[#This Row],[Supplier name]], Supplier_master[Supplier name], Supplier_master[Terms days], 0)</f>
        <v>0</v>
      </c>
      <c r="R7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5" s="4"/>
      <c r="T745" s="46">
        <f>IF(AP[[#This Row],[Payment date - override (dd/mm/yyyy)]] &lt;&gt; "", AP[[#This Row],[Payment date - override (dd/mm/yyyy)]], AP[[#This Row],[Due date (dd/mm/yyyy)]])</f>
        <v>0</v>
      </c>
      <c r="U745" s="46">
        <f t="shared" si="11"/>
        <v>52</v>
      </c>
    </row>
    <row r="746" spans="3:21" x14ac:dyDescent="0.25">
      <c r="C746" s="28"/>
      <c r="D746" s="20"/>
      <c r="E746" s="4"/>
      <c r="F746" s="37"/>
      <c r="G746" s="24"/>
      <c r="H746" s="31">
        <f>_xlfn.XLOOKUP(AP[[#This Row],[Supplier name]], Supplier_master[Supplier name], Supplier_master[Category L1], 0)</f>
        <v>0</v>
      </c>
      <c r="I746" s="64">
        <f>_xlfn.XLOOKUP(AP[[#This Row],[Supplier name]], Supplier_master[Supplier name], Supplier_master[Category L2], 0)</f>
        <v>0</v>
      </c>
      <c r="J746" s="55"/>
      <c r="K746" s="54"/>
      <c r="L746" s="57">
        <f>IF(AP[[#This Row],[Spend category L1 - Override]] &lt;&gt; "", AP[[#This Row],[Spend category L1 - Override]], AP[[#This Row],[Spend category L1]])</f>
        <v>0</v>
      </c>
      <c r="M746" s="57">
        <f>IF(AP[[#This Row],[Spend category L2 - Override]] &lt;&gt; "", AP[[#This Row],[Spend category L2 - Override]], AP[[#This Row],[Spend category L2]])</f>
        <v>0</v>
      </c>
      <c r="N746" s="51">
        <f>Assumptions!$D$15</f>
        <v>0.1</v>
      </c>
      <c r="O746" s="45">
        <f>IF(AP[[#This Row],[GST applies?]] = "Yes", (AP[[#This Row],[Invoice value inc. GST]] / 1 + AP[[#This Row],[GST %]]) * AP[[#This Row],[GST %]], 0)</f>
        <v>0</v>
      </c>
      <c r="P746" s="31">
        <f>_xlfn.XLOOKUP(AP[[#This Row],[Supplier name]], Supplier_master[Supplier name], Supplier_master[EOM or Net], 0)</f>
        <v>0</v>
      </c>
      <c r="Q746" s="31">
        <f>_xlfn.XLOOKUP(AP[[#This Row],[Supplier name]], Supplier_master[Supplier name], Supplier_master[Terms days], 0)</f>
        <v>0</v>
      </c>
      <c r="R7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6" s="4"/>
      <c r="T746" s="46">
        <f>IF(AP[[#This Row],[Payment date - override (dd/mm/yyyy)]] &lt;&gt; "", AP[[#This Row],[Payment date - override (dd/mm/yyyy)]], AP[[#This Row],[Due date (dd/mm/yyyy)]])</f>
        <v>0</v>
      </c>
      <c r="U746" s="46">
        <f t="shared" si="11"/>
        <v>52</v>
      </c>
    </row>
    <row r="747" spans="3:21" x14ac:dyDescent="0.25">
      <c r="C747" s="28"/>
      <c r="D747" s="20"/>
      <c r="E747" s="4"/>
      <c r="F747" s="37"/>
      <c r="G747" s="24"/>
      <c r="H747" s="31">
        <f>_xlfn.XLOOKUP(AP[[#This Row],[Supplier name]], Supplier_master[Supplier name], Supplier_master[Category L1], 0)</f>
        <v>0</v>
      </c>
      <c r="I747" s="64">
        <f>_xlfn.XLOOKUP(AP[[#This Row],[Supplier name]], Supplier_master[Supplier name], Supplier_master[Category L2], 0)</f>
        <v>0</v>
      </c>
      <c r="J747" s="55"/>
      <c r="K747" s="54"/>
      <c r="L747" s="57">
        <f>IF(AP[[#This Row],[Spend category L1 - Override]] &lt;&gt; "", AP[[#This Row],[Spend category L1 - Override]], AP[[#This Row],[Spend category L1]])</f>
        <v>0</v>
      </c>
      <c r="M747" s="57">
        <f>IF(AP[[#This Row],[Spend category L2 - Override]] &lt;&gt; "", AP[[#This Row],[Spend category L2 - Override]], AP[[#This Row],[Spend category L2]])</f>
        <v>0</v>
      </c>
      <c r="N747" s="51">
        <f>Assumptions!$D$15</f>
        <v>0.1</v>
      </c>
      <c r="O747" s="45">
        <f>IF(AP[[#This Row],[GST applies?]] = "Yes", (AP[[#This Row],[Invoice value inc. GST]] / 1 + AP[[#This Row],[GST %]]) * AP[[#This Row],[GST %]], 0)</f>
        <v>0</v>
      </c>
      <c r="P747" s="31">
        <f>_xlfn.XLOOKUP(AP[[#This Row],[Supplier name]], Supplier_master[Supplier name], Supplier_master[EOM or Net], 0)</f>
        <v>0</v>
      </c>
      <c r="Q747" s="31">
        <f>_xlfn.XLOOKUP(AP[[#This Row],[Supplier name]], Supplier_master[Supplier name], Supplier_master[Terms days], 0)</f>
        <v>0</v>
      </c>
      <c r="R7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7" s="4"/>
      <c r="T747" s="46">
        <f>IF(AP[[#This Row],[Payment date - override (dd/mm/yyyy)]] &lt;&gt; "", AP[[#This Row],[Payment date - override (dd/mm/yyyy)]], AP[[#This Row],[Due date (dd/mm/yyyy)]])</f>
        <v>0</v>
      </c>
      <c r="U747" s="46">
        <f t="shared" si="11"/>
        <v>52</v>
      </c>
    </row>
    <row r="748" spans="3:21" x14ac:dyDescent="0.25">
      <c r="C748" s="28"/>
      <c r="D748" s="20"/>
      <c r="E748" s="4"/>
      <c r="F748" s="37"/>
      <c r="G748" s="24"/>
      <c r="H748" s="31">
        <f>_xlfn.XLOOKUP(AP[[#This Row],[Supplier name]], Supplier_master[Supplier name], Supplier_master[Category L1], 0)</f>
        <v>0</v>
      </c>
      <c r="I748" s="64">
        <f>_xlfn.XLOOKUP(AP[[#This Row],[Supplier name]], Supplier_master[Supplier name], Supplier_master[Category L2], 0)</f>
        <v>0</v>
      </c>
      <c r="J748" s="55"/>
      <c r="K748" s="54"/>
      <c r="L748" s="57">
        <f>IF(AP[[#This Row],[Spend category L1 - Override]] &lt;&gt; "", AP[[#This Row],[Spend category L1 - Override]], AP[[#This Row],[Spend category L1]])</f>
        <v>0</v>
      </c>
      <c r="M748" s="57">
        <f>IF(AP[[#This Row],[Spend category L2 - Override]] &lt;&gt; "", AP[[#This Row],[Spend category L2 - Override]], AP[[#This Row],[Spend category L2]])</f>
        <v>0</v>
      </c>
      <c r="N748" s="51">
        <f>Assumptions!$D$15</f>
        <v>0.1</v>
      </c>
      <c r="O748" s="45">
        <f>IF(AP[[#This Row],[GST applies?]] = "Yes", (AP[[#This Row],[Invoice value inc. GST]] / 1 + AP[[#This Row],[GST %]]) * AP[[#This Row],[GST %]], 0)</f>
        <v>0</v>
      </c>
      <c r="P748" s="31">
        <f>_xlfn.XLOOKUP(AP[[#This Row],[Supplier name]], Supplier_master[Supplier name], Supplier_master[EOM or Net], 0)</f>
        <v>0</v>
      </c>
      <c r="Q748" s="31">
        <f>_xlfn.XLOOKUP(AP[[#This Row],[Supplier name]], Supplier_master[Supplier name], Supplier_master[Terms days], 0)</f>
        <v>0</v>
      </c>
      <c r="R7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8" s="4"/>
      <c r="T748" s="46">
        <f>IF(AP[[#This Row],[Payment date - override (dd/mm/yyyy)]] &lt;&gt; "", AP[[#This Row],[Payment date - override (dd/mm/yyyy)]], AP[[#This Row],[Due date (dd/mm/yyyy)]])</f>
        <v>0</v>
      </c>
      <c r="U748" s="46">
        <f t="shared" si="11"/>
        <v>52</v>
      </c>
    </row>
    <row r="749" spans="3:21" x14ac:dyDescent="0.25">
      <c r="C749" s="28"/>
      <c r="D749" s="20"/>
      <c r="E749" s="4"/>
      <c r="F749" s="37"/>
      <c r="G749" s="24"/>
      <c r="H749" s="31">
        <f>_xlfn.XLOOKUP(AP[[#This Row],[Supplier name]], Supplier_master[Supplier name], Supplier_master[Category L1], 0)</f>
        <v>0</v>
      </c>
      <c r="I749" s="64">
        <f>_xlfn.XLOOKUP(AP[[#This Row],[Supplier name]], Supplier_master[Supplier name], Supplier_master[Category L2], 0)</f>
        <v>0</v>
      </c>
      <c r="J749" s="55"/>
      <c r="K749" s="54"/>
      <c r="L749" s="57">
        <f>IF(AP[[#This Row],[Spend category L1 - Override]] &lt;&gt; "", AP[[#This Row],[Spend category L1 - Override]], AP[[#This Row],[Spend category L1]])</f>
        <v>0</v>
      </c>
      <c r="M749" s="57">
        <f>IF(AP[[#This Row],[Spend category L2 - Override]] &lt;&gt; "", AP[[#This Row],[Spend category L2 - Override]], AP[[#This Row],[Spend category L2]])</f>
        <v>0</v>
      </c>
      <c r="N749" s="51">
        <f>Assumptions!$D$15</f>
        <v>0.1</v>
      </c>
      <c r="O749" s="45">
        <f>IF(AP[[#This Row],[GST applies?]] = "Yes", (AP[[#This Row],[Invoice value inc. GST]] / 1 + AP[[#This Row],[GST %]]) * AP[[#This Row],[GST %]], 0)</f>
        <v>0</v>
      </c>
      <c r="P749" s="31">
        <f>_xlfn.XLOOKUP(AP[[#This Row],[Supplier name]], Supplier_master[Supplier name], Supplier_master[EOM or Net], 0)</f>
        <v>0</v>
      </c>
      <c r="Q749" s="31">
        <f>_xlfn.XLOOKUP(AP[[#This Row],[Supplier name]], Supplier_master[Supplier name], Supplier_master[Terms days], 0)</f>
        <v>0</v>
      </c>
      <c r="R7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9" s="4"/>
      <c r="T749" s="46">
        <f>IF(AP[[#This Row],[Payment date - override (dd/mm/yyyy)]] &lt;&gt; "", AP[[#This Row],[Payment date - override (dd/mm/yyyy)]], AP[[#This Row],[Due date (dd/mm/yyyy)]])</f>
        <v>0</v>
      </c>
      <c r="U749" s="46">
        <f t="shared" si="11"/>
        <v>52</v>
      </c>
    </row>
    <row r="750" spans="3:21" x14ac:dyDescent="0.25">
      <c r="C750" s="28"/>
      <c r="D750" s="20"/>
      <c r="E750" s="4"/>
      <c r="F750" s="37"/>
      <c r="G750" s="24"/>
      <c r="H750" s="31">
        <f>_xlfn.XLOOKUP(AP[[#This Row],[Supplier name]], Supplier_master[Supplier name], Supplier_master[Category L1], 0)</f>
        <v>0</v>
      </c>
      <c r="I750" s="64">
        <f>_xlfn.XLOOKUP(AP[[#This Row],[Supplier name]], Supplier_master[Supplier name], Supplier_master[Category L2], 0)</f>
        <v>0</v>
      </c>
      <c r="J750" s="55"/>
      <c r="K750" s="54"/>
      <c r="L750" s="57">
        <f>IF(AP[[#This Row],[Spend category L1 - Override]] &lt;&gt; "", AP[[#This Row],[Spend category L1 - Override]], AP[[#This Row],[Spend category L1]])</f>
        <v>0</v>
      </c>
      <c r="M750" s="57">
        <f>IF(AP[[#This Row],[Spend category L2 - Override]] &lt;&gt; "", AP[[#This Row],[Spend category L2 - Override]], AP[[#This Row],[Spend category L2]])</f>
        <v>0</v>
      </c>
      <c r="N750" s="51">
        <f>Assumptions!$D$15</f>
        <v>0.1</v>
      </c>
      <c r="O750" s="45">
        <f>IF(AP[[#This Row],[GST applies?]] = "Yes", (AP[[#This Row],[Invoice value inc. GST]] / 1 + AP[[#This Row],[GST %]]) * AP[[#This Row],[GST %]], 0)</f>
        <v>0</v>
      </c>
      <c r="P750" s="31">
        <f>_xlfn.XLOOKUP(AP[[#This Row],[Supplier name]], Supplier_master[Supplier name], Supplier_master[EOM or Net], 0)</f>
        <v>0</v>
      </c>
      <c r="Q750" s="31">
        <f>_xlfn.XLOOKUP(AP[[#This Row],[Supplier name]], Supplier_master[Supplier name], Supplier_master[Terms days], 0)</f>
        <v>0</v>
      </c>
      <c r="R7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0" s="4"/>
      <c r="T750" s="46">
        <f>IF(AP[[#This Row],[Payment date - override (dd/mm/yyyy)]] &lt;&gt; "", AP[[#This Row],[Payment date - override (dd/mm/yyyy)]], AP[[#This Row],[Due date (dd/mm/yyyy)]])</f>
        <v>0</v>
      </c>
      <c r="U750" s="46">
        <f t="shared" si="11"/>
        <v>52</v>
      </c>
    </row>
    <row r="751" spans="3:21" x14ac:dyDescent="0.25">
      <c r="C751" s="28"/>
      <c r="D751" s="20"/>
      <c r="E751" s="4"/>
      <c r="F751" s="37"/>
      <c r="G751" s="24"/>
      <c r="H751" s="31">
        <f>_xlfn.XLOOKUP(AP[[#This Row],[Supplier name]], Supplier_master[Supplier name], Supplier_master[Category L1], 0)</f>
        <v>0</v>
      </c>
      <c r="I751" s="64">
        <f>_xlfn.XLOOKUP(AP[[#This Row],[Supplier name]], Supplier_master[Supplier name], Supplier_master[Category L2], 0)</f>
        <v>0</v>
      </c>
      <c r="J751" s="55"/>
      <c r="K751" s="54"/>
      <c r="L751" s="57">
        <f>IF(AP[[#This Row],[Spend category L1 - Override]] &lt;&gt; "", AP[[#This Row],[Spend category L1 - Override]], AP[[#This Row],[Spend category L1]])</f>
        <v>0</v>
      </c>
      <c r="M751" s="57">
        <f>IF(AP[[#This Row],[Spend category L2 - Override]] &lt;&gt; "", AP[[#This Row],[Spend category L2 - Override]], AP[[#This Row],[Spend category L2]])</f>
        <v>0</v>
      </c>
      <c r="N751" s="51">
        <f>Assumptions!$D$15</f>
        <v>0.1</v>
      </c>
      <c r="O751" s="45">
        <f>IF(AP[[#This Row],[GST applies?]] = "Yes", (AP[[#This Row],[Invoice value inc. GST]] / 1 + AP[[#This Row],[GST %]]) * AP[[#This Row],[GST %]], 0)</f>
        <v>0</v>
      </c>
      <c r="P751" s="31">
        <f>_xlfn.XLOOKUP(AP[[#This Row],[Supplier name]], Supplier_master[Supplier name], Supplier_master[EOM or Net], 0)</f>
        <v>0</v>
      </c>
      <c r="Q751" s="31">
        <f>_xlfn.XLOOKUP(AP[[#This Row],[Supplier name]], Supplier_master[Supplier name], Supplier_master[Terms days], 0)</f>
        <v>0</v>
      </c>
      <c r="R7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1" s="4"/>
      <c r="T751" s="46">
        <f>IF(AP[[#This Row],[Payment date - override (dd/mm/yyyy)]] &lt;&gt; "", AP[[#This Row],[Payment date - override (dd/mm/yyyy)]], AP[[#This Row],[Due date (dd/mm/yyyy)]])</f>
        <v>0</v>
      </c>
      <c r="U751" s="46">
        <f t="shared" si="11"/>
        <v>52</v>
      </c>
    </row>
    <row r="752" spans="3:21" x14ac:dyDescent="0.25">
      <c r="C752" s="28"/>
      <c r="D752" s="20"/>
      <c r="E752" s="4"/>
      <c r="F752" s="37"/>
      <c r="G752" s="24"/>
      <c r="H752" s="31">
        <f>_xlfn.XLOOKUP(AP[[#This Row],[Supplier name]], Supplier_master[Supplier name], Supplier_master[Category L1], 0)</f>
        <v>0</v>
      </c>
      <c r="I752" s="64">
        <f>_xlfn.XLOOKUP(AP[[#This Row],[Supplier name]], Supplier_master[Supplier name], Supplier_master[Category L2], 0)</f>
        <v>0</v>
      </c>
      <c r="J752" s="55"/>
      <c r="K752" s="54"/>
      <c r="L752" s="57">
        <f>IF(AP[[#This Row],[Spend category L1 - Override]] &lt;&gt; "", AP[[#This Row],[Spend category L1 - Override]], AP[[#This Row],[Spend category L1]])</f>
        <v>0</v>
      </c>
      <c r="M752" s="57">
        <f>IF(AP[[#This Row],[Spend category L2 - Override]] &lt;&gt; "", AP[[#This Row],[Spend category L2 - Override]], AP[[#This Row],[Spend category L2]])</f>
        <v>0</v>
      </c>
      <c r="N752" s="51">
        <f>Assumptions!$D$15</f>
        <v>0.1</v>
      </c>
      <c r="O752" s="45">
        <f>IF(AP[[#This Row],[GST applies?]] = "Yes", (AP[[#This Row],[Invoice value inc. GST]] / 1 + AP[[#This Row],[GST %]]) * AP[[#This Row],[GST %]], 0)</f>
        <v>0</v>
      </c>
      <c r="P752" s="31">
        <f>_xlfn.XLOOKUP(AP[[#This Row],[Supplier name]], Supplier_master[Supplier name], Supplier_master[EOM or Net], 0)</f>
        <v>0</v>
      </c>
      <c r="Q752" s="31">
        <f>_xlfn.XLOOKUP(AP[[#This Row],[Supplier name]], Supplier_master[Supplier name], Supplier_master[Terms days], 0)</f>
        <v>0</v>
      </c>
      <c r="R7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2" s="4"/>
      <c r="T752" s="46">
        <f>IF(AP[[#This Row],[Payment date - override (dd/mm/yyyy)]] &lt;&gt; "", AP[[#This Row],[Payment date - override (dd/mm/yyyy)]], AP[[#This Row],[Due date (dd/mm/yyyy)]])</f>
        <v>0</v>
      </c>
      <c r="U752" s="46">
        <f t="shared" si="11"/>
        <v>52</v>
      </c>
    </row>
    <row r="753" spans="3:21" x14ac:dyDescent="0.25">
      <c r="C753" s="28"/>
      <c r="D753" s="20"/>
      <c r="E753" s="4"/>
      <c r="F753" s="37"/>
      <c r="G753" s="24"/>
      <c r="H753" s="31">
        <f>_xlfn.XLOOKUP(AP[[#This Row],[Supplier name]], Supplier_master[Supplier name], Supplier_master[Category L1], 0)</f>
        <v>0</v>
      </c>
      <c r="I753" s="64">
        <f>_xlfn.XLOOKUP(AP[[#This Row],[Supplier name]], Supplier_master[Supplier name], Supplier_master[Category L2], 0)</f>
        <v>0</v>
      </c>
      <c r="J753" s="55"/>
      <c r="K753" s="54"/>
      <c r="L753" s="57">
        <f>IF(AP[[#This Row],[Spend category L1 - Override]] &lt;&gt; "", AP[[#This Row],[Spend category L1 - Override]], AP[[#This Row],[Spend category L1]])</f>
        <v>0</v>
      </c>
      <c r="M753" s="57">
        <f>IF(AP[[#This Row],[Spend category L2 - Override]] &lt;&gt; "", AP[[#This Row],[Spend category L2 - Override]], AP[[#This Row],[Spend category L2]])</f>
        <v>0</v>
      </c>
      <c r="N753" s="51">
        <f>Assumptions!$D$15</f>
        <v>0.1</v>
      </c>
      <c r="O753" s="45">
        <f>IF(AP[[#This Row],[GST applies?]] = "Yes", (AP[[#This Row],[Invoice value inc. GST]] / 1 + AP[[#This Row],[GST %]]) * AP[[#This Row],[GST %]], 0)</f>
        <v>0</v>
      </c>
      <c r="P753" s="31">
        <f>_xlfn.XLOOKUP(AP[[#This Row],[Supplier name]], Supplier_master[Supplier name], Supplier_master[EOM or Net], 0)</f>
        <v>0</v>
      </c>
      <c r="Q753" s="31">
        <f>_xlfn.XLOOKUP(AP[[#This Row],[Supplier name]], Supplier_master[Supplier name], Supplier_master[Terms days], 0)</f>
        <v>0</v>
      </c>
      <c r="R7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3" s="4"/>
      <c r="T753" s="46">
        <f>IF(AP[[#This Row],[Payment date - override (dd/mm/yyyy)]] &lt;&gt; "", AP[[#This Row],[Payment date - override (dd/mm/yyyy)]], AP[[#This Row],[Due date (dd/mm/yyyy)]])</f>
        <v>0</v>
      </c>
      <c r="U753" s="46">
        <f t="shared" si="11"/>
        <v>52</v>
      </c>
    </row>
    <row r="754" spans="3:21" x14ac:dyDescent="0.25">
      <c r="C754" s="28"/>
      <c r="D754" s="20"/>
      <c r="E754" s="4"/>
      <c r="F754" s="37"/>
      <c r="G754" s="24"/>
      <c r="H754" s="31">
        <f>_xlfn.XLOOKUP(AP[[#This Row],[Supplier name]], Supplier_master[Supplier name], Supplier_master[Category L1], 0)</f>
        <v>0</v>
      </c>
      <c r="I754" s="64">
        <f>_xlfn.XLOOKUP(AP[[#This Row],[Supplier name]], Supplier_master[Supplier name], Supplier_master[Category L2], 0)</f>
        <v>0</v>
      </c>
      <c r="J754" s="55"/>
      <c r="K754" s="54"/>
      <c r="L754" s="57">
        <f>IF(AP[[#This Row],[Spend category L1 - Override]] &lt;&gt; "", AP[[#This Row],[Spend category L1 - Override]], AP[[#This Row],[Spend category L1]])</f>
        <v>0</v>
      </c>
      <c r="M754" s="57">
        <f>IF(AP[[#This Row],[Spend category L2 - Override]] &lt;&gt; "", AP[[#This Row],[Spend category L2 - Override]], AP[[#This Row],[Spend category L2]])</f>
        <v>0</v>
      </c>
      <c r="N754" s="51">
        <f>Assumptions!$D$15</f>
        <v>0.1</v>
      </c>
      <c r="O754" s="45">
        <f>IF(AP[[#This Row],[GST applies?]] = "Yes", (AP[[#This Row],[Invoice value inc. GST]] / 1 + AP[[#This Row],[GST %]]) * AP[[#This Row],[GST %]], 0)</f>
        <v>0</v>
      </c>
      <c r="P754" s="31">
        <f>_xlfn.XLOOKUP(AP[[#This Row],[Supplier name]], Supplier_master[Supplier name], Supplier_master[EOM or Net], 0)</f>
        <v>0</v>
      </c>
      <c r="Q754" s="31">
        <f>_xlfn.XLOOKUP(AP[[#This Row],[Supplier name]], Supplier_master[Supplier name], Supplier_master[Terms days], 0)</f>
        <v>0</v>
      </c>
      <c r="R7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4" s="4"/>
      <c r="T754" s="46">
        <f>IF(AP[[#This Row],[Payment date - override (dd/mm/yyyy)]] &lt;&gt; "", AP[[#This Row],[Payment date - override (dd/mm/yyyy)]], AP[[#This Row],[Due date (dd/mm/yyyy)]])</f>
        <v>0</v>
      </c>
      <c r="U754" s="46">
        <f t="shared" si="11"/>
        <v>52</v>
      </c>
    </row>
    <row r="755" spans="3:21" x14ac:dyDescent="0.25">
      <c r="C755" s="28"/>
      <c r="D755" s="20"/>
      <c r="E755" s="4"/>
      <c r="F755" s="37"/>
      <c r="G755" s="24"/>
      <c r="H755" s="31">
        <f>_xlfn.XLOOKUP(AP[[#This Row],[Supplier name]], Supplier_master[Supplier name], Supplier_master[Category L1], 0)</f>
        <v>0</v>
      </c>
      <c r="I755" s="64">
        <f>_xlfn.XLOOKUP(AP[[#This Row],[Supplier name]], Supplier_master[Supplier name], Supplier_master[Category L2], 0)</f>
        <v>0</v>
      </c>
      <c r="J755" s="55"/>
      <c r="K755" s="54"/>
      <c r="L755" s="57">
        <f>IF(AP[[#This Row],[Spend category L1 - Override]] &lt;&gt; "", AP[[#This Row],[Spend category L1 - Override]], AP[[#This Row],[Spend category L1]])</f>
        <v>0</v>
      </c>
      <c r="M755" s="57">
        <f>IF(AP[[#This Row],[Spend category L2 - Override]] &lt;&gt; "", AP[[#This Row],[Spend category L2 - Override]], AP[[#This Row],[Spend category L2]])</f>
        <v>0</v>
      </c>
      <c r="N755" s="51">
        <f>Assumptions!$D$15</f>
        <v>0.1</v>
      </c>
      <c r="O755" s="45">
        <f>IF(AP[[#This Row],[GST applies?]] = "Yes", (AP[[#This Row],[Invoice value inc. GST]] / 1 + AP[[#This Row],[GST %]]) * AP[[#This Row],[GST %]], 0)</f>
        <v>0</v>
      </c>
      <c r="P755" s="31">
        <f>_xlfn.XLOOKUP(AP[[#This Row],[Supplier name]], Supplier_master[Supplier name], Supplier_master[EOM or Net], 0)</f>
        <v>0</v>
      </c>
      <c r="Q755" s="31">
        <f>_xlfn.XLOOKUP(AP[[#This Row],[Supplier name]], Supplier_master[Supplier name], Supplier_master[Terms days], 0)</f>
        <v>0</v>
      </c>
      <c r="R7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5" s="4"/>
      <c r="T755" s="46">
        <f>IF(AP[[#This Row],[Payment date - override (dd/mm/yyyy)]] &lt;&gt; "", AP[[#This Row],[Payment date - override (dd/mm/yyyy)]], AP[[#This Row],[Due date (dd/mm/yyyy)]])</f>
        <v>0</v>
      </c>
      <c r="U755" s="46">
        <f t="shared" si="11"/>
        <v>52</v>
      </c>
    </row>
    <row r="756" spans="3:21" x14ac:dyDescent="0.25">
      <c r="C756" s="28"/>
      <c r="D756" s="20"/>
      <c r="E756" s="4"/>
      <c r="F756" s="37"/>
      <c r="G756" s="24"/>
      <c r="H756" s="31">
        <f>_xlfn.XLOOKUP(AP[[#This Row],[Supplier name]], Supplier_master[Supplier name], Supplier_master[Category L1], 0)</f>
        <v>0</v>
      </c>
      <c r="I756" s="64">
        <f>_xlfn.XLOOKUP(AP[[#This Row],[Supplier name]], Supplier_master[Supplier name], Supplier_master[Category L2], 0)</f>
        <v>0</v>
      </c>
      <c r="J756" s="55"/>
      <c r="K756" s="54"/>
      <c r="L756" s="57">
        <f>IF(AP[[#This Row],[Spend category L1 - Override]] &lt;&gt; "", AP[[#This Row],[Spend category L1 - Override]], AP[[#This Row],[Spend category L1]])</f>
        <v>0</v>
      </c>
      <c r="M756" s="57">
        <f>IF(AP[[#This Row],[Spend category L2 - Override]] &lt;&gt; "", AP[[#This Row],[Spend category L2 - Override]], AP[[#This Row],[Spend category L2]])</f>
        <v>0</v>
      </c>
      <c r="N756" s="51">
        <f>Assumptions!$D$15</f>
        <v>0.1</v>
      </c>
      <c r="O756" s="45">
        <f>IF(AP[[#This Row],[GST applies?]] = "Yes", (AP[[#This Row],[Invoice value inc. GST]] / 1 + AP[[#This Row],[GST %]]) * AP[[#This Row],[GST %]], 0)</f>
        <v>0</v>
      </c>
      <c r="P756" s="31">
        <f>_xlfn.XLOOKUP(AP[[#This Row],[Supplier name]], Supplier_master[Supplier name], Supplier_master[EOM or Net], 0)</f>
        <v>0</v>
      </c>
      <c r="Q756" s="31">
        <f>_xlfn.XLOOKUP(AP[[#This Row],[Supplier name]], Supplier_master[Supplier name], Supplier_master[Terms days], 0)</f>
        <v>0</v>
      </c>
      <c r="R7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6" s="4"/>
      <c r="T756" s="46">
        <f>IF(AP[[#This Row],[Payment date - override (dd/mm/yyyy)]] &lt;&gt; "", AP[[#This Row],[Payment date - override (dd/mm/yyyy)]], AP[[#This Row],[Due date (dd/mm/yyyy)]])</f>
        <v>0</v>
      </c>
      <c r="U756" s="46">
        <f t="shared" si="11"/>
        <v>52</v>
      </c>
    </row>
    <row r="757" spans="3:21" x14ac:dyDescent="0.25">
      <c r="C757" s="28"/>
      <c r="D757" s="20"/>
      <c r="E757" s="4"/>
      <c r="F757" s="37"/>
      <c r="G757" s="24"/>
      <c r="H757" s="31">
        <f>_xlfn.XLOOKUP(AP[[#This Row],[Supplier name]], Supplier_master[Supplier name], Supplier_master[Category L1], 0)</f>
        <v>0</v>
      </c>
      <c r="I757" s="64">
        <f>_xlfn.XLOOKUP(AP[[#This Row],[Supplier name]], Supplier_master[Supplier name], Supplier_master[Category L2], 0)</f>
        <v>0</v>
      </c>
      <c r="J757" s="55"/>
      <c r="K757" s="54"/>
      <c r="L757" s="57">
        <f>IF(AP[[#This Row],[Spend category L1 - Override]] &lt;&gt; "", AP[[#This Row],[Spend category L1 - Override]], AP[[#This Row],[Spend category L1]])</f>
        <v>0</v>
      </c>
      <c r="M757" s="57">
        <f>IF(AP[[#This Row],[Spend category L2 - Override]] &lt;&gt; "", AP[[#This Row],[Spend category L2 - Override]], AP[[#This Row],[Spend category L2]])</f>
        <v>0</v>
      </c>
      <c r="N757" s="51">
        <f>Assumptions!$D$15</f>
        <v>0.1</v>
      </c>
      <c r="O757" s="45">
        <f>IF(AP[[#This Row],[GST applies?]] = "Yes", (AP[[#This Row],[Invoice value inc. GST]] / 1 + AP[[#This Row],[GST %]]) * AP[[#This Row],[GST %]], 0)</f>
        <v>0</v>
      </c>
      <c r="P757" s="31">
        <f>_xlfn.XLOOKUP(AP[[#This Row],[Supplier name]], Supplier_master[Supplier name], Supplier_master[EOM or Net], 0)</f>
        <v>0</v>
      </c>
      <c r="Q757" s="31">
        <f>_xlfn.XLOOKUP(AP[[#This Row],[Supplier name]], Supplier_master[Supplier name], Supplier_master[Terms days], 0)</f>
        <v>0</v>
      </c>
      <c r="R7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7" s="4"/>
      <c r="T757" s="46">
        <f>IF(AP[[#This Row],[Payment date - override (dd/mm/yyyy)]] &lt;&gt; "", AP[[#This Row],[Payment date - override (dd/mm/yyyy)]], AP[[#This Row],[Due date (dd/mm/yyyy)]])</f>
        <v>0</v>
      </c>
      <c r="U757" s="46">
        <f t="shared" si="11"/>
        <v>52</v>
      </c>
    </row>
    <row r="758" spans="3:21" x14ac:dyDescent="0.25">
      <c r="C758" s="28"/>
      <c r="D758" s="20"/>
      <c r="E758" s="4"/>
      <c r="F758" s="37"/>
      <c r="G758" s="24"/>
      <c r="H758" s="31">
        <f>_xlfn.XLOOKUP(AP[[#This Row],[Supplier name]], Supplier_master[Supplier name], Supplier_master[Category L1], 0)</f>
        <v>0</v>
      </c>
      <c r="I758" s="64">
        <f>_xlfn.XLOOKUP(AP[[#This Row],[Supplier name]], Supplier_master[Supplier name], Supplier_master[Category L2], 0)</f>
        <v>0</v>
      </c>
      <c r="J758" s="55"/>
      <c r="K758" s="54"/>
      <c r="L758" s="57">
        <f>IF(AP[[#This Row],[Spend category L1 - Override]] &lt;&gt; "", AP[[#This Row],[Spend category L1 - Override]], AP[[#This Row],[Spend category L1]])</f>
        <v>0</v>
      </c>
      <c r="M758" s="57">
        <f>IF(AP[[#This Row],[Spend category L2 - Override]] &lt;&gt; "", AP[[#This Row],[Spend category L2 - Override]], AP[[#This Row],[Spend category L2]])</f>
        <v>0</v>
      </c>
      <c r="N758" s="51">
        <f>Assumptions!$D$15</f>
        <v>0.1</v>
      </c>
      <c r="O758" s="45">
        <f>IF(AP[[#This Row],[GST applies?]] = "Yes", (AP[[#This Row],[Invoice value inc. GST]] / 1 + AP[[#This Row],[GST %]]) * AP[[#This Row],[GST %]], 0)</f>
        <v>0</v>
      </c>
      <c r="P758" s="31">
        <f>_xlfn.XLOOKUP(AP[[#This Row],[Supplier name]], Supplier_master[Supplier name], Supplier_master[EOM or Net], 0)</f>
        <v>0</v>
      </c>
      <c r="Q758" s="31">
        <f>_xlfn.XLOOKUP(AP[[#This Row],[Supplier name]], Supplier_master[Supplier name], Supplier_master[Terms days], 0)</f>
        <v>0</v>
      </c>
      <c r="R7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8" s="4"/>
      <c r="T758" s="46">
        <f>IF(AP[[#This Row],[Payment date - override (dd/mm/yyyy)]] &lt;&gt; "", AP[[#This Row],[Payment date - override (dd/mm/yyyy)]], AP[[#This Row],[Due date (dd/mm/yyyy)]])</f>
        <v>0</v>
      </c>
      <c r="U758" s="46">
        <f t="shared" si="11"/>
        <v>52</v>
      </c>
    </row>
    <row r="759" spans="3:21" x14ac:dyDescent="0.25">
      <c r="C759" s="28"/>
      <c r="D759" s="20"/>
      <c r="E759" s="4"/>
      <c r="F759" s="37"/>
      <c r="G759" s="24"/>
      <c r="H759" s="31">
        <f>_xlfn.XLOOKUP(AP[[#This Row],[Supplier name]], Supplier_master[Supplier name], Supplier_master[Category L1], 0)</f>
        <v>0</v>
      </c>
      <c r="I759" s="64">
        <f>_xlfn.XLOOKUP(AP[[#This Row],[Supplier name]], Supplier_master[Supplier name], Supplier_master[Category L2], 0)</f>
        <v>0</v>
      </c>
      <c r="J759" s="55"/>
      <c r="K759" s="54"/>
      <c r="L759" s="57">
        <f>IF(AP[[#This Row],[Spend category L1 - Override]] &lt;&gt; "", AP[[#This Row],[Spend category L1 - Override]], AP[[#This Row],[Spend category L1]])</f>
        <v>0</v>
      </c>
      <c r="M759" s="57">
        <f>IF(AP[[#This Row],[Spend category L2 - Override]] &lt;&gt; "", AP[[#This Row],[Spend category L2 - Override]], AP[[#This Row],[Spend category L2]])</f>
        <v>0</v>
      </c>
      <c r="N759" s="51">
        <f>Assumptions!$D$15</f>
        <v>0.1</v>
      </c>
      <c r="O759" s="45">
        <f>IF(AP[[#This Row],[GST applies?]] = "Yes", (AP[[#This Row],[Invoice value inc. GST]] / 1 + AP[[#This Row],[GST %]]) * AP[[#This Row],[GST %]], 0)</f>
        <v>0</v>
      </c>
      <c r="P759" s="31">
        <f>_xlfn.XLOOKUP(AP[[#This Row],[Supplier name]], Supplier_master[Supplier name], Supplier_master[EOM or Net], 0)</f>
        <v>0</v>
      </c>
      <c r="Q759" s="31">
        <f>_xlfn.XLOOKUP(AP[[#This Row],[Supplier name]], Supplier_master[Supplier name], Supplier_master[Terms days], 0)</f>
        <v>0</v>
      </c>
      <c r="R7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9" s="4"/>
      <c r="T759" s="46">
        <f>IF(AP[[#This Row],[Payment date - override (dd/mm/yyyy)]] &lt;&gt; "", AP[[#This Row],[Payment date - override (dd/mm/yyyy)]], AP[[#This Row],[Due date (dd/mm/yyyy)]])</f>
        <v>0</v>
      </c>
      <c r="U759" s="46">
        <f t="shared" si="11"/>
        <v>52</v>
      </c>
    </row>
    <row r="760" spans="3:21" x14ac:dyDescent="0.25">
      <c r="C760" s="28"/>
      <c r="D760" s="20"/>
      <c r="E760" s="4"/>
      <c r="F760" s="37"/>
      <c r="G760" s="24"/>
      <c r="H760" s="31">
        <f>_xlfn.XLOOKUP(AP[[#This Row],[Supplier name]], Supplier_master[Supplier name], Supplier_master[Category L1], 0)</f>
        <v>0</v>
      </c>
      <c r="I760" s="64">
        <f>_xlfn.XLOOKUP(AP[[#This Row],[Supplier name]], Supplier_master[Supplier name], Supplier_master[Category L2], 0)</f>
        <v>0</v>
      </c>
      <c r="J760" s="55"/>
      <c r="K760" s="54"/>
      <c r="L760" s="57">
        <f>IF(AP[[#This Row],[Spend category L1 - Override]] &lt;&gt; "", AP[[#This Row],[Spend category L1 - Override]], AP[[#This Row],[Spend category L1]])</f>
        <v>0</v>
      </c>
      <c r="M760" s="57">
        <f>IF(AP[[#This Row],[Spend category L2 - Override]] &lt;&gt; "", AP[[#This Row],[Spend category L2 - Override]], AP[[#This Row],[Spend category L2]])</f>
        <v>0</v>
      </c>
      <c r="N760" s="51">
        <f>Assumptions!$D$15</f>
        <v>0.1</v>
      </c>
      <c r="O760" s="45">
        <f>IF(AP[[#This Row],[GST applies?]] = "Yes", (AP[[#This Row],[Invoice value inc. GST]] / 1 + AP[[#This Row],[GST %]]) * AP[[#This Row],[GST %]], 0)</f>
        <v>0</v>
      </c>
      <c r="P760" s="31">
        <f>_xlfn.XLOOKUP(AP[[#This Row],[Supplier name]], Supplier_master[Supplier name], Supplier_master[EOM or Net], 0)</f>
        <v>0</v>
      </c>
      <c r="Q760" s="31">
        <f>_xlfn.XLOOKUP(AP[[#This Row],[Supplier name]], Supplier_master[Supplier name], Supplier_master[Terms days], 0)</f>
        <v>0</v>
      </c>
      <c r="R7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0" s="4"/>
      <c r="T760" s="46">
        <f>IF(AP[[#This Row],[Payment date - override (dd/mm/yyyy)]] &lt;&gt; "", AP[[#This Row],[Payment date - override (dd/mm/yyyy)]], AP[[#This Row],[Due date (dd/mm/yyyy)]])</f>
        <v>0</v>
      </c>
      <c r="U760" s="46">
        <f t="shared" si="11"/>
        <v>52</v>
      </c>
    </row>
    <row r="761" spans="3:21" x14ac:dyDescent="0.25">
      <c r="C761" s="28"/>
      <c r="D761" s="20"/>
      <c r="E761" s="4"/>
      <c r="F761" s="37"/>
      <c r="G761" s="24"/>
      <c r="H761" s="31">
        <f>_xlfn.XLOOKUP(AP[[#This Row],[Supplier name]], Supplier_master[Supplier name], Supplier_master[Category L1], 0)</f>
        <v>0</v>
      </c>
      <c r="I761" s="64">
        <f>_xlfn.XLOOKUP(AP[[#This Row],[Supplier name]], Supplier_master[Supplier name], Supplier_master[Category L2], 0)</f>
        <v>0</v>
      </c>
      <c r="J761" s="55"/>
      <c r="K761" s="54"/>
      <c r="L761" s="57">
        <f>IF(AP[[#This Row],[Spend category L1 - Override]] &lt;&gt; "", AP[[#This Row],[Spend category L1 - Override]], AP[[#This Row],[Spend category L1]])</f>
        <v>0</v>
      </c>
      <c r="M761" s="57">
        <f>IF(AP[[#This Row],[Spend category L2 - Override]] &lt;&gt; "", AP[[#This Row],[Spend category L2 - Override]], AP[[#This Row],[Spend category L2]])</f>
        <v>0</v>
      </c>
      <c r="N761" s="51">
        <f>Assumptions!$D$15</f>
        <v>0.1</v>
      </c>
      <c r="O761" s="45">
        <f>IF(AP[[#This Row],[GST applies?]] = "Yes", (AP[[#This Row],[Invoice value inc. GST]] / 1 + AP[[#This Row],[GST %]]) * AP[[#This Row],[GST %]], 0)</f>
        <v>0</v>
      </c>
      <c r="P761" s="31">
        <f>_xlfn.XLOOKUP(AP[[#This Row],[Supplier name]], Supplier_master[Supplier name], Supplier_master[EOM or Net], 0)</f>
        <v>0</v>
      </c>
      <c r="Q761" s="31">
        <f>_xlfn.XLOOKUP(AP[[#This Row],[Supplier name]], Supplier_master[Supplier name], Supplier_master[Terms days], 0)</f>
        <v>0</v>
      </c>
      <c r="R7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1" s="4"/>
      <c r="T761" s="46">
        <f>IF(AP[[#This Row],[Payment date - override (dd/mm/yyyy)]] &lt;&gt; "", AP[[#This Row],[Payment date - override (dd/mm/yyyy)]], AP[[#This Row],[Due date (dd/mm/yyyy)]])</f>
        <v>0</v>
      </c>
      <c r="U761" s="46">
        <f t="shared" si="11"/>
        <v>52</v>
      </c>
    </row>
    <row r="762" spans="3:21" x14ac:dyDescent="0.25">
      <c r="C762" s="28"/>
      <c r="D762" s="20"/>
      <c r="E762" s="4"/>
      <c r="F762" s="37"/>
      <c r="G762" s="24"/>
      <c r="H762" s="31">
        <f>_xlfn.XLOOKUP(AP[[#This Row],[Supplier name]], Supplier_master[Supplier name], Supplier_master[Category L1], 0)</f>
        <v>0</v>
      </c>
      <c r="I762" s="64">
        <f>_xlfn.XLOOKUP(AP[[#This Row],[Supplier name]], Supplier_master[Supplier name], Supplier_master[Category L2], 0)</f>
        <v>0</v>
      </c>
      <c r="J762" s="55"/>
      <c r="K762" s="54"/>
      <c r="L762" s="57">
        <f>IF(AP[[#This Row],[Spend category L1 - Override]] &lt;&gt; "", AP[[#This Row],[Spend category L1 - Override]], AP[[#This Row],[Spend category L1]])</f>
        <v>0</v>
      </c>
      <c r="M762" s="57">
        <f>IF(AP[[#This Row],[Spend category L2 - Override]] &lt;&gt; "", AP[[#This Row],[Spend category L2 - Override]], AP[[#This Row],[Spend category L2]])</f>
        <v>0</v>
      </c>
      <c r="N762" s="51">
        <f>Assumptions!$D$15</f>
        <v>0.1</v>
      </c>
      <c r="O762" s="45">
        <f>IF(AP[[#This Row],[GST applies?]] = "Yes", (AP[[#This Row],[Invoice value inc. GST]] / 1 + AP[[#This Row],[GST %]]) * AP[[#This Row],[GST %]], 0)</f>
        <v>0</v>
      </c>
      <c r="P762" s="31">
        <f>_xlfn.XLOOKUP(AP[[#This Row],[Supplier name]], Supplier_master[Supplier name], Supplier_master[EOM or Net], 0)</f>
        <v>0</v>
      </c>
      <c r="Q762" s="31">
        <f>_xlfn.XLOOKUP(AP[[#This Row],[Supplier name]], Supplier_master[Supplier name], Supplier_master[Terms days], 0)</f>
        <v>0</v>
      </c>
      <c r="R7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2" s="4"/>
      <c r="T762" s="46">
        <f>IF(AP[[#This Row],[Payment date - override (dd/mm/yyyy)]] &lt;&gt; "", AP[[#This Row],[Payment date - override (dd/mm/yyyy)]], AP[[#This Row],[Due date (dd/mm/yyyy)]])</f>
        <v>0</v>
      </c>
      <c r="U762" s="46">
        <f t="shared" si="11"/>
        <v>52</v>
      </c>
    </row>
    <row r="763" spans="3:21" x14ac:dyDescent="0.25">
      <c r="C763" s="28"/>
      <c r="D763" s="20"/>
      <c r="E763" s="4"/>
      <c r="F763" s="37"/>
      <c r="G763" s="24"/>
      <c r="H763" s="31">
        <f>_xlfn.XLOOKUP(AP[[#This Row],[Supplier name]], Supplier_master[Supplier name], Supplier_master[Category L1], 0)</f>
        <v>0</v>
      </c>
      <c r="I763" s="64">
        <f>_xlfn.XLOOKUP(AP[[#This Row],[Supplier name]], Supplier_master[Supplier name], Supplier_master[Category L2], 0)</f>
        <v>0</v>
      </c>
      <c r="J763" s="55"/>
      <c r="K763" s="54"/>
      <c r="L763" s="57">
        <f>IF(AP[[#This Row],[Spend category L1 - Override]] &lt;&gt; "", AP[[#This Row],[Spend category L1 - Override]], AP[[#This Row],[Spend category L1]])</f>
        <v>0</v>
      </c>
      <c r="M763" s="57">
        <f>IF(AP[[#This Row],[Spend category L2 - Override]] &lt;&gt; "", AP[[#This Row],[Spend category L2 - Override]], AP[[#This Row],[Spend category L2]])</f>
        <v>0</v>
      </c>
      <c r="N763" s="51">
        <f>Assumptions!$D$15</f>
        <v>0.1</v>
      </c>
      <c r="O763" s="45">
        <f>IF(AP[[#This Row],[GST applies?]] = "Yes", (AP[[#This Row],[Invoice value inc. GST]] / 1 + AP[[#This Row],[GST %]]) * AP[[#This Row],[GST %]], 0)</f>
        <v>0</v>
      </c>
      <c r="P763" s="31">
        <f>_xlfn.XLOOKUP(AP[[#This Row],[Supplier name]], Supplier_master[Supplier name], Supplier_master[EOM or Net], 0)</f>
        <v>0</v>
      </c>
      <c r="Q763" s="31">
        <f>_xlfn.XLOOKUP(AP[[#This Row],[Supplier name]], Supplier_master[Supplier name], Supplier_master[Terms days], 0)</f>
        <v>0</v>
      </c>
      <c r="R7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3" s="4"/>
      <c r="T763" s="46">
        <f>IF(AP[[#This Row],[Payment date - override (dd/mm/yyyy)]] &lt;&gt; "", AP[[#This Row],[Payment date - override (dd/mm/yyyy)]], AP[[#This Row],[Due date (dd/mm/yyyy)]])</f>
        <v>0</v>
      </c>
      <c r="U763" s="46">
        <f t="shared" si="11"/>
        <v>52</v>
      </c>
    </row>
    <row r="764" spans="3:21" x14ac:dyDescent="0.25">
      <c r="C764" s="28"/>
      <c r="D764" s="20"/>
      <c r="E764" s="4"/>
      <c r="F764" s="37"/>
      <c r="G764" s="24"/>
      <c r="H764" s="31">
        <f>_xlfn.XLOOKUP(AP[[#This Row],[Supplier name]], Supplier_master[Supplier name], Supplier_master[Category L1], 0)</f>
        <v>0</v>
      </c>
      <c r="I764" s="64">
        <f>_xlfn.XLOOKUP(AP[[#This Row],[Supplier name]], Supplier_master[Supplier name], Supplier_master[Category L2], 0)</f>
        <v>0</v>
      </c>
      <c r="J764" s="55"/>
      <c r="K764" s="54"/>
      <c r="L764" s="57">
        <f>IF(AP[[#This Row],[Spend category L1 - Override]] &lt;&gt; "", AP[[#This Row],[Spend category L1 - Override]], AP[[#This Row],[Spend category L1]])</f>
        <v>0</v>
      </c>
      <c r="M764" s="57">
        <f>IF(AP[[#This Row],[Spend category L2 - Override]] &lt;&gt; "", AP[[#This Row],[Spend category L2 - Override]], AP[[#This Row],[Spend category L2]])</f>
        <v>0</v>
      </c>
      <c r="N764" s="51">
        <f>Assumptions!$D$15</f>
        <v>0.1</v>
      </c>
      <c r="O764" s="45">
        <f>IF(AP[[#This Row],[GST applies?]] = "Yes", (AP[[#This Row],[Invoice value inc. GST]] / 1 + AP[[#This Row],[GST %]]) * AP[[#This Row],[GST %]], 0)</f>
        <v>0</v>
      </c>
      <c r="P764" s="31">
        <f>_xlfn.XLOOKUP(AP[[#This Row],[Supplier name]], Supplier_master[Supplier name], Supplier_master[EOM or Net], 0)</f>
        <v>0</v>
      </c>
      <c r="Q764" s="31">
        <f>_xlfn.XLOOKUP(AP[[#This Row],[Supplier name]], Supplier_master[Supplier name], Supplier_master[Terms days], 0)</f>
        <v>0</v>
      </c>
      <c r="R7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4" s="4"/>
      <c r="T764" s="46">
        <f>IF(AP[[#This Row],[Payment date - override (dd/mm/yyyy)]] &lt;&gt; "", AP[[#This Row],[Payment date - override (dd/mm/yyyy)]], AP[[#This Row],[Due date (dd/mm/yyyy)]])</f>
        <v>0</v>
      </c>
      <c r="U764" s="46">
        <f t="shared" si="11"/>
        <v>52</v>
      </c>
    </row>
    <row r="765" spans="3:21" x14ac:dyDescent="0.25">
      <c r="C765" s="28"/>
      <c r="D765" s="20"/>
      <c r="E765" s="4"/>
      <c r="F765" s="37"/>
      <c r="G765" s="24"/>
      <c r="H765" s="31">
        <f>_xlfn.XLOOKUP(AP[[#This Row],[Supplier name]], Supplier_master[Supplier name], Supplier_master[Category L1], 0)</f>
        <v>0</v>
      </c>
      <c r="I765" s="64">
        <f>_xlfn.XLOOKUP(AP[[#This Row],[Supplier name]], Supplier_master[Supplier name], Supplier_master[Category L2], 0)</f>
        <v>0</v>
      </c>
      <c r="J765" s="55"/>
      <c r="K765" s="54"/>
      <c r="L765" s="57">
        <f>IF(AP[[#This Row],[Spend category L1 - Override]] &lt;&gt; "", AP[[#This Row],[Spend category L1 - Override]], AP[[#This Row],[Spend category L1]])</f>
        <v>0</v>
      </c>
      <c r="M765" s="57">
        <f>IF(AP[[#This Row],[Spend category L2 - Override]] &lt;&gt; "", AP[[#This Row],[Spend category L2 - Override]], AP[[#This Row],[Spend category L2]])</f>
        <v>0</v>
      </c>
      <c r="N765" s="51">
        <f>Assumptions!$D$15</f>
        <v>0.1</v>
      </c>
      <c r="O765" s="45">
        <f>IF(AP[[#This Row],[GST applies?]] = "Yes", (AP[[#This Row],[Invoice value inc. GST]] / 1 + AP[[#This Row],[GST %]]) * AP[[#This Row],[GST %]], 0)</f>
        <v>0</v>
      </c>
      <c r="P765" s="31">
        <f>_xlfn.XLOOKUP(AP[[#This Row],[Supplier name]], Supplier_master[Supplier name], Supplier_master[EOM or Net], 0)</f>
        <v>0</v>
      </c>
      <c r="Q765" s="31">
        <f>_xlfn.XLOOKUP(AP[[#This Row],[Supplier name]], Supplier_master[Supplier name], Supplier_master[Terms days], 0)</f>
        <v>0</v>
      </c>
      <c r="R7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5" s="4"/>
      <c r="T765" s="46">
        <f>IF(AP[[#This Row],[Payment date - override (dd/mm/yyyy)]] &lt;&gt; "", AP[[#This Row],[Payment date - override (dd/mm/yyyy)]], AP[[#This Row],[Due date (dd/mm/yyyy)]])</f>
        <v>0</v>
      </c>
      <c r="U765" s="46">
        <f t="shared" si="11"/>
        <v>52</v>
      </c>
    </row>
    <row r="766" spans="3:21" x14ac:dyDescent="0.25">
      <c r="C766" s="28"/>
      <c r="D766" s="20"/>
      <c r="E766" s="4"/>
      <c r="F766" s="37"/>
      <c r="G766" s="24"/>
      <c r="H766" s="31">
        <f>_xlfn.XLOOKUP(AP[[#This Row],[Supplier name]], Supplier_master[Supplier name], Supplier_master[Category L1], 0)</f>
        <v>0</v>
      </c>
      <c r="I766" s="64">
        <f>_xlfn.XLOOKUP(AP[[#This Row],[Supplier name]], Supplier_master[Supplier name], Supplier_master[Category L2], 0)</f>
        <v>0</v>
      </c>
      <c r="J766" s="55"/>
      <c r="K766" s="54"/>
      <c r="L766" s="57">
        <f>IF(AP[[#This Row],[Spend category L1 - Override]] &lt;&gt; "", AP[[#This Row],[Spend category L1 - Override]], AP[[#This Row],[Spend category L1]])</f>
        <v>0</v>
      </c>
      <c r="M766" s="57">
        <f>IF(AP[[#This Row],[Spend category L2 - Override]] &lt;&gt; "", AP[[#This Row],[Spend category L2 - Override]], AP[[#This Row],[Spend category L2]])</f>
        <v>0</v>
      </c>
      <c r="N766" s="51">
        <f>Assumptions!$D$15</f>
        <v>0.1</v>
      </c>
      <c r="O766" s="45">
        <f>IF(AP[[#This Row],[GST applies?]] = "Yes", (AP[[#This Row],[Invoice value inc. GST]] / 1 + AP[[#This Row],[GST %]]) * AP[[#This Row],[GST %]], 0)</f>
        <v>0</v>
      </c>
      <c r="P766" s="31">
        <f>_xlfn.XLOOKUP(AP[[#This Row],[Supplier name]], Supplier_master[Supplier name], Supplier_master[EOM or Net], 0)</f>
        <v>0</v>
      </c>
      <c r="Q766" s="31">
        <f>_xlfn.XLOOKUP(AP[[#This Row],[Supplier name]], Supplier_master[Supplier name], Supplier_master[Terms days], 0)</f>
        <v>0</v>
      </c>
      <c r="R7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6" s="4"/>
      <c r="T766" s="46">
        <f>IF(AP[[#This Row],[Payment date - override (dd/mm/yyyy)]] &lt;&gt; "", AP[[#This Row],[Payment date - override (dd/mm/yyyy)]], AP[[#This Row],[Due date (dd/mm/yyyy)]])</f>
        <v>0</v>
      </c>
      <c r="U766" s="46">
        <f t="shared" si="11"/>
        <v>52</v>
      </c>
    </row>
    <row r="767" spans="3:21" x14ac:dyDescent="0.25">
      <c r="C767" s="28"/>
      <c r="D767" s="20"/>
      <c r="E767" s="4"/>
      <c r="F767" s="37"/>
      <c r="G767" s="24"/>
      <c r="H767" s="31">
        <f>_xlfn.XLOOKUP(AP[[#This Row],[Supplier name]], Supplier_master[Supplier name], Supplier_master[Category L1], 0)</f>
        <v>0</v>
      </c>
      <c r="I767" s="64">
        <f>_xlfn.XLOOKUP(AP[[#This Row],[Supplier name]], Supplier_master[Supplier name], Supplier_master[Category L2], 0)</f>
        <v>0</v>
      </c>
      <c r="J767" s="55"/>
      <c r="K767" s="54"/>
      <c r="L767" s="57">
        <f>IF(AP[[#This Row],[Spend category L1 - Override]] &lt;&gt; "", AP[[#This Row],[Spend category L1 - Override]], AP[[#This Row],[Spend category L1]])</f>
        <v>0</v>
      </c>
      <c r="M767" s="57">
        <f>IF(AP[[#This Row],[Spend category L2 - Override]] &lt;&gt; "", AP[[#This Row],[Spend category L2 - Override]], AP[[#This Row],[Spend category L2]])</f>
        <v>0</v>
      </c>
      <c r="N767" s="51">
        <f>Assumptions!$D$15</f>
        <v>0.1</v>
      </c>
      <c r="O767" s="45">
        <f>IF(AP[[#This Row],[GST applies?]] = "Yes", (AP[[#This Row],[Invoice value inc. GST]] / 1 + AP[[#This Row],[GST %]]) * AP[[#This Row],[GST %]], 0)</f>
        <v>0</v>
      </c>
      <c r="P767" s="31">
        <f>_xlfn.XLOOKUP(AP[[#This Row],[Supplier name]], Supplier_master[Supplier name], Supplier_master[EOM or Net], 0)</f>
        <v>0</v>
      </c>
      <c r="Q767" s="31">
        <f>_xlfn.XLOOKUP(AP[[#This Row],[Supplier name]], Supplier_master[Supplier name], Supplier_master[Terms days], 0)</f>
        <v>0</v>
      </c>
      <c r="R7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7" s="4"/>
      <c r="T767" s="46">
        <f>IF(AP[[#This Row],[Payment date - override (dd/mm/yyyy)]] &lt;&gt; "", AP[[#This Row],[Payment date - override (dd/mm/yyyy)]], AP[[#This Row],[Due date (dd/mm/yyyy)]])</f>
        <v>0</v>
      </c>
      <c r="U767" s="46">
        <f t="shared" si="11"/>
        <v>52</v>
      </c>
    </row>
    <row r="768" spans="3:21" x14ac:dyDescent="0.25">
      <c r="C768" s="28"/>
      <c r="D768" s="20"/>
      <c r="E768" s="4"/>
      <c r="F768" s="37"/>
      <c r="G768" s="24"/>
      <c r="H768" s="31">
        <f>_xlfn.XLOOKUP(AP[[#This Row],[Supplier name]], Supplier_master[Supplier name], Supplier_master[Category L1], 0)</f>
        <v>0</v>
      </c>
      <c r="I768" s="64">
        <f>_xlfn.XLOOKUP(AP[[#This Row],[Supplier name]], Supplier_master[Supplier name], Supplier_master[Category L2], 0)</f>
        <v>0</v>
      </c>
      <c r="J768" s="55"/>
      <c r="K768" s="54"/>
      <c r="L768" s="57">
        <f>IF(AP[[#This Row],[Spend category L1 - Override]] &lt;&gt; "", AP[[#This Row],[Spend category L1 - Override]], AP[[#This Row],[Spend category L1]])</f>
        <v>0</v>
      </c>
      <c r="M768" s="57">
        <f>IF(AP[[#This Row],[Spend category L2 - Override]] &lt;&gt; "", AP[[#This Row],[Spend category L2 - Override]], AP[[#This Row],[Spend category L2]])</f>
        <v>0</v>
      </c>
      <c r="N768" s="51">
        <f>Assumptions!$D$15</f>
        <v>0.1</v>
      </c>
      <c r="O768" s="45">
        <f>IF(AP[[#This Row],[GST applies?]] = "Yes", (AP[[#This Row],[Invoice value inc. GST]] / 1 + AP[[#This Row],[GST %]]) * AP[[#This Row],[GST %]], 0)</f>
        <v>0</v>
      </c>
      <c r="P768" s="31">
        <f>_xlfn.XLOOKUP(AP[[#This Row],[Supplier name]], Supplier_master[Supplier name], Supplier_master[EOM or Net], 0)</f>
        <v>0</v>
      </c>
      <c r="Q768" s="31">
        <f>_xlfn.XLOOKUP(AP[[#This Row],[Supplier name]], Supplier_master[Supplier name], Supplier_master[Terms days], 0)</f>
        <v>0</v>
      </c>
      <c r="R7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8" s="4"/>
      <c r="T768" s="46">
        <f>IF(AP[[#This Row],[Payment date - override (dd/mm/yyyy)]] &lt;&gt; "", AP[[#This Row],[Payment date - override (dd/mm/yyyy)]], AP[[#This Row],[Due date (dd/mm/yyyy)]])</f>
        <v>0</v>
      </c>
      <c r="U768" s="46">
        <f t="shared" si="11"/>
        <v>52</v>
      </c>
    </row>
    <row r="769" spans="3:21" x14ac:dyDescent="0.25">
      <c r="C769" s="28"/>
      <c r="D769" s="20"/>
      <c r="E769" s="4"/>
      <c r="F769" s="37"/>
      <c r="G769" s="24"/>
      <c r="H769" s="31">
        <f>_xlfn.XLOOKUP(AP[[#This Row],[Supplier name]], Supplier_master[Supplier name], Supplier_master[Category L1], 0)</f>
        <v>0</v>
      </c>
      <c r="I769" s="64">
        <f>_xlfn.XLOOKUP(AP[[#This Row],[Supplier name]], Supplier_master[Supplier name], Supplier_master[Category L2], 0)</f>
        <v>0</v>
      </c>
      <c r="J769" s="55"/>
      <c r="K769" s="54"/>
      <c r="L769" s="57">
        <f>IF(AP[[#This Row],[Spend category L1 - Override]] &lt;&gt; "", AP[[#This Row],[Spend category L1 - Override]], AP[[#This Row],[Spend category L1]])</f>
        <v>0</v>
      </c>
      <c r="M769" s="57">
        <f>IF(AP[[#This Row],[Spend category L2 - Override]] &lt;&gt; "", AP[[#This Row],[Spend category L2 - Override]], AP[[#This Row],[Spend category L2]])</f>
        <v>0</v>
      </c>
      <c r="N769" s="51">
        <f>Assumptions!$D$15</f>
        <v>0.1</v>
      </c>
      <c r="O769" s="45">
        <f>IF(AP[[#This Row],[GST applies?]] = "Yes", (AP[[#This Row],[Invoice value inc. GST]] / 1 + AP[[#This Row],[GST %]]) * AP[[#This Row],[GST %]], 0)</f>
        <v>0</v>
      </c>
      <c r="P769" s="31">
        <f>_xlfn.XLOOKUP(AP[[#This Row],[Supplier name]], Supplier_master[Supplier name], Supplier_master[EOM or Net], 0)</f>
        <v>0</v>
      </c>
      <c r="Q769" s="31">
        <f>_xlfn.XLOOKUP(AP[[#This Row],[Supplier name]], Supplier_master[Supplier name], Supplier_master[Terms days], 0)</f>
        <v>0</v>
      </c>
      <c r="R7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9" s="4"/>
      <c r="T769" s="46">
        <f>IF(AP[[#This Row],[Payment date - override (dd/mm/yyyy)]] &lt;&gt; "", AP[[#This Row],[Payment date - override (dd/mm/yyyy)]], AP[[#This Row],[Due date (dd/mm/yyyy)]])</f>
        <v>0</v>
      </c>
      <c r="U769" s="46">
        <f t="shared" si="11"/>
        <v>52</v>
      </c>
    </row>
    <row r="770" spans="3:21" x14ac:dyDescent="0.25">
      <c r="C770" s="28"/>
      <c r="D770" s="20"/>
      <c r="E770" s="4"/>
      <c r="F770" s="37"/>
      <c r="G770" s="24"/>
      <c r="H770" s="31">
        <f>_xlfn.XLOOKUP(AP[[#This Row],[Supplier name]], Supplier_master[Supplier name], Supplier_master[Category L1], 0)</f>
        <v>0</v>
      </c>
      <c r="I770" s="64">
        <f>_xlfn.XLOOKUP(AP[[#This Row],[Supplier name]], Supplier_master[Supplier name], Supplier_master[Category L2], 0)</f>
        <v>0</v>
      </c>
      <c r="J770" s="55"/>
      <c r="K770" s="54"/>
      <c r="L770" s="57">
        <f>IF(AP[[#This Row],[Spend category L1 - Override]] &lt;&gt; "", AP[[#This Row],[Spend category L1 - Override]], AP[[#This Row],[Spend category L1]])</f>
        <v>0</v>
      </c>
      <c r="M770" s="57">
        <f>IF(AP[[#This Row],[Spend category L2 - Override]] &lt;&gt; "", AP[[#This Row],[Spend category L2 - Override]], AP[[#This Row],[Spend category L2]])</f>
        <v>0</v>
      </c>
      <c r="N770" s="51">
        <f>Assumptions!$D$15</f>
        <v>0.1</v>
      </c>
      <c r="O770" s="45">
        <f>IF(AP[[#This Row],[GST applies?]] = "Yes", (AP[[#This Row],[Invoice value inc. GST]] / 1 + AP[[#This Row],[GST %]]) * AP[[#This Row],[GST %]], 0)</f>
        <v>0</v>
      </c>
      <c r="P770" s="31">
        <f>_xlfn.XLOOKUP(AP[[#This Row],[Supplier name]], Supplier_master[Supplier name], Supplier_master[EOM or Net], 0)</f>
        <v>0</v>
      </c>
      <c r="Q770" s="31">
        <f>_xlfn.XLOOKUP(AP[[#This Row],[Supplier name]], Supplier_master[Supplier name], Supplier_master[Terms days], 0)</f>
        <v>0</v>
      </c>
      <c r="R7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0" s="4"/>
      <c r="T770" s="46">
        <f>IF(AP[[#This Row],[Payment date - override (dd/mm/yyyy)]] &lt;&gt; "", AP[[#This Row],[Payment date - override (dd/mm/yyyy)]], AP[[#This Row],[Due date (dd/mm/yyyy)]])</f>
        <v>0</v>
      </c>
      <c r="U770" s="46">
        <f t="shared" si="11"/>
        <v>52</v>
      </c>
    </row>
    <row r="771" spans="3:21" x14ac:dyDescent="0.25">
      <c r="C771" s="28"/>
      <c r="D771" s="20"/>
      <c r="E771" s="4"/>
      <c r="F771" s="37"/>
      <c r="G771" s="24"/>
      <c r="H771" s="31">
        <f>_xlfn.XLOOKUP(AP[[#This Row],[Supplier name]], Supplier_master[Supplier name], Supplier_master[Category L1], 0)</f>
        <v>0</v>
      </c>
      <c r="I771" s="64">
        <f>_xlfn.XLOOKUP(AP[[#This Row],[Supplier name]], Supplier_master[Supplier name], Supplier_master[Category L2], 0)</f>
        <v>0</v>
      </c>
      <c r="J771" s="55"/>
      <c r="K771" s="54"/>
      <c r="L771" s="57">
        <f>IF(AP[[#This Row],[Spend category L1 - Override]] &lt;&gt; "", AP[[#This Row],[Spend category L1 - Override]], AP[[#This Row],[Spend category L1]])</f>
        <v>0</v>
      </c>
      <c r="M771" s="57">
        <f>IF(AP[[#This Row],[Spend category L2 - Override]] &lt;&gt; "", AP[[#This Row],[Spend category L2 - Override]], AP[[#This Row],[Spend category L2]])</f>
        <v>0</v>
      </c>
      <c r="N771" s="51">
        <f>Assumptions!$D$15</f>
        <v>0.1</v>
      </c>
      <c r="O771" s="45">
        <f>IF(AP[[#This Row],[GST applies?]] = "Yes", (AP[[#This Row],[Invoice value inc. GST]] / 1 + AP[[#This Row],[GST %]]) * AP[[#This Row],[GST %]], 0)</f>
        <v>0</v>
      </c>
      <c r="P771" s="31">
        <f>_xlfn.XLOOKUP(AP[[#This Row],[Supplier name]], Supplier_master[Supplier name], Supplier_master[EOM or Net], 0)</f>
        <v>0</v>
      </c>
      <c r="Q771" s="31">
        <f>_xlfn.XLOOKUP(AP[[#This Row],[Supplier name]], Supplier_master[Supplier name], Supplier_master[Terms days], 0)</f>
        <v>0</v>
      </c>
      <c r="R7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1" s="4"/>
      <c r="T771" s="46">
        <f>IF(AP[[#This Row],[Payment date - override (dd/mm/yyyy)]] &lt;&gt; "", AP[[#This Row],[Payment date - override (dd/mm/yyyy)]], AP[[#This Row],[Due date (dd/mm/yyyy)]])</f>
        <v>0</v>
      </c>
      <c r="U771" s="46">
        <f t="shared" si="11"/>
        <v>52</v>
      </c>
    </row>
    <row r="772" spans="3:21" x14ac:dyDescent="0.25">
      <c r="C772" s="28"/>
      <c r="D772" s="20"/>
      <c r="E772" s="4"/>
      <c r="F772" s="37"/>
      <c r="G772" s="24"/>
      <c r="H772" s="31">
        <f>_xlfn.XLOOKUP(AP[[#This Row],[Supplier name]], Supplier_master[Supplier name], Supplier_master[Category L1], 0)</f>
        <v>0</v>
      </c>
      <c r="I772" s="64">
        <f>_xlfn.XLOOKUP(AP[[#This Row],[Supplier name]], Supplier_master[Supplier name], Supplier_master[Category L2], 0)</f>
        <v>0</v>
      </c>
      <c r="J772" s="55"/>
      <c r="K772" s="54"/>
      <c r="L772" s="57">
        <f>IF(AP[[#This Row],[Spend category L1 - Override]] &lt;&gt; "", AP[[#This Row],[Spend category L1 - Override]], AP[[#This Row],[Spend category L1]])</f>
        <v>0</v>
      </c>
      <c r="M772" s="57">
        <f>IF(AP[[#This Row],[Spend category L2 - Override]] &lt;&gt; "", AP[[#This Row],[Spend category L2 - Override]], AP[[#This Row],[Spend category L2]])</f>
        <v>0</v>
      </c>
      <c r="N772" s="51">
        <f>Assumptions!$D$15</f>
        <v>0.1</v>
      </c>
      <c r="O772" s="45">
        <f>IF(AP[[#This Row],[GST applies?]] = "Yes", (AP[[#This Row],[Invoice value inc. GST]] / 1 + AP[[#This Row],[GST %]]) * AP[[#This Row],[GST %]], 0)</f>
        <v>0</v>
      </c>
      <c r="P772" s="31">
        <f>_xlfn.XLOOKUP(AP[[#This Row],[Supplier name]], Supplier_master[Supplier name], Supplier_master[EOM or Net], 0)</f>
        <v>0</v>
      </c>
      <c r="Q772" s="31">
        <f>_xlfn.XLOOKUP(AP[[#This Row],[Supplier name]], Supplier_master[Supplier name], Supplier_master[Terms days], 0)</f>
        <v>0</v>
      </c>
      <c r="R7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2" s="4"/>
      <c r="T772" s="46">
        <f>IF(AP[[#This Row],[Payment date - override (dd/mm/yyyy)]] &lt;&gt; "", AP[[#This Row],[Payment date - override (dd/mm/yyyy)]], AP[[#This Row],[Due date (dd/mm/yyyy)]])</f>
        <v>0</v>
      </c>
      <c r="U772" s="46">
        <f t="shared" si="11"/>
        <v>52</v>
      </c>
    </row>
    <row r="773" spans="3:21" x14ac:dyDescent="0.25">
      <c r="C773" s="28"/>
      <c r="D773" s="20"/>
      <c r="E773" s="4"/>
      <c r="F773" s="37"/>
      <c r="G773" s="24"/>
      <c r="H773" s="31">
        <f>_xlfn.XLOOKUP(AP[[#This Row],[Supplier name]], Supplier_master[Supplier name], Supplier_master[Category L1], 0)</f>
        <v>0</v>
      </c>
      <c r="I773" s="64">
        <f>_xlfn.XLOOKUP(AP[[#This Row],[Supplier name]], Supplier_master[Supplier name], Supplier_master[Category L2], 0)</f>
        <v>0</v>
      </c>
      <c r="J773" s="55"/>
      <c r="K773" s="54"/>
      <c r="L773" s="57">
        <f>IF(AP[[#This Row],[Spend category L1 - Override]] &lt;&gt; "", AP[[#This Row],[Spend category L1 - Override]], AP[[#This Row],[Spend category L1]])</f>
        <v>0</v>
      </c>
      <c r="M773" s="57">
        <f>IF(AP[[#This Row],[Spend category L2 - Override]] &lt;&gt; "", AP[[#This Row],[Spend category L2 - Override]], AP[[#This Row],[Spend category L2]])</f>
        <v>0</v>
      </c>
      <c r="N773" s="51">
        <f>Assumptions!$D$15</f>
        <v>0.1</v>
      </c>
      <c r="O773" s="45">
        <f>IF(AP[[#This Row],[GST applies?]] = "Yes", (AP[[#This Row],[Invoice value inc. GST]] / 1 + AP[[#This Row],[GST %]]) * AP[[#This Row],[GST %]], 0)</f>
        <v>0</v>
      </c>
      <c r="P773" s="31">
        <f>_xlfn.XLOOKUP(AP[[#This Row],[Supplier name]], Supplier_master[Supplier name], Supplier_master[EOM or Net], 0)</f>
        <v>0</v>
      </c>
      <c r="Q773" s="31">
        <f>_xlfn.XLOOKUP(AP[[#This Row],[Supplier name]], Supplier_master[Supplier name], Supplier_master[Terms days], 0)</f>
        <v>0</v>
      </c>
      <c r="R7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3" s="4"/>
      <c r="T773" s="46">
        <f>IF(AP[[#This Row],[Payment date - override (dd/mm/yyyy)]] &lt;&gt; "", AP[[#This Row],[Payment date - override (dd/mm/yyyy)]], AP[[#This Row],[Due date (dd/mm/yyyy)]])</f>
        <v>0</v>
      </c>
      <c r="U773" s="46">
        <f t="shared" si="11"/>
        <v>52</v>
      </c>
    </row>
    <row r="774" spans="3:21" x14ac:dyDescent="0.25">
      <c r="C774" s="28"/>
      <c r="D774" s="20"/>
      <c r="E774" s="4"/>
      <c r="F774" s="37"/>
      <c r="G774" s="24"/>
      <c r="H774" s="31">
        <f>_xlfn.XLOOKUP(AP[[#This Row],[Supplier name]], Supplier_master[Supplier name], Supplier_master[Category L1], 0)</f>
        <v>0</v>
      </c>
      <c r="I774" s="64">
        <f>_xlfn.XLOOKUP(AP[[#This Row],[Supplier name]], Supplier_master[Supplier name], Supplier_master[Category L2], 0)</f>
        <v>0</v>
      </c>
      <c r="J774" s="55"/>
      <c r="K774" s="54"/>
      <c r="L774" s="57">
        <f>IF(AP[[#This Row],[Spend category L1 - Override]] &lt;&gt; "", AP[[#This Row],[Spend category L1 - Override]], AP[[#This Row],[Spend category L1]])</f>
        <v>0</v>
      </c>
      <c r="M774" s="57">
        <f>IF(AP[[#This Row],[Spend category L2 - Override]] &lt;&gt; "", AP[[#This Row],[Spend category L2 - Override]], AP[[#This Row],[Spend category L2]])</f>
        <v>0</v>
      </c>
      <c r="N774" s="51">
        <f>Assumptions!$D$15</f>
        <v>0.1</v>
      </c>
      <c r="O774" s="45">
        <f>IF(AP[[#This Row],[GST applies?]] = "Yes", (AP[[#This Row],[Invoice value inc. GST]] / 1 + AP[[#This Row],[GST %]]) * AP[[#This Row],[GST %]], 0)</f>
        <v>0</v>
      </c>
      <c r="P774" s="31">
        <f>_xlfn.XLOOKUP(AP[[#This Row],[Supplier name]], Supplier_master[Supplier name], Supplier_master[EOM or Net], 0)</f>
        <v>0</v>
      </c>
      <c r="Q774" s="31">
        <f>_xlfn.XLOOKUP(AP[[#This Row],[Supplier name]], Supplier_master[Supplier name], Supplier_master[Terms days], 0)</f>
        <v>0</v>
      </c>
      <c r="R7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4" s="4"/>
      <c r="T774" s="46">
        <f>IF(AP[[#This Row],[Payment date - override (dd/mm/yyyy)]] &lt;&gt; "", AP[[#This Row],[Payment date - override (dd/mm/yyyy)]], AP[[#This Row],[Due date (dd/mm/yyyy)]])</f>
        <v>0</v>
      </c>
      <c r="U774" s="46">
        <f t="shared" si="11"/>
        <v>52</v>
      </c>
    </row>
    <row r="775" spans="3:21" x14ac:dyDescent="0.25">
      <c r="C775" s="28"/>
      <c r="D775" s="20"/>
      <c r="E775" s="4"/>
      <c r="F775" s="37"/>
      <c r="G775" s="24"/>
      <c r="H775" s="31">
        <f>_xlfn.XLOOKUP(AP[[#This Row],[Supplier name]], Supplier_master[Supplier name], Supplier_master[Category L1], 0)</f>
        <v>0</v>
      </c>
      <c r="I775" s="64">
        <f>_xlfn.XLOOKUP(AP[[#This Row],[Supplier name]], Supplier_master[Supplier name], Supplier_master[Category L2], 0)</f>
        <v>0</v>
      </c>
      <c r="J775" s="55"/>
      <c r="K775" s="54"/>
      <c r="L775" s="57">
        <f>IF(AP[[#This Row],[Spend category L1 - Override]] &lt;&gt; "", AP[[#This Row],[Spend category L1 - Override]], AP[[#This Row],[Spend category L1]])</f>
        <v>0</v>
      </c>
      <c r="M775" s="57">
        <f>IF(AP[[#This Row],[Spend category L2 - Override]] &lt;&gt; "", AP[[#This Row],[Spend category L2 - Override]], AP[[#This Row],[Spend category L2]])</f>
        <v>0</v>
      </c>
      <c r="N775" s="51">
        <f>Assumptions!$D$15</f>
        <v>0.1</v>
      </c>
      <c r="O775" s="45">
        <f>IF(AP[[#This Row],[GST applies?]] = "Yes", (AP[[#This Row],[Invoice value inc. GST]] / 1 + AP[[#This Row],[GST %]]) * AP[[#This Row],[GST %]], 0)</f>
        <v>0</v>
      </c>
      <c r="P775" s="31">
        <f>_xlfn.XLOOKUP(AP[[#This Row],[Supplier name]], Supplier_master[Supplier name], Supplier_master[EOM or Net], 0)</f>
        <v>0</v>
      </c>
      <c r="Q775" s="31">
        <f>_xlfn.XLOOKUP(AP[[#This Row],[Supplier name]], Supplier_master[Supplier name], Supplier_master[Terms days], 0)</f>
        <v>0</v>
      </c>
      <c r="R7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5" s="4"/>
      <c r="T775" s="46">
        <f>IF(AP[[#This Row],[Payment date - override (dd/mm/yyyy)]] &lt;&gt; "", AP[[#This Row],[Payment date - override (dd/mm/yyyy)]], AP[[#This Row],[Due date (dd/mm/yyyy)]])</f>
        <v>0</v>
      </c>
      <c r="U775" s="46">
        <f t="shared" si="11"/>
        <v>52</v>
      </c>
    </row>
    <row r="776" spans="3:21" x14ac:dyDescent="0.25">
      <c r="C776" s="28"/>
      <c r="D776" s="20"/>
      <c r="E776" s="4"/>
      <c r="F776" s="37"/>
      <c r="G776" s="24"/>
      <c r="H776" s="31">
        <f>_xlfn.XLOOKUP(AP[[#This Row],[Supplier name]], Supplier_master[Supplier name], Supplier_master[Category L1], 0)</f>
        <v>0</v>
      </c>
      <c r="I776" s="64">
        <f>_xlfn.XLOOKUP(AP[[#This Row],[Supplier name]], Supplier_master[Supplier name], Supplier_master[Category L2], 0)</f>
        <v>0</v>
      </c>
      <c r="J776" s="55"/>
      <c r="K776" s="54"/>
      <c r="L776" s="57">
        <f>IF(AP[[#This Row],[Spend category L1 - Override]] &lt;&gt; "", AP[[#This Row],[Spend category L1 - Override]], AP[[#This Row],[Spend category L1]])</f>
        <v>0</v>
      </c>
      <c r="M776" s="57">
        <f>IF(AP[[#This Row],[Spend category L2 - Override]] &lt;&gt; "", AP[[#This Row],[Spend category L2 - Override]], AP[[#This Row],[Spend category L2]])</f>
        <v>0</v>
      </c>
      <c r="N776" s="51">
        <f>Assumptions!$D$15</f>
        <v>0.1</v>
      </c>
      <c r="O776" s="45">
        <f>IF(AP[[#This Row],[GST applies?]] = "Yes", (AP[[#This Row],[Invoice value inc. GST]] / 1 + AP[[#This Row],[GST %]]) * AP[[#This Row],[GST %]], 0)</f>
        <v>0</v>
      </c>
      <c r="P776" s="31">
        <f>_xlfn.XLOOKUP(AP[[#This Row],[Supplier name]], Supplier_master[Supplier name], Supplier_master[EOM or Net], 0)</f>
        <v>0</v>
      </c>
      <c r="Q776" s="31">
        <f>_xlfn.XLOOKUP(AP[[#This Row],[Supplier name]], Supplier_master[Supplier name], Supplier_master[Terms days], 0)</f>
        <v>0</v>
      </c>
      <c r="R7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6" s="4"/>
      <c r="T776" s="46">
        <f>IF(AP[[#This Row],[Payment date - override (dd/mm/yyyy)]] &lt;&gt; "", AP[[#This Row],[Payment date - override (dd/mm/yyyy)]], AP[[#This Row],[Due date (dd/mm/yyyy)]])</f>
        <v>0</v>
      </c>
      <c r="U776" s="46">
        <f t="shared" si="11"/>
        <v>52</v>
      </c>
    </row>
    <row r="777" spans="3:21" x14ac:dyDescent="0.25">
      <c r="C777" s="28"/>
      <c r="D777" s="20"/>
      <c r="E777" s="4"/>
      <c r="F777" s="37"/>
      <c r="G777" s="24"/>
      <c r="H777" s="31">
        <f>_xlfn.XLOOKUP(AP[[#This Row],[Supplier name]], Supplier_master[Supplier name], Supplier_master[Category L1], 0)</f>
        <v>0</v>
      </c>
      <c r="I777" s="64">
        <f>_xlfn.XLOOKUP(AP[[#This Row],[Supplier name]], Supplier_master[Supplier name], Supplier_master[Category L2], 0)</f>
        <v>0</v>
      </c>
      <c r="J777" s="55"/>
      <c r="K777" s="54"/>
      <c r="L777" s="57">
        <f>IF(AP[[#This Row],[Spend category L1 - Override]] &lt;&gt; "", AP[[#This Row],[Spend category L1 - Override]], AP[[#This Row],[Spend category L1]])</f>
        <v>0</v>
      </c>
      <c r="M777" s="57">
        <f>IF(AP[[#This Row],[Spend category L2 - Override]] &lt;&gt; "", AP[[#This Row],[Spend category L2 - Override]], AP[[#This Row],[Spend category L2]])</f>
        <v>0</v>
      </c>
      <c r="N777" s="51">
        <f>Assumptions!$D$15</f>
        <v>0.1</v>
      </c>
      <c r="O777" s="45">
        <f>IF(AP[[#This Row],[GST applies?]] = "Yes", (AP[[#This Row],[Invoice value inc. GST]] / 1 + AP[[#This Row],[GST %]]) * AP[[#This Row],[GST %]], 0)</f>
        <v>0</v>
      </c>
      <c r="P777" s="31">
        <f>_xlfn.XLOOKUP(AP[[#This Row],[Supplier name]], Supplier_master[Supplier name], Supplier_master[EOM or Net], 0)</f>
        <v>0</v>
      </c>
      <c r="Q777" s="31">
        <f>_xlfn.XLOOKUP(AP[[#This Row],[Supplier name]], Supplier_master[Supplier name], Supplier_master[Terms days], 0)</f>
        <v>0</v>
      </c>
      <c r="R7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7" s="4"/>
      <c r="T777" s="46">
        <f>IF(AP[[#This Row],[Payment date - override (dd/mm/yyyy)]] &lt;&gt; "", AP[[#This Row],[Payment date - override (dd/mm/yyyy)]], AP[[#This Row],[Due date (dd/mm/yyyy)]])</f>
        <v>0</v>
      </c>
      <c r="U777" s="46">
        <f t="shared" ref="U777:U840" si="12">IF(GST_Freq="Monthly",
    DATE(YEAR(E777), MONTH(E777) + 1, 21),
    IF(GST_Freq="Quarterly",
        IF(MOD(MONTH(E777) + 2 - MOD(MOD(MONTH(E777) - GST_First_Month, 12), 3), 12) = 0,
            DATE(YEAR(E777), MONTH(E777) + 4 - MOD(MOD(MONTH(E777) - GST_First_Month, 12), 3), 28),
            DATE(YEAR(E777), MONTH(E777) + 3 - MOD(MOD(MONTH(E777) - GST_First_Month, 12), 3), 28)
        ),
        "Invalid frequency"
    )
)</f>
        <v>52</v>
      </c>
    </row>
    <row r="778" spans="3:21" x14ac:dyDescent="0.25">
      <c r="C778" s="28"/>
      <c r="D778" s="20"/>
      <c r="E778" s="4"/>
      <c r="F778" s="37"/>
      <c r="G778" s="24"/>
      <c r="H778" s="31">
        <f>_xlfn.XLOOKUP(AP[[#This Row],[Supplier name]], Supplier_master[Supplier name], Supplier_master[Category L1], 0)</f>
        <v>0</v>
      </c>
      <c r="I778" s="64">
        <f>_xlfn.XLOOKUP(AP[[#This Row],[Supplier name]], Supplier_master[Supplier name], Supplier_master[Category L2], 0)</f>
        <v>0</v>
      </c>
      <c r="J778" s="55"/>
      <c r="K778" s="54"/>
      <c r="L778" s="57">
        <f>IF(AP[[#This Row],[Spend category L1 - Override]] &lt;&gt; "", AP[[#This Row],[Spend category L1 - Override]], AP[[#This Row],[Spend category L1]])</f>
        <v>0</v>
      </c>
      <c r="M778" s="57">
        <f>IF(AP[[#This Row],[Spend category L2 - Override]] &lt;&gt; "", AP[[#This Row],[Spend category L2 - Override]], AP[[#This Row],[Spend category L2]])</f>
        <v>0</v>
      </c>
      <c r="N778" s="51">
        <f>Assumptions!$D$15</f>
        <v>0.1</v>
      </c>
      <c r="O778" s="45">
        <f>IF(AP[[#This Row],[GST applies?]] = "Yes", (AP[[#This Row],[Invoice value inc. GST]] / 1 + AP[[#This Row],[GST %]]) * AP[[#This Row],[GST %]], 0)</f>
        <v>0</v>
      </c>
      <c r="P778" s="31">
        <f>_xlfn.XLOOKUP(AP[[#This Row],[Supplier name]], Supplier_master[Supplier name], Supplier_master[EOM or Net], 0)</f>
        <v>0</v>
      </c>
      <c r="Q778" s="31">
        <f>_xlfn.XLOOKUP(AP[[#This Row],[Supplier name]], Supplier_master[Supplier name], Supplier_master[Terms days], 0)</f>
        <v>0</v>
      </c>
      <c r="R7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8" s="4"/>
      <c r="T778" s="46">
        <f>IF(AP[[#This Row],[Payment date - override (dd/mm/yyyy)]] &lt;&gt; "", AP[[#This Row],[Payment date - override (dd/mm/yyyy)]], AP[[#This Row],[Due date (dd/mm/yyyy)]])</f>
        <v>0</v>
      </c>
      <c r="U778" s="46">
        <f t="shared" si="12"/>
        <v>52</v>
      </c>
    </row>
    <row r="779" spans="3:21" x14ac:dyDescent="0.25">
      <c r="C779" s="28"/>
      <c r="D779" s="20"/>
      <c r="E779" s="4"/>
      <c r="F779" s="37"/>
      <c r="G779" s="24"/>
      <c r="H779" s="31">
        <f>_xlfn.XLOOKUP(AP[[#This Row],[Supplier name]], Supplier_master[Supplier name], Supplier_master[Category L1], 0)</f>
        <v>0</v>
      </c>
      <c r="I779" s="64">
        <f>_xlfn.XLOOKUP(AP[[#This Row],[Supplier name]], Supplier_master[Supplier name], Supplier_master[Category L2], 0)</f>
        <v>0</v>
      </c>
      <c r="J779" s="55"/>
      <c r="K779" s="54"/>
      <c r="L779" s="57">
        <f>IF(AP[[#This Row],[Spend category L1 - Override]] &lt;&gt; "", AP[[#This Row],[Spend category L1 - Override]], AP[[#This Row],[Spend category L1]])</f>
        <v>0</v>
      </c>
      <c r="M779" s="57">
        <f>IF(AP[[#This Row],[Spend category L2 - Override]] &lt;&gt; "", AP[[#This Row],[Spend category L2 - Override]], AP[[#This Row],[Spend category L2]])</f>
        <v>0</v>
      </c>
      <c r="N779" s="51">
        <f>Assumptions!$D$15</f>
        <v>0.1</v>
      </c>
      <c r="O779" s="45">
        <f>IF(AP[[#This Row],[GST applies?]] = "Yes", (AP[[#This Row],[Invoice value inc. GST]] / 1 + AP[[#This Row],[GST %]]) * AP[[#This Row],[GST %]], 0)</f>
        <v>0</v>
      </c>
      <c r="P779" s="31">
        <f>_xlfn.XLOOKUP(AP[[#This Row],[Supplier name]], Supplier_master[Supplier name], Supplier_master[EOM or Net], 0)</f>
        <v>0</v>
      </c>
      <c r="Q779" s="31">
        <f>_xlfn.XLOOKUP(AP[[#This Row],[Supplier name]], Supplier_master[Supplier name], Supplier_master[Terms days], 0)</f>
        <v>0</v>
      </c>
      <c r="R7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9" s="4"/>
      <c r="T779" s="46">
        <f>IF(AP[[#This Row],[Payment date - override (dd/mm/yyyy)]] &lt;&gt; "", AP[[#This Row],[Payment date - override (dd/mm/yyyy)]], AP[[#This Row],[Due date (dd/mm/yyyy)]])</f>
        <v>0</v>
      </c>
      <c r="U779" s="46">
        <f t="shared" si="12"/>
        <v>52</v>
      </c>
    </row>
    <row r="780" spans="3:21" x14ac:dyDescent="0.25">
      <c r="C780" s="28"/>
      <c r="D780" s="20"/>
      <c r="E780" s="4"/>
      <c r="F780" s="37"/>
      <c r="G780" s="24"/>
      <c r="H780" s="31">
        <f>_xlfn.XLOOKUP(AP[[#This Row],[Supplier name]], Supplier_master[Supplier name], Supplier_master[Category L1], 0)</f>
        <v>0</v>
      </c>
      <c r="I780" s="64">
        <f>_xlfn.XLOOKUP(AP[[#This Row],[Supplier name]], Supplier_master[Supplier name], Supplier_master[Category L2], 0)</f>
        <v>0</v>
      </c>
      <c r="J780" s="55"/>
      <c r="K780" s="54"/>
      <c r="L780" s="57">
        <f>IF(AP[[#This Row],[Spend category L1 - Override]] &lt;&gt; "", AP[[#This Row],[Spend category L1 - Override]], AP[[#This Row],[Spend category L1]])</f>
        <v>0</v>
      </c>
      <c r="M780" s="57">
        <f>IF(AP[[#This Row],[Spend category L2 - Override]] &lt;&gt; "", AP[[#This Row],[Spend category L2 - Override]], AP[[#This Row],[Spend category L2]])</f>
        <v>0</v>
      </c>
      <c r="N780" s="51">
        <f>Assumptions!$D$15</f>
        <v>0.1</v>
      </c>
      <c r="O780" s="45">
        <f>IF(AP[[#This Row],[GST applies?]] = "Yes", (AP[[#This Row],[Invoice value inc. GST]] / 1 + AP[[#This Row],[GST %]]) * AP[[#This Row],[GST %]], 0)</f>
        <v>0</v>
      </c>
      <c r="P780" s="31">
        <f>_xlfn.XLOOKUP(AP[[#This Row],[Supplier name]], Supplier_master[Supplier name], Supplier_master[EOM or Net], 0)</f>
        <v>0</v>
      </c>
      <c r="Q780" s="31">
        <f>_xlfn.XLOOKUP(AP[[#This Row],[Supplier name]], Supplier_master[Supplier name], Supplier_master[Terms days], 0)</f>
        <v>0</v>
      </c>
      <c r="R7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0" s="4"/>
      <c r="T780" s="46">
        <f>IF(AP[[#This Row],[Payment date - override (dd/mm/yyyy)]] &lt;&gt; "", AP[[#This Row],[Payment date - override (dd/mm/yyyy)]], AP[[#This Row],[Due date (dd/mm/yyyy)]])</f>
        <v>0</v>
      </c>
      <c r="U780" s="46">
        <f t="shared" si="12"/>
        <v>52</v>
      </c>
    </row>
    <row r="781" spans="3:21" x14ac:dyDescent="0.25">
      <c r="C781" s="28"/>
      <c r="D781" s="20"/>
      <c r="E781" s="4"/>
      <c r="F781" s="37"/>
      <c r="G781" s="24"/>
      <c r="H781" s="31">
        <f>_xlfn.XLOOKUP(AP[[#This Row],[Supplier name]], Supplier_master[Supplier name], Supplier_master[Category L1], 0)</f>
        <v>0</v>
      </c>
      <c r="I781" s="64">
        <f>_xlfn.XLOOKUP(AP[[#This Row],[Supplier name]], Supplier_master[Supplier name], Supplier_master[Category L2], 0)</f>
        <v>0</v>
      </c>
      <c r="J781" s="55"/>
      <c r="K781" s="54"/>
      <c r="L781" s="57">
        <f>IF(AP[[#This Row],[Spend category L1 - Override]] &lt;&gt; "", AP[[#This Row],[Spend category L1 - Override]], AP[[#This Row],[Spend category L1]])</f>
        <v>0</v>
      </c>
      <c r="M781" s="57">
        <f>IF(AP[[#This Row],[Spend category L2 - Override]] &lt;&gt; "", AP[[#This Row],[Spend category L2 - Override]], AP[[#This Row],[Spend category L2]])</f>
        <v>0</v>
      </c>
      <c r="N781" s="51">
        <f>Assumptions!$D$15</f>
        <v>0.1</v>
      </c>
      <c r="O781" s="45">
        <f>IF(AP[[#This Row],[GST applies?]] = "Yes", (AP[[#This Row],[Invoice value inc. GST]] / 1 + AP[[#This Row],[GST %]]) * AP[[#This Row],[GST %]], 0)</f>
        <v>0</v>
      </c>
      <c r="P781" s="31">
        <f>_xlfn.XLOOKUP(AP[[#This Row],[Supplier name]], Supplier_master[Supplier name], Supplier_master[EOM or Net], 0)</f>
        <v>0</v>
      </c>
      <c r="Q781" s="31">
        <f>_xlfn.XLOOKUP(AP[[#This Row],[Supplier name]], Supplier_master[Supplier name], Supplier_master[Terms days], 0)</f>
        <v>0</v>
      </c>
      <c r="R7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1" s="4"/>
      <c r="T781" s="46">
        <f>IF(AP[[#This Row],[Payment date - override (dd/mm/yyyy)]] &lt;&gt; "", AP[[#This Row],[Payment date - override (dd/mm/yyyy)]], AP[[#This Row],[Due date (dd/mm/yyyy)]])</f>
        <v>0</v>
      </c>
      <c r="U781" s="46">
        <f t="shared" si="12"/>
        <v>52</v>
      </c>
    </row>
    <row r="782" spans="3:21" x14ac:dyDescent="0.25">
      <c r="C782" s="28"/>
      <c r="D782" s="20"/>
      <c r="E782" s="4"/>
      <c r="F782" s="37"/>
      <c r="G782" s="24"/>
      <c r="H782" s="31">
        <f>_xlfn.XLOOKUP(AP[[#This Row],[Supplier name]], Supplier_master[Supplier name], Supplier_master[Category L1], 0)</f>
        <v>0</v>
      </c>
      <c r="I782" s="64">
        <f>_xlfn.XLOOKUP(AP[[#This Row],[Supplier name]], Supplier_master[Supplier name], Supplier_master[Category L2], 0)</f>
        <v>0</v>
      </c>
      <c r="J782" s="55"/>
      <c r="K782" s="54"/>
      <c r="L782" s="57">
        <f>IF(AP[[#This Row],[Spend category L1 - Override]] &lt;&gt; "", AP[[#This Row],[Spend category L1 - Override]], AP[[#This Row],[Spend category L1]])</f>
        <v>0</v>
      </c>
      <c r="M782" s="57">
        <f>IF(AP[[#This Row],[Spend category L2 - Override]] &lt;&gt; "", AP[[#This Row],[Spend category L2 - Override]], AP[[#This Row],[Spend category L2]])</f>
        <v>0</v>
      </c>
      <c r="N782" s="51">
        <f>Assumptions!$D$15</f>
        <v>0.1</v>
      </c>
      <c r="O782" s="45">
        <f>IF(AP[[#This Row],[GST applies?]] = "Yes", (AP[[#This Row],[Invoice value inc. GST]] / 1 + AP[[#This Row],[GST %]]) * AP[[#This Row],[GST %]], 0)</f>
        <v>0</v>
      </c>
      <c r="P782" s="31">
        <f>_xlfn.XLOOKUP(AP[[#This Row],[Supplier name]], Supplier_master[Supplier name], Supplier_master[EOM or Net], 0)</f>
        <v>0</v>
      </c>
      <c r="Q782" s="31">
        <f>_xlfn.XLOOKUP(AP[[#This Row],[Supplier name]], Supplier_master[Supplier name], Supplier_master[Terms days], 0)</f>
        <v>0</v>
      </c>
      <c r="R7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2" s="4"/>
      <c r="T782" s="46">
        <f>IF(AP[[#This Row],[Payment date - override (dd/mm/yyyy)]] &lt;&gt; "", AP[[#This Row],[Payment date - override (dd/mm/yyyy)]], AP[[#This Row],[Due date (dd/mm/yyyy)]])</f>
        <v>0</v>
      </c>
      <c r="U782" s="46">
        <f t="shared" si="12"/>
        <v>52</v>
      </c>
    </row>
    <row r="783" spans="3:21" x14ac:dyDescent="0.25">
      <c r="C783" s="28"/>
      <c r="D783" s="20"/>
      <c r="E783" s="4"/>
      <c r="F783" s="37"/>
      <c r="G783" s="24"/>
      <c r="H783" s="31">
        <f>_xlfn.XLOOKUP(AP[[#This Row],[Supplier name]], Supplier_master[Supplier name], Supplier_master[Category L1], 0)</f>
        <v>0</v>
      </c>
      <c r="I783" s="64">
        <f>_xlfn.XLOOKUP(AP[[#This Row],[Supplier name]], Supplier_master[Supplier name], Supplier_master[Category L2], 0)</f>
        <v>0</v>
      </c>
      <c r="J783" s="55"/>
      <c r="K783" s="54"/>
      <c r="L783" s="57">
        <f>IF(AP[[#This Row],[Spend category L1 - Override]] &lt;&gt; "", AP[[#This Row],[Spend category L1 - Override]], AP[[#This Row],[Spend category L1]])</f>
        <v>0</v>
      </c>
      <c r="M783" s="57">
        <f>IF(AP[[#This Row],[Spend category L2 - Override]] &lt;&gt; "", AP[[#This Row],[Spend category L2 - Override]], AP[[#This Row],[Spend category L2]])</f>
        <v>0</v>
      </c>
      <c r="N783" s="51">
        <f>Assumptions!$D$15</f>
        <v>0.1</v>
      </c>
      <c r="O783" s="45">
        <f>IF(AP[[#This Row],[GST applies?]] = "Yes", (AP[[#This Row],[Invoice value inc. GST]] / 1 + AP[[#This Row],[GST %]]) * AP[[#This Row],[GST %]], 0)</f>
        <v>0</v>
      </c>
      <c r="P783" s="31">
        <f>_xlfn.XLOOKUP(AP[[#This Row],[Supplier name]], Supplier_master[Supplier name], Supplier_master[EOM or Net], 0)</f>
        <v>0</v>
      </c>
      <c r="Q783" s="31">
        <f>_xlfn.XLOOKUP(AP[[#This Row],[Supplier name]], Supplier_master[Supplier name], Supplier_master[Terms days], 0)</f>
        <v>0</v>
      </c>
      <c r="R7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3" s="4"/>
      <c r="T783" s="46">
        <f>IF(AP[[#This Row],[Payment date - override (dd/mm/yyyy)]] &lt;&gt; "", AP[[#This Row],[Payment date - override (dd/mm/yyyy)]], AP[[#This Row],[Due date (dd/mm/yyyy)]])</f>
        <v>0</v>
      </c>
      <c r="U783" s="46">
        <f t="shared" si="12"/>
        <v>52</v>
      </c>
    </row>
    <row r="784" spans="3:21" x14ac:dyDescent="0.25">
      <c r="C784" s="28"/>
      <c r="D784" s="20"/>
      <c r="E784" s="4"/>
      <c r="F784" s="37"/>
      <c r="G784" s="24"/>
      <c r="H784" s="31">
        <f>_xlfn.XLOOKUP(AP[[#This Row],[Supplier name]], Supplier_master[Supplier name], Supplier_master[Category L1], 0)</f>
        <v>0</v>
      </c>
      <c r="I784" s="64">
        <f>_xlfn.XLOOKUP(AP[[#This Row],[Supplier name]], Supplier_master[Supplier name], Supplier_master[Category L2], 0)</f>
        <v>0</v>
      </c>
      <c r="J784" s="55"/>
      <c r="K784" s="54"/>
      <c r="L784" s="57">
        <f>IF(AP[[#This Row],[Spend category L1 - Override]] &lt;&gt; "", AP[[#This Row],[Spend category L1 - Override]], AP[[#This Row],[Spend category L1]])</f>
        <v>0</v>
      </c>
      <c r="M784" s="57">
        <f>IF(AP[[#This Row],[Spend category L2 - Override]] &lt;&gt; "", AP[[#This Row],[Spend category L2 - Override]], AP[[#This Row],[Spend category L2]])</f>
        <v>0</v>
      </c>
      <c r="N784" s="51">
        <f>Assumptions!$D$15</f>
        <v>0.1</v>
      </c>
      <c r="O784" s="45">
        <f>IF(AP[[#This Row],[GST applies?]] = "Yes", (AP[[#This Row],[Invoice value inc. GST]] / 1 + AP[[#This Row],[GST %]]) * AP[[#This Row],[GST %]], 0)</f>
        <v>0</v>
      </c>
      <c r="P784" s="31">
        <f>_xlfn.XLOOKUP(AP[[#This Row],[Supplier name]], Supplier_master[Supplier name], Supplier_master[EOM or Net], 0)</f>
        <v>0</v>
      </c>
      <c r="Q784" s="31">
        <f>_xlfn.XLOOKUP(AP[[#This Row],[Supplier name]], Supplier_master[Supplier name], Supplier_master[Terms days], 0)</f>
        <v>0</v>
      </c>
      <c r="R7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4" s="4"/>
      <c r="T784" s="46">
        <f>IF(AP[[#This Row],[Payment date - override (dd/mm/yyyy)]] &lt;&gt; "", AP[[#This Row],[Payment date - override (dd/mm/yyyy)]], AP[[#This Row],[Due date (dd/mm/yyyy)]])</f>
        <v>0</v>
      </c>
      <c r="U784" s="46">
        <f t="shared" si="12"/>
        <v>52</v>
      </c>
    </row>
    <row r="785" spans="3:21" x14ac:dyDescent="0.25">
      <c r="C785" s="28"/>
      <c r="D785" s="20"/>
      <c r="E785" s="4"/>
      <c r="F785" s="37"/>
      <c r="G785" s="24"/>
      <c r="H785" s="31">
        <f>_xlfn.XLOOKUP(AP[[#This Row],[Supplier name]], Supplier_master[Supplier name], Supplier_master[Category L1], 0)</f>
        <v>0</v>
      </c>
      <c r="I785" s="64">
        <f>_xlfn.XLOOKUP(AP[[#This Row],[Supplier name]], Supplier_master[Supplier name], Supplier_master[Category L2], 0)</f>
        <v>0</v>
      </c>
      <c r="J785" s="55"/>
      <c r="K785" s="54"/>
      <c r="L785" s="57">
        <f>IF(AP[[#This Row],[Spend category L1 - Override]] &lt;&gt; "", AP[[#This Row],[Spend category L1 - Override]], AP[[#This Row],[Spend category L1]])</f>
        <v>0</v>
      </c>
      <c r="M785" s="57">
        <f>IF(AP[[#This Row],[Spend category L2 - Override]] &lt;&gt; "", AP[[#This Row],[Spend category L2 - Override]], AP[[#This Row],[Spend category L2]])</f>
        <v>0</v>
      </c>
      <c r="N785" s="51">
        <f>Assumptions!$D$15</f>
        <v>0.1</v>
      </c>
      <c r="O785" s="45">
        <f>IF(AP[[#This Row],[GST applies?]] = "Yes", (AP[[#This Row],[Invoice value inc. GST]] / 1 + AP[[#This Row],[GST %]]) * AP[[#This Row],[GST %]], 0)</f>
        <v>0</v>
      </c>
      <c r="P785" s="31">
        <f>_xlfn.XLOOKUP(AP[[#This Row],[Supplier name]], Supplier_master[Supplier name], Supplier_master[EOM or Net], 0)</f>
        <v>0</v>
      </c>
      <c r="Q785" s="31">
        <f>_xlfn.XLOOKUP(AP[[#This Row],[Supplier name]], Supplier_master[Supplier name], Supplier_master[Terms days], 0)</f>
        <v>0</v>
      </c>
      <c r="R7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5" s="4"/>
      <c r="T785" s="46">
        <f>IF(AP[[#This Row],[Payment date - override (dd/mm/yyyy)]] &lt;&gt; "", AP[[#This Row],[Payment date - override (dd/mm/yyyy)]], AP[[#This Row],[Due date (dd/mm/yyyy)]])</f>
        <v>0</v>
      </c>
      <c r="U785" s="46">
        <f t="shared" si="12"/>
        <v>52</v>
      </c>
    </row>
    <row r="786" spans="3:21" x14ac:dyDescent="0.25">
      <c r="C786" s="28"/>
      <c r="D786" s="20"/>
      <c r="E786" s="4"/>
      <c r="F786" s="37"/>
      <c r="G786" s="24"/>
      <c r="H786" s="31">
        <f>_xlfn.XLOOKUP(AP[[#This Row],[Supplier name]], Supplier_master[Supplier name], Supplier_master[Category L1], 0)</f>
        <v>0</v>
      </c>
      <c r="I786" s="64">
        <f>_xlfn.XLOOKUP(AP[[#This Row],[Supplier name]], Supplier_master[Supplier name], Supplier_master[Category L2], 0)</f>
        <v>0</v>
      </c>
      <c r="J786" s="55"/>
      <c r="K786" s="54"/>
      <c r="L786" s="57">
        <f>IF(AP[[#This Row],[Spend category L1 - Override]] &lt;&gt; "", AP[[#This Row],[Spend category L1 - Override]], AP[[#This Row],[Spend category L1]])</f>
        <v>0</v>
      </c>
      <c r="M786" s="57">
        <f>IF(AP[[#This Row],[Spend category L2 - Override]] &lt;&gt; "", AP[[#This Row],[Spend category L2 - Override]], AP[[#This Row],[Spend category L2]])</f>
        <v>0</v>
      </c>
      <c r="N786" s="51">
        <f>Assumptions!$D$15</f>
        <v>0.1</v>
      </c>
      <c r="O786" s="45">
        <f>IF(AP[[#This Row],[GST applies?]] = "Yes", (AP[[#This Row],[Invoice value inc. GST]] / 1 + AP[[#This Row],[GST %]]) * AP[[#This Row],[GST %]], 0)</f>
        <v>0</v>
      </c>
      <c r="P786" s="31">
        <f>_xlfn.XLOOKUP(AP[[#This Row],[Supplier name]], Supplier_master[Supplier name], Supplier_master[EOM or Net], 0)</f>
        <v>0</v>
      </c>
      <c r="Q786" s="31">
        <f>_xlfn.XLOOKUP(AP[[#This Row],[Supplier name]], Supplier_master[Supplier name], Supplier_master[Terms days], 0)</f>
        <v>0</v>
      </c>
      <c r="R7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6" s="4"/>
      <c r="T786" s="46">
        <f>IF(AP[[#This Row],[Payment date - override (dd/mm/yyyy)]] &lt;&gt; "", AP[[#This Row],[Payment date - override (dd/mm/yyyy)]], AP[[#This Row],[Due date (dd/mm/yyyy)]])</f>
        <v>0</v>
      </c>
      <c r="U786" s="46">
        <f t="shared" si="12"/>
        <v>52</v>
      </c>
    </row>
    <row r="787" spans="3:21" x14ac:dyDescent="0.25">
      <c r="C787" s="28"/>
      <c r="D787" s="20"/>
      <c r="E787" s="4"/>
      <c r="F787" s="37"/>
      <c r="G787" s="24"/>
      <c r="H787" s="31">
        <f>_xlfn.XLOOKUP(AP[[#This Row],[Supplier name]], Supplier_master[Supplier name], Supplier_master[Category L1], 0)</f>
        <v>0</v>
      </c>
      <c r="I787" s="64">
        <f>_xlfn.XLOOKUP(AP[[#This Row],[Supplier name]], Supplier_master[Supplier name], Supplier_master[Category L2], 0)</f>
        <v>0</v>
      </c>
      <c r="J787" s="55"/>
      <c r="K787" s="54"/>
      <c r="L787" s="57">
        <f>IF(AP[[#This Row],[Spend category L1 - Override]] &lt;&gt; "", AP[[#This Row],[Spend category L1 - Override]], AP[[#This Row],[Spend category L1]])</f>
        <v>0</v>
      </c>
      <c r="M787" s="57">
        <f>IF(AP[[#This Row],[Spend category L2 - Override]] &lt;&gt; "", AP[[#This Row],[Spend category L2 - Override]], AP[[#This Row],[Spend category L2]])</f>
        <v>0</v>
      </c>
      <c r="N787" s="51">
        <f>Assumptions!$D$15</f>
        <v>0.1</v>
      </c>
      <c r="O787" s="45">
        <f>IF(AP[[#This Row],[GST applies?]] = "Yes", (AP[[#This Row],[Invoice value inc. GST]] / 1 + AP[[#This Row],[GST %]]) * AP[[#This Row],[GST %]], 0)</f>
        <v>0</v>
      </c>
      <c r="P787" s="31">
        <f>_xlfn.XLOOKUP(AP[[#This Row],[Supplier name]], Supplier_master[Supplier name], Supplier_master[EOM or Net], 0)</f>
        <v>0</v>
      </c>
      <c r="Q787" s="31">
        <f>_xlfn.XLOOKUP(AP[[#This Row],[Supplier name]], Supplier_master[Supplier name], Supplier_master[Terms days], 0)</f>
        <v>0</v>
      </c>
      <c r="R7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7" s="4"/>
      <c r="T787" s="46">
        <f>IF(AP[[#This Row],[Payment date - override (dd/mm/yyyy)]] &lt;&gt; "", AP[[#This Row],[Payment date - override (dd/mm/yyyy)]], AP[[#This Row],[Due date (dd/mm/yyyy)]])</f>
        <v>0</v>
      </c>
      <c r="U787" s="46">
        <f t="shared" si="12"/>
        <v>52</v>
      </c>
    </row>
    <row r="788" spans="3:21" x14ac:dyDescent="0.25">
      <c r="C788" s="28"/>
      <c r="D788" s="20"/>
      <c r="E788" s="4"/>
      <c r="F788" s="37"/>
      <c r="G788" s="24"/>
      <c r="H788" s="31">
        <f>_xlfn.XLOOKUP(AP[[#This Row],[Supplier name]], Supplier_master[Supplier name], Supplier_master[Category L1], 0)</f>
        <v>0</v>
      </c>
      <c r="I788" s="64">
        <f>_xlfn.XLOOKUP(AP[[#This Row],[Supplier name]], Supplier_master[Supplier name], Supplier_master[Category L2], 0)</f>
        <v>0</v>
      </c>
      <c r="J788" s="55"/>
      <c r="K788" s="54"/>
      <c r="L788" s="57">
        <f>IF(AP[[#This Row],[Spend category L1 - Override]] &lt;&gt; "", AP[[#This Row],[Spend category L1 - Override]], AP[[#This Row],[Spend category L1]])</f>
        <v>0</v>
      </c>
      <c r="M788" s="57">
        <f>IF(AP[[#This Row],[Spend category L2 - Override]] &lt;&gt; "", AP[[#This Row],[Spend category L2 - Override]], AP[[#This Row],[Spend category L2]])</f>
        <v>0</v>
      </c>
      <c r="N788" s="51">
        <f>Assumptions!$D$15</f>
        <v>0.1</v>
      </c>
      <c r="O788" s="45">
        <f>IF(AP[[#This Row],[GST applies?]] = "Yes", (AP[[#This Row],[Invoice value inc. GST]] / 1 + AP[[#This Row],[GST %]]) * AP[[#This Row],[GST %]], 0)</f>
        <v>0</v>
      </c>
      <c r="P788" s="31">
        <f>_xlfn.XLOOKUP(AP[[#This Row],[Supplier name]], Supplier_master[Supplier name], Supplier_master[EOM or Net], 0)</f>
        <v>0</v>
      </c>
      <c r="Q788" s="31">
        <f>_xlfn.XLOOKUP(AP[[#This Row],[Supplier name]], Supplier_master[Supplier name], Supplier_master[Terms days], 0)</f>
        <v>0</v>
      </c>
      <c r="R7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8" s="4"/>
      <c r="T788" s="46">
        <f>IF(AP[[#This Row],[Payment date - override (dd/mm/yyyy)]] &lt;&gt; "", AP[[#This Row],[Payment date - override (dd/mm/yyyy)]], AP[[#This Row],[Due date (dd/mm/yyyy)]])</f>
        <v>0</v>
      </c>
      <c r="U788" s="46">
        <f t="shared" si="12"/>
        <v>52</v>
      </c>
    </row>
    <row r="789" spans="3:21" x14ac:dyDescent="0.25">
      <c r="C789" s="28"/>
      <c r="D789" s="20"/>
      <c r="E789" s="4"/>
      <c r="F789" s="37"/>
      <c r="G789" s="24"/>
      <c r="H789" s="31">
        <f>_xlfn.XLOOKUP(AP[[#This Row],[Supplier name]], Supplier_master[Supplier name], Supplier_master[Category L1], 0)</f>
        <v>0</v>
      </c>
      <c r="I789" s="64">
        <f>_xlfn.XLOOKUP(AP[[#This Row],[Supplier name]], Supplier_master[Supplier name], Supplier_master[Category L2], 0)</f>
        <v>0</v>
      </c>
      <c r="J789" s="55"/>
      <c r="K789" s="54"/>
      <c r="L789" s="57">
        <f>IF(AP[[#This Row],[Spend category L1 - Override]] &lt;&gt; "", AP[[#This Row],[Spend category L1 - Override]], AP[[#This Row],[Spend category L1]])</f>
        <v>0</v>
      </c>
      <c r="M789" s="57">
        <f>IF(AP[[#This Row],[Spend category L2 - Override]] &lt;&gt; "", AP[[#This Row],[Spend category L2 - Override]], AP[[#This Row],[Spend category L2]])</f>
        <v>0</v>
      </c>
      <c r="N789" s="51">
        <f>Assumptions!$D$15</f>
        <v>0.1</v>
      </c>
      <c r="O789" s="45">
        <f>IF(AP[[#This Row],[GST applies?]] = "Yes", (AP[[#This Row],[Invoice value inc. GST]] / 1 + AP[[#This Row],[GST %]]) * AP[[#This Row],[GST %]], 0)</f>
        <v>0</v>
      </c>
      <c r="P789" s="31">
        <f>_xlfn.XLOOKUP(AP[[#This Row],[Supplier name]], Supplier_master[Supplier name], Supplier_master[EOM or Net], 0)</f>
        <v>0</v>
      </c>
      <c r="Q789" s="31">
        <f>_xlfn.XLOOKUP(AP[[#This Row],[Supplier name]], Supplier_master[Supplier name], Supplier_master[Terms days], 0)</f>
        <v>0</v>
      </c>
      <c r="R7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9" s="4"/>
      <c r="T789" s="46">
        <f>IF(AP[[#This Row],[Payment date - override (dd/mm/yyyy)]] &lt;&gt; "", AP[[#This Row],[Payment date - override (dd/mm/yyyy)]], AP[[#This Row],[Due date (dd/mm/yyyy)]])</f>
        <v>0</v>
      </c>
      <c r="U789" s="46">
        <f t="shared" si="12"/>
        <v>52</v>
      </c>
    </row>
    <row r="790" spans="3:21" x14ac:dyDescent="0.25">
      <c r="C790" s="28"/>
      <c r="D790" s="20"/>
      <c r="E790" s="4"/>
      <c r="F790" s="37"/>
      <c r="G790" s="24"/>
      <c r="H790" s="31">
        <f>_xlfn.XLOOKUP(AP[[#This Row],[Supplier name]], Supplier_master[Supplier name], Supplier_master[Category L1], 0)</f>
        <v>0</v>
      </c>
      <c r="I790" s="64">
        <f>_xlfn.XLOOKUP(AP[[#This Row],[Supplier name]], Supplier_master[Supplier name], Supplier_master[Category L2], 0)</f>
        <v>0</v>
      </c>
      <c r="J790" s="55"/>
      <c r="K790" s="54"/>
      <c r="L790" s="57">
        <f>IF(AP[[#This Row],[Spend category L1 - Override]] &lt;&gt; "", AP[[#This Row],[Spend category L1 - Override]], AP[[#This Row],[Spend category L1]])</f>
        <v>0</v>
      </c>
      <c r="M790" s="57">
        <f>IF(AP[[#This Row],[Spend category L2 - Override]] &lt;&gt; "", AP[[#This Row],[Spend category L2 - Override]], AP[[#This Row],[Spend category L2]])</f>
        <v>0</v>
      </c>
      <c r="N790" s="51">
        <f>Assumptions!$D$15</f>
        <v>0.1</v>
      </c>
      <c r="O790" s="45">
        <f>IF(AP[[#This Row],[GST applies?]] = "Yes", (AP[[#This Row],[Invoice value inc. GST]] / 1 + AP[[#This Row],[GST %]]) * AP[[#This Row],[GST %]], 0)</f>
        <v>0</v>
      </c>
      <c r="P790" s="31">
        <f>_xlfn.XLOOKUP(AP[[#This Row],[Supplier name]], Supplier_master[Supplier name], Supplier_master[EOM or Net], 0)</f>
        <v>0</v>
      </c>
      <c r="Q790" s="31">
        <f>_xlfn.XLOOKUP(AP[[#This Row],[Supplier name]], Supplier_master[Supplier name], Supplier_master[Terms days], 0)</f>
        <v>0</v>
      </c>
      <c r="R7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0" s="4"/>
      <c r="T790" s="46">
        <f>IF(AP[[#This Row],[Payment date - override (dd/mm/yyyy)]] &lt;&gt; "", AP[[#This Row],[Payment date - override (dd/mm/yyyy)]], AP[[#This Row],[Due date (dd/mm/yyyy)]])</f>
        <v>0</v>
      </c>
      <c r="U790" s="46">
        <f t="shared" si="12"/>
        <v>52</v>
      </c>
    </row>
    <row r="791" spans="3:21" x14ac:dyDescent="0.25">
      <c r="C791" s="28"/>
      <c r="D791" s="20"/>
      <c r="E791" s="4"/>
      <c r="F791" s="37"/>
      <c r="G791" s="24"/>
      <c r="H791" s="31">
        <f>_xlfn.XLOOKUP(AP[[#This Row],[Supplier name]], Supplier_master[Supplier name], Supplier_master[Category L1], 0)</f>
        <v>0</v>
      </c>
      <c r="I791" s="64">
        <f>_xlfn.XLOOKUP(AP[[#This Row],[Supplier name]], Supplier_master[Supplier name], Supplier_master[Category L2], 0)</f>
        <v>0</v>
      </c>
      <c r="J791" s="55"/>
      <c r="K791" s="54"/>
      <c r="L791" s="57">
        <f>IF(AP[[#This Row],[Spend category L1 - Override]] &lt;&gt; "", AP[[#This Row],[Spend category L1 - Override]], AP[[#This Row],[Spend category L1]])</f>
        <v>0</v>
      </c>
      <c r="M791" s="57">
        <f>IF(AP[[#This Row],[Spend category L2 - Override]] &lt;&gt; "", AP[[#This Row],[Spend category L2 - Override]], AP[[#This Row],[Spend category L2]])</f>
        <v>0</v>
      </c>
      <c r="N791" s="51">
        <f>Assumptions!$D$15</f>
        <v>0.1</v>
      </c>
      <c r="O791" s="45">
        <f>IF(AP[[#This Row],[GST applies?]] = "Yes", (AP[[#This Row],[Invoice value inc. GST]] / 1 + AP[[#This Row],[GST %]]) * AP[[#This Row],[GST %]], 0)</f>
        <v>0</v>
      </c>
      <c r="P791" s="31">
        <f>_xlfn.XLOOKUP(AP[[#This Row],[Supplier name]], Supplier_master[Supplier name], Supplier_master[EOM or Net], 0)</f>
        <v>0</v>
      </c>
      <c r="Q791" s="31">
        <f>_xlfn.XLOOKUP(AP[[#This Row],[Supplier name]], Supplier_master[Supplier name], Supplier_master[Terms days], 0)</f>
        <v>0</v>
      </c>
      <c r="R7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1" s="4"/>
      <c r="T791" s="46">
        <f>IF(AP[[#This Row],[Payment date - override (dd/mm/yyyy)]] &lt;&gt; "", AP[[#This Row],[Payment date - override (dd/mm/yyyy)]], AP[[#This Row],[Due date (dd/mm/yyyy)]])</f>
        <v>0</v>
      </c>
      <c r="U791" s="46">
        <f t="shared" si="12"/>
        <v>52</v>
      </c>
    </row>
    <row r="792" spans="3:21" x14ac:dyDescent="0.25">
      <c r="C792" s="28"/>
      <c r="D792" s="20"/>
      <c r="E792" s="4"/>
      <c r="F792" s="37"/>
      <c r="G792" s="24"/>
      <c r="H792" s="31">
        <f>_xlfn.XLOOKUP(AP[[#This Row],[Supplier name]], Supplier_master[Supplier name], Supplier_master[Category L1], 0)</f>
        <v>0</v>
      </c>
      <c r="I792" s="64">
        <f>_xlfn.XLOOKUP(AP[[#This Row],[Supplier name]], Supplier_master[Supplier name], Supplier_master[Category L2], 0)</f>
        <v>0</v>
      </c>
      <c r="J792" s="55"/>
      <c r="K792" s="54"/>
      <c r="L792" s="57">
        <f>IF(AP[[#This Row],[Spend category L1 - Override]] &lt;&gt; "", AP[[#This Row],[Spend category L1 - Override]], AP[[#This Row],[Spend category L1]])</f>
        <v>0</v>
      </c>
      <c r="M792" s="57">
        <f>IF(AP[[#This Row],[Spend category L2 - Override]] &lt;&gt; "", AP[[#This Row],[Spend category L2 - Override]], AP[[#This Row],[Spend category L2]])</f>
        <v>0</v>
      </c>
      <c r="N792" s="51">
        <f>Assumptions!$D$15</f>
        <v>0.1</v>
      </c>
      <c r="O792" s="45">
        <f>IF(AP[[#This Row],[GST applies?]] = "Yes", (AP[[#This Row],[Invoice value inc. GST]] / 1 + AP[[#This Row],[GST %]]) * AP[[#This Row],[GST %]], 0)</f>
        <v>0</v>
      </c>
      <c r="P792" s="31">
        <f>_xlfn.XLOOKUP(AP[[#This Row],[Supplier name]], Supplier_master[Supplier name], Supplier_master[EOM or Net], 0)</f>
        <v>0</v>
      </c>
      <c r="Q792" s="31">
        <f>_xlfn.XLOOKUP(AP[[#This Row],[Supplier name]], Supplier_master[Supplier name], Supplier_master[Terms days], 0)</f>
        <v>0</v>
      </c>
      <c r="R7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2" s="4"/>
      <c r="T792" s="46">
        <f>IF(AP[[#This Row],[Payment date - override (dd/mm/yyyy)]] &lt;&gt; "", AP[[#This Row],[Payment date - override (dd/mm/yyyy)]], AP[[#This Row],[Due date (dd/mm/yyyy)]])</f>
        <v>0</v>
      </c>
      <c r="U792" s="46">
        <f t="shared" si="12"/>
        <v>52</v>
      </c>
    </row>
    <row r="793" spans="3:21" x14ac:dyDescent="0.25">
      <c r="C793" s="28"/>
      <c r="D793" s="20"/>
      <c r="E793" s="4"/>
      <c r="F793" s="37"/>
      <c r="G793" s="24"/>
      <c r="H793" s="31">
        <f>_xlfn.XLOOKUP(AP[[#This Row],[Supplier name]], Supplier_master[Supplier name], Supplier_master[Category L1], 0)</f>
        <v>0</v>
      </c>
      <c r="I793" s="64">
        <f>_xlfn.XLOOKUP(AP[[#This Row],[Supplier name]], Supplier_master[Supplier name], Supplier_master[Category L2], 0)</f>
        <v>0</v>
      </c>
      <c r="J793" s="55"/>
      <c r="K793" s="54"/>
      <c r="L793" s="57">
        <f>IF(AP[[#This Row],[Spend category L1 - Override]] &lt;&gt; "", AP[[#This Row],[Spend category L1 - Override]], AP[[#This Row],[Spend category L1]])</f>
        <v>0</v>
      </c>
      <c r="M793" s="57">
        <f>IF(AP[[#This Row],[Spend category L2 - Override]] &lt;&gt; "", AP[[#This Row],[Spend category L2 - Override]], AP[[#This Row],[Spend category L2]])</f>
        <v>0</v>
      </c>
      <c r="N793" s="51">
        <f>Assumptions!$D$15</f>
        <v>0.1</v>
      </c>
      <c r="O793" s="45">
        <f>IF(AP[[#This Row],[GST applies?]] = "Yes", (AP[[#This Row],[Invoice value inc. GST]] / 1 + AP[[#This Row],[GST %]]) * AP[[#This Row],[GST %]], 0)</f>
        <v>0</v>
      </c>
      <c r="P793" s="31">
        <f>_xlfn.XLOOKUP(AP[[#This Row],[Supplier name]], Supplier_master[Supplier name], Supplier_master[EOM or Net], 0)</f>
        <v>0</v>
      </c>
      <c r="Q793" s="31">
        <f>_xlfn.XLOOKUP(AP[[#This Row],[Supplier name]], Supplier_master[Supplier name], Supplier_master[Terms days], 0)</f>
        <v>0</v>
      </c>
      <c r="R7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3" s="4"/>
      <c r="T793" s="46">
        <f>IF(AP[[#This Row],[Payment date - override (dd/mm/yyyy)]] &lt;&gt; "", AP[[#This Row],[Payment date - override (dd/mm/yyyy)]], AP[[#This Row],[Due date (dd/mm/yyyy)]])</f>
        <v>0</v>
      </c>
      <c r="U793" s="46">
        <f t="shared" si="12"/>
        <v>52</v>
      </c>
    </row>
    <row r="794" spans="3:21" x14ac:dyDescent="0.25">
      <c r="C794" s="28"/>
      <c r="D794" s="20"/>
      <c r="E794" s="4"/>
      <c r="F794" s="37"/>
      <c r="G794" s="24"/>
      <c r="H794" s="31">
        <f>_xlfn.XLOOKUP(AP[[#This Row],[Supplier name]], Supplier_master[Supplier name], Supplier_master[Category L1], 0)</f>
        <v>0</v>
      </c>
      <c r="I794" s="64">
        <f>_xlfn.XLOOKUP(AP[[#This Row],[Supplier name]], Supplier_master[Supplier name], Supplier_master[Category L2], 0)</f>
        <v>0</v>
      </c>
      <c r="J794" s="55"/>
      <c r="K794" s="54"/>
      <c r="L794" s="57">
        <f>IF(AP[[#This Row],[Spend category L1 - Override]] &lt;&gt; "", AP[[#This Row],[Spend category L1 - Override]], AP[[#This Row],[Spend category L1]])</f>
        <v>0</v>
      </c>
      <c r="M794" s="57">
        <f>IF(AP[[#This Row],[Spend category L2 - Override]] &lt;&gt; "", AP[[#This Row],[Spend category L2 - Override]], AP[[#This Row],[Spend category L2]])</f>
        <v>0</v>
      </c>
      <c r="N794" s="51">
        <f>Assumptions!$D$15</f>
        <v>0.1</v>
      </c>
      <c r="O794" s="45">
        <f>IF(AP[[#This Row],[GST applies?]] = "Yes", (AP[[#This Row],[Invoice value inc. GST]] / 1 + AP[[#This Row],[GST %]]) * AP[[#This Row],[GST %]], 0)</f>
        <v>0</v>
      </c>
      <c r="P794" s="31">
        <f>_xlfn.XLOOKUP(AP[[#This Row],[Supplier name]], Supplier_master[Supplier name], Supplier_master[EOM or Net], 0)</f>
        <v>0</v>
      </c>
      <c r="Q794" s="31">
        <f>_xlfn.XLOOKUP(AP[[#This Row],[Supplier name]], Supplier_master[Supplier name], Supplier_master[Terms days], 0)</f>
        <v>0</v>
      </c>
      <c r="R7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4" s="4"/>
      <c r="T794" s="46">
        <f>IF(AP[[#This Row],[Payment date - override (dd/mm/yyyy)]] &lt;&gt; "", AP[[#This Row],[Payment date - override (dd/mm/yyyy)]], AP[[#This Row],[Due date (dd/mm/yyyy)]])</f>
        <v>0</v>
      </c>
      <c r="U794" s="46">
        <f t="shared" si="12"/>
        <v>52</v>
      </c>
    </row>
    <row r="795" spans="3:21" x14ac:dyDescent="0.25">
      <c r="C795" s="28"/>
      <c r="D795" s="20"/>
      <c r="E795" s="4"/>
      <c r="F795" s="37"/>
      <c r="G795" s="24"/>
      <c r="H795" s="31">
        <f>_xlfn.XLOOKUP(AP[[#This Row],[Supplier name]], Supplier_master[Supplier name], Supplier_master[Category L1], 0)</f>
        <v>0</v>
      </c>
      <c r="I795" s="64">
        <f>_xlfn.XLOOKUP(AP[[#This Row],[Supplier name]], Supplier_master[Supplier name], Supplier_master[Category L2], 0)</f>
        <v>0</v>
      </c>
      <c r="J795" s="55"/>
      <c r="K795" s="54"/>
      <c r="L795" s="57">
        <f>IF(AP[[#This Row],[Spend category L1 - Override]] &lt;&gt; "", AP[[#This Row],[Spend category L1 - Override]], AP[[#This Row],[Spend category L1]])</f>
        <v>0</v>
      </c>
      <c r="M795" s="57">
        <f>IF(AP[[#This Row],[Spend category L2 - Override]] &lt;&gt; "", AP[[#This Row],[Spend category L2 - Override]], AP[[#This Row],[Spend category L2]])</f>
        <v>0</v>
      </c>
      <c r="N795" s="51">
        <f>Assumptions!$D$15</f>
        <v>0.1</v>
      </c>
      <c r="O795" s="45">
        <f>IF(AP[[#This Row],[GST applies?]] = "Yes", (AP[[#This Row],[Invoice value inc. GST]] / 1 + AP[[#This Row],[GST %]]) * AP[[#This Row],[GST %]], 0)</f>
        <v>0</v>
      </c>
      <c r="P795" s="31">
        <f>_xlfn.XLOOKUP(AP[[#This Row],[Supplier name]], Supplier_master[Supplier name], Supplier_master[EOM or Net], 0)</f>
        <v>0</v>
      </c>
      <c r="Q795" s="31">
        <f>_xlfn.XLOOKUP(AP[[#This Row],[Supplier name]], Supplier_master[Supplier name], Supplier_master[Terms days], 0)</f>
        <v>0</v>
      </c>
      <c r="R7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5" s="4"/>
      <c r="T795" s="46">
        <f>IF(AP[[#This Row],[Payment date - override (dd/mm/yyyy)]] &lt;&gt; "", AP[[#This Row],[Payment date - override (dd/mm/yyyy)]], AP[[#This Row],[Due date (dd/mm/yyyy)]])</f>
        <v>0</v>
      </c>
      <c r="U795" s="46">
        <f t="shared" si="12"/>
        <v>52</v>
      </c>
    </row>
    <row r="796" spans="3:21" x14ac:dyDescent="0.25">
      <c r="C796" s="28"/>
      <c r="D796" s="20"/>
      <c r="E796" s="4"/>
      <c r="F796" s="37"/>
      <c r="G796" s="24"/>
      <c r="H796" s="31">
        <f>_xlfn.XLOOKUP(AP[[#This Row],[Supplier name]], Supplier_master[Supplier name], Supplier_master[Category L1], 0)</f>
        <v>0</v>
      </c>
      <c r="I796" s="64">
        <f>_xlfn.XLOOKUP(AP[[#This Row],[Supplier name]], Supplier_master[Supplier name], Supplier_master[Category L2], 0)</f>
        <v>0</v>
      </c>
      <c r="J796" s="55"/>
      <c r="K796" s="54"/>
      <c r="L796" s="57">
        <f>IF(AP[[#This Row],[Spend category L1 - Override]] &lt;&gt; "", AP[[#This Row],[Spend category L1 - Override]], AP[[#This Row],[Spend category L1]])</f>
        <v>0</v>
      </c>
      <c r="M796" s="57">
        <f>IF(AP[[#This Row],[Spend category L2 - Override]] &lt;&gt; "", AP[[#This Row],[Spend category L2 - Override]], AP[[#This Row],[Spend category L2]])</f>
        <v>0</v>
      </c>
      <c r="N796" s="51">
        <f>Assumptions!$D$15</f>
        <v>0.1</v>
      </c>
      <c r="O796" s="45">
        <f>IF(AP[[#This Row],[GST applies?]] = "Yes", (AP[[#This Row],[Invoice value inc. GST]] / 1 + AP[[#This Row],[GST %]]) * AP[[#This Row],[GST %]], 0)</f>
        <v>0</v>
      </c>
      <c r="P796" s="31">
        <f>_xlfn.XLOOKUP(AP[[#This Row],[Supplier name]], Supplier_master[Supplier name], Supplier_master[EOM or Net], 0)</f>
        <v>0</v>
      </c>
      <c r="Q796" s="31">
        <f>_xlfn.XLOOKUP(AP[[#This Row],[Supplier name]], Supplier_master[Supplier name], Supplier_master[Terms days], 0)</f>
        <v>0</v>
      </c>
      <c r="R7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6" s="4"/>
      <c r="T796" s="46">
        <f>IF(AP[[#This Row],[Payment date - override (dd/mm/yyyy)]] &lt;&gt; "", AP[[#This Row],[Payment date - override (dd/mm/yyyy)]], AP[[#This Row],[Due date (dd/mm/yyyy)]])</f>
        <v>0</v>
      </c>
      <c r="U796" s="46">
        <f t="shared" si="12"/>
        <v>52</v>
      </c>
    </row>
    <row r="797" spans="3:21" x14ac:dyDescent="0.25">
      <c r="C797" s="28"/>
      <c r="D797" s="20"/>
      <c r="E797" s="4"/>
      <c r="F797" s="37"/>
      <c r="G797" s="24"/>
      <c r="H797" s="31">
        <f>_xlfn.XLOOKUP(AP[[#This Row],[Supplier name]], Supplier_master[Supplier name], Supplier_master[Category L1], 0)</f>
        <v>0</v>
      </c>
      <c r="I797" s="64">
        <f>_xlfn.XLOOKUP(AP[[#This Row],[Supplier name]], Supplier_master[Supplier name], Supplier_master[Category L2], 0)</f>
        <v>0</v>
      </c>
      <c r="J797" s="55"/>
      <c r="K797" s="54"/>
      <c r="L797" s="57">
        <f>IF(AP[[#This Row],[Spend category L1 - Override]] &lt;&gt; "", AP[[#This Row],[Spend category L1 - Override]], AP[[#This Row],[Spend category L1]])</f>
        <v>0</v>
      </c>
      <c r="M797" s="57">
        <f>IF(AP[[#This Row],[Spend category L2 - Override]] &lt;&gt; "", AP[[#This Row],[Spend category L2 - Override]], AP[[#This Row],[Spend category L2]])</f>
        <v>0</v>
      </c>
      <c r="N797" s="51">
        <f>Assumptions!$D$15</f>
        <v>0.1</v>
      </c>
      <c r="O797" s="45">
        <f>IF(AP[[#This Row],[GST applies?]] = "Yes", (AP[[#This Row],[Invoice value inc. GST]] / 1 + AP[[#This Row],[GST %]]) * AP[[#This Row],[GST %]], 0)</f>
        <v>0</v>
      </c>
      <c r="P797" s="31">
        <f>_xlfn.XLOOKUP(AP[[#This Row],[Supplier name]], Supplier_master[Supplier name], Supplier_master[EOM or Net], 0)</f>
        <v>0</v>
      </c>
      <c r="Q797" s="31">
        <f>_xlfn.XLOOKUP(AP[[#This Row],[Supplier name]], Supplier_master[Supplier name], Supplier_master[Terms days], 0)</f>
        <v>0</v>
      </c>
      <c r="R7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7" s="4"/>
      <c r="T797" s="46">
        <f>IF(AP[[#This Row],[Payment date - override (dd/mm/yyyy)]] &lt;&gt; "", AP[[#This Row],[Payment date - override (dd/mm/yyyy)]], AP[[#This Row],[Due date (dd/mm/yyyy)]])</f>
        <v>0</v>
      </c>
      <c r="U797" s="46">
        <f t="shared" si="12"/>
        <v>52</v>
      </c>
    </row>
    <row r="798" spans="3:21" x14ac:dyDescent="0.25">
      <c r="C798" s="28"/>
      <c r="D798" s="20"/>
      <c r="E798" s="4"/>
      <c r="F798" s="37"/>
      <c r="G798" s="24"/>
      <c r="H798" s="31">
        <f>_xlfn.XLOOKUP(AP[[#This Row],[Supplier name]], Supplier_master[Supplier name], Supplier_master[Category L1], 0)</f>
        <v>0</v>
      </c>
      <c r="I798" s="64">
        <f>_xlfn.XLOOKUP(AP[[#This Row],[Supplier name]], Supplier_master[Supplier name], Supplier_master[Category L2], 0)</f>
        <v>0</v>
      </c>
      <c r="J798" s="55"/>
      <c r="K798" s="54"/>
      <c r="L798" s="57">
        <f>IF(AP[[#This Row],[Spend category L1 - Override]] &lt;&gt; "", AP[[#This Row],[Spend category L1 - Override]], AP[[#This Row],[Spend category L1]])</f>
        <v>0</v>
      </c>
      <c r="M798" s="57">
        <f>IF(AP[[#This Row],[Spend category L2 - Override]] &lt;&gt; "", AP[[#This Row],[Spend category L2 - Override]], AP[[#This Row],[Spend category L2]])</f>
        <v>0</v>
      </c>
      <c r="N798" s="51">
        <f>Assumptions!$D$15</f>
        <v>0.1</v>
      </c>
      <c r="O798" s="45">
        <f>IF(AP[[#This Row],[GST applies?]] = "Yes", (AP[[#This Row],[Invoice value inc. GST]] / 1 + AP[[#This Row],[GST %]]) * AP[[#This Row],[GST %]], 0)</f>
        <v>0</v>
      </c>
      <c r="P798" s="31">
        <f>_xlfn.XLOOKUP(AP[[#This Row],[Supplier name]], Supplier_master[Supplier name], Supplier_master[EOM or Net], 0)</f>
        <v>0</v>
      </c>
      <c r="Q798" s="31">
        <f>_xlfn.XLOOKUP(AP[[#This Row],[Supplier name]], Supplier_master[Supplier name], Supplier_master[Terms days], 0)</f>
        <v>0</v>
      </c>
      <c r="R7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8" s="4"/>
      <c r="T798" s="46">
        <f>IF(AP[[#This Row],[Payment date - override (dd/mm/yyyy)]] &lt;&gt; "", AP[[#This Row],[Payment date - override (dd/mm/yyyy)]], AP[[#This Row],[Due date (dd/mm/yyyy)]])</f>
        <v>0</v>
      </c>
      <c r="U798" s="46">
        <f t="shared" si="12"/>
        <v>52</v>
      </c>
    </row>
    <row r="799" spans="3:21" x14ac:dyDescent="0.25">
      <c r="C799" s="28"/>
      <c r="D799" s="20"/>
      <c r="E799" s="4"/>
      <c r="F799" s="37"/>
      <c r="G799" s="24"/>
      <c r="H799" s="31">
        <f>_xlfn.XLOOKUP(AP[[#This Row],[Supplier name]], Supplier_master[Supplier name], Supplier_master[Category L1], 0)</f>
        <v>0</v>
      </c>
      <c r="I799" s="64">
        <f>_xlfn.XLOOKUP(AP[[#This Row],[Supplier name]], Supplier_master[Supplier name], Supplier_master[Category L2], 0)</f>
        <v>0</v>
      </c>
      <c r="J799" s="55"/>
      <c r="K799" s="54"/>
      <c r="L799" s="57">
        <f>IF(AP[[#This Row],[Spend category L1 - Override]] &lt;&gt; "", AP[[#This Row],[Spend category L1 - Override]], AP[[#This Row],[Spend category L1]])</f>
        <v>0</v>
      </c>
      <c r="M799" s="57">
        <f>IF(AP[[#This Row],[Spend category L2 - Override]] &lt;&gt; "", AP[[#This Row],[Spend category L2 - Override]], AP[[#This Row],[Spend category L2]])</f>
        <v>0</v>
      </c>
      <c r="N799" s="51">
        <f>Assumptions!$D$15</f>
        <v>0.1</v>
      </c>
      <c r="O799" s="45">
        <f>IF(AP[[#This Row],[GST applies?]] = "Yes", (AP[[#This Row],[Invoice value inc. GST]] / 1 + AP[[#This Row],[GST %]]) * AP[[#This Row],[GST %]], 0)</f>
        <v>0</v>
      </c>
      <c r="P799" s="31">
        <f>_xlfn.XLOOKUP(AP[[#This Row],[Supplier name]], Supplier_master[Supplier name], Supplier_master[EOM or Net], 0)</f>
        <v>0</v>
      </c>
      <c r="Q799" s="31">
        <f>_xlfn.XLOOKUP(AP[[#This Row],[Supplier name]], Supplier_master[Supplier name], Supplier_master[Terms days], 0)</f>
        <v>0</v>
      </c>
      <c r="R7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9" s="4"/>
      <c r="T799" s="46">
        <f>IF(AP[[#This Row],[Payment date - override (dd/mm/yyyy)]] &lt;&gt; "", AP[[#This Row],[Payment date - override (dd/mm/yyyy)]], AP[[#This Row],[Due date (dd/mm/yyyy)]])</f>
        <v>0</v>
      </c>
      <c r="U799" s="46">
        <f t="shared" si="12"/>
        <v>52</v>
      </c>
    </row>
    <row r="800" spans="3:21" x14ac:dyDescent="0.25">
      <c r="C800" s="28"/>
      <c r="D800" s="20"/>
      <c r="E800" s="4"/>
      <c r="F800" s="37"/>
      <c r="G800" s="24"/>
      <c r="H800" s="31">
        <f>_xlfn.XLOOKUP(AP[[#This Row],[Supplier name]], Supplier_master[Supplier name], Supplier_master[Category L1], 0)</f>
        <v>0</v>
      </c>
      <c r="I800" s="64">
        <f>_xlfn.XLOOKUP(AP[[#This Row],[Supplier name]], Supplier_master[Supplier name], Supplier_master[Category L2], 0)</f>
        <v>0</v>
      </c>
      <c r="J800" s="55"/>
      <c r="K800" s="54"/>
      <c r="L800" s="57">
        <f>IF(AP[[#This Row],[Spend category L1 - Override]] &lt;&gt; "", AP[[#This Row],[Spend category L1 - Override]], AP[[#This Row],[Spend category L1]])</f>
        <v>0</v>
      </c>
      <c r="M800" s="57">
        <f>IF(AP[[#This Row],[Spend category L2 - Override]] &lt;&gt; "", AP[[#This Row],[Spend category L2 - Override]], AP[[#This Row],[Spend category L2]])</f>
        <v>0</v>
      </c>
      <c r="N800" s="51">
        <f>Assumptions!$D$15</f>
        <v>0.1</v>
      </c>
      <c r="O800" s="45">
        <f>IF(AP[[#This Row],[GST applies?]] = "Yes", (AP[[#This Row],[Invoice value inc. GST]] / 1 + AP[[#This Row],[GST %]]) * AP[[#This Row],[GST %]], 0)</f>
        <v>0</v>
      </c>
      <c r="P800" s="31">
        <f>_xlfn.XLOOKUP(AP[[#This Row],[Supplier name]], Supplier_master[Supplier name], Supplier_master[EOM or Net], 0)</f>
        <v>0</v>
      </c>
      <c r="Q800" s="31">
        <f>_xlfn.XLOOKUP(AP[[#This Row],[Supplier name]], Supplier_master[Supplier name], Supplier_master[Terms days], 0)</f>
        <v>0</v>
      </c>
      <c r="R8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0" s="4"/>
      <c r="T800" s="46">
        <f>IF(AP[[#This Row],[Payment date - override (dd/mm/yyyy)]] &lt;&gt; "", AP[[#This Row],[Payment date - override (dd/mm/yyyy)]], AP[[#This Row],[Due date (dd/mm/yyyy)]])</f>
        <v>0</v>
      </c>
      <c r="U800" s="46">
        <f t="shared" si="12"/>
        <v>52</v>
      </c>
    </row>
    <row r="801" spans="3:21" x14ac:dyDescent="0.25">
      <c r="C801" s="28"/>
      <c r="D801" s="20"/>
      <c r="E801" s="4"/>
      <c r="F801" s="37"/>
      <c r="G801" s="24"/>
      <c r="H801" s="31">
        <f>_xlfn.XLOOKUP(AP[[#This Row],[Supplier name]], Supplier_master[Supplier name], Supplier_master[Category L1], 0)</f>
        <v>0</v>
      </c>
      <c r="I801" s="64">
        <f>_xlfn.XLOOKUP(AP[[#This Row],[Supplier name]], Supplier_master[Supplier name], Supplier_master[Category L2], 0)</f>
        <v>0</v>
      </c>
      <c r="J801" s="55"/>
      <c r="K801" s="54"/>
      <c r="L801" s="57">
        <f>IF(AP[[#This Row],[Spend category L1 - Override]] &lt;&gt; "", AP[[#This Row],[Spend category L1 - Override]], AP[[#This Row],[Spend category L1]])</f>
        <v>0</v>
      </c>
      <c r="M801" s="57">
        <f>IF(AP[[#This Row],[Spend category L2 - Override]] &lt;&gt; "", AP[[#This Row],[Spend category L2 - Override]], AP[[#This Row],[Spend category L2]])</f>
        <v>0</v>
      </c>
      <c r="N801" s="51">
        <f>Assumptions!$D$15</f>
        <v>0.1</v>
      </c>
      <c r="O801" s="45">
        <f>IF(AP[[#This Row],[GST applies?]] = "Yes", (AP[[#This Row],[Invoice value inc. GST]] / 1 + AP[[#This Row],[GST %]]) * AP[[#This Row],[GST %]], 0)</f>
        <v>0</v>
      </c>
      <c r="P801" s="31">
        <f>_xlfn.XLOOKUP(AP[[#This Row],[Supplier name]], Supplier_master[Supplier name], Supplier_master[EOM or Net], 0)</f>
        <v>0</v>
      </c>
      <c r="Q801" s="31">
        <f>_xlfn.XLOOKUP(AP[[#This Row],[Supplier name]], Supplier_master[Supplier name], Supplier_master[Terms days], 0)</f>
        <v>0</v>
      </c>
      <c r="R8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1" s="4"/>
      <c r="T801" s="46">
        <f>IF(AP[[#This Row],[Payment date - override (dd/mm/yyyy)]] &lt;&gt; "", AP[[#This Row],[Payment date - override (dd/mm/yyyy)]], AP[[#This Row],[Due date (dd/mm/yyyy)]])</f>
        <v>0</v>
      </c>
      <c r="U801" s="46">
        <f t="shared" si="12"/>
        <v>52</v>
      </c>
    </row>
    <row r="802" spans="3:21" x14ac:dyDescent="0.25">
      <c r="C802" s="28"/>
      <c r="D802" s="20"/>
      <c r="E802" s="4"/>
      <c r="F802" s="37"/>
      <c r="G802" s="24"/>
      <c r="H802" s="31">
        <f>_xlfn.XLOOKUP(AP[[#This Row],[Supplier name]], Supplier_master[Supplier name], Supplier_master[Category L1], 0)</f>
        <v>0</v>
      </c>
      <c r="I802" s="64">
        <f>_xlfn.XLOOKUP(AP[[#This Row],[Supplier name]], Supplier_master[Supplier name], Supplier_master[Category L2], 0)</f>
        <v>0</v>
      </c>
      <c r="J802" s="55"/>
      <c r="K802" s="54"/>
      <c r="L802" s="57">
        <f>IF(AP[[#This Row],[Spend category L1 - Override]] &lt;&gt; "", AP[[#This Row],[Spend category L1 - Override]], AP[[#This Row],[Spend category L1]])</f>
        <v>0</v>
      </c>
      <c r="M802" s="57">
        <f>IF(AP[[#This Row],[Spend category L2 - Override]] &lt;&gt; "", AP[[#This Row],[Spend category L2 - Override]], AP[[#This Row],[Spend category L2]])</f>
        <v>0</v>
      </c>
      <c r="N802" s="51">
        <f>Assumptions!$D$15</f>
        <v>0.1</v>
      </c>
      <c r="O802" s="45">
        <f>IF(AP[[#This Row],[GST applies?]] = "Yes", (AP[[#This Row],[Invoice value inc. GST]] / 1 + AP[[#This Row],[GST %]]) * AP[[#This Row],[GST %]], 0)</f>
        <v>0</v>
      </c>
      <c r="P802" s="31">
        <f>_xlfn.XLOOKUP(AP[[#This Row],[Supplier name]], Supplier_master[Supplier name], Supplier_master[EOM or Net], 0)</f>
        <v>0</v>
      </c>
      <c r="Q802" s="31">
        <f>_xlfn.XLOOKUP(AP[[#This Row],[Supplier name]], Supplier_master[Supplier name], Supplier_master[Terms days], 0)</f>
        <v>0</v>
      </c>
      <c r="R8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2" s="4"/>
      <c r="T802" s="46">
        <f>IF(AP[[#This Row],[Payment date - override (dd/mm/yyyy)]] &lt;&gt; "", AP[[#This Row],[Payment date - override (dd/mm/yyyy)]], AP[[#This Row],[Due date (dd/mm/yyyy)]])</f>
        <v>0</v>
      </c>
      <c r="U802" s="46">
        <f t="shared" si="12"/>
        <v>52</v>
      </c>
    </row>
    <row r="803" spans="3:21" x14ac:dyDescent="0.25">
      <c r="C803" s="28"/>
      <c r="D803" s="20"/>
      <c r="E803" s="4"/>
      <c r="F803" s="37"/>
      <c r="G803" s="24"/>
      <c r="H803" s="31">
        <f>_xlfn.XLOOKUP(AP[[#This Row],[Supplier name]], Supplier_master[Supplier name], Supplier_master[Category L1], 0)</f>
        <v>0</v>
      </c>
      <c r="I803" s="64">
        <f>_xlfn.XLOOKUP(AP[[#This Row],[Supplier name]], Supplier_master[Supplier name], Supplier_master[Category L2], 0)</f>
        <v>0</v>
      </c>
      <c r="J803" s="55"/>
      <c r="K803" s="54"/>
      <c r="L803" s="57">
        <f>IF(AP[[#This Row],[Spend category L1 - Override]] &lt;&gt; "", AP[[#This Row],[Spend category L1 - Override]], AP[[#This Row],[Spend category L1]])</f>
        <v>0</v>
      </c>
      <c r="M803" s="57">
        <f>IF(AP[[#This Row],[Spend category L2 - Override]] &lt;&gt; "", AP[[#This Row],[Spend category L2 - Override]], AP[[#This Row],[Spend category L2]])</f>
        <v>0</v>
      </c>
      <c r="N803" s="51">
        <f>Assumptions!$D$15</f>
        <v>0.1</v>
      </c>
      <c r="O803" s="45">
        <f>IF(AP[[#This Row],[GST applies?]] = "Yes", (AP[[#This Row],[Invoice value inc. GST]] / 1 + AP[[#This Row],[GST %]]) * AP[[#This Row],[GST %]], 0)</f>
        <v>0</v>
      </c>
      <c r="P803" s="31">
        <f>_xlfn.XLOOKUP(AP[[#This Row],[Supplier name]], Supplier_master[Supplier name], Supplier_master[EOM or Net], 0)</f>
        <v>0</v>
      </c>
      <c r="Q803" s="31">
        <f>_xlfn.XLOOKUP(AP[[#This Row],[Supplier name]], Supplier_master[Supplier name], Supplier_master[Terms days], 0)</f>
        <v>0</v>
      </c>
      <c r="R8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3" s="4"/>
      <c r="T803" s="46">
        <f>IF(AP[[#This Row],[Payment date - override (dd/mm/yyyy)]] &lt;&gt; "", AP[[#This Row],[Payment date - override (dd/mm/yyyy)]], AP[[#This Row],[Due date (dd/mm/yyyy)]])</f>
        <v>0</v>
      </c>
      <c r="U803" s="46">
        <f t="shared" si="12"/>
        <v>52</v>
      </c>
    </row>
    <row r="804" spans="3:21" x14ac:dyDescent="0.25">
      <c r="C804" s="28"/>
      <c r="D804" s="20"/>
      <c r="E804" s="4"/>
      <c r="F804" s="37"/>
      <c r="G804" s="24"/>
      <c r="H804" s="31">
        <f>_xlfn.XLOOKUP(AP[[#This Row],[Supplier name]], Supplier_master[Supplier name], Supplier_master[Category L1], 0)</f>
        <v>0</v>
      </c>
      <c r="I804" s="64">
        <f>_xlfn.XLOOKUP(AP[[#This Row],[Supplier name]], Supplier_master[Supplier name], Supplier_master[Category L2], 0)</f>
        <v>0</v>
      </c>
      <c r="J804" s="55"/>
      <c r="K804" s="54"/>
      <c r="L804" s="57">
        <f>IF(AP[[#This Row],[Spend category L1 - Override]] &lt;&gt; "", AP[[#This Row],[Spend category L1 - Override]], AP[[#This Row],[Spend category L1]])</f>
        <v>0</v>
      </c>
      <c r="M804" s="57">
        <f>IF(AP[[#This Row],[Spend category L2 - Override]] &lt;&gt; "", AP[[#This Row],[Spend category L2 - Override]], AP[[#This Row],[Spend category L2]])</f>
        <v>0</v>
      </c>
      <c r="N804" s="51">
        <f>Assumptions!$D$15</f>
        <v>0.1</v>
      </c>
      <c r="O804" s="45">
        <f>IF(AP[[#This Row],[GST applies?]] = "Yes", (AP[[#This Row],[Invoice value inc. GST]] / 1 + AP[[#This Row],[GST %]]) * AP[[#This Row],[GST %]], 0)</f>
        <v>0</v>
      </c>
      <c r="P804" s="31">
        <f>_xlfn.XLOOKUP(AP[[#This Row],[Supplier name]], Supplier_master[Supplier name], Supplier_master[EOM or Net], 0)</f>
        <v>0</v>
      </c>
      <c r="Q804" s="31">
        <f>_xlfn.XLOOKUP(AP[[#This Row],[Supplier name]], Supplier_master[Supplier name], Supplier_master[Terms days], 0)</f>
        <v>0</v>
      </c>
      <c r="R8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4" s="4"/>
      <c r="T804" s="46">
        <f>IF(AP[[#This Row],[Payment date - override (dd/mm/yyyy)]] &lt;&gt; "", AP[[#This Row],[Payment date - override (dd/mm/yyyy)]], AP[[#This Row],[Due date (dd/mm/yyyy)]])</f>
        <v>0</v>
      </c>
      <c r="U804" s="46">
        <f t="shared" si="12"/>
        <v>52</v>
      </c>
    </row>
    <row r="805" spans="3:21" x14ac:dyDescent="0.25">
      <c r="C805" s="28"/>
      <c r="D805" s="20"/>
      <c r="E805" s="4"/>
      <c r="F805" s="37"/>
      <c r="G805" s="24"/>
      <c r="H805" s="31">
        <f>_xlfn.XLOOKUP(AP[[#This Row],[Supplier name]], Supplier_master[Supplier name], Supplier_master[Category L1], 0)</f>
        <v>0</v>
      </c>
      <c r="I805" s="64">
        <f>_xlfn.XLOOKUP(AP[[#This Row],[Supplier name]], Supplier_master[Supplier name], Supplier_master[Category L2], 0)</f>
        <v>0</v>
      </c>
      <c r="J805" s="55"/>
      <c r="K805" s="54"/>
      <c r="L805" s="57">
        <f>IF(AP[[#This Row],[Spend category L1 - Override]] &lt;&gt; "", AP[[#This Row],[Spend category L1 - Override]], AP[[#This Row],[Spend category L1]])</f>
        <v>0</v>
      </c>
      <c r="M805" s="57">
        <f>IF(AP[[#This Row],[Spend category L2 - Override]] &lt;&gt; "", AP[[#This Row],[Spend category L2 - Override]], AP[[#This Row],[Spend category L2]])</f>
        <v>0</v>
      </c>
      <c r="N805" s="51">
        <f>Assumptions!$D$15</f>
        <v>0.1</v>
      </c>
      <c r="O805" s="45">
        <f>IF(AP[[#This Row],[GST applies?]] = "Yes", (AP[[#This Row],[Invoice value inc. GST]] / 1 + AP[[#This Row],[GST %]]) * AP[[#This Row],[GST %]], 0)</f>
        <v>0</v>
      </c>
      <c r="P805" s="31">
        <f>_xlfn.XLOOKUP(AP[[#This Row],[Supplier name]], Supplier_master[Supplier name], Supplier_master[EOM or Net], 0)</f>
        <v>0</v>
      </c>
      <c r="Q805" s="31">
        <f>_xlfn.XLOOKUP(AP[[#This Row],[Supplier name]], Supplier_master[Supplier name], Supplier_master[Terms days], 0)</f>
        <v>0</v>
      </c>
      <c r="R8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5" s="4"/>
      <c r="T805" s="46">
        <f>IF(AP[[#This Row],[Payment date - override (dd/mm/yyyy)]] &lt;&gt; "", AP[[#This Row],[Payment date - override (dd/mm/yyyy)]], AP[[#This Row],[Due date (dd/mm/yyyy)]])</f>
        <v>0</v>
      </c>
      <c r="U805" s="46">
        <f t="shared" si="12"/>
        <v>52</v>
      </c>
    </row>
    <row r="806" spans="3:21" x14ac:dyDescent="0.25">
      <c r="C806" s="28"/>
      <c r="D806" s="20"/>
      <c r="E806" s="4"/>
      <c r="F806" s="37"/>
      <c r="G806" s="24"/>
      <c r="H806" s="31">
        <f>_xlfn.XLOOKUP(AP[[#This Row],[Supplier name]], Supplier_master[Supplier name], Supplier_master[Category L1], 0)</f>
        <v>0</v>
      </c>
      <c r="I806" s="64">
        <f>_xlfn.XLOOKUP(AP[[#This Row],[Supplier name]], Supplier_master[Supplier name], Supplier_master[Category L2], 0)</f>
        <v>0</v>
      </c>
      <c r="J806" s="55"/>
      <c r="K806" s="54"/>
      <c r="L806" s="57">
        <f>IF(AP[[#This Row],[Spend category L1 - Override]] &lt;&gt; "", AP[[#This Row],[Spend category L1 - Override]], AP[[#This Row],[Spend category L1]])</f>
        <v>0</v>
      </c>
      <c r="M806" s="57">
        <f>IF(AP[[#This Row],[Spend category L2 - Override]] &lt;&gt; "", AP[[#This Row],[Spend category L2 - Override]], AP[[#This Row],[Spend category L2]])</f>
        <v>0</v>
      </c>
      <c r="N806" s="51">
        <f>Assumptions!$D$15</f>
        <v>0.1</v>
      </c>
      <c r="O806" s="45">
        <f>IF(AP[[#This Row],[GST applies?]] = "Yes", (AP[[#This Row],[Invoice value inc. GST]] / 1 + AP[[#This Row],[GST %]]) * AP[[#This Row],[GST %]], 0)</f>
        <v>0</v>
      </c>
      <c r="P806" s="31">
        <f>_xlfn.XLOOKUP(AP[[#This Row],[Supplier name]], Supplier_master[Supplier name], Supplier_master[EOM or Net], 0)</f>
        <v>0</v>
      </c>
      <c r="Q806" s="31">
        <f>_xlfn.XLOOKUP(AP[[#This Row],[Supplier name]], Supplier_master[Supplier name], Supplier_master[Terms days], 0)</f>
        <v>0</v>
      </c>
      <c r="R8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6" s="4"/>
      <c r="T806" s="46">
        <f>IF(AP[[#This Row],[Payment date - override (dd/mm/yyyy)]] &lt;&gt; "", AP[[#This Row],[Payment date - override (dd/mm/yyyy)]], AP[[#This Row],[Due date (dd/mm/yyyy)]])</f>
        <v>0</v>
      </c>
      <c r="U806" s="46">
        <f t="shared" si="12"/>
        <v>52</v>
      </c>
    </row>
    <row r="807" spans="3:21" x14ac:dyDescent="0.25">
      <c r="C807" s="28"/>
      <c r="D807" s="20"/>
      <c r="E807" s="4"/>
      <c r="F807" s="37"/>
      <c r="G807" s="24"/>
      <c r="H807" s="31">
        <f>_xlfn.XLOOKUP(AP[[#This Row],[Supplier name]], Supplier_master[Supplier name], Supplier_master[Category L1], 0)</f>
        <v>0</v>
      </c>
      <c r="I807" s="64">
        <f>_xlfn.XLOOKUP(AP[[#This Row],[Supplier name]], Supplier_master[Supplier name], Supplier_master[Category L2], 0)</f>
        <v>0</v>
      </c>
      <c r="J807" s="55"/>
      <c r="K807" s="54"/>
      <c r="L807" s="57">
        <f>IF(AP[[#This Row],[Spend category L1 - Override]] &lt;&gt; "", AP[[#This Row],[Spend category L1 - Override]], AP[[#This Row],[Spend category L1]])</f>
        <v>0</v>
      </c>
      <c r="M807" s="57">
        <f>IF(AP[[#This Row],[Spend category L2 - Override]] &lt;&gt; "", AP[[#This Row],[Spend category L2 - Override]], AP[[#This Row],[Spend category L2]])</f>
        <v>0</v>
      </c>
      <c r="N807" s="51">
        <f>Assumptions!$D$15</f>
        <v>0.1</v>
      </c>
      <c r="O807" s="45">
        <f>IF(AP[[#This Row],[GST applies?]] = "Yes", (AP[[#This Row],[Invoice value inc. GST]] / 1 + AP[[#This Row],[GST %]]) * AP[[#This Row],[GST %]], 0)</f>
        <v>0</v>
      </c>
      <c r="P807" s="31">
        <f>_xlfn.XLOOKUP(AP[[#This Row],[Supplier name]], Supplier_master[Supplier name], Supplier_master[EOM or Net], 0)</f>
        <v>0</v>
      </c>
      <c r="Q807" s="31">
        <f>_xlfn.XLOOKUP(AP[[#This Row],[Supplier name]], Supplier_master[Supplier name], Supplier_master[Terms days], 0)</f>
        <v>0</v>
      </c>
      <c r="R8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7" s="4"/>
      <c r="T807" s="46">
        <f>IF(AP[[#This Row],[Payment date - override (dd/mm/yyyy)]] &lt;&gt; "", AP[[#This Row],[Payment date - override (dd/mm/yyyy)]], AP[[#This Row],[Due date (dd/mm/yyyy)]])</f>
        <v>0</v>
      </c>
      <c r="U807" s="46">
        <f t="shared" si="12"/>
        <v>52</v>
      </c>
    </row>
    <row r="808" spans="3:21" x14ac:dyDescent="0.25">
      <c r="C808" s="28"/>
      <c r="D808" s="20"/>
      <c r="E808" s="4"/>
      <c r="F808" s="37"/>
      <c r="G808" s="24"/>
      <c r="H808" s="31">
        <f>_xlfn.XLOOKUP(AP[[#This Row],[Supplier name]], Supplier_master[Supplier name], Supplier_master[Category L1], 0)</f>
        <v>0</v>
      </c>
      <c r="I808" s="64">
        <f>_xlfn.XLOOKUP(AP[[#This Row],[Supplier name]], Supplier_master[Supplier name], Supplier_master[Category L2], 0)</f>
        <v>0</v>
      </c>
      <c r="J808" s="55"/>
      <c r="K808" s="54"/>
      <c r="L808" s="57">
        <f>IF(AP[[#This Row],[Spend category L1 - Override]] &lt;&gt; "", AP[[#This Row],[Spend category L1 - Override]], AP[[#This Row],[Spend category L1]])</f>
        <v>0</v>
      </c>
      <c r="M808" s="57">
        <f>IF(AP[[#This Row],[Spend category L2 - Override]] &lt;&gt; "", AP[[#This Row],[Spend category L2 - Override]], AP[[#This Row],[Spend category L2]])</f>
        <v>0</v>
      </c>
      <c r="N808" s="51">
        <f>Assumptions!$D$15</f>
        <v>0.1</v>
      </c>
      <c r="O808" s="45">
        <f>IF(AP[[#This Row],[GST applies?]] = "Yes", (AP[[#This Row],[Invoice value inc. GST]] / 1 + AP[[#This Row],[GST %]]) * AP[[#This Row],[GST %]], 0)</f>
        <v>0</v>
      </c>
      <c r="P808" s="31">
        <f>_xlfn.XLOOKUP(AP[[#This Row],[Supplier name]], Supplier_master[Supplier name], Supplier_master[EOM or Net], 0)</f>
        <v>0</v>
      </c>
      <c r="Q808" s="31">
        <f>_xlfn.XLOOKUP(AP[[#This Row],[Supplier name]], Supplier_master[Supplier name], Supplier_master[Terms days], 0)</f>
        <v>0</v>
      </c>
      <c r="R8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8" s="4"/>
      <c r="T808" s="46">
        <f>IF(AP[[#This Row],[Payment date - override (dd/mm/yyyy)]] &lt;&gt; "", AP[[#This Row],[Payment date - override (dd/mm/yyyy)]], AP[[#This Row],[Due date (dd/mm/yyyy)]])</f>
        <v>0</v>
      </c>
      <c r="U808" s="46">
        <f t="shared" si="12"/>
        <v>52</v>
      </c>
    </row>
    <row r="809" spans="3:21" x14ac:dyDescent="0.25">
      <c r="C809" s="28"/>
      <c r="D809" s="20"/>
      <c r="E809" s="4"/>
      <c r="F809" s="37"/>
      <c r="G809" s="24"/>
      <c r="H809" s="31">
        <f>_xlfn.XLOOKUP(AP[[#This Row],[Supplier name]], Supplier_master[Supplier name], Supplier_master[Category L1], 0)</f>
        <v>0</v>
      </c>
      <c r="I809" s="64">
        <f>_xlfn.XLOOKUP(AP[[#This Row],[Supplier name]], Supplier_master[Supplier name], Supplier_master[Category L2], 0)</f>
        <v>0</v>
      </c>
      <c r="J809" s="55"/>
      <c r="K809" s="54"/>
      <c r="L809" s="57">
        <f>IF(AP[[#This Row],[Spend category L1 - Override]] &lt;&gt; "", AP[[#This Row],[Spend category L1 - Override]], AP[[#This Row],[Spend category L1]])</f>
        <v>0</v>
      </c>
      <c r="M809" s="57">
        <f>IF(AP[[#This Row],[Spend category L2 - Override]] &lt;&gt; "", AP[[#This Row],[Spend category L2 - Override]], AP[[#This Row],[Spend category L2]])</f>
        <v>0</v>
      </c>
      <c r="N809" s="51">
        <f>Assumptions!$D$15</f>
        <v>0.1</v>
      </c>
      <c r="O809" s="45">
        <f>IF(AP[[#This Row],[GST applies?]] = "Yes", (AP[[#This Row],[Invoice value inc. GST]] / 1 + AP[[#This Row],[GST %]]) * AP[[#This Row],[GST %]], 0)</f>
        <v>0</v>
      </c>
      <c r="P809" s="31">
        <f>_xlfn.XLOOKUP(AP[[#This Row],[Supplier name]], Supplier_master[Supplier name], Supplier_master[EOM or Net], 0)</f>
        <v>0</v>
      </c>
      <c r="Q809" s="31">
        <f>_xlfn.XLOOKUP(AP[[#This Row],[Supplier name]], Supplier_master[Supplier name], Supplier_master[Terms days], 0)</f>
        <v>0</v>
      </c>
      <c r="R8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9" s="4"/>
      <c r="T809" s="46">
        <f>IF(AP[[#This Row],[Payment date - override (dd/mm/yyyy)]] &lt;&gt; "", AP[[#This Row],[Payment date - override (dd/mm/yyyy)]], AP[[#This Row],[Due date (dd/mm/yyyy)]])</f>
        <v>0</v>
      </c>
      <c r="U809" s="46">
        <f t="shared" si="12"/>
        <v>52</v>
      </c>
    </row>
    <row r="810" spans="3:21" x14ac:dyDescent="0.25">
      <c r="C810" s="28"/>
      <c r="D810" s="20"/>
      <c r="E810" s="4"/>
      <c r="F810" s="37"/>
      <c r="G810" s="24"/>
      <c r="H810" s="31">
        <f>_xlfn.XLOOKUP(AP[[#This Row],[Supplier name]], Supplier_master[Supplier name], Supplier_master[Category L1], 0)</f>
        <v>0</v>
      </c>
      <c r="I810" s="64">
        <f>_xlfn.XLOOKUP(AP[[#This Row],[Supplier name]], Supplier_master[Supplier name], Supplier_master[Category L2], 0)</f>
        <v>0</v>
      </c>
      <c r="J810" s="55"/>
      <c r="K810" s="54"/>
      <c r="L810" s="57">
        <f>IF(AP[[#This Row],[Spend category L1 - Override]] &lt;&gt; "", AP[[#This Row],[Spend category L1 - Override]], AP[[#This Row],[Spend category L1]])</f>
        <v>0</v>
      </c>
      <c r="M810" s="57">
        <f>IF(AP[[#This Row],[Spend category L2 - Override]] &lt;&gt; "", AP[[#This Row],[Spend category L2 - Override]], AP[[#This Row],[Spend category L2]])</f>
        <v>0</v>
      </c>
      <c r="N810" s="51">
        <f>Assumptions!$D$15</f>
        <v>0.1</v>
      </c>
      <c r="O810" s="45">
        <f>IF(AP[[#This Row],[GST applies?]] = "Yes", (AP[[#This Row],[Invoice value inc. GST]] / 1 + AP[[#This Row],[GST %]]) * AP[[#This Row],[GST %]], 0)</f>
        <v>0</v>
      </c>
      <c r="P810" s="31">
        <f>_xlfn.XLOOKUP(AP[[#This Row],[Supplier name]], Supplier_master[Supplier name], Supplier_master[EOM or Net], 0)</f>
        <v>0</v>
      </c>
      <c r="Q810" s="31">
        <f>_xlfn.XLOOKUP(AP[[#This Row],[Supplier name]], Supplier_master[Supplier name], Supplier_master[Terms days], 0)</f>
        <v>0</v>
      </c>
      <c r="R8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0" s="4"/>
      <c r="T810" s="46">
        <f>IF(AP[[#This Row],[Payment date - override (dd/mm/yyyy)]] &lt;&gt; "", AP[[#This Row],[Payment date - override (dd/mm/yyyy)]], AP[[#This Row],[Due date (dd/mm/yyyy)]])</f>
        <v>0</v>
      </c>
      <c r="U810" s="46">
        <f t="shared" si="12"/>
        <v>52</v>
      </c>
    </row>
    <row r="811" spans="3:21" x14ac:dyDescent="0.25">
      <c r="C811" s="28"/>
      <c r="D811" s="20"/>
      <c r="E811" s="4"/>
      <c r="F811" s="37"/>
      <c r="G811" s="24"/>
      <c r="H811" s="31">
        <f>_xlfn.XLOOKUP(AP[[#This Row],[Supplier name]], Supplier_master[Supplier name], Supplier_master[Category L1], 0)</f>
        <v>0</v>
      </c>
      <c r="I811" s="64">
        <f>_xlfn.XLOOKUP(AP[[#This Row],[Supplier name]], Supplier_master[Supplier name], Supplier_master[Category L2], 0)</f>
        <v>0</v>
      </c>
      <c r="J811" s="55"/>
      <c r="K811" s="54"/>
      <c r="L811" s="57">
        <f>IF(AP[[#This Row],[Spend category L1 - Override]] &lt;&gt; "", AP[[#This Row],[Spend category L1 - Override]], AP[[#This Row],[Spend category L1]])</f>
        <v>0</v>
      </c>
      <c r="M811" s="57">
        <f>IF(AP[[#This Row],[Spend category L2 - Override]] &lt;&gt; "", AP[[#This Row],[Spend category L2 - Override]], AP[[#This Row],[Spend category L2]])</f>
        <v>0</v>
      </c>
      <c r="N811" s="51">
        <f>Assumptions!$D$15</f>
        <v>0.1</v>
      </c>
      <c r="O811" s="45">
        <f>IF(AP[[#This Row],[GST applies?]] = "Yes", (AP[[#This Row],[Invoice value inc. GST]] / 1 + AP[[#This Row],[GST %]]) * AP[[#This Row],[GST %]], 0)</f>
        <v>0</v>
      </c>
      <c r="P811" s="31">
        <f>_xlfn.XLOOKUP(AP[[#This Row],[Supplier name]], Supplier_master[Supplier name], Supplier_master[EOM or Net], 0)</f>
        <v>0</v>
      </c>
      <c r="Q811" s="31">
        <f>_xlfn.XLOOKUP(AP[[#This Row],[Supplier name]], Supplier_master[Supplier name], Supplier_master[Terms days], 0)</f>
        <v>0</v>
      </c>
      <c r="R8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1" s="4"/>
      <c r="T811" s="46">
        <f>IF(AP[[#This Row],[Payment date - override (dd/mm/yyyy)]] &lt;&gt; "", AP[[#This Row],[Payment date - override (dd/mm/yyyy)]], AP[[#This Row],[Due date (dd/mm/yyyy)]])</f>
        <v>0</v>
      </c>
      <c r="U811" s="46">
        <f t="shared" si="12"/>
        <v>52</v>
      </c>
    </row>
    <row r="812" spans="3:21" x14ac:dyDescent="0.25">
      <c r="C812" s="28"/>
      <c r="D812" s="20"/>
      <c r="E812" s="4"/>
      <c r="F812" s="37"/>
      <c r="G812" s="24"/>
      <c r="H812" s="31">
        <f>_xlfn.XLOOKUP(AP[[#This Row],[Supplier name]], Supplier_master[Supplier name], Supplier_master[Category L1], 0)</f>
        <v>0</v>
      </c>
      <c r="I812" s="64">
        <f>_xlfn.XLOOKUP(AP[[#This Row],[Supplier name]], Supplier_master[Supplier name], Supplier_master[Category L2], 0)</f>
        <v>0</v>
      </c>
      <c r="J812" s="55"/>
      <c r="K812" s="54"/>
      <c r="L812" s="57">
        <f>IF(AP[[#This Row],[Spend category L1 - Override]] &lt;&gt; "", AP[[#This Row],[Spend category L1 - Override]], AP[[#This Row],[Spend category L1]])</f>
        <v>0</v>
      </c>
      <c r="M812" s="57">
        <f>IF(AP[[#This Row],[Spend category L2 - Override]] &lt;&gt; "", AP[[#This Row],[Spend category L2 - Override]], AP[[#This Row],[Spend category L2]])</f>
        <v>0</v>
      </c>
      <c r="N812" s="51">
        <f>Assumptions!$D$15</f>
        <v>0.1</v>
      </c>
      <c r="O812" s="45">
        <f>IF(AP[[#This Row],[GST applies?]] = "Yes", (AP[[#This Row],[Invoice value inc. GST]] / 1 + AP[[#This Row],[GST %]]) * AP[[#This Row],[GST %]], 0)</f>
        <v>0</v>
      </c>
      <c r="P812" s="31">
        <f>_xlfn.XLOOKUP(AP[[#This Row],[Supplier name]], Supplier_master[Supplier name], Supplier_master[EOM or Net], 0)</f>
        <v>0</v>
      </c>
      <c r="Q812" s="31">
        <f>_xlfn.XLOOKUP(AP[[#This Row],[Supplier name]], Supplier_master[Supplier name], Supplier_master[Terms days], 0)</f>
        <v>0</v>
      </c>
      <c r="R8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2" s="4"/>
      <c r="T812" s="46">
        <f>IF(AP[[#This Row],[Payment date - override (dd/mm/yyyy)]] &lt;&gt; "", AP[[#This Row],[Payment date - override (dd/mm/yyyy)]], AP[[#This Row],[Due date (dd/mm/yyyy)]])</f>
        <v>0</v>
      </c>
      <c r="U812" s="46">
        <f t="shared" si="12"/>
        <v>52</v>
      </c>
    </row>
    <row r="813" spans="3:21" x14ac:dyDescent="0.25">
      <c r="C813" s="28"/>
      <c r="D813" s="20"/>
      <c r="E813" s="4"/>
      <c r="F813" s="37"/>
      <c r="G813" s="24"/>
      <c r="H813" s="31">
        <f>_xlfn.XLOOKUP(AP[[#This Row],[Supplier name]], Supplier_master[Supplier name], Supplier_master[Category L1], 0)</f>
        <v>0</v>
      </c>
      <c r="I813" s="64">
        <f>_xlfn.XLOOKUP(AP[[#This Row],[Supplier name]], Supplier_master[Supplier name], Supplier_master[Category L2], 0)</f>
        <v>0</v>
      </c>
      <c r="J813" s="55"/>
      <c r="K813" s="54"/>
      <c r="L813" s="57">
        <f>IF(AP[[#This Row],[Spend category L1 - Override]] &lt;&gt; "", AP[[#This Row],[Spend category L1 - Override]], AP[[#This Row],[Spend category L1]])</f>
        <v>0</v>
      </c>
      <c r="M813" s="57">
        <f>IF(AP[[#This Row],[Spend category L2 - Override]] &lt;&gt; "", AP[[#This Row],[Spend category L2 - Override]], AP[[#This Row],[Spend category L2]])</f>
        <v>0</v>
      </c>
      <c r="N813" s="51">
        <f>Assumptions!$D$15</f>
        <v>0.1</v>
      </c>
      <c r="O813" s="45">
        <f>IF(AP[[#This Row],[GST applies?]] = "Yes", (AP[[#This Row],[Invoice value inc. GST]] / 1 + AP[[#This Row],[GST %]]) * AP[[#This Row],[GST %]], 0)</f>
        <v>0</v>
      </c>
      <c r="P813" s="31">
        <f>_xlfn.XLOOKUP(AP[[#This Row],[Supplier name]], Supplier_master[Supplier name], Supplier_master[EOM or Net], 0)</f>
        <v>0</v>
      </c>
      <c r="Q813" s="31">
        <f>_xlfn.XLOOKUP(AP[[#This Row],[Supplier name]], Supplier_master[Supplier name], Supplier_master[Terms days], 0)</f>
        <v>0</v>
      </c>
      <c r="R8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3" s="4"/>
      <c r="T813" s="46">
        <f>IF(AP[[#This Row],[Payment date - override (dd/mm/yyyy)]] &lt;&gt; "", AP[[#This Row],[Payment date - override (dd/mm/yyyy)]], AP[[#This Row],[Due date (dd/mm/yyyy)]])</f>
        <v>0</v>
      </c>
      <c r="U813" s="46">
        <f t="shared" si="12"/>
        <v>52</v>
      </c>
    </row>
    <row r="814" spans="3:21" x14ac:dyDescent="0.25">
      <c r="C814" s="28"/>
      <c r="D814" s="20"/>
      <c r="E814" s="4"/>
      <c r="F814" s="37"/>
      <c r="G814" s="24"/>
      <c r="H814" s="31">
        <f>_xlfn.XLOOKUP(AP[[#This Row],[Supplier name]], Supplier_master[Supplier name], Supplier_master[Category L1], 0)</f>
        <v>0</v>
      </c>
      <c r="I814" s="64">
        <f>_xlfn.XLOOKUP(AP[[#This Row],[Supplier name]], Supplier_master[Supplier name], Supplier_master[Category L2], 0)</f>
        <v>0</v>
      </c>
      <c r="J814" s="55"/>
      <c r="K814" s="54"/>
      <c r="L814" s="57">
        <f>IF(AP[[#This Row],[Spend category L1 - Override]] &lt;&gt; "", AP[[#This Row],[Spend category L1 - Override]], AP[[#This Row],[Spend category L1]])</f>
        <v>0</v>
      </c>
      <c r="M814" s="57">
        <f>IF(AP[[#This Row],[Spend category L2 - Override]] &lt;&gt; "", AP[[#This Row],[Spend category L2 - Override]], AP[[#This Row],[Spend category L2]])</f>
        <v>0</v>
      </c>
      <c r="N814" s="51">
        <f>Assumptions!$D$15</f>
        <v>0.1</v>
      </c>
      <c r="O814" s="45">
        <f>IF(AP[[#This Row],[GST applies?]] = "Yes", (AP[[#This Row],[Invoice value inc. GST]] / 1 + AP[[#This Row],[GST %]]) * AP[[#This Row],[GST %]], 0)</f>
        <v>0</v>
      </c>
      <c r="P814" s="31">
        <f>_xlfn.XLOOKUP(AP[[#This Row],[Supplier name]], Supplier_master[Supplier name], Supplier_master[EOM or Net], 0)</f>
        <v>0</v>
      </c>
      <c r="Q814" s="31">
        <f>_xlfn.XLOOKUP(AP[[#This Row],[Supplier name]], Supplier_master[Supplier name], Supplier_master[Terms days], 0)</f>
        <v>0</v>
      </c>
      <c r="R8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4" s="4"/>
      <c r="T814" s="46">
        <f>IF(AP[[#This Row],[Payment date - override (dd/mm/yyyy)]] &lt;&gt; "", AP[[#This Row],[Payment date - override (dd/mm/yyyy)]], AP[[#This Row],[Due date (dd/mm/yyyy)]])</f>
        <v>0</v>
      </c>
      <c r="U814" s="46">
        <f t="shared" si="12"/>
        <v>52</v>
      </c>
    </row>
    <row r="815" spans="3:21" x14ac:dyDescent="0.25">
      <c r="C815" s="28"/>
      <c r="D815" s="20"/>
      <c r="E815" s="4"/>
      <c r="F815" s="37"/>
      <c r="G815" s="24"/>
      <c r="H815" s="31">
        <f>_xlfn.XLOOKUP(AP[[#This Row],[Supplier name]], Supplier_master[Supplier name], Supplier_master[Category L1], 0)</f>
        <v>0</v>
      </c>
      <c r="I815" s="64">
        <f>_xlfn.XLOOKUP(AP[[#This Row],[Supplier name]], Supplier_master[Supplier name], Supplier_master[Category L2], 0)</f>
        <v>0</v>
      </c>
      <c r="J815" s="55"/>
      <c r="K815" s="54"/>
      <c r="L815" s="57">
        <f>IF(AP[[#This Row],[Spend category L1 - Override]] &lt;&gt; "", AP[[#This Row],[Spend category L1 - Override]], AP[[#This Row],[Spend category L1]])</f>
        <v>0</v>
      </c>
      <c r="M815" s="57">
        <f>IF(AP[[#This Row],[Spend category L2 - Override]] &lt;&gt; "", AP[[#This Row],[Spend category L2 - Override]], AP[[#This Row],[Spend category L2]])</f>
        <v>0</v>
      </c>
      <c r="N815" s="51">
        <f>Assumptions!$D$15</f>
        <v>0.1</v>
      </c>
      <c r="O815" s="45">
        <f>IF(AP[[#This Row],[GST applies?]] = "Yes", (AP[[#This Row],[Invoice value inc. GST]] / 1 + AP[[#This Row],[GST %]]) * AP[[#This Row],[GST %]], 0)</f>
        <v>0</v>
      </c>
      <c r="P815" s="31">
        <f>_xlfn.XLOOKUP(AP[[#This Row],[Supplier name]], Supplier_master[Supplier name], Supplier_master[EOM or Net], 0)</f>
        <v>0</v>
      </c>
      <c r="Q815" s="31">
        <f>_xlfn.XLOOKUP(AP[[#This Row],[Supplier name]], Supplier_master[Supplier name], Supplier_master[Terms days], 0)</f>
        <v>0</v>
      </c>
      <c r="R8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5" s="4"/>
      <c r="T815" s="46">
        <f>IF(AP[[#This Row],[Payment date - override (dd/mm/yyyy)]] &lt;&gt; "", AP[[#This Row],[Payment date - override (dd/mm/yyyy)]], AP[[#This Row],[Due date (dd/mm/yyyy)]])</f>
        <v>0</v>
      </c>
      <c r="U815" s="46">
        <f t="shared" si="12"/>
        <v>52</v>
      </c>
    </row>
    <row r="816" spans="3:21" x14ac:dyDescent="0.25">
      <c r="C816" s="28"/>
      <c r="D816" s="20"/>
      <c r="E816" s="4"/>
      <c r="F816" s="37"/>
      <c r="G816" s="24"/>
      <c r="H816" s="31">
        <f>_xlfn.XLOOKUP(AP[[#This Row],[Supplier name]], Supplier_master[Supplier name], Supplier_master[Category L1], 0)</f>
        <v>0</v>
      </c>
      <c r="I816" s="64">
        <f>_xlfn.XLOOKUP(AP[[#This Row],[Supplier name]], Supplier_master[Supplier name], Supplier_master[Category L2], 0)</f>
        <v>0</v>
      </c>
      <c r="J816" s="55"/>
      <c r="K816" s="54"/>
      <c r="L816" s="57">
        <f>IF(AP[[#This Row],[Spend category L1 - Override]] &lt;&gt; "", AP[[#This Row],[Spend category L1 - Override]], AP[[#This Row],[Spend category L1]])</f>
        <v>0</v>
      </c>
      <c r="M816" s="57">
        <f>IF(AP[[#This Row],[Spend category L2 - Override]] &lt;&gt; "", AP[[#This Row],[Spend category L2 - Override]], AP[[#This Row],[Spend category L2]])</f>
        <v>0</v>
      </c>
      <c r="N816" s="51">
        <f>Assumptions!$D$15</f>
        <v>0.1</v>
      </c>
      <c r="O816" s="45">
        <f>IF(AP[[#This Row],[GST applies?]] = "Yes", (AP[[#This Row],[Invoice value inc. GST]] / 1 + AP[[#This Row],[GST %]]) * AP[[#This Row],[GST %]], 0)</f>
        <v>0</v>
      </c>
      <c r="P816" s="31">
        <f>_xlfn.XLOOKUP(AP[[#This Row],[Supplier name]], Supplier_master[Supplier name], Supplier_master[EOM or Net], 0)</f>
        <v>0</v>
      </c>
      <c r="Q816" s="31">
        <f>_xlfn.XLOOKUP(AP[[#This Row],[Supplier name]], Supplier_master[Supplier name], Supplier_master[Terms days], 0)</f>
        <v>0</v>
      </c>
      <c r="R8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6" s="4"/>
      <c r="T816" s="46">
        <f>IF(AP[[#This Row],[Payment date - override (dd/mm/yyyy)]] &lt;&gt; "", AP[[#This Row],[Payment date - override (dd/mm/yyyy)]], AP[[#This Row],[Due date (dd/mm/yyyy)]])</f>
        <v>0</v>
      </c>
      <c r="U816" s="46">
        <f t="shared" si="12"/>
        <v>52</v>
      </c>
    </row>
    <row r="817" spans="3:21" x14ac:dyDescent="0.25">
      <c r="C817" s="28"/>
      <c r="D817" s="20"/>
      <c r="E817" s="4"/>
      <c r="F817" s="37"/>
      <c r="G817" s="24"/>
      <c r="H817" s="31">
        <f>_xlfn.XLOOKUP(AP[[#This Row],[Supplier name]], Supplier_master[Supplier name], Supplier_master[Category L1], 0)</f>
        <v>0</v>
      </c>
      <c r="I817" s="64">
        <f>_xlfn.XLOOKUP(AP[[#This Row],[Supplier name]], Supplier_master[Supplier name], Supplier_master[Category L2], 0)</f>
        <v>0</v>
      </c>
      <c r="J817" s="55"/>
      <c r="K817" s="54"/>
      <c r="L817" s="57">
        <f>IF(AP[[#This Row],[Spend category L1 - Override]] &lt;&gt; "", AP[[#This Row],[Spend category L1 - Override]], AP[[#This Row],[Spend category L1]])</f>
        <v>0</v>
      </c>
      <c r="M817" s="57">
        <f>IF(AP[[#This Row],[Spend category L2 - Override]] &lt;&gt; "", AP[[#This Row],[Spend category L2 - Override]], AP[[#This Row],[Spend category L2]])</f>
        <v>0</v>
      </c>
      <c r="N817" s="51">
        <f>Assumptions!$D$15</f>
        <v>0.1</v>
      </c>
      <c r="O817" s="45">
        <f>IF(AP[[#This Row],[GST applies?]] = "Yes", (AP[[#This Row],[Invoice value inc. GST]] / 1 + AP[[#This Row],[GST %]]) * AP[[#This Row],[GST %]], 0)</f>
        <v>0</v>
      </c>
      <c r="P817" s="31">
        <f>_xlfn.XLOOKUP(AP[[#This Row],[Supplier name]], Supplier_master[Supplier name], Supplier_master[EOM or Net], 0)</f>
        <v>0</v>
      </c>
      <c r="Q817" s="31">
        <f>_xlfn.XLOOKUP(AP[[#This Row],[Supplier name]], Supplier_master[Supplier name], Supplier_master[Terms days], 0)</f>
        <v>0</v>
      </c>
      <c r="R8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7" s="4"/>
      <c r="T817" s="46">
        <f>IF(AP[[#This Row],[Payment date - override (dd/mm/yyyy)]] &lt;&gt; "", AP[[#This Row],[Payment date - override (dd/mm/yyyy)]], AP[[#This Row],[Due date (dd/mm/yyyy)]])</f>
        <v>0</v>
      </c>
      <c r="U817" s="46">
        <f t="shared" si="12"/>
        <v>52</v>
      </c>
    </row>
    <row r="818" spans="3:21" x14ac:dyDescent="0.25">
      <c r="C818" s="28"/>
      <c r="D818" s="20"/>
      <c r="E818" s="4"/>
      <c r="F818" s="37"/>
      <c r="G818" s="24"/>
      <c r="H818" s="31">
        <f>_xlfn.XLOOKUP(AP[[#This Row],[Supplier name]], Supplier_master[Supplier name], Supplier_master[Category L1], 0)</f>
        <v>0</v>
      </c>
      <c r="I818" s="64">
        <f>_xlfn.XLOOKUP(AP[[#This Row],[Supplier name]], Supplier_master[Supplier name], Supplier_master[Category L2], 0)</f>
        <v>0</v>
      </c>
      <c r="J818" s="55"/>
      <c r="K818" s="54"/>
      <c r="L818" s="57">
        <f>IF(AP[[#This Row],[Spend category L1 - Override]] &lt;&gt; "", AP[[#This Row],[Spend category L1 - Override]], AP[[#This Row],[Spend category L1]])</f>
        <v>0</v>
      </c>
      <c r="M818" s="57">
        <f>IF(AP[[#This Row],[Spend category L2 - Override]] &lt;&gt; "", AP[[#This Row],[Spend category L2 - Override]], AP[[#This Row],[Spend category L2]])</f>
        <v>0</v>
      </c>
      <c r="N818" s="51">
        <f>Assumptions!$D$15</f>
        <v>0.1</v>
      </c>
      <c r="O818" s="45">
        <f>IF(AP[[#This Row],[GST applies?]] = "Yes", (AP[[#This Row],[Invoice value inc. GST]] / 1 + AP[[#This Row],[GST %]]) * AP[[#This Row],[GST %]], 0)</f>
        <v>0</v>
      </c>
      <c r="P818" s="31">
        <f>_xlfn.XLOOKUP(AP[[#This Row],[Supplier name]], Supplier_master[Supplier name], Supplier_master[EOM or Net], 0)</f>
        <v>0</v>
      </c>
      <c r="Q818" s="31">
        <f>_xlfn.XLOOKUP(AP[[#This Row],[Supplier name]], Supplier_master[Supplier name], Supplier_master[Terms days], 0)</f>
        <v>0</v>
      </c>
      <c r="R8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8" s="4"/>
      <c r="T818" s="46">
        <f>IF(AP[[#This Row],[Payment date - override (dd/mm/yyyy)]] &lt;&gt; "", AP[[#This Row],[Payment date - override (dd/mm/yyyy)]], AP[[#This Row],[Due date (dd/mm/yyyy)]])</f>
        <v>0</v>
      </c>
      <c r="U818" s="46">
        <f t="shared" si="12"/>
        <v>52</v>
      </c>
    </row>
    <row r="819" spans="3:21" x14ac:dyDescent="0.25">
      <c r="C819" s="28"/>
      <c r="D819" s="20"/>
      <c r="E819" s="4"/>
      <c r="F819" s="37"/>
      <c r="G819" s="24"/>
      <c r="H819" s="31">
        <f>_xlfn.XLOOKUP(AP[[#This Row],[Supplier name]], Supplier_master[Supplier name], Supplier_master[Category L1], 0)</f>
        <v>0</v>
      </c>
      <c r="I819" s="64">
        <f>_xlfn.XLOOKUP(AP[[#This Row],[Supplier name]], Supplier_master[Supplier name], Supplier_master[Category L2], 0)</f>
        <v>0</v>
      </c>
      <c r="J819" s="55"/>
      <c r="K819" s="54"/>
      <c r="L819" s="57">
        <f>IF(AP[[#This Row],[Spend category L1 - Override]] &lt;&gt; "", AP[[#This Row],[Spend category L1 - Override]], AP[[#This Row],[Spend category L1]])</f>
        <v>0</v>
      </c>
      <c r="M819" s="57">
        <f>IF(AP[[#This Row],[Spend category L2 - Override]] &lt;&gt; "", AP[[#This Row],[Spend category L2 - Override]], AP[[#This Row],[Spend category L2]])</f>
        <v>0</v>
      </c>
      <c r="N819" s="51">
        <f>Assumptions!$D$15</f>
        <v>0.1</v>
      </c>
      <c r="O819" s="45">
        <f>IF(AP[[#This Row],[GST applies?]] = "Yes", (AP[[#This Row],[Invoice value inc. GST]] / 1 + AP[[#This Row],[GST %]]) * AP[[#This Row],[GST %]], 0)</f>
        <v>0</v>
      </c>
      <c r="P819" s="31">
        <f>_xlfn.XLOOKUP(AP[[#This Row],[Supplier name]], Supplier_master[Supplier name], Supplier_master[EOM or Net], 0)</f>
        <v>0</v>
      </c>
      <c r="Q819" s="31">
        <f>_xlfn.XLOOKUP(AP[[#This Row],[Supplier name]], Supplier_master[Supplier name], Supplier_master[Terms days], 0)</f>
        <v>0</v>
      </c>
      <c r="R8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9" s="4"/>
      <c r="T819" s="46">
        <f>IF(AP[[#This Row],[Payment date - override (dd/mm/yyyy)]] &lt;&gt; "", AP[[#This Row],[Payment date - override (dd/mm/yyyy)]], AP[[#This Row],[Due date (dd/mm/yyyy)]])</f>
        <v>0</v>
      </c>
      <c r="U819" s="46">
        <f t="shared" si="12"/>
        <v>52</v>
      </c>
    </row>
    <row r="820" spans="3:21" x14ac:dyDescent="0.25">
      <c r="C820" s="28"/>
      <c r="D820" s="20"/>
      <c r="E820" s="4"/>
      <c r="F820" s="37"/>
      <c r="G820" s="24"/>
      <c r="H820" s="31">
        <f>_xlfn.XLOOKUP(AP[[#This Row],[Supplier name]], Supplier_master[Supplier name], Supplier_master[Category L1], 0)</f>
        <v>0</v>
      </c>
      <c r="I820" s="64">
        <f>_xlfn.XLOOKUP(AP[[#This Row],[Supplier name]], Supplier_master[Supplier name], Supplier_master[Category L2], 0)</f>
        <v>0</v>
      </c>
      <c r="J820" s="55"/>
      <c r="K820" s="54"/>
      <c r="L820" s="57">
        <f>IF(AP[[#This Row],[Spend category L1 - Override]] &lt;&gt; "", AP[[#This Row],[Spend category L1 - Override]], AP[[#This Row],[Spend category L1]])</f>
        <v>0</v>
      </c>
      <c r="M820" s="57">
        <f>IF(AP[[#This Row],[Spend category L2 - Override]] &lt;&gt; "", AP[[#This Row],[Spend category L2 - Override]], AP[[#This Row],[Spend category L2]])</f>
        <v>0</v>
      </c>
      <c r="N820" s="51">
        <f>Assumptions!$D$15</f>
        <v>0.1</v>
      </c>
      <c r="O820" s="45">
        <f>IF(AP[[#This Row],[GST applies?]] = "Yes", (AP[[#This Row],[Invoice value inc. GST]] / 1 + AP[[#This Row],[GST %]]) * AP[[#This Row],[GST %]], 0)</f>
        <v>0</v>
      </c>
      <c r="P820" s="31">
        <f>_xlfn.XLOOKUP(AP[[#This Row],[Supplier name]], Supplier_master[Supplier name], Supplier_master[EOM or Net], 0)</f>
        <v>0</v>
      </c>
      <c r="Q820" s="31">
        <f>_xlfn.XLOOKUP(AP[[#This Row],[Supplier name]], Supplier_master[Supplier name], Supplier_master[Terms days], 0)</f>
        <v>0</v>
      </c>
      <c r="R8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0" s="4"/>
      <c r="T820" s="46">
        <f>IF(AP[[#This Row],[Payment date - override (dd/mm/yyyy)]] &lt;&gt; "", AP[[#This Row],[Payment date - override (dd/mm/yyyy)]], AP[[#This Row],[Due date (dd/mm/yyyy)]])</f>
        <v>0</v>
      </c>
      <c r="U820" s="46">
        <f t="shared" si="12"/>
        <v>52</v>
      </c>
    </row>
    <row r="821" spans="3:21" x14ac:dyDescent="0.25">
      <c r="C821" s="28"/>
      <c r="D821" s="20"/>
      <c r="E821" s="4"/>
      <c r="F821" s="37"/>
      <c r="G821" s="24"/>
      <c r="H821" s="31">
        <f>_xlfn.XLOOKUP(AP[[#This Row],[Supplier name]], Supplier_master[Supplier name], Supplier_master[Category L1], 0)</f>
        <v>0</v>
      </c>
      <c r="I821" s="64">
        <f>_xlfn.XLOOKUP(AP[[#This Row],[Supplier name]], Supplier_master[Supplier name], Supplier_master[Category L2], 0)</f>
        <v>0</v>
      </c>
      <c r="J821" s="55"/>
      <c r="K821" s="54"/>
      <c r="L821" s="57">
        <f>IF(AP[[#This Row],[Spend category L1 - Override]] &lt;&gt; "", AP[[#This Row],[Spend category L1 - Override]], AP[[#This Row],[Spend category L1]])</f>
        <v>0</v>
      </c>
      <c r="M821" s="57">
        <f>IF(AP[[#This Row],[Spend category L2 - Override]] &lt;&gt; "", AP[[#This Row],[Spend category L2 - Override]], AP[[#This Row],[Spend category L2]])</f>
        <v>0</v>
      </c>
      <c r="N821" s="51">
        <f>Assumptions!$D$15</f>
        <v>0.1</v>
      </c>
      <c r="O821" s="45">
        <f>IF(AP[[#This Row],[GST applies?]] = "Yes", (AP[[#This Row],[Invoice value inc. GST]] / 1 + AP[[#This Row],[GST %]]) * AP[[#This Row],[GST %]], 0)</f>
        <v>0</v>
      </c>
      <c r="P821" s="31">
        <f>_xlfn.XLOOKUP(AP[[#This Row],[Supplier name]], Supplier_master[Supplier name], Supplier_master[EOM or Net], 0)</f>
        <v>0</v>
      </c>
      <c r="Q821" s="31">
        <f>_xlfn.XLOOKUP(AP[[#This Row],[Supplier name]], Supplier_master[Supplier name], Supplier_master[Terms days], 0)</f>
        <v>0</v>
      </c>
      <c r="R8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1" s="4"/>
      <c r="T821" s="46">
        <f>IF(AP[[#This Row],[Payment date - override (dd/mm/yyyy)]] &lt;&gt; "", AP[[#This Row],[Payment date - override (dd/mm/yyyy)]], AP[[#This Row],[Due date (dd/mm/yyyy)]])</f>
        <v>0</v>
      </c>
      <c r="U821" s="46">
        <f t="shared" si="12"/>
        <v>52</v>
      </c>
    </row>
    <row r="822" spans="3:21" x14ac:dyDescent="0.25">
      <c r="C822" s="28"/>
      <c r="D822" s="20"/>
      <c r="E822" s="4"/>
      <c r="F822" s="37"/>
      <c r="G822" s="24"/>
      <c r="H822" s="31">
        <f>_xlfn.XLOOKUP(AP[[#This Row],[Supplier name]], Supplier_master[Supplier name], Supplier_master[Category L1], 0)</f>
        <v>0</v>
      </c>
      <c r="I822" s="64">
        <f>_xlfn.XLOOKUP(AP[[#This Row],[Supplier name]], Supplier_master[Supplier name], Supplier_master[Category L2], 0)</f>
        <v>0</v>
      </c>
      <c r="J822" s="55"/>
      <c r="K822" s="54"/>
      <c r="L822" s="57">
        <f>IF(AP[[#This Row],[Spend category L1 - Override]] &lt;&gt; "", AP[[#This Row],[Spend category L1 - Override]], AP[[#This Row],[Spend category L1]])</f>
        <v>0</v>
      </c>
      <c r="M822" s="57">
        <f>IF(AP[[#This Row],[Spend category L2 - Override]] &lt;&gt; "", AP[[#This Row],[Spend category L2 - Override]], AP[[#This Row],[Spend category L2]])</f>
        <v>0</v>
      </c>
      <c r="N822" s="51">
        <f>Assumptions!$D$15</f>
        <v>0.1</v>
      </c>
      <c r="O822" s="45">
        <f>IF(AP[[#This Row],[GST applies?]] = "Yes", (AP[[#This Row],[Invoice value inc. GST]] / 1 + AP[[#This Row],[GST %]]) * AP[[#This Row],[GST %]], 0)</f>
        <v>0</v>
      </c>
      <c r="P822" s="31">
        <f>_xlfn.XLOOKUP(AP[[#This Row],[Supplier name]], Supplier_master[Supplier name], Supplier_master[EOM or Net], 0)</f>
        <v>0</v>
      </c>
      <c r="Q822" s="31">
        <f>_xlfn.XLOOKUP(AP[[#This Row],[Supplier name]], Supplier_master[Supplier name], Supplier_master[Terms days], 0)</f>
        <v>0</v>
      </c>
      <c r="R8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2" s="4"/>
      <c r="T822" s="46">
        <f>IF(AP[[#This Row],[Payment date - override (dd/mm/yyyy)]] &lt;&gt; "", AP[[#This Row],[Payment date - override (dd/mm/yyyy)]], AP[[#This Row],[Due date (dd/mm/yyyy)]])</f>
        <v>0</v>
      </c>
      <c r="U822" s="46">
        <f t="shared" si="12"/>
        <v>52</v>
      </c>
    </row>
    <row r="823" spans="3:21" x14ac:dyDescent="0.25">
      <c r="C823" s="28"/>
      <c r="D823" s="20"/>
      <c r="E823" s="4"/>
      <c r="F823" s="37"/>
      <c r="G823" s="24"/>
      <c r="H823" s="31">
        <f>_xlfn.XLOOKUP(AP[[#This Row],[Supplier name]], Supplier_master[Supplier name], Supplier_master[Category L1], 0)</f>
        <v>0</v>
      </c>
      <c r="I823" s="64">
        <f>_xlfn.XLOOKUP(AP[[#This Row],[Supplier name]], Supplier_master[Supplier name], Supplier_master[Category L2], 0)</f>
        <v>0</v>
      </c>
      <c r="J823" s="55"/>
      <c r="K823" s="54"/>
      <c r="L823" s="57">
        <f>IF(AP[[#This Row],[Spend category L1 - Override]] &lt;&gt; "", AP[[#This Row],[Spend category L1 - Override]], AP[[#This Row],[Spend category L1]])</f>
        <v>0</v>
      </c>
      <c r="M823" s="57">
        <f>IF(AP[[#This Row],[Spend category L2 - Override]] &lt;&gt; "", AP[[#This Row],[Spend category L2 - Override]], AP[[#This Row],[Spend category L2]])</f>
        <v>0</v>
      </c>
      <c r="N823" s="51">
        <f>Assumptions!$D$15</f>
        <v>0.1</v>
      </c>
      <c r="O823" s="45">
        <f>IF(AP[[#This Row],[GST applies?]] = "Yes", (AP[[#This Row],[Invoice value inc. GST]] / 1 + AP[[#This Row],[GST %]]) * AP[[#This Row],[GST %]], 0)</f>
        <v>0</v>
      </c>
      <c r="P823" s="31">
        <f>_xlfn.XLOOKUP(AP[[#This Row],[Supplier name]], Supplier_master[Supplier name], Supplier_master[EOM or Net], 0)</f>
        <v>0</v>
      </c>
      <c r="Q823" s="31">
        <f>_xlfn.XLOOKUP(AP[[#This Row],[Supplier name]], Supplier_master[Supplier name], Supplier_master[Terms days], 0)</f>
        <v>0</v>
      </c>
      <c r="R8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3" s="4"/>
      <c r="T823" s="46">
        <f>IF(AP[[#This Row],[Payment date - override (dd/mm/yyyy)]] &lt;&gt; "", AP[[#This Row],[Payment date - override (dd/mm/yyyy)]], AP[[#This Row],[Due date (dd/mm/yyyy)]])</f>
        <v>0</v>
      </c>
      <c r="U823" s="46">
        <f t="shared" si="12"/>
        <v>52</v>
      </c>
    </row>
    <row r="824" spans="3:21" x14ac:dyDescent="0.25">
      <c r="C824" s="28"/>
      <c r="D824" s="20"/>
      <c r="E824" s="4"/>
      <c r="F824" s="37"/>
      <c r="G824" s="24"/>
      <c r="H824" s="31">
        <f>_xlfn.XLOOKUP(AP[[#This Row],[Supplier name]], Supplier_master[Supplier name], Supplier_master[Category L1], 0)</f>
        <v>0</v>
      </c>
      <c r="I824" s="64">
        <f>_xlfn.XLOOKUP(AP[[#This Row],[Supplier name]], Supplier_master[Supplier name], Supplier_master[Category L2], 0)</f>
        <v>0</v>
      </c>
      <c r="J824" s="55"/>
      <c r="K824" s="54"/>
      <c r="L824" s="57">
        <f>IF(AP[[#This Row],[Spend category L1 - Override]] &lt;&gt; "", AP[[#This Row],[Spend category L1 - Override]], AP[[#This Row],[Spend category L1]])</f>
        <v>0</v>
      </c>
      <c r="M824" s="57">
        <f>IF(AP[[#This Row],[Spend category L2 - Override]] &lt;&gt; "", AP[[#This Row],[Spend category L2 - Override]], AP[[#This Row],[Spend category L2]])</f>
        <v>0</v>
      </c>
      <c r="N824" s="51">
        <f>Assumptions!$D$15</f>
        <v>0.1</v>
      </c>
      <c r="O824" s="45">
        <f>IF(AP[[#This Row],[GST applies?]] = "Yes", (AP[[#This Row],[Invoice value inc. GST]] / 1 + AP[[#This Row],[GST %]]) * AP[[#This Row],[GST %]], 0)</f>
        <v>0</v>
      </c>
      <c r="P824" s="31">
        <f>_xlfn.XLOOKUP(AP[[#This Row],[Supplier name]], Supplier_master[Supplier name], Supplier_master[EOM or Net], 0)</f>
        <v>0</v>
      </c>
      <c r="Q824" s="31">
        <f>_xlfn.XLOOKUP(AP[[#This Row],[Supplier name]], Supplier_master[Supplier name], Supplier_master[Terms days], 0)</f>
        <v>0</v>
      </c>
      <c r="R8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4" s="4"/>
      <c r="T824" s="46">
        <f>IF(AP[[#This Row],[Payment date - override (dd/mm/yyyy)]] &lt;&gt; "", AP[[#This Row],[Payment date - override (dd/mm/yyyy)]], AP[[#This Row],[Due date (dd/mm/yyyy)]])</f>
        <v>0</v>
      </c>
      <c r="U824" s="46">
        <f t="shared" si="12"/>
        <v>52</v>
      </c>
    </row>
    <row r="825" spans="3:21" x14ac:dyDescent="0.25">
      <c r="C825" s="28"/>
      <c r="D825" s="20"/>
      <c r="E825" s="4"/>
      <c r="F825" s="37"/>
      <c r="G825" s="24"/>
      <c r="H825" s="31">
        <f>_xlfn.XLOOKUP(AP[[#This Row],[Supplier name]], Supplier_master[Supplier name], Supplier_master[Category L1], 0)</f>
        <v>0</v>
      </c>
      <c r="I825" s="64">
        <f>_xlfn.XLOOKUP(AP[[#This Row],[Supplier name]], Supplier_master[Supplier name], Supplier_master[Category L2], 0)</f>
        <v>0</v>
      </c>
      <c r="J825" s="55"/>
      <c r="K825" s="54"/>
      <c r="L825" s="57">
        <f>IF(AP[[#This Row],[Spend category L1 - Override]] &lt;&gt; "", AP[[#This Row],[Spend category L1 - Override]], AP[[#This Row],[Spend category L1]])</f>
        <v>0</v>
      </c>
      <c r="M825" s="57">
        <f>IF(AP[[#This Row],[Spend category L2 - Override]] &lt;&gt; "", AP[[#This Row],[Spend category L2 - Override]], AP[[#This Row],[Spend category L2]])</f>
        <v>0</v>
      </c>
      <c r="N825" s="51">
        <f>Assumptions!$D$15</f>
        <v>0.1</v>
      </c>
      <c r="O825" s="45">
        <f>IF(AP[[#This Row],[GST applies?]] = "Yes", (AP[[#This Row],[Invoice value inc. GST]] / 1 + AP[[#This Row],[GST %]]) * AP[[#This Row],[GST %]], 0)</f>
        <v>0</v>
      </c>
      <c r="P825" s="31">
        <f>_xlfn.XLOOKUP(AP[[#This Row],[Supplier name]], Supplier_master[Supplier name], Supplier_master[EOM or Net], 0)</f>
        <v>0</v>
      </c>
      <c r="Q825" s="31">
        <f>_xlfn.XLOOKUP(AP[[#This Row],[Supplier name]], Supplier_master[Supplier name], Supplier_master[Terms days], 0)</f>
        <v>0</v>
      </c>
      <c r="R8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5" s="4"/>
      <c r="T825" s="46">
        <f>IF(AP[[#This Row],[Payment date - override (dd/mm/yyyy)]] &lt;&gt; "", AP[[#This Row],[Payment date - override (dd/mm/yyyy)]], AP[[#This Row],[Due date (dd/mm/yyyy)]])</f>
        <v>0</v>
      </c>
      <c r="U825" s="46">
        <f t="shared" si="12"/>
        <v>52</v>
      </c>
    </row>
    <row r="826" spans="3:21" x14ac:dyDescent="0.25">
      <c r="C826" s="28"/>
      <c r="D826" s="20"/>
      <c r="E826" s="4"/>
      <c r="F826" s="37"/>
      <c r="G826" s="24"/>
      <c r="H826" s="31">
        <f>_xlfn.XLOOKUP(AP[[#This Row],[Supplier name]], Supplier_master[Supplier name], Supplier_master[Category L1], 0)</f>
        <v>0</v>
      </c>
      <c r="I826" s="64">
        <f>_xlfn.XLOOKUP(AP[[#This Row],[Supplier name]], Supplier_master[Supplier name], Supplier_master[Category L2], 0)</f>
        <v>0</v>
      </c>
      <c r="J826" s="55"/>
      <c r="K826" s="54"/>
      <c r="L826" s="57">
        <f>IF(AP[[#This Row],[Spend category L1 - Override]] &lt;&gt; "", AP[[#This Row],[Spend category L1 - Override]], AP[[#This Row],[Spend category L1]])</f>
        <v>0</v>
      </c>
      <c r="M826" s="57">
        <f>IF(AP[[#This Row],[Spend category L2 - Override]] &lt;&gt; "", AP[[#This Row],[Spend category L2 - Override]], AP[[#This Row],[Spend category L2]])</f>
        <v>0</v>
      </c>
      <c r="N826" s="51">
        <f>Assumptions!$D$15</f>
        <v>0.1</v>
      </c>
      <c r="O826" s="45">
        <f>IF(AP[[#This Row],[GST applies?]] = "Yes", (AP[[#This Row],[Invoice value inc. GST]] / 1 + AP[[#This Row],[GST %]]) * AP[[#This Row],[GST %]], 0)</f>
        <v>0</v>
      </c>
      <c r="P826" s="31">
        <f>_xlfn.XLOOKUP(AP[[#This Row],[Supplier name]], Supplier_master[Supplier name], Supplier_master[EOM or Net], 0)</f>
        <v>0</v>
      </c>
      <c r="Q826" s="31">
        <f>_xlfn.XLOOKUP(AP[[#This Row],[Supplier name]], Supplier_master[Supplier name], Supplier_master[Terms days], 0)</f>
        <v>0</v>
      </c>
      <c r="R8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6" s="4"/>
      <c r="T826" s="46">
        <f>IF(AP[[#This Row],[Payment date - override (dd/mm/yyyy)]] &lt;&gt; "", AP[[#This Row],[Payment date - override (dd/mm/yyyy)]], AP[[#This Row],[Due date (dd/mm/yyyy)]])</f>
        <v>0</v>
      </c>
      <c r="U826" s="46">
        <f t="shared" si="12"/>
        <v>52</v>
      </c>
    </row>
    <row r="827" spans="3:21" x14ac:dyDescent="0.25">
      <c r="C827" s="28"/>
      <c r="D827" s="20"/>
      <c r="E827" s="4"/>
      <c r="F827" s="37"/>
      <c r="G827" s="24"/>
      <c r="H827" s="31">
        <f>_xlfn.XLOOKUP(AP[[#This Row],[Supplier name]], Supplier_master[Supplier name], Supplier_master[Category L1], 0)</f>
        <v>0</v>
      </c>
      <c r="I827" s="64">
        <f>_xlfn.XLOOKUP(AP[[#This Row],[Supplier name]], Supplier_master[Supplier name], Supplier_master[Category L2], 0)</f>
        <v>0</v>
      </c>
      <c r="J827" s="55"/>
      <c r="K827" s="54"/>
      <c r="L827" s="57">
        <f>IF(AP[[#This Row],[Spend category L1 - Override]] &lt;&gt; "", AP[[#This Row],[Spend category L1 - Override]], AP[[#This Row],[Spend category L1]])</f>
        <v>0</v>
      </c>
      <c r="M827" s="57">
        <f>IF(AP[[#This Row],[Spend category L2 - Override]] &lt;&gt; "", AP[[#This Row],[Spend category L2 - Override]], AP[[#This Row],[Spend category L2]])</f>
        <v>0</v>
      </c>
      <c r="N827" s="51">
        <f>Assumptions!$D$15</f>
        <v>0.1</v>
      </c>
      <c r="O827" s="45">
        <f>IF(AP[[#This Row],[GST applies?]] = "Yes", (AP[[#This Row],[Invoice value inc. GST]] / 1 + AP[[#This Row],[GST %]]) * AP[[#This Row],[GST %]], 0)</f>
        <v>0</v>
      </c>
      <c r="P827" s="31">
        <f>_xlfn.XLOOKUP(AP[[#This Row],[Supplier name]], Supplier_master[Supplier name], Supplier_master[EOM or Net], 0)</f>
        <v>0</v>
      </c>
      <c r="Q827" s="31">
        <f>_xlfn.XLOOKUP(AP[[#This Row],[Supplier name]], Supplier_master[Supplier name], Supplier_master[Terms days], 0)</f>
        <v>0</v>
      </c>
      <c r="R8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7" s="4"/>
      <c r="T827" s="46">
        <f>IF(AP[[#This Row],[Payment date - override (dd/mm/yyyy)]] &lt;&gt; "", AP[[#This Row],[Payment date - override (dd/mm/yyyy)]], AP[[#This Row],[Due date (dd/mm/yyyy)]])</f>
        <v>0</v>
      </c>
      <c r="U827" s="46">
        <f t="shared" si="12"/>
        <v>52</v>
      </c>
    </row>
    <row r="828" spans="3:21" x14ac:dyDescent="0.25">
      <c r="C828" s="28"/>
      <c r="D828" s="20"/>
      <c r="E828" s="4"/>
      <c r="F828" s="37"/>
      <c r="G828" s="24"/>
      <c r="H828" s="31">
        <f>_xlfn.XLOOKUP(AP[[#This Row],[Supplier name]], Supplier_master[Supplier name], Supplier_master[Category L1], 0)</f>
        <v>0</v>
      </c>
      <c r="I828" s="64">
        <f>_xlfn.XLOOKUP(AP[[#This Row],[Supplier name]], Supplier_master[Supplier name], Supplier_master[Category L2], 0)</f>
        <v>0</v>
      </c>
      <c r="J828" s="55"/>
      <c r="K828" s="54"/>
      <c r="L828" s="57">
        <f>IF(AP[[#This Row],[Spend category L1 - Override]] &lt;&gt; "", AP[[#This Row],[Spend category L1 - Override]], AP[[#This Row],[Spend category L1]])</f>
        <v>0</v>
      </c>
      <c r="M828" s="57">
        <f>IF(AP[[#This Row],[Spend category L2 - Override]] &lt;&gt; "", AP[[#This Row],[Spend category L2 - Override]], AP[[#This Row],[Spend category L2]])</f>
        <v>0</v>
      </c>
      <c r="N828" s="51">
        <f>Assumptions!$D$15</f>
        <v>0.1</v>
      </c>
      <c r="O828" s="45">
        <f>IF(AP[[#This Row],[GST applies?]] = "Yes", (AP[[#This Row],[Invoice value inc. GST]] / 1 + AP[[#This Row],[GST %]]) * AP[[#This Row],[GST %]], 0)</f>
        <v>0</v>
      </c>
      <c r="P828" s="31">
        <f>_xlfn.XLOOKUP(AP[[#This Row],[Supplier name]], Supplier_master[Supplier name], Supplier_master[EOM or Net], 0)</f>
        <v>0</v>
      </c>
      <c r="Q828" s="31">
        <f>_xlfn.XLOOKUP(AP[[#This Row],[Supplier name]], Supplier_master[Supplier name], Supplier_master[Terms days], 0)</f>
        <v>0</v>
      </c>
      <c r="R8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8" s="4"/>
      <c r="T828" s="46">
        <f>IF(AP[[#This Row],[Payment date - override (dd/mm/yyyy)]] &lt;&gt; "", AP[[#This Row],[Payment date - override (dd/mm/yyyy)]], AP[[#This Row],[Due date (dd/mm/yyyy)]])</f>
        <v>0</v>
      </c>
      <c r="U828" s="46">
        <f t="shared" si="12"/>
        <v>52</v>
      </c>
    </row>
    <row r="829" spans="3:21" x14ac:dyDescent="0.25">
      <c r="C829" s="28"/>
      <c r="D829" s="20"/>
      <c r="E829" s="4"/>
      <c r="F829" s="37"/>
      <c r="G829" s="24"/>
      <c r="H829" s="31">
        <f>_xlfn.XLOOKUP(AP[[#This Row],[Supplier name]], Supplier_master[Supplier name], Supplier_master[Category L1], 0)</f>
        <v>0</v>
      </c>
      <c r="I829" s="64">
        <f>_xlfn.XLOOKUP(AP[[#This Row],[Supplier name]], Supplier_master[Supplier name], Supplier_master[Category L2], 0)</f>
        <v>0</v>
      </c>
      <c r="J829" s="55"/>
      <c r="K829" s="54"/>
      <c r="L829" s="57">
        <f>IF(AP[[#This Row],[Spend category L1 - Override]] &lt;&gt; "", AP[[#This Row],[Spend category L1 - Override]], AP[[#This Row],[Spend category L1]])</f>
        <v>0</v>
      </c>
      <c r="M829" s="57">
        <f>IF(AP[[#This Row],[Spend category L2 - Override]] &lt;&gt; "", AP[[#This Row],[Spend category L2 - Override]], AP[[#This Row],[Spend category L2]])</f>
        <v>0</v>
      </c>
      <c r="N829" s="51">
        <f>Assumptions!$D$15</f>
        <v>0.1</v>
      </c>
      <c r="O829" s="45">
        <f>IF(AP[[#This Row],[GST applies?]] = "Yes", (AP[[#This Row],[Invoice value inc. GST]] / 1 + AP[[#This Row],[GST %]]) * AP[[#This Row],[GST %]], 0)</f>
        <v>0</v>
      </c>
      <c r="P829" s="31">
        <f>_xlfn.XLOOKUP(AP[[#This Row],[Supplier name]], Supplier_master[Supplier name], Supplier_master[EOM or Net], 0)</f>
        <v>0</v>
      </c>
      <c r="Q829" s="31">
        <f>_xlfn.XLOOKUP(AP[[#This Row],[Supplier name]], Supplier_master[Supplier name], Supplier_master[Terms days], 0)</f>
        <v>0</v>
      </c>
      <c r="R8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9" s="4"/>
      <c r="T829" s="46">
        <f>IF(AP[[#This Row],[Payment date - override (dd/mm/yyyy)]] &lt;&gt; "", AP[[#This Row],[Payment date - override (dd/mm/yyyy)]], AP[[#This Row],[Due date (dd/mm/yyyy)]])</f>
        <v>0</v>
      </c>
      <c r="U829" s="46">
        <f t="shared" si="12"/>
        <v>52</v>
      </c>
    </row>
    <row r="830" spans="3:21" x14ac:dyDescent="0.25">
      <c r="C830" s="28"/>
      <c r="D830" s="20"/>
      <c r="E830" s="4"/>
      <c r="F830" s="37"/>
      <c r="G830" s="24"/>
      <c r="H830" s="31">
        <f>_xlfn.XLOOKUP(AP[[#This Row],[Supplier name]], Supplier_master[Supplier name], Supplier_master[Category L1], 0)</f>
        <v>0</v>
      </c>
      <c r="I830" s="64">
        <f>_xlfn.XLOOKUP(AP[[#This Row],[Supplier name]], Supplier_master[Supplier name], Supplier_master[Category L2], 0)</f>
        <v>0</v>
      </c>
      <c r="J830" s="55"/>
      <c r="K830" s="54"/>
      <c r="L830" s="57">
        <f>IF(AP[[#This Row],[Spend category L1 - Override]] &lt;&gt; "", AP[[#This Row],[Spend category L1 - Override]], AP[[#This Row],[Spend category L1]])</f>
        <v>0</v>
      </c>
      <c r="M830" s="57">
        <f>IF(AP[[#This Row],[Spend category L2 - Override]] &lt;&gt; "", AP[[#This Row],[Spend category L2 - Override]], AP[[#This Row],[Spend category L2]])</f>
        <v>0</v>
      </c>
      <c r="N830" s="51">
        <f>Assumptions!$D$15</f>
        <v>0.1</v>
      </c>
      <c r="O830" s="45">
        <f>IF(AP[[#This Row],[GST applies?]] = "Yes", (AP[[#This Row],[Invoice value inc. GST]] / 1 + AP[[#This Row],[GST %]]) * AP[[#This Row],[GST %]], 0)</f>
        <v>0</v>
      </c>
      <c r="P830" s="31">
        <f>_xlfn.XLOOKUP(AP[[#This Row],[Supplier name]], Supplier_master[Supplier name], Supplier_master[EOM or Net], 0)</f>
        <v>0</v>
      </c>
      <c r="Q830" s="31">
        <f>_xlfn.XLOOKUP(AP[[#This Row],[Supplier name]], Supplier_master[Supplier name], Supplier_master[Terms days], 0)</f>
        <v>0</v>
      </c>
      <c r="R8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0" s="4"/>
      <c r="T830" s="46">
        <f>IF(AP[[#This Row],[Payment date - override (dd/mm/yyyy)]] &lt;&gt; "", AP[[#This Row],[Payment date - override (dd/mm/yyyy)]], AP[[#This Row],[Due date (dd/mm/yyyy)]])</f>
        <v>0</v>
      </c>
      <c r="U830" s="46">
        <f t="shared" si="12"/>
        <v>52</v>
      </c>
    </row>
    <row r="831" spans="3:21" x14ac:dyDescent="0.25">
      <c r="C831" s="28"/>
      <c r="D831" s="20"/>
      <c r="E831" s="4"/>
      <c r="F831" s="37"/>
      <c r="G831" s="24"/>
      <c r="H831" s="31">
        <f>_xlfn.XLOOKUP(AP[[#This Row],[Supplier name]], Supplier_master[Supplier name], Supplier_master[Category L1], 0)</f>
        <v>0</v>
      </c>
      <c r="I831" s="64">
        <f>_xlfn.XLOOKUP(AP[[#This Row],[Supplier name]], Supplier_master[Supplier name], Supplier_master[Category L2], 0)</f>
        <v>0</v>
      </c>
      <c r="J831" s="55"/>
      <c r="K831" s="54"/>
      <c r="L831" s="57">
        <f>IF(AP[[#This Row],[Spend category L1 - Override]] &lt;&gt; "", AP[[#This Row],[Spend category L1 - Override]], AP[[#This Row],[Spend category L1]])</f>
        <v>0</v>
      </c>
      <c r="M831" s="57">
        <f>IF(AP[[#This Row],[Spend category L2 - Override]] &lt;&gt; "", AP[[#This Row],[Spend category L2 - Override]], AP[[#This Row],[Spend category L2]])</f>
        <v>0</v>
      </c>
      <c r="N831" s="51">
        <f>Assumptions!$D$15</f>
        <v>0.1</v>
      </c>
      <c r="O831" s="45">
        <f>IF(AP[[#This Row],[GST applies?]] = "Yes", (AP[[#This Row],[Invoice value inc. GST]] / 1 + AP[[#This Row],[GST %]]) * AP[[#This Row],[GST %]], 0)</f>
        <v>0</v>
      </c>
      <c r="P831" s="31">
        <f>_xlfn.XLOOKUP(AP[[#This Row],[Supplier name]], Supplier_master[Supplier name], Supplier_master[EOM or Net], 0)</f>
        <v>0</v>
      </c>
      <c r="Q831" s="31">
        <f>_xlfn.XLOOKUP(AP[[#This Row],[Supplier name]], Supplier_master[Supplier name], Supplier_master[Terms days], 0)</f>
        <v>0</v>
      </c>
      <c r="R8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1" s="4"/>
      <c r="T831" s="46">
        <f>IF(AP[[#This Row],[Payment date - override (dd/mm/yyyy)]] &lt;&gt; "", AP[[#This Row],[Payment date - override (dd/mm/yyyy)]], AP[[#This Row],[Due date (dd/mm/yyyy)]])</f>
        <v>0</v>
      </c>
      <c r="U831" s="46">
        <f t="shared" si="12"/>
        <v>52</v>
      </c>
    </row>
    <row r="832" spans="3:21" x14ac:dyDescent="0.25">
      <c r="C832" s="28"/>
      <c r="D832" s="20"/>
      <c r="E832" s="4"/>
      <c r="F832" s="37"/>
      <c r="G832" s="24"/>
      <c r="H832" s="31">
        <f>_xlfn.XLOOKUP(AP[[#This Row],[Supplier name]], Supplier_master[Supplier name], Supplier_master[Category L1], 0)</f>
        <v>0</v>
      </c>
      <c r="I832" s="64">
        <f>_xlfn.XLOOKUP(AP[[#This Row],[Supplier name]], Supplier_master[Supplier name], Supplier_master[Category L2], 0)</f>
        <v>0</v>
      </c>
      <c r="J832" s="55"/>
      <c r="K832" s="54"/>
      <c r="L832" s="57">
        <f>IF(AP[[#This Row],[Spend category L1 - Override]] &lt;&gt; "", AP[[#This Row],[Spend category L1 - Override]], AP[[#This Row],[Spend category L1]])</f>
        <v>0</v>
      </c>
      <c r="M832" s="57">
        <f>IF(AP[[#This Row],[Spend category L2 - Override]] &lt;&gt; "", AP[[#This Row],[Spend category L2 - Override]], AP[[#This Row],[Spend category L2]])</f>
        <v>0</v>
      </c>
      <c r="N832" s="51">
        <f>Assumptions!$D$15</f>
        <v>0.1</v>
      </c>
      <c r="O832" s="45">
        <f>IF(AP[[#This Row],[GST applies?]] = "Yes", (AP[[#This Row],[Invoice value inc. GST]] / 1 + AP[[#This Row],[GST %]]) * AP[[#This Row],[GST %]], 0)</f>
        <v>0</v>
      </c>
      <c r="P832" s="31">
        <f>_xlfn.XLOOKUP(AP[[#This Row],[Supplier name]], Supplier_master[Supplier name], Supplier_master[EOM or Net], 0)</f>
        <v>0</v>
      </c>
      <c r="Q832" s="31">
        <f>_xlfn.XLOOKUP(AP[[#This Row],[Supplier name]], Supplier_master[Supplier name], Supplier_master[Terms days], 0)</f>
        <v>0</v>
      </c>
      <c r="R8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2" s="4"/>
      <c r="T832" s="46">
        <f>IF(AP[[#This Row],[Payment date - override (dd/mm/yyyy)]] &lt;&gt; "", AP[[#This Row],[Payment date - override (dd/mm/yyyy)]], AP[[#This Row],[Due date (dd/mm/yyyy)]])</f>
        <v>0</v>
      </c>
      <c r="U832" s="46">
        <f t="shared" si="12"/>
        <v>52</v>
      </c>
    </row>
    <row r="833" spans="3:21" x14ac:dyDescent="0.25">
      <c r="C833" s="28"/>
      <c r="D833" s="20"/>
      <c r="E833" s="4"/>
      <c r="F833" s="37"/>
      <c r="G833" s="24"/>
      <c r="H833" s="31">
        <f>_xlfn.XLOOKUP(AP[[#This Row],[Supplier name]], Supplier_master[Supplier name], Supplier_master[Category L1], 0)</f>
        <v>0</v>
      </c>
      <c r="I833" s="64">
        <f>_xlfn.XLOOKUP(AP[[#This Row],[Supplier name]], Supplier_master[Supplier name], Supplier_master[Category L2], 0)</f>
        <v>0</v>
      </c>
      <c r="J833" s="55"/>
      <c r="K833" s="54"/>
      <c r="L833" s="57">
        <f>IF(AP[[#This Row],[Spend category L1 - Override]] &lt;&gt; "", AP[[#This Row],[Spend category L1 - Override]], AP[[#This Row],[Spend category L1]])</f>
        <v>0</v>
      </c>
      <c r="M833" s="57">
        <f>IF(AP[[#This Row],[Spend category L2 - Override]] &lt;&gt; "", AP[[#This Row],[Spend category L2 - Override]], AP[[#This Row],[Spend category L2]])</f>
        <v>0</v>
      </c>
      <c r="N833" s="51">
        <f>Assumptions!$D$15</f>
        <v>0.1</v>
      </c>
      <c r="O833" s="45">
        <f>IF(AP[[#This Row],[GST applies?]] = "Yes", (AP[[#This Row],[Invoice value inc. GST]] / 1 + AP[[#This Row],[GST %]]) * AP[[#This Row],[GST %]], 0)</f>
        <v>0</v>
      </c>
      <c r="P833" s="31">
        <f>_xlfn.XLOOKUP(AP[[#This Row],[Supplier name]], Supplier_master[Supplier name], Supplier_master[EOM or Net], 0)</f>
        <v>0</v>
      </c>
      <c r="Q833" s="31">
        <f>_xlfn.XLOOKUP(AP[[#This Row],[Supplier name]], Supplier_master[Supplier name], Supplier_master[Terms days], 0)</f>
        <v>0</v>
      </c>
      <c r="R8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3" s="4"/>
      <c r="T833" s="46">
        <f>IF(AP[[#This Row],[Payment date - override (dd/mm/yyyy)]] &lt;&gt; "", AP[[#This Row],[Payment date - override (dd/mm/yyyy)]], AP[[#This Row],[Due date (dd/mm/yyyy)]])</f>
        <v>0</v>
      </c>
      <c r="U833" s="46">
        <f t="shared" si="12"/>
        <v>52</v>
      </c>
    </row>
    <row r="834" spans="3:21" x14ac:dyDescent="0.25">
      <c r="C834" s="28"/>
      <c r="D834" s="20"/>
      <c r="E834" s="4"/>
      <c r="F834" s="37"/>
      <c r="G834" s="24"/>
      <c r="H834" s="31">
        <f>_xlfn.XLOOKUP(AP[[#This Row],[Supplier name]], Supplier_master[Supplier name], Supplier_master[Category L1], 0)</f>
        <v>0</v>
      </c>
      <c r="I834" s="64">
        <f>_xlfn.XLOOKUP(AP[[#This Row],[Supplier name]], Supplier_master[Supplier name], Supplier_master[Category L2], 0)</f>
        <v>0</v>
      </c>
      <c r="J834" s="55"/>
      <c r="K834" s="54"/>
      <c r="L834" s="57">
        <f>IF(AP[[#This Row],[Spend category L1 - Override]] &lt;&gt; "", AP[[#This Row],[Spend category L1 - Override]], AP[[#This Row],[Spend category L1]])</f>
        <v>0</v>
      </c>
      <c r="M834" s="57">
        <f>IF(AP[[#This Row],[Spend category L2 - Override]] &lt;&gt; "", AP[[#This Row],[Spend category L2 - Override]], AP[[#This Row],[Spend category L2]])</f>
        <v>0</v>
      </c>
      <c r="N834" s="51">
        <f>Assumptions!$D$15</f>
        <v>0.1</v>
      </c>
      <c r="O834" s="45">
        <f>IF(AP[[#This Row],[GST applies?]] = "Yes", (AP[[#This Row],[Invoice value inc. GST]] / 1 + AP[[#This Row],[GST %]]) * AP[[#This Row],[GST %]], 0)</f>
        <v>0</v>
      </c>
      <c r="P834" s="31">
        <f>_xlfn.XLOOKUP(AP[[#This Row],[Supplier name]], Supplier_master[Supplier name], Supplier_master[EOM or Net], 0)</f>
        <v>0</v>
      </c>
      <c r="Q834" s="31">
        <f>_xlfn.XLOOKUP(AP[[#This Row],[Supplier name]], Supplier_master[Supplier name], Supplier_master[Terms days], 0)</f>
        <v>0</v>
      </c>
      <c r="R8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4" s="4"/>
      <c r="T834" s="46">
        <f>IF(AP[[#This Row],[Payment date - override (dd/mm/yyyy)]] &lt;&gt; "", AP[[#This Row],[Payment date - override (dd/mm/yyyy)]], AP[[#This Row],[Due date (dd/mm/yyyy)]])</f>
        <v>0</v>
      </c>
      <c r="U834" s="46">
        <f t="shared" si="12"/>
        <v>52</v>
      </c>
    </row>
    <row r="835" spans="3:21" x14ac:dyDescent="0.25">
      <c r="C835" s="28"/>
      <c r="D835" s="20"/>
      <c r="E835" s="4"/>
      <c r="F835" s="37"/>
      <c r="G835" s="24"/>
      <c r="H835" s="31">
        <f>_xlfn.XLOOKUP(AP[[#This Row],[Supplier name]], Supplier_master[Supplier name], Supplier_master[Category L1], 0)</f>
        <v>0</v>
      </c>
      <c r="I835" s="64">
        <f>_xlfn.XLOOKUP(AP[[#This Row],[Supplier name]], Supplier_master[Supplier name], Supplier_master[Category L2], 0)</f>
        <v>0</v>
      </c>
      <c r="J835" s="55"/>
      <c r="K835" s="54"/>
      <c r="L835" s="57">
        <f>IF(AP[[#This Row],[Spend category L1 - Override]] &lt;&gt; "", AP[[#This Row],[Spend category L1 - Override]], AP[[#This Row],[Spend category L1]])</f>
        <v>0</v>
      </c>
      <c r="M835" s="57">
        <f>IF(AP[[#This Row],[Spend category L2 - Override]] &lt;&gt; "", AP[[#This Row],[Spend category L2 - Override]], AP[[#This Row],[Spend category L2]])</f>
        <v>0</v>
      </c>
      <c r="N835" s="51">
        <f>Assumptions!$D$15</f>
        <v>0.1</v>
      </c>
      <c r="O835" s="45">
        <f>IF(AP[[#This Row],[GST applies?]] = "Yes", (AP[[#This Row],[Invoice value inc. GST]] / 1 + AP[[#This Row],[GST %]]) * AP[[#This Row],[GST %]], 0)</f>
        <v>0</v>
      </c>
      <c r="P835" s="31">
        <f>_xlfn.XLOOKUP(AP[[#This Row],[Supplier name]], Supplier_master[Supplier name], Supplier_master[EOM or Net], 0)</f>
        <v>0</v>
      </c>
      <c r="Q835" s="31">
        <f>_xlfn.XLOOKUP(AP[[#This Row],[Supplier name]], Supplier_master[Supplier name], Supplier_master[Terms days], 0)</f>
        <v>0</v>
      </c>
      <c r="R8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5" s="4"/>
      <c r="T835" s="46">
        <f>IF(AP[[#This Row],[Payment date - override (dd/mm/yyyy)]] &lt;&gt; "", AP[[#This Row],[Payment date - override (dd/mm/yyyy)]], AP[[#This Row],[Due date (dd/mm/yyyy)]])</f>
        <v>0</v>
      </c>
      <c r="U835" s="46">
        <f t="shared" si="12"/>
        <v>52</v>
      </c>
    </row>
    <row r="836" spans="3:21" x14ac:dyDescent="0.25">
      <c r="C836" s="28"/>
      <c r="D836" s="20"/>
      <c r="E836" s="4"/>
      <c r="F836" s="37"/>
      <c r="G836" s="24"/>
      <c r="H836" s="31">
        <f>_xlfn.XLOOKUP(AP[[#This Row],[Supplier name]], Supplier_master[Supplier name], Supplier_master[Category L1], 0)</f>
        <v>0</v>
      </c>
      <c r="I836" s="64">
        <f>_xlfn.XLOOKUP(AP[[#This Row],[Supplier name]], Supplier_master[Supplier name], Supplier_master[Category L2], 0)</f>
        <v>0</v>
      </c>
      <c r="J836" s="55"/>
      <c r="K836" s="54"/>
      <c r="L836" s="57">
        <f>IF(AP[[#This Row],[Spend category L1 - Override]] &lt;&gt; "", AP[[#This Row],[Spend category L1 - Override]], AP[[#This Row],[Spend category L1]])</f>
        <v>0</v>
      </c>
      <c r="M836" s="57">
        <f>IF(AP[[#This Row],[Spend category L2 - Override]] &lt;&gt; "", AP[[#This Row],[Spend category L2 - Override]], AP[[#This Row],[Spend category L2]])</f>
        <v>0</v>
      </c>
      <c r="N836" s="51">
        <f>Assumptions!$D$15</f>
        <v>0.1</v>
      </c>
      <c r="O836" s="45">
        <f>IF(AP[[#This Row],[GST applies?]] = "Yes", (AP[[#This Row],[Invoice value inc. GST]] / 1 + AP[[#This Row],[GST %]]) * AP[[#This Row],[GST %]], 0)</f>
        <v>0</v>
      </c>
      <c r="P836" s="31">
        <f>_xlfn.XLOOKUP(AP[[#This Row],[Supplier name]], Supplier_master[Supplier name], Supplier_master[EOM or Net], 0)</f>
        <v>0</v>
      </c>
      <c r="Q836" s="31">
        <f>_xlfn.XLOOKUP(AP[[#This Row],[Supplier name]], Supplier_master[Supplier name], Supplier_master[Terms days], 0)</f>
        <v>0</v>
      </c>
      <c r="R8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6" s="4"/>
      <c r="T836" s="46">
        <f>IF(AP[[#This Row],[Payment date - override (dd/mm/yyyy)]] &lt;&gt; "", AP[[#This Row],[Payment date - override (dd/mm/yyyy)]], AP[[#This Row],[Due date (dd/mm/yyyy)]])</f>
        <v>0</v>
      </c>
      <c r="U836" s="46">
        <f t="shared" si="12"/>
        <v>52</v>
      </c>
    </row>
    <row r="837" spans="3:21" x14ac:dyDescent="0.25">
      <c r="C837" s="28"/>
      <c r="D837" s="20"/>
      <c r="E837" s="4"/>
      <c r="F837" s="37"/>
      <c r="G837" s="24"/>
      <c r="H837" s="31">
        <f>_xlfn.XLOOKUP(AP[[#This Row],[Supplier name]], Supplier_master[Supplier name], Supplier_master[Category L1], 0)</f>
        <v>0</v>
      </c>
      <c r="I837" s="64">
        <f>_xlfn.XLOOKUP(AP[[#This Row],[Supplier name]], Supplier_master[Supplier name], Supplier_master[Category L2], 0)</f>
        <v>0</v>
      </c>
      <c r="J837" s="55"/>
      <c r="K837" s="54"/>
      <c r="L837" s="57">
        <f>IF(AP[[#This Row],[Spend category L1 - Override]] &lt;&gt; "", AP[[#This Row],[Spend category L1 - Override]], AP[[#This Row],[Spend category L1]])</f>
        <v>0</v>
      </c>
      <c r="M837" s="57">
        <f>IF(AP[[#This Row],[Spend category L2 - Override]] &lt;&gt; "", AP[[#This Row],[Spend category L2 - Override]], AP[[#This Row],[Spend category L2]])</f>
        <v>0</v>
      </c>
      <c r="N837" s="51">
        <f>Assumptions!$D$15</f>
        <v>0.1</v>
      </c>
      <c r="O837" s="45">
        <f>IF(AP[[#This Row],[GST applies?]] = "Yes", (AP[[#This Row],[Invoice value inc. GST]] / 1 + AP[[#This Row],[GST %]]) * AP[[#This Row],[GST %]], 0)</f>
        <v>0</v>
      </c>
      <c r="P837" s="31">
        <f>_xlfn.XLOOKUP(AP[[#This Row],[Supplier name]], Supplier_master[Supplier name], Supplier_master[EOM or Net], 0)</f>
        <v>0</v>
      </c>
      <c r="Q837" s="31">
        <f>_xlfn.XLOOKUP(AP[[#This Row],[Supplier name]], Supplier_master[Supplier name], Supplier_master[Terms days], 0)</f>
        <v>0</v>
      </c>
      <c r="R8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7" s="4"/>
      <c r="T837" s="46">
        <f>IF(AP[[#This Row],[Payment date - override (dd/mm/yyyy)]] &lt;&gt; "", AP[[#This Row],[Payment date - override (dd/mm/yyyy)]], AP[[#This Row],[Due date (dd/mm/yyyy)]])</f>
        <v>0</v>
      </c>
      <c r="U837" s="46">
        <f t="shared" si="12"/>
        <v>52</v>
      </c>
    </row>
    <row r="838" spans="3:21" x14ac:dyDescent="0.25">
      <c r="C838" s="28"/>
      <c r="D838" s="20"/>
      <c r="E838" s="4"/>
      <c r="F838" s="37"/>
      <c r="G838" s="24"/>
      <c r="H838" s="31">
        <f>_xlfn.XLOOKUP(AP[[#This Row],[Supplier name]], Supplier_master[Supplier name], Supplier_master[Category L1], 0)</f>
        <v>0</v>
      </c>
      <c r="I838" s="64">
        <f>_xlfn.XLOOKUP(AP[[#This Row],[Supplier name]], Supplier_master[Supplier name], Supplier_master[Category L2], 0)</f>
        <v>0</v>
      </c>
      <c r="J838" s="55"/>
      <c r="K838" s="54"/>
      <c r="L838" s="57">
        <f>IF(AP[[#This Row],[Spend category L1 - Override]] &lt;&gt; "", AP[[#This Row],[Spend category L1 - Override]], AP[[#This Row],[Spend category L1]])</f>
        <v>0</v>
      </c>
      <c r="M838" s="57">
        <f>IF(AP[[#This Row],[Spend category L2 - Override]] &lt;&gt; "", AP[[#This Row],[Spend category L2 - Override]], AP[[#This Row],[Spend category L2]])</f>
        <v>0</v>
      </c>
      <c r="N838" s="51">
        <f>Assumptions!$D$15</f>
        <v>0.1</v>
      </c>
      <c r="O838" s="45">
        <f>IF(AP[[#This Row],[GST applies?]] = "Yes", (AP[[#This Row],[Invoice value inc. GST]] / 1 + AP[[#This Row],[GST %]]) * AP[[#This Row],[GST %]], 0)</f>
        <v>0</v>
      </c>
      <c r="P838" s="31">
        <f>_xlfn.XLOOKUP(AP[[#This Row],[Supplier name]], Supplier_master[Supplier name], Supplier_master[EOM or Net], 0)</f>
        <v>0</v>
      </c>
      <c r="Q838" s="31">
        <f>_xlfn.XLOOKUP(AP[[#This Row],[Supplier name]], Supplier_master[Supplier name], Supplier_master[Terms days], 0)</f>
        <v>0</v>
      </c>
      <c r="R8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8" s="4"/>
      <c r="T838" s="46">
        <f>IF(AP[[#This Row],[Payment date - override (dd/mm/yyyy)]] &lt;&gt; "", AP[[#This Row],[Payment date - override (dd/mm/yyyy)]], AP[[#This Row],[Due date (dd/mm/yyyy)]])</f>
        <v>0</v>
      </c>
      <c r="U838" s="46">
        <f t="shared" si="12"/>
        <v>52</v>
      </c>
    </row>
    <row r="839" spans="3:21" x14ac:dyDescent="0.25">
      <c r="C839" s="28"/>
      <c r="D839" s="20"/>
      <c r="E839" s="4"/>
      <c r="F839" s="37"/>
      <c r="G839" s="24"/>
      <c r="H839" s="31">
        <f>_xlfn.XLOOKUP(AP[[#This Row],[Supplier name]], Supplier_master[Supplier name], Supplier_master[Category L1], 0)</f>
        <v>0</v>
      </c>
      <c r="I839" s="64">
        <f>_xlfn.XLOOKUP(AP[[#This Row],[Supplier name]], Supplier_master[Supplier name], Supplier_master[Category L2], 0)</f>
        <v>0</v>
      </c>
      <c r="J839" s="55"/>
      <c r="K839" s="54"/>
      <c r="L839" s="57">
        <f>IF(AP[[#This Row],[Spend category L1 - Override]] &lt;&gt; "", AP[[#This Row],[Spend category L1 - Override]], AP[[#This Row],[Spend category L1]])</f>
        <v>0</v>
      </c>
      <c r="M839" s="57">
        <f>IF(AP[[#This Row],[Spend category L2 - Override]] &lt;&gt; "", AP[[#This Row],[Spend category L2 - Override]], AP[[#This Row],[Spend category L2]])</f>
        <v>0</v>
      </c>
      <c r="N839" s="51">
        <f>Assumptions!$D$15</f>
        <v>0.1</v>
      </c>
      <c r="O839" s="45">
        <f>IF(AP[[#This Row],[GST applies?]] = "Yes", (AP[[#This Row],[Invoice value inc. GST]] / 1 + AP[[#This Row],[GST %]]) * AP[[#This Row],[GST %]], 0)</f>
        <v>0</v>
      </c>
      <c r="P839" s="31">
        <f>_xlfn.XLOOKUP(AP[[#This Row],[Supplier name]], Supplier_master[Supplier name], Supplier_master[EOM or Net], 0)</f>
        <v>0</v>
      </c>
      <c r="Q839" s="31">
        <f>_xlfn.XLOOKUP(AP[[#This Row],[Supplier name]], Supplier_master[Supplier name], Supplier_master[Terms days], 0)</f>
        <v>0</v>
      </c>
      <c r="R8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9" s="4"/>
      <c r="T839" s="46">
        <f>IF(AP[[#This Row],[Payment date - override (dd/mm/yyyy)]] &lt;&gt; "", AP[[#This Row],[Payment date - override (dd/mm/yyyy)]], AP[[#This Row],[Due date (dd/mm/yyyy)]])</f>
        <v>0</v>
      </c>
      <c r="U839" s="46">
        <f t="shared" si="12"/>
        <v>52</v>
      </c>
    </row>
    <row r="840" spans="3:21" x14ac:dyDescent="0.25">
      <c r="C840" s="28"/>
      <c r="D840" s="20"/>
      <c r="E840" s="4"/>
      <c r="F840" s="37"/>
      <c r="G840" s="24"/>
      <c r="H840" s="31">
        <f>_xlfn.XLOOKUP(AP[[#This Row],[Supplier name]], Supplier_master[Supplier name], Supplier_master[Category L1], 0)</f>
        <v>0</v>
      </c>
      <c r="I840" s="64">
        <f>_xlfn.XLOOKUP(AP[[#This Row],[Supplier name]], Supplier_master[Supplier name], Supplier_master[Category L2], 0)</f>
        <v>0</v>
      </c>
      <c r="J840" s="55"/>
      <c r="K840" s="54"/>
      <c r="L840" s="57">
        <f>IF(AP[[#This Row],[Spend category L1 - Override]] &lt;&gt; "", AP[[#This Row],[Spend category L1 - Override]], AP[[#This Row],[Spend category L1]])</f>
        <v>0</v>
      </c>
      <c r="M840" s="57">
        <f>IF(AP[[#This Row],[Spend category L2 - Override]] &lt;&gt; "", AP[[#This Row],[Spend category L2 - Override]], AP[[#This Row],[Spend category L2]])</f>
        <v>0</v>
      </c>
      <c r="N840" s="51">
        <f>Assumptions!$D$15</f>
        <v>0.1</v>
      </c>
      <c r="O840" s="45">
        <f>IF(AP[[#This Row],[GST applies?]] = "Yes", (AP[[#This Row],[Invoice value inc. GST]] / 1 + AP[[#This Row],[GST %]]) * AP[[#This Row],[GST %]], 0)</f>
        <v>0</v>
      </c>
      <c r="P840" s="31">
        <f>_xlfn.XLOOKUP(AP[[#This Row],[Supplier name]], Supplier_master[Supplier name], Supplier_master[EOM or Net], 0)</f>
        <v>0</v>
      </c>
      <c r="Q840" s="31">
        <f>_xlfn.XLOOKUP(AP[[#This Row],[Supplier name]], Supplier_master[Supplier name], Supplier_master[Terms days], 0)</f>
        <v>0</v>
      </c>
      <c r="R8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0" s="4"/>
      <c r="T840" s="46">
        <f>IF(AP[[#This Row],[Payment date - override (dd/mm/yyyy)]] &lt;&gt; "", AP[[#This Row],[Payment date - override (dd/mm/yyyy)]], AP[[#This Row],[Due date (dd/mm/yyyy)]])</f>
        <v>0</v>
      </c>
      <c r="U840" s="46">
        <f t="shared" si="12"/>
        <v>52</v>
      </c>
    </row>
    <row r="841" spans="3:21" x14ac:dyDescent="0.25">
      <c r="C841" s="28"/>
      <c r="D841" s="20"/>
      <c r="E841" s="4"/>
      <c r="F841" s="37"/>
      <c r="G841" s="24"/>
      <c r="H841" s="31">
        <f>_xlfn.XLOOKUP(AP[[#This Row],[Supplier name]], Supplier_master[Supplier name], Supplier_master[Category L1], 0)</f>
        <v>0</v>
      </c>
      <c r="I841" s="64">
        <f>_xlfn.XLOOKUP(AP[[#This Row],[Supplier name]], Supplier_master[Supplier name], Supplier_master[Category L2], 0)</f>
        <v>0</v>
      </c>
      <c r="J841" s="55"/>
      <c r="K841" s="54"/>
      <c r="L841" s="57">
        <f>IF(AP[[#This Row],[Spend category L1 - Override]] &lt;&gt; "", AP[[#This Row],[Spend category L1 - Override]], AP[[#This Row],[Spend category L1]])</f>
        <v>0</v>
      </c>
      <c r="M841" s="57">
        <f>IF(AP[[#This Row],[Spend category L2 - Override]] &lt;&gt; "", AP[[#This Row],[Spend category L2 - Override]], AP[[#This Row],[Spend category L2]])</f>
        <v>0</v>
      </c>
      <c r="N841" s="51">
        <f>Assumptions!$D$15</f>
        <v>0.1</v>
      </c>
      <c r="O841" s="45">
        <f>IF(AP[[#This Row],[GST applies?]] = "Yes", (AP[[#This Row],[Invoice value inc. GST]] / 1 + AP[[#This Row],[GST %]]) * AP[[#This Row],[GST %]], 0)</f>
        <v>0</v>
      </c>
      <c r="P841" s="31">
        <f>_xlfn.XLOOKUP(AP[[#This Row],[Supplier name]], Supplier_master[Supplier name], Supplier_master[EOM or Net], 0)</f>
        <v>0</v>
      </c>
      <c r="Q841" s="31">
        <f>_xlfn.XLOOKUP(AP[[#This Row],[Supplier name]], Supplier_master[Supplier name], Supplier_master[Terms days], 0)</f>
        <v>0</v>
      </c>
      <c r="R8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1" s="4"/>
      <c r="T841" s="46">
        <f>IF(AP[[#This Row],[Payment date - override (dd/mm/yyyy)]] &lt;&gt; "", AP[[#This Row],[Payment date - override (dd/mm/yyyy)]], AP[[#This Row],[Due date (dd/mm/yyyy)]])</f>
        <v>0</v>
      </c>
      <c r="U841" s="46">
        <f t="shared" ref="U841:U904" si="13">IF(GST_Freq="Monthly",
    DATE(YEAR(E841), MONTH(E841) + 1, 21),
    IF(GST_Freq="Quarterly",
        IF(MOD(MONTH(E841) + 2 - MOD(MOD(MONTH(E841) - GST_First_Month, 12), 3), 12) = 0,
            DATE(YEAR(E841), MONTH(E841) + 4 - MOD(MOD(MONTH(E841) - GST_First_Month, 12), 3), 28),
            DATE(YEAR(E841), MONTH(E841) + 3 - MOD(MOD(MONTH(E841) - GST_First_Month, 12), 3), 28)
        ),
        "Invalid frequency"
    )
)</f>
        <v>52</v>
      </c>
    </row>
    <row r="842" spans="3:21" x14ac:dyDescent="0.25">
      <c r="C842" s="28"/>
      <c r="D842" s="20"/>
      <c r="E842" s="4"/>
      <c r="F842" s="37"/>
      <c r="G842" s="24"/>
      <c r="H842" s="31">
        <f>_xlfn.XLOOKUP(AP[[#This Row],[Supplier name]], Supplier_master[Supplier name], Supplier_master[Category L1], 0)</f>
        <v>0</v>
      </c>
      <c r="I842" s="64">
        <f>_xlfn.XLOOKUP(AP[[#This Row],[Supplier name]], Supplier_master[Supplier name], Supplier_master[Category L2], 0)</f>
        <v>0</v>
      </c>
      <c r="J842" s="55"/>
      <c r="K842" s="54"/>
      <c r="L842" s="57">
        <f>IF(AP[[#This Row],[Spend category L1 - Override]] &lt;&gt; "", AP[[#This Row],[Spend category L1 - Override]], AP[[#This Row],[Spend category L1]])</f>
        <v>0</v>
      </c>
      <c r="M842" s="57">
        <f>IF(AP[[#This Row],[Spend category L2 - Override]] &lt;&gt; "", AP[[#This Row],[Spend category L2 - Override]], AP[[#This Row],[Spend category L2]])</f>
        <v>0</v>
      </c>
      <c r="N842" s="51">
        <f>Assumptions!$D$15</f>
        <v>0.1</v>
      </c>
      <c r="O842" s="45">
        <f>IF(AP[[#This Row],[GST applies?]] = "Yes", (AP[[#This Row],[Invoice value inc. GST]] / 1 + AP[[#This Row],[GST %]]) * AP[[#This Row],[GST %]], 0)</f>
        <v>0</v>
      </c>
      <c r="P842" s="31">
        <f>_xlfn.XLOOKUP(AP[[#This Row],[Supplier name]], Supplier_master[Supplier name], Supplier_master[EOM or Net], 0)</f>
        <v>0</v>
      </c>
      <c r="Q842" s="31">
        <f>_xlfn.XLOOKUP(AP[[#This Row],[Supplier name]], Supplier_master[Supplier name], Supplier_master[Terms days], 0)</f>
        <v>0</v>
      </c>
      <c r="R8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2" s="4"/>
      <c r="T842" s="46">
        <f>IF(AP[[#This Row],[Payment date - override (dd/mm/yyyy)]] &lt;&gt; "", AP[[#This Row],[Payment date - override (dd/mm/yyyy)]], AP[[#This Row],[Due date (dd/mm/yyyy)]])</f>
        <v>0</v>
      </c>
      <c r="U842" s="46">
        <f t="shared" si="13"/>
        <v>52</v>
      </c>
    </row>
    <row r="843" spans="3:21" x14ac:dyDescent="0.25">
      <c r="C843" s="28"/>
      <c r="D843" s="20"/>
      <c r="E843" s="4"/>
      <c r="F843" s="37"/>
      <c r="G843" s="24"/>
      <c r="H843" s="31">
        <f>_xlfn.XLOOKUP(AP[[#This Row],[Supplier name]], Supplier_master[Supplier name], Supplier_master[Category L1], 0)</f>
        <v>0</v>
      </c>
      <c r="I843" s="64">
        <f>_xlfn.XLOOKUP(AP[[#This Row],[Supplier name]], Supplier_master[Supplier name], Supplier_master[Category L2], 0)</f>
        <v>0</v>
      </c>
      <c r="J843" s="55"/>
      <c r="K843" s="54"/>
      <c r="L843" s="57">
        <f>IF(AP[[#This Row],[Spend category L1 - Override]] &lt;&gt; "", AP[[#This Row],[Spend category L1 - Override]], AP[[#This Row],[Spend category L1]])</f>
        <v>0</v>
      </c>
      <c r="M843" s="57">
        <f>IF(AP[[#This Row],[Spend category L2 - Override]] &lt;&gt; "", AP[[#This Row],[Spend category L2 - Override]], AP[[#This Row],[Spend category L2]])</f>
        <v>0</v>
      </c>
      <c r="N843" s="51">
        <f>Assumptions!$D$15</f>
        <v>0.1</v>
      </c>
      <c r="O843" s="45">
        <f>IF(AP[[#This Row],[GST applies?]] = "Yes", (AP[[#This Row],[Invoice value inc. GST]] / 1 + AP[[#This Row],[GST %]]) * AP[[#This Row],[GST %]], 0)</f>
        <v>0</v>
      </c>
      <c r="P843" s="31">
        <f>_xlfn.XLOOKUP(AP[[#This Row],[Supplier name]], Supplier_master[Supplier name], Supplier_master[EOM or Net], 0)</f>
        <v>0</v>
      </c>
      <c r="Q843" s="31">
        <f>_xlfn.XLOOKUP(AP[[#This Row],[Supplier name]], Supplier_master[Supplier name], Supplier_master[Terms days], 0)</f>
        <v>0</v>
      </c>
      <c r="R8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3" s="4"/>
      <c r="T843" s="46">
        <f>IF(AP[[#This Row],[Payment date - override (dd/mm/yyyy)]] &lt;&gt; "", AP[[#This Row],[Payment date - override (dd/mm/yyyy)]], AP[[#This Row],[Due date (dd/mm/yyyy)]])</f>
        <v>0</v>
      </c>
      <c r="U843" s="46">
        <f t="shared" si="13"/>
        <v>52</v>
      </c>
    </row>
    <row r="844" spans="3:21" x14ac:dyDescent="0.25">
      <c r="C844" s="28"/>
      <c r="D844" s="20"/>
      <c r="E844" s="4"/>
      <c r="F844" s="37"/>
      <c r="G844" s="24"/>
      <c r="H844" s="31">
        <f>_xlfn.XLOOKUP(AP[[#This Row],[Supplier name]], Supplier_master[Supplier name], Supplier_master[Category L1], 0)</f>
        <v>0</v>
      </c>
      <c r="I844" s="64">
        <f>_xlfn.XLOOKUP(AP[[#This Row],[Supplier name]], Supplier_master[Supplier name], Supplier_master[Category L2], 0)</f>
        <v>0</v>
      </c>
      <c r="J844" s="55"/>
      <c r="K844" s="54"/>
      <c r="L844" s="57">
        <f>IF(AP[[#This Row],[Spend category L1 - Override]] &lt;&gt; "", AP[[#This Row],[Spend category L1 - Override]], AP[[#This Row],[Spend category L1]])</f>
        <v>0</v>
      </c>
      <c r="M844" s="57">
        <f>IF(AP[[#This Row],[Spend category L2 - Override]] &lt;&gt; "", AP[[#This Row],[Spend category L2 - Override]], AP[[#This Row],[Spend category L2]])</f>
        <v>0</v>
      </c>
      <c r="N844" s="51">
        <f>Assumptions!$D$15</f>
        <v>0.1</v>
      </c>
      <c r="O844" s="45">
        <f>IF(AP[[#This Row],[GST applies?]] = "Yes", (AP[[#This Row],[Invoice value inc. GST]] / 1 + AP[[#This Row],[GST %]]) * AP[[#This Row],[GST %]], 0)</f>
        <v>0</v>
      </c>
      <c r="P844" s="31">
        <f>_xlfn.XLOOKUP(AP[[#This Row],[Supplier name]], Supplier_master[Supplier name], Supplier_master[EOM or Net], 0)</f>
        <v>0</v>
      </c>
      <c r="Q844" s="31">
        <f>_xlfn.XLOOKUP(AP[[#This Row],[Supplier name]], Supplier_master[Supplier name], Supplier_master[Terms days], 0)</f>
        <v>0</v>
      </c>
      <c r="R8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4" s="4"/>
      <c r="T844" s="46">
        <f>IF(AP[[#This Row],[Payment date - override (dd/mm/yyyy)]] &lt;&gt; "", AP[[#This Row],[Payment date - override (dd/mm/yyyy)]], AP[[#This Row],[Due date (dd/mm/yyyy)]])</f>
        <v>0</v>
      </c>
      <c r="U844" s="46">
        <f t="shared" si="13"/>
        <v>52</v>
      </c>
    </row>
    <row r="845" spans="3:21" x14ac:dyDescent="0.25">
      <c r="C845" s="28"/>
      <c r="D845" s="20"/>
      <c r="E845" s="4"/>
      <c r="F845" s="37"/>
      <c r="G845" s="24"/>
      <c r="H845" s="31">
        <f>_xlfn.XLOOKUP(AP[[#This Row],[Supplier name]], Supplier_master[Supplier name], Supplier_master[Category L1], 0)</f>
        <v>0</v>
      </c>
      <c r="I845" s="64">
        <f>_xlfn.XLOOKUP(AP[[#This Row],[Supplier name]], Supplier_master[Supplier name], Supplier_master[Category L2], 0)</f>
        <v>0</v>
      </c>
      <c r="J845" s="55"/>
      <c r="K845" s="54"/>
      <c r="L845" s="57">
        <f>IF(AP[[#This Row],[Spend category L1 - Override]] &lt;&gt; "", AP[[#This Row],[Spend category L1 - Override]], AP[[#This Row],[Spend category L1]])</f>
        <v>0</v>
      </c>
      <c r="M845" s="57">
        <f>IF(AP[[#This Row],[Spend category L2 - Override]] &lt;&gt; "", AP[[#This Row],[Spend category L2 - Override]], AP[[#This Row],[Spend category L2]])</f>
        <v>0</v>
      </c>
      <c r="N845" s="51">
        <f>Assumptions!$D$15</f>
        <v>0.1</v>
      </c>
      <c r="O845" s="45">
        <f>IF(AP[[#This Row],[GST applies?]] = "Yes", (AP[[#This Row],[Invoice value inc. GST]] / 1 + AP[[#This Row],[GST %]]) * AP[[#This Row],[GST %]], 0)</f>
        <v>0</v>
      </c>
      <c r="P845" s="31">
        <f>_xlfn.XLOOKUP(AP[[#This Row],[Supplier name]], Supplier_master[Supplier name], Supplier_master[EOM or Net], 0)</f>
        <v>0</v>
      </c>
      <c r="Q845" s="31">
        <f>_xlfn.XLOOKUP(AP[[#This Row],[Supplier name]], Supplier_master[Supplier name], Supplier_master[Terms days], 0)</f>
        <v>0</v>
      </c>
      <c r="R8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5" s="4"/>
      <c r="T845" s="46">
        <f>IF(AP[[#This Row],[Payment date - override (dd/mm/yyyy)]] &lt;&gt; "", AP[[#This Row],[Payment date - override (dd/mm/yyyy)]], AP[[#This Row],[Due date (dd/mm/yyyy)]])</f>
        <v>0</v>
      </c>
      <c r="U845" s="46">
        <f t="shared" si="13"/>
        <v>52</v>
      </c>
    </row>
    <row r="846" spans="3:21" x14ac:dyDescent="0.25">
      <c r="C846" s="28"/>
      <c r="D846" s="20"/>
      <c r="E846" s="4"/>
      <c r="F846" s="37"/>
      <c r="G846" s="24"/>
      <c r="H846" s="31">
        <f>_xlfn.XLOOKUP(AP[[#This Row],[Supplier name]], Supplier_master[Supplier name], Supplier_master[Category L1], 0)</f>
        <v>0</v>
      </c>
      <c r="I846" s="64">
        <f>_xlfn.XLOOKUP(AP[[#This Row],[Supplier name]], Supplier_master[Supplier name], Supplier_master[Category L2], 0)</f>
        <v>0</v>
      </c>
      <c r="J846" s="55"/>
      <c r="K846" s="54"/>
      <c r="L846" s="57">
        <f>IF(AP[[#This Row],[Spend category L1 - Override]] &lt;&gt; "", AP[[#This Row],[Spend category L1 - Override]], AP[[#This Row],[Spend category L1]])</f>
        <v>0</v>
      </c>
      <c r="M846" s="57">
        <f>IF(AP[[#This Row],[Spend category L2 - Override]] &lt;&gt; "", AP[[#This Row],[Spend category L2 - Override]], AP[[#This Row],[Spend category L2]])</f>
        <v>0</v>
      </c>
      <c r="N846" s="51">
        <f>Assumptions!$D$15</f>
        <v>0.1</v>
      </c>
      <c r="O846" s="45">
        <f>IF(AP[[#This Row],[GST applies?]] = "Yes", (AP[[#This Row],[Invoice value inc. GST]] / 1 + AP[[#This Row],[GST %]]) * AP[[#This Row],[GST %]], 0)</f>
        <v>0</v>
      </c>
      <c r="P846" s="31">
        <f>_xlfn.XLOOKUP(AP[[#This Row],[Supplier name]], Supplier_master[Supplier name], Supplier_master[EOM or Net], 0)</f>
        <v>0</v>
      </c>
      <c r="Q846" s="31">
        <f>_xlfn.XLOOKUP(AP[[#This Row],[Supplier name]], Supplier_master[Supplier name], Supplier_master[Terms days], 0)</f>
        <v>0</v>
      </c>
      <c r="R8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6" s="4"/>
      <c r="T846" s="46">
        <f>IF(AP[[#This Row],[Payment date - override (dd/mm/yyyy)]] &lt;&gt; "", AP[[#This Row],[Payment date - override (dd/mm/yyyy)]], AP[[#This Row],[Due date (dd/mm/yyyy)]])</f>
        <v>0</v>
      </c>
      <c r="U846" s="46">
        <f t="shared" si="13"/>
        <v>52</v>
      </c>
    </row>
    <row r="847" spans="3:21" x14ac:dyDescent="0.25">
      <c r="C847" s="28"/>
      <c r="D847" s="20"/>
      <c r="E847" s="4"/>
      <c r="F847" s="37"/>
      <c r="G847" s="24"/>
      <c r="H847" s="31">
        <f>_xlfn.XLOOKUP(AP[[#This Row],[Supplier name]], Supplier_master[Supplier name], Supplier_master[Category L1], 0)</f>
        <v>0</v>
      </c>
      <c r="I847" s="64">
        <f>_xlfn.XLOOKUP(AP[[#This Row],[Supplier name]], Supplier_master[Supplier name], Supplier_master[Category L2], 0)</f>
        <v>0</v>
      </c>
      <c r="J847" s="55"/>
      <c r="K847" s="54"/>
      <c r="L847" s="57">
        <f>IF(AP[[#This Row],[Spend category L1 - Override]] &lt;&gt; "", AP[[#This Row],[Spend category L1 - Override]], AP[[#This Row],[Spend category L1]])</f>
        <v>0</v>
      </c>
      <c r="M847" s="57">
        <f>IF(AP[[#This Row],[Spend category L2 - Override]] &lt;&gt; "", AP[[#This Row],[Spend category L2 - Override]], AP[[#This Row],[Spend category L2]])</f>
        <v>0</v>
      </c>
      <c r="N847" s="51">
        <f>Assumptions!$D$15</f>
        <v>0.1</v>
      </c>
      <c r="O847" s="45">
        <f>IF(AP[[#This Row],[GST applies?]] = "Yes", (AP[[#This Row],[Invoice value inc. GST]] / 1 + AP[[#This Row],[GST %]]) * AP[[#This Row],[GST %]], 0)</f>
        <v>0</v>
      </c>
      <c r="P847" s="31">
        <f>_xlfn.XLOOKUP(AP[[#This Row],[Supplier name]], Supplier_master[Supplier name], Supplier_master[EOM or Net], 0)</f>
        <v>0</v>
      </c>
      <c r="Q847" s="31">
        <f>_xlfn.XLOOKUP(AP[[#This Row],[Supplier name]], Supplier_master[Supplier name], Supplier_master[Terms days], 0)</f>
        <v>0</v>
      </c>
      <c r="R8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7" s="4"/>
      <c r="T847" s="46">
        <f>IF(AP[[#This Row],[Payment date - override (dd/mm/yyyy)]] &lt;&gt; "", AP[[#This Row],[Payment date - override (dd/mm/yyyy)]], AP[[#This Row],[Due date (dd/mm/yyyy)]])</f>
        <v>0</v>
      </c>
      <c r="U847" s="46">
        <f t="shared" si="13"/>
        <v>52</v>
      </c>
    </row>
    <row r="848" spans="3:21" x14ac:dyDescent="0.25">
      <c r="C848" s="28"/>
      <c r="D848" s="20"/>
      <c r="E848" s="4"/>
      <c r="F848" s="37"/>
      <c r="G848" s="24"/>
      <c r="H848" s="31">
        <f>_xlfn.XLOOKUP(AP[[#This Row],[Supplier name]], Supplier_master[Supplier name], Supplier_master[Category L1], 0)</f>
        <v>0</v>
      </c>
      <c r="I848" s="64">
        <f>_xlfn.XLOOKUP(AP[[#This Row],[Supplier name]], Supplier_master[Supplier name], Supplier_master[Category L2], 0)</f>
        <v>0</v>
      </c>
      <c r="J848" s="55"/>
      <c r="K848" s="54"/>
      <c r="L848" s="57">
        <f>IF(AP[[#This Row],[Spend category L1 - Override]] &lt;&gt; "", AP[[#This Row],[Spend category L1 - Override]], AP[[#This Row],[Spend category L1]])</f>
        <v>0</v>
      </c>
      <c r="M848" s="57">
        <f>IF(AP[[#This Row],[Spend category L2 - Override]] &lt;&gt; "", AP[[#This Row],[Spend category L2 - Override]], AP[[#This Row],[Spend category L2]])</f>
        <v>0</v>
      </c>
      <c r="N848" s="51">
        <f>Assumptions!$D$15</f>
        <v>0.1</v>
      </c>
      <c r="O848" s="45">
        <f>IF(AP[[#This Row],[GST applies?]] = "Yes", (AP[[#This Row],[Invoice value inc. GST]] / 1 + AP[[#This Row],[GST %]]) * AP[[#This Row],[GST %]], 0)</f>
        <v>0</v>
      </c>
      <c r="P848" s="31">
        <f>_xlfn.XLOOKUP(AP[[#This Row],[Supplier name]], Supplier_master[Supplier name], Supplier_master[EOM or Net], 0)</f>
        <v>0</v>
      </c>
      <c r="Q848" s="31">
        <f>_xlfn.XLOOKUP(AP[[#This Row],[Supplier name]], Supplier_master[Supplier name], Supplier_master[Terms days], 0)</f>
        <v>0</v>
      </c>
      <c r="R8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8" s="4"/>
      <c r="T848" s="46">
        <f>IF(AP[[#This Row],[Payment date - override (dd/mm/yyyy)]] &lt;&gt; "", AP[[#This Row],[Payment date - override (dd/mm/yyyy)]], AP[[#This Row],[Due date (dd/mm/yyyy)]])</f>
        <v>0</v>
      </c>
      <c r="U848" s="46">
        <f t="shared" si="13"/>
        <v>52</v>
      </c>
    </row>
    <row r="849" spans="3:21" x14ac:dyDescent="0.25">
      <c r="C849" s="28"/>
      <c r="D849" s="20"/>
      <c r="E849" s="4"/>
      <c r="F849" s="37"/>
      <c r="G849" s="24"/>
      <c r="H849" s="31">
        <f>_xlfn.XLOOKUP(AP[[#This Row],[Supplier name]], Supplier_master[Supplier name], Supplier_master[Category L1], 0)</f>
        <v>0</v>
      </c>
      <c r="I849" s="64">
        <f>_xlfn.XLOOKUP(AP[[#This Row],[Supplier name]], Supplier_master[Supplier name], Supplier_master[Category L2], 0)</f>
        <v>0</v>
      </c>
      <c r="J849" s="55"/>
      <c r="K849" s="54"/>
      <c r="L849" s="57">
        <f>IF(AP[[#This Row],[Spend category L1 - Override]] &lt;&gt; "", AP[[#This Row],[Spend category L1 - Override]], AP[[#This Row],[Spend category L1]])</f>
        <v>0</v>
      </c>
      <c r="M849" s="57">
        <f>IF(AP[[#This Row],[Spend category L2 - Override]] &lt;&gt; "", AP[[#This Row],[Spend category L2 - Override]], AP[[#This Row],[Spend category L2]])</f>
        <v>0</v>
      </c>
      <c r="N849" s="51">
        <f>Assumptions!$D$15</f>
        <v>0.1</v>
      </c>
      <c r="O849" s="45">
        <f>IF(AP[[#This Row],[GST applies?]] = "Yes", (AP[[#This Row],[Invoice value inc. GST]] / 1 + AP[[#This Row],[GST %]]) * AP[[#This Row],[GST %]], 0)</f>
        <v>0</v>
      </c>
      <c r="P849" s="31">
        <f>_xlfn.XLOOKUP(AP[[#This Row],[Supplier name]], Supplier_master[Supplier name], Supplier_master[EOM or Net], 0)</f>
        <v>0</v>
      </c>
      <c r="Q849" s="31">
        <f>_xlfn.XLOOKUP(AP[[#This Row],[Supplier name]], Supplier_master[Supplier name], Supplier_master[Terms days], 0)</f>
        <v>0</v>
      </c>
      <c r="R8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9" s="4"/>
      <c r="T849" s="46">
        <f>IF(AP[[#This Row],[Payment date - override (dd/mm/yyyy)]] &lt;&gt; "", AP[[#This Row],[Payment date - override (dd/mm/yyyy)]], AP[[#This Row],[Due date (dd/mm/yyyy)]])</f>
        <v>0</v>
      </c>
      <c r="U849" s="46">
        <f t="shared" si="13"/>
        <v>52</v>
      </c>
    </row>
    <row r="850" spans="3:21" x14ac:dyDescent="0.25">
      <c r="C850" s="28"/>
      <c r="D850" s="20"/>
      <c r="E850" s="4"/>
      <c r="F850" s="37"/>
      <c r="G850" s="24"/>
      <c r="H850" s="31">
        <f>_xlfn.XLOOKUP(AP[[#This Row],[Supplier name]], Supplier_master[Supplier name], Supplier_master[Category L1], 0)</f>
        <v>0</v>
      </c>
      <c r="I850" s="64">
        <f>_xlfn.XLOOKUP(AP[[#This Row],[Supplier name]], Supplier_master[Supplier name], Supplier_master[Category L2], 0)</f>
        <v>0</v>
      </c>
      <c r="J850" s="55"/>
      <c r="K850" s="54"/>
      <c r="L850" s="57">
        <f>IF(AP[[#This Row],[Spend category L1 - Override]] &lt;&gt; "", AP[[#This Row],[Spend category L1 - Override]], AP[[#This Row],[Spend category L1]])</f>
        <v>0</v>
      </c>
      <c r="M850" s="57">
        <f>IF(AP[[#This Row],[Spend category L2 - Override]] &lt;&gt; "", AP[[#This Row],[Spend category L2 - Override]], AP[[#This Row],[Spend category L2]])</f>
        <v>0</v>
      </c>
      <c r="N850" s="51">
        <f>Assumptions!$D$15</f>
        <v>0.1</v>
      </c>
      <c r="O850" s="45">
        <f>IF(AP[[#This Row],[GST applies?]] = "Yes", (AP[[#This Row],[Invoice value inc. GST]] / 1 + AP[[#This Row],[GST %]]) * AP[[#This Row],[GST %]], 0)</f>
        <v>0</v>
      </c>
      <c r="P850" s="31">
        <f>_xlfn.XLOOKUP(AP[[#This Row],[Supplier name]], Supplier_master[Supplier name], Supplier_master[EOM or Net], 0)</f>
        <v>0</v>
      </c>
      <c r="Q850" s="31">
        <f>_xlfn.XLOOKUP(AP[[#This Row],[Supplier name]], Supplier_master[Supplier name], Supplier_master[Terms days], 0)</f>
        <v>0</v>
      </c>
      <c r="R8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0" s="4"/>
      <c r="T850" s="46">
        <f>IF(AP[[#This Row],[Payment date - override (dd/mm/yyyy)]] &lt;&gt; "", AP[[#This Row],[Payment date - override (dd/mm/yyyy)]], AP[[#This Row],[Due date (dd/mm/yyyy)]])</f>
        <v>0</v>
      </c>
      <c r="U850" s="46">
        <f t="shared" si="13"/>
        <v>52</v>
      </c>
    </row>
    <row r="851" spans="3:21" x14ac:dyDescent="0.25">
      <c r="C851" s="28"/>
      <c r="D851" s="20"/>
      <c r="E851" s="4"/>
      <c r="F851" s="37"/>
      <c r="G851" s="24"/>
      <c r="H851" s="31">
        <f>_xlfn.XLOOKUP(AP[[#This Row],[Supplier name]], Supplier_master[Supplier name], Supplier_master[Category L1], 0)</f>
        <v>0</v>
      </c>
      <c r="I851" s="64">
        <f>_xlfn.XLOOKUP(AP[[#This Row],[Supplier name]], Supplier_master[Supplier name], Supplier_master[Category L2], 0)</f>
        <v>0</v>
      </c>
      <c r="J851" s="55"/>
      <c r="K851" s="54"/>
      <c r="L851" s="57">
        <f>IF(AP[[#This Row],[Spend category L1 - Override]] &lt;&gt; "", AP[[#This Row],[Spend category L1 - Override]], AP[[#This Row],[Spend category L1]])</f>
        <v>0</v>
      </c>
      <c r="M851" s="57">
        <f>IF(AP[[#This Row],[Spend category L2 - Override]] &lt;&gt; "", AP[[#This Row],[Spend category L2 - Override]], AP[[#This Row],[Spend category L2]])</f>
        <v>0</v>
      </c>
      <c r="N851" s="51">
        <f>Assumptions!$D$15</f>
        <v>0.1</v>
      </c>
      <c r="O851" s="45">
        <f>IF(AP[[#This Row],[GST applies?]] = "Yes", (AP[[#This Row],[Invoice value inc. GST]] / 1 + AP[[#This Row],[GST %]]) * AP[[#This Row],[GST %]], 0)</f>
        <v>0</v>
      </c>
      <c r="P851" s="31">
        <f>_xlfn.XLOOKUP(AP[[#This Row],[Supplier name]], Supplier_master[Supplier name], Supplier_master[EOM or Net], 0)</f>
        <v>0</v>
      </c>
      <c r="Q851" s="31">
        <f>_xlfn.XLOOKUP(AP[[#This Row],[Supplier name]], Supplier_master[Supplier name], Supplier_master[Terms days], 0)</f>
        <v>0</v>
      </c>
      <c r="R8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1" s="4"/>
      <c r="T851" s="46">
        <f>IF(AP[[#This Row],[Payment date - override (dd/mm/yyyy)]] &lt;&gt; "", AP[[#This Row],[Payment date - override (dd/mm/yyyy)]], AP[[#This Row],[Due date (dd/mm/yyyy)]])</f>
        <v>0</v>
      </c>
      <c r="U851" s="46">
        <f t="shared" si="13"/>
        <v>52</v>
      </c>
    </row>
    <row r="852" spans="3:21" x14ac:dyDescent="0.25">
      <c r="C852" s="28"/>
      <c r="D852" s="20"/>
      <c r="E852" s="4"/>
      <c r="F852" s="37"/>
      <c r="G852" s="24"/>
      <c r="H852" s="31">
        <f>_xlfn.XLOOKUP(AP[[#This Row],[Supplier name]], Supplier_master[Supplier name], Supplier_master[Category L1], 0)</f>
        <v>0</v>
      </c>
      <c r="I852" s="64">
        <f>_xlfn.XLOOKUP(AP[[#This Row],[Supplier name]], Supplier_master[Supplier name], Supplier_master[Category L2], 0)</f>
        <v>0</v>
      </c>
      <c r="J852" s="55"/>
      <c r="K852" s="54"/>
      <c r="L852" s="57">
        <f>IF(AP[[#This Row],[Spend category L1 - Override]] &lt;&gt; "", AP[[#This Row],[Spend category L1 - Override]], AP[[#This Row],[Spend category L1]])</f>
        <v>0</v>
      </c>
      <c r="M852" s="57">
        <f>IF(AP[[#This Row],[Spend category L2 - Override]] &lt;&gt; "", AP[[#This Row],[Spend category L2 - Override]], AP[[#This Row],[Spend category L2]])</f>
        <v>0</v>
      </c>
      <c r="N852" s="51">
        <f>Assumptions!$D$15</f>
        <v>0.1</v>
      </c>
      <c r="O852" s="45">
        <f>IF(AP[[#This Row],[GST applies?]] = "Yes", (AP[[#This Row],[Invoice value inc. GST]] / 1 + AP[[#This Row],[GST %]]) * AP[[#This Row],[GST %]], 0)</f>
        <v>0</v>
      </c>
      <c r="P852" s="31">
        <f>_xlfn.XLOOKUP(AP[[#This Row],[Supplier name]], Supplier_master[Supplier name], Supplier_master[EOM or Net], 0)</f>
        <v>0</v>
      </c>
      <c r="Q852" s="31">
        <f>_xlfn.XLOOKUP(AP[[#This Row],[Supplier name]], Supplier_master[Supplier name], Supplier_master[Terms days], 0)</f>
        <v>0</v>
      </c>
      <c r="R8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2" s="4"/>
      <c r="T852" s="46">
        <f>IF(AP[[#This Row],[Payment date - override (dd/mm/yyyy)]] &lt;&gt; "", AP[[#This Row],[Payment date - override (dd/mm/yyyy)]], AP[[#This Row],[Due date (dd/mm/yyyy)]])</f>
        <v>0</v>
      </c>
      <c r="U852" s="46">
        <f t="shared" si="13"/>
        <v>52</v>
      </c>
    </row>
    <row r="853" spans="3:21" x14ac:dyDescent="0.25">
      <c r="C853" s="28"/>
      <c r="D853" s="20"/>
      <c r="E853" s="4"/>
      <c r="F853" s="37"/>
      <c r="G853" s="24"/>
      <c r="H853" s="31">
        <f>_xlfn.XLOOKUP(AP[[#This Row],[Supplier name]], Supplier_master[Supplier name], Supplier_master[Category L1], 0)</f>
        <v>0</v>
      </c>
      <c r="I853" s="64">
        <f>_xlfn.XLOOKUP(AP[[#This Row],[Supplier name]], Supplier_master[Supplier name], Supplier_master[Category L2], 0)</f>
        <v>0</v>
      </c>
      <c r="J853" s="55"/>
      <c r="K853" s="54"/>
      <c r="L853" s="57">
        <f>IF(AP[[#This Row],[Spend category L1 - Override]] &lt;&gt; "", AP[[#This Row],[Spend category L1 - Override]], AP[[#This Row],[Spend category L1]])</f>
        <v>0</v>
      </c>
      <c r="M853" s="57">
        <f>IF(AP[[#This Row],[Spend category L2 - Override]] &lt;&gt; "", AP[[#This Row],[Spend category L2 - Override]], AP[[#This Row],[Spend category L2]])</f>
        <v>0</v>
      </c>
      <c r="N853" s="51">
        <f>Assumptions!$D$15</f>
        <v>0.1</v>
      </c>
      <c r="O853" s="45">
        <f>IF(AP[[#This Row],[GST applies?]] = "Yes", (AP[[#This Row],[Invoice value inc. GST]] / 1 + AP[[#This Row],[GST %]]) * AP[[#This Row],[GST %]], 0)</f>
        <v>0</v>
      </c>
      <c r="P853" s="31">
        <f>_xlfn.XLOOKUP(AP[[#This Row],[Supplier name]], Supplier_master[Supplier name], Supplier_master[EOM or Net], 0)</f>
        <v>0</v>
      </c>
      <c r="Q853" s="31">
        <f>_xlfn.XLOOKUP(AP[[#This Row],[Supplier name]], Supplier_master[Supplier name], Supplier_master[Terms days], 0)</f>
        <v>0</v>
      </c>
      <c r="R8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3" s="4"/>
      <c r="T853" s="46">
        <f>IF(AP[[#This Row],[Payment date - override (dd/mm/yyyy)]] &lt;&gt; "", AP[[#This Row],[Payment date - override (dd/mm/yyyy)]], AP[[#This Row],[Due date (dd/mm/yyyy)]])</f>
        <v>0</v>
      </c>
      <c r="U853" s="46">
        <f t="shared" si="13"/>
        <v>52</v>
      </c>
    </row>
    <row r="854" spans="3:21" x14ac:dyDescent="0.25">
      <c r="C854" s="28"/>
      <c r="D854" s="20"/>
      <c r="E854" s="4"/>
      <c r="F854" s="37"/>
      <c r="G854" s="24"/>
      <c r="H854" s="31">
        <f>_xlfn.XLOOKUP(AP[[#This Row],[Supplier name]], Supplier_master[Supplier name], Supplier_master[Category L1], 0)</f>
        <v>0</v>
      </c>
      <c r="I854" s="64">
        <f>_xlfn.XLOOKUP(AP[[#This Row],[Supplier name]], Supplier_master[Supplier name], Supplier_master[Category L2], 0)</f>
        <v>0</v>
      </c>
      <c r="J854" s="55"/>
      <c r="K854" s="54"/>
      <c r="L854" s="57">
        <f>IF(AP[[#This Row],[Spend category L1 - Override]] &lt;&gt; "", AP[[#This Row],[Spend category L1 - Override]], AP[[#This Row],[Spend category L1]])</f>
        <v>0</v>
      </c>
      <c r="M854" s="57">
        <f>IF(AP[[#This Row],[Spend category L2 - Override]] &lt;&gt; "", AP[[#This Row],[Spend category L2 - Override]], AP[[#This Row],[Spend category L2]])</f>
        <v>0</v>
      </c>
      <c r="N854" s="51">
        <f>Assumptions!$D$15</f>
        <v>0.1</v>
      </c>
      <c r="O854" s="45">
        <f>IF(AP[[#This Row],[GST applies?]] = "Yes", (AP[[#This Row],[Invoice value inc. GST]] / 1 + AP[[#This Row],[GST %]]) * AP[[#This Row],[GST %]], 0)</f>
        <v>0</v>
      </c>
      <c r="P854" s="31">
        <f>_xlfn.XLOOKUP(AP[[#This Row],[Supplier name]], Supplier_master[Supplier name], Supplier_master[EOM or Net], 0)</f>
        <v>0</v>
      </c>
      <c r="Q854" s="31">
        <f>_xlfn.XLOOKUP(AP[[#This Row],[Supplier name]], Supplier_master[Supplier name], Supplier_master[Terms days], 0)</f>
        <v>0</v>
      </c>
      <c r="R8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4" s="4"/>
      <c r="T854" s="46">
        <f>IF(AP[[#This Row],[Payment date - override (dd/mm/yyyy)]] &lt;&gt; "", AP[[#This Row],[Payment date - override (dd/mm/yyyy)]], AP[[#This Row],[Due date (dd/mm/yyyy)]])</f>
        <v>0</v>
      </c>
      <c r="U854" s="46">
        <f t="shared" si="13"/>
        <v>52</v>
      </c>
    </row>
    <row r="855" spans="3:21" x14ac:dyDescent="0.25">
      <c r="C855" s="28"/>
      <c r="D855" s="20"/>
      <c r="E855" s="4"/>
      <c r="F855" s="37"/>
      <c r="G855" s="24"/>
      <c r="H855" s="31">
        <f>_xlfn.XLOOKUP(AP[[#This Row],[Supplier name]], Supplier_master[Supplier name], Supplier_master[Category L1], 0)</f>
        <v>0</v>
      </c>
      <c r="I855" s="64">
        <f>_xlfn.XLOOKUP(AP[[#This Row],[Supplier name]], Supplier_master[Supplier name], Supplier_master[Category L2], 0)</f>
        <v>0</v>
      </c>
      <c r="J855" s="55"/>
      <c r="K855" s="54"/>
      <c r="L855" s="57">
        <f>IF(AP[[#This Row],[Spend category L1 - Override]] &lt;&gt; "", AP[[#This Row],[Spend category L1 - Override]], AP[[#This Row],[Spend category L1]])</f>
        <v>0</v>
      </c>
      <c r="M855" s="57">
        <f>IF(AP[[#This Row],[Spend category L2 - Override]] &lt;&gt; "", AP[[#This Row],[Spend category L2 - Override]], AP[[#This Row],[Spend category L2]])</f>
        <v>0</v>
      </c>
      <c r="N855" s="51">
        <f>Assumptions!$D$15</f>
        <v>0.1</v>
      </c>
      <c r="O855" s="45">
        <f>IF(AP[[#This Row],[GST applies?]] = "Yes", (AP[[#This Row],[Invoice value inc. GST]] / 1 + AP[[#This Row],[GST %]]) * AP[[#This Row],[GST %]], 0)</f>
        <v>0</v>
      </c>
      <c r="P855" s="31">
        <f>_xlfn.XLOOKUP(AP[[#This Row],[Supplier name]], Supplier_master[Supplier name], Supplier_master[EOM or Net], 0)</f>
        <v>0</v>
      </c>
      <c r="Q855" s="31">
        <f>_xlfn.XLOOKUP(AP[[#This Row],[Supplier name]], Supplier_master[Supplier name], Supplier_master[Terms days], 0)</f>
        <v>0</v>
      </c>
      <c r="R8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5" s="4"/>
      <c r="T855" s="46">
        <f>IF(AP[[#This Row],[Payment date - override (dd/mm/yyyy)]] &lt;&gt; "", AP[[#This Row],[Payment date - override (dd/mm/yyyy)]], AP[[#This Row],[Due date (dd/mm/yyyy)]])</f>
        <v>0</v>
      </c>
      <c r="U855" s="46">
        <f t="shared" si="13"/>
        <v>52</v>
      </c>
    </row>
    <row r="856" spans="3:21" x14ac:dyDescent="0.25">
      <c r="C856" s="28"/>
      <c r="D856" s="20"/>
      <c r="E856" s="4"/>
      <c r="F856" s="37"/>
      <c r="G856" s="24"/>
      <c r="H856" s="31">
        <f>_xlfn.XLOOKUP(AP[[#This Row],[Supplier name]], Supplier_master[Supplier name], Supplier_master[Category L1], 0)</f>
        <v>0</v>
      </c>
      <c r="I856" s="64">
        <f>_xlfn.XLOOKUP(AP[[#This Row],[Supplier name]], Supplier_master[Supplier name], Supplier_master[Category L2], 0)</f>
        <v>0</v>
      </c>
      <c r="J856" s="55"/>
      <c r="K856" s="54"/>
      <c r="L856" s="57">
        <f>IF(AP[[#This Row],[Spend category L1 - Override]] &lt;&gt; "", AP[[#This Row],[Spend category L1 - Override]], AP[[#This Row],[Spend category L1]])</f>
        <v>0</v>
      </c>
      <c r="M856" s="57">
        <f>IF(AP[[#This Row],[Spend category L2 - Override]] &lt;&gt; "", AP[[#This Row],[Spend category L2 - Override]], AP[[#This Row],[Spend category L2]])</f>
        <v>0</v>
      </c>
      <c r="N856" s="51">
        <f>Assumptions!$D$15</f>
        <v>0.1</v>
      </c>
      <c r="O856" s="45">
        <f>IF(AP[[#This Row],[GST applies?]] = "Yes", (AP[[#This Row],[Invoice value inc. GST]] / 1 + AP[[#This Row],[GST %]]) * AP[[#This Row],[GST %]], 0)</f>
        <v>0</v>
      </c>
      <c r="P856" s="31">
        <f>_xlfn.XLOOKUP(AP[[#This Row],[Supplier name]], Supplier_master[Supplier name], Supplier_master[EOM or Net], 0)</f>
        <v>0</v>
      </c>
      <c r="Q856" s="31">
        <f>_xlfn.XLOOKUP(AP[[#This Row],[Supplier name]], Supplier_master[Supplier name], Supplier_master[Terms days], 0)</f>
        <v>0</v>
      </c>
      <c r="R8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6" s="4"/>
      <c r="T856" s="46">
        <f>IF(AP[[#This Row],[Payment date - override (dd/mm/yyyy)]] &lt;&gt; "", AP[[#This Row],[Payment date - override (dd/mm/yyyy)]], AP[[#This Row],[Due date (dd/mm/yyyy)]])</f>
        <v>0</v>
      </c>
      <c r="U856" s="46">
        <f t="shared" si="13"/>
        <v>52</v>
      </c>
    </row>
    <row r="857" spans="3:21" x14ac:dyDescent="0.25">
      <c r="C857" s="28"/>
      <c r="D857" s="20"/>
      <c r="E857" s="4"/>
      <c r="F857" s="37"/>
      <c r="G857" s="24"/>
      <c r="H857" s="31">
        <f>_xlfn.XLOOKUP(AP[[#This Row],[Supplier name]], Supplier_master[Supplier name], Supplier_master[Category L1], 0)</f>
        <v>0</v>
      </c>
      <c r="I857" s="64">
        <f>_xlfn.XLOOKUP(AP[[#This Row],[Supplier name]], Supplier_master[Supplier name], Supplier_master[Category L2], 0)</f>
        <v>0</v>
      </c>
      <c r="J857" s="55"/>
      <c r="K857" s="54"/>
      <c r="L857" s="57">
        <f>IF(AP[[#This Row],[Spend category L1 - Override]] &lt;&gt; "", AP[[#This Row],[Spend category L1 - Override]], AP[[#This Row],[Spend category L1]])</f>
        <v>0</v>
      </c>
      <c r="M857" s="57">
        <f>IF(AP[[#This Row],[Spend category L2 - Override]] &lt;&gt; "", AP[[#This Row],[Spend category L2 - Override]], AP[[#This Row],[Spend category L2]])</f>
        <v>0</v>
      </c>
      <c r="N857" s="51">
        <f>Assumptions!$D$15</f>
        <v>0.1</v>
      </c>
      <c r="O857" s="45">
        <f>IF(AP[[#This Row],[GST applies?]] = "Yes", (AP[[#This Row],[Invoice value inc. GST]] / 1 + AP[[#This Row],[GST %]]) * AP[[#This Row],[GST %]], 0)</f>
        <v>0</v>
      </c>
      <c r="P857" s="31">
        <f>_xlfn.XLOOKUP(AP[[#This Row],[Supplier name]], Supplier_master[Supplier name], Supplier_master[EOM or Net], 0)</f>
        <v>0</v>
      </c>
      <c r="Q857" s="31">
        <f>_xlfn.XLOOKUP(AP[[#This Row],[Supplier name]], Supplier_master[Supplier name], Supplier_master[Terms days], 0)</f>
        <v>0</v>
      </c>
      <c r="R8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7" s="4"/>
      <c r="T857" s="46">
        <f>IF(AP[[#This Row],[Payment date - override (dd/mm/yyyy)]] &lt;&gt; "", AP[[#This Row],[Payment date - override (dd/mm/yyyy)]], AP[[#This Row],[Due date (dd/mm/yyyy)]])</f>
        <v>0</v>
      </c>
      <c r="U857" s="46">
        <f t="shared" si="13"/>
        <v>52</v>
      </c>
    </row>
    <row r="858" spans="3:21" x14ac:dyDescent="0.25">
      <c r="C858" s="28"/>
      <c r="D858" s="20"/>
      <c r="E858" s="4"/>
      <c r="F858" s="37"/>
      <c r="G858" s="24"/>
      <c r="H858" s="31">
        <f>_xlfn.XLOOKUP(AP[[#This Row],[Supplier name]], Supplier_master[Supplier name], Supplier_master[Category L1], 0)</f>
        <v>0</v>
      </c>
      <c r="I858" s="64">
        <f>_xlfn.XLOOKUP(AP[[#This Row],[Supplier name]], Supplier_master[Supplier name], Supplier_master[Category L2], 0)</f>
        <v>0</v>
      </c>
      <c r="J858" s="55"/>
      <c r="K858" s="54"/>
      <c r="L858" s="57">
        <f>IF(AP[[#This Row],[Spend category L1 - Override]] &lt;&gt; "", AP[[#This Row],[Spend category L1 - Override]], AP[[#This Row],[Spend category L1]])</f>
        <v>0</v>
      </c>
      <c r="M858" s="57">
        <f>IF(AP[[#This Row],[Spend category L2 - Override]] &lt;&gt; "", AP[[#This Row],[Spend category L2 - Override]], AP[[#This Row],[Spend category L2]])</f>
        <v>0</v>
      </c>
      <c r="N858" s="51">
        <f>Assumptions!$D$15</f>
        <v>0.1</v>
      </c>
      <c r="O858" s="45">
        <f>IF(AP[[#This Row],[GST applies?]] = "Yes", (AP[[#This Row],[Invoice value inc. GST]] / 1 + AP[[#This Row],[GST %]]) * AP[[#This Row],[GST %]], 0)</f>
        <v>0</v>
      </c>
      <c r="P858" s="31">
        <f>_xlfn.XLOOKUP(AP[[#This Row],[Supplier name]], Supplier_master[Supplier name], Supplier_master[EOM or Net], 0)</f>
        <v>0</v>
      </c>
      <c r="Q858" s="31">
        <f>_xlfn.XLOOKUP(AP[[#This Row],[Supplier name]], Supplier_master[Supplier name], Supplier_master[Terms days], 0)</f>
        <v>0</v>
      </c>
      <c r="R8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8" s="4"/>
      <c r="T858" s="46">
        <f>IF(AP[[#This Row],[Payment date - override (dd/mm/yyyy)]] &lt;&gt; "", AP[[#This Row],[Payment date - override (dd/mm/yyyy)]], AP[[#This Row],[Due date (dd/mm/yyyy)]])</f>
        <v>0</v>
      </c>
      <c r="U858" s="46">
        <f t="shared" si="13"/>
        <v>52</v>
      </c>
    </row>
    <row r="859" spans="3:21" x14ac:dyDescent="0.25">
      <c r="C859" s="28"/>
      <c r="D859" s="20"/>
      <c r="E859" s="4"/>
      <c r="F859" s="37"/>
      <c r="G859" s="24"/>
      <c r="H859" s="31">
        <f>_xlfn.XLOOKUP(AP[[#This Row],[Supplier name]], Supplier_master[Supplier name], Supplier_master[Category L1], 0)</f>
        <v>0</v>
      </c>
      <c r="I859" s="64">
        <f>_xlfn.XLOOKUP(AP[[#This Row],[Supplier name]], Supplier_master[Supplier name], Supplier_master[Category L2], 0)</f>
        <v>0</v>
      </c>
      <c r="J859" s="55"/>
      <c r="K859" s="54"/>
      <c r="L859" s="57">
        <f>IF(AP[[#This Row],[Spend category L1 - Override]] &lt;&gt; "", AP[[#This Row],[Spend category L1 - Override]], AP[[#This Row],[Spend category L1]])</f>
        <v>0</v>
      </c>
      <c r="M859" s="57">
        <f>IF(AP[[#This Row],[Spend category L2 - Override]] &lt;&gt; "", AP[[#This Row],[Spend category L2 - Override]], AP[[#This Row],[Spend category L2]])</f>
        <v>0</v>
      </c>
      <c r="N859" s="51">
        <f>Assumptions!$D$15</f>
        <v>0.1</v>
      </c>
      <c r="O859" s="45">
        <f>IF(AP[[#This Row],[GST applies?]] = "Yes", (AP[[#This Row],[Invoice value inc. GST]] / 1 + AP[[#This Row],[GST %]]) * AP[[#This Row],[GST %]], 0)</f>
        <v>0</v>
      </c>
      <c r="P859" s="31">
        <f>_xlfn.XLOOKUP(AP[[#This Row],[Supplier name]], Supplier_master[Supplier name], Supplier_master[EOM or Net], 0)</f>
        <v>0</v>
      </c>
      <c r="Q859" s="31">
        <f>_xlfn.XLOOKUP(AP[[#This Row],[Supplier name]], Supplier_master[Supplier name], Supplier_master[Terms days], 0)</f>
        <v>0</v>
      </c>
      <c r="R8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9" s="4"/>
      <c r="T859" s="46">
        <f>IF(AP[[#This Row],[Payment date - override (dd/mm/yyyy)]] &lt;&gt; "", AP[[#This Row],[Payment date - override (dd/mm/yyyy)]], AP[[#This Row],[Due date (dd/mm/yyyy)]])</f>
        <v>0</v>
      </c>
      <c r="U859" s="46">
        <f t="shared" si="13"/>
        <v>52</v>
      </c>
    </row>
    <row r="860" spans="3:21" x14ac:dyDescent="0.25">
      <c r="C860" s="28"/>
      <c r="D860" s="20"/>
      <c r="E860" s="4"/>
      <c r="F860" s="37"/>
      <c r="G860" s="24"/>
      <c r="H860" s="31">
        <f>_xlfn.XLOOKUP(AP[[#This Row],[Supplier name]], Supplier_master[Supplier name], Supplier_master[Category L1], 0)</f>
        <v>0</v>
      </c>
      <c r="I860" s="64">
        <f>_xlfn.XLOOKUP(AP[[#This Row],[Supplier name]], Supplier_master[Supplier name], Supplier_master[Category L2], 0)</f>
        <v>0</v>
      </c>
      <c r="J860" s="55"/>
      <c r="K860" s="54"/>
      <c r="L860" s="57">
        <f>IF(AP[[#This Row],[Spend category L1 - Override]] &lt;&gt; "", AP[[#This Row],[Spend category L1 - Override]], AP[[#This Row],[Spend category L1]])</f>
        <v>0</v>
      </c>
      <c r="M860" s="57">
        <f>IF(AP[[#This Row],[Spend category L2 - Override]] &lt;&gt; "", AP[[#This Row],[Spend category L2 - Override]], AP[[#This Row],[Spend category L2]])</f>
        <v>0</v>
      </c>
      <c r="N860" s="51">
        <f>Assumptions!$D$15</f>
        <v>0.1</v>
      </c>
      <c r="O860" s="45">
        <f>IF(AP[[#This Row],[GST applies?]] = "Yes", (AP[[#This Row],[Invoice value inc. GST]] / 1 + AP[[#This Row],[GST %]]) * AP[[#This Row],[GST %]], 0)</f>
        <v>0</v>
      </c>
      <c r="P860" s="31">
        <f>_xlfn.XLOOKUP(AP[[#This Row],[Supplier name]], Supplier_master[Supplier name], Supplier_master[EOM or Net], 0)</f>
        <v>0</v>
      </c>
      <c r="Q860" s="31">
        <f>_xlfn.XLOOKUP(AP[[#This Row],[Supplier name]], Supplier_master[Supplier name], Supplier_master[Terms days], 0)</f>
        <v>0</v>
      </c>
      <c r="R8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0" s="4"/>
      <c r="T860" s="46">
        <f>IF(AP[[#This Row],[Payment date - override (dd/mm/yyyy)]] &lt;&gt; "", AP[[#This Row],[Payment date - override (dd/mm/yyyy)]], AP[[#This Row],[Due date (dd/mm/yyyy)]])</f>
        <v>0</v>
      </c>
      <c r="U860" s="46">
        <f t="shared" si="13"/>
        <v>52</v>
      </c>
    </row>
    <row r="861" spans="3:21" x14ac:dyDescent="0.25">
      <c r="C861" s="28"/>
      <c r="D861" s="20"/>
      <c r="E861" s="4"/>
      <c r="F861" s="37"/>
      <c r="G861" s="24"/>
      <c r="H861" s="31">
        <f>_xlfn.XLOOKUP(AP[[#This Row],[Supplier name]], Supplier_master[Supplier name], Supplier_master[Category L1], 0)</f>
        <v>0</v>
      </c>
      <c r="I861" s="64">
        <f>_xlfn.XLOOKUP(AP[[#This Row],[Supplier name]], Supplier_master[Supplier name], Supplier_master[Category L2], 0)</f>
        <v>0</v>
      </c>
      <c r="J861" s="55"/>
      <c r="K861" s="54"/>
      <c r="L861" s="57">
        <f>IF(AP[[#This Row],[Spend category L1 - Override]] &lt;&gt; "", AP[[#This Row],[Spend category L1 - Override]], AP[[#This Row],[Spend category L1]])</f>
        <v>0</v>
      </c>
      <c r="M861" s="57">
        <f>IF(AP[[#This Row],[Spend category L2 - Override]] &lt;&gt; "", AP[[#This Row],[Spend category L2 - Override]], AP[[#This Row],[Spend category L2]])</f>
        <v>0</v>
      </c>
      <c r="N861" s="51">
        <f>Assumptions!$D$15</f>
        <v>0.1</v>
      </c>
      <c r="O861" s="45">
        <f>IF(AP[[#This Row],[GST applies?]] = "Yes", (AP[[#This Row],[Invoice value inc. GST]] / 1 + AP[[#This Row],[GST %]]) * AP[[#This Row],[GST %]], 0)</f>
        <v>0</v>
      </c>
      <c r="P861" s="31">
        <f>_xlfn.XLOOKUP(AP[[#This Row],[Supplier name]], Supplier_master[Supplier name], Supplier_master[EOM or Net], 0)</f>
        <v>0</v>
      </c>
      <c r="Q861" s="31">
        <f>_xlfn.XLOOKUP(AP[[#This Row],[Supplier name]], Supplier_master[Supplier name], Supplier_master[Terms days], 0)</f>
        <v>0</v>
      </c>
      <c r="R8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1" s="4"/>
      <c r="T861" s="46">
        <f>IF(AP[[#This Row],[Payment date - override (dd/mm/yyyy)]] &lt;&gt; "", AP[[#This Row],[Payment date - override (dd/mm/yyyy)]], AP[[#This Row],[Due date (dd/mm/yyyy)]])</f>
        <v>0</v>
      </c>
      <c r="U861" s="46">
        <f t="shared" si="13"/>
        <v>52</v>
      </c>
    </row>
    <row r="862" spans="3:21" x14ac:dyDescent="0.25">
      <c r="C862" s="28"/>
      <c r="D862" s="20"/>
      <c r="E862" s="4"/>
      <c r="F862" s="37"/>
      <c r="G862" s="24"/>
      <c r="H862" s="31">
        <f>_xlfn.XLOOKUP(AP[[#This Row],[Supplier name]], Supplier_master[Supplier name], Supplier_master[Category L1], 0)</f>
        <v>0</v>
      </c>
      <c r="I862" s="64">
        <f>_xlfn.XLOOKUP(AP[[#This Row],[Supplier name]], Supplier_master[Supplier name], Supplier_master[Category L2], 0)</f>
        <v>0</v>
      </c>
      <c r="J862" s="55"/>
      <c r="K862" s="54"/>
      <c r="L862" s="57">
        <f>IF(AP[[#This Row],[Spend category L1 - Override]] &lt;&gt; "", AP[[#This Row],[Spend category L1 - Override]], AP[[#This Row],[Spend category L1]])</f>
        <v>0</v>
      </c>
      <c r="M862" s="57">
        <f>IF(AP[[#This Row],[Spend category L2 - Override]] &lt;&gt; "", AP[[#This Row],[Spend category L2 - Override]], AP[[#This Row],[Spend category L2]])</f>
        <v>0</v>
      </c>
      <c r="N862" s="51">
        <f>Assumptions!$D$15</f>
        <v>0.1</v>
      </c>
      <c r="O862" s="45">
        <f>IF(AP[[#This Row],[GST applies?]] = "Yes", (AP[[#This Row],[Invoice value inc. GST]] / 1 + AP[[#This Row],[GST %]]) * AP[[#This Row],[GST %]], 0)</f>
        <v>0</v>
      </c>
      <c r="P862" s="31">
        <f>_xlfn.XLOOKUP(AP[[#This Row],[Supplier name]], Supplier_master[Supplier name], Supplier_master[EOM or Net], 0)</f>
        <v>0</v>
      </c>
      <c r="Q862" s="31">
        <f>_xlfn.XLOOKUP(AP[[#This Row],[Supplier name]], Supplier_master[Supplier name], Supplier_master[Terms days], 0)</f>
        <v>0</v>
      </c>
      <c r="R8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2" s="4"/>
      <c r="T862" s="46">
        <f>IF(AP[[#This Row],[Payment date - override (dd/mm/yyyy)]] &lt;&gt; "", AP[[#This Row],[Payment date - override (dd/mm/yyyy)]], AP[[#This Row],[Due date (dd/mm/yyyy)]])</f>
        <v>0</v>
      </c>
      <c r="U862" s="46">
        <f t="shared" si="13"/>
        <v>52</v>
      </c>
    </row>
    <row r="863" spans="3:21" x14ac:dyDescent="0.25">
      <c r="C863" s="28"/>
      <c r="D863" s="20"/>
      <c r="E863" s="4"/>
      <c r="F863" s="37"/>
      <c r="G863" s="24"/>
      <c r="H863" s="31">
        <f>_xlfn.XLOOKUP(AP[[#This Row],[Supplier name]], Supplier_master[Supplier name], Supplier_master[Category L1], 0)</f>
        <v>0</v>
      </c>
      <c r="I863" s="64">
        <f>_xlfn.XLOOKUP(AP[[#This Row],[Supplier name]], Supplier_master[Supplier name], Supplier_master[Category L2], 0)</f>
        <v>0</v>
      </c>
      <c r="J863" s="55"/>
      <c r="K863" s="54"/>
      <c r="L863" s="57">
        <f>IF(AP[[#This Row],[Spend category L1 - Override]] &lt;&gt; "", AP[[#This Row],[Spend category L1 - Override]], AP[[#This Row],[Spend category L1]])</f>
        <v>0</v>
      </c>
      <c r="M863" s="57">
        <f>IF(AP[[#This Row],[Spend category L2 - Override]] &lt;&gt; "", AP[[#This Row],[Spend category L2 - Override]], AP[[#This Row],[Spend category L2]])</f>
        <v>0</v>
      </c>
      <c r="N863" s="51">
        <f>Assumptions!$D$15</f>
        <v>0.1</v>
      </c>
      <c r="O863" s="45">
        <f>IF(AP[[#This Row],[GST applies?]] = "Yes", (AP[[#This Row],[Invoice value inc. GST]] / 1 + AP[[#This Row],[GST %]]) * AP[[#This Row],[GST %]], 0)</f>
        <v>0</v>
      </c>
      <c r="P863" s="31">
        <f>_xlfn.XLOOKUP(AP[[#This Row],[Supplier name]], Supplier_master[Supplier name], Supplier_master[EOM or Net], 0)</f>
        <v>0</v>
      </c>
      <c r="Q863" s="31">
        <f>_xlfn.XLOOKUP(AP[[#This Row],[Supplier name]], Supplier_master[Supplier name], Supplier_master[Terms days], 0)</f>
        <v>0</v>
      </c>
      <c r="R8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3" s="4"/>
      <c r="T863" s="46">
        <f>IF(AP[[#This Row],[Payment date - override (dd/mm/yyyy)]] &lt;&gt; "", AP[[#This Row],[Payment date - override (dd/mm/yyyy)]], AP[[#This Row],[Due date (dd/mm/yyyy)]])</f>
        <v>0</v>
      </c>
      <c r="U863" s="46">
        <f t="shared" si="13"/>
        <v>52</v>
      </c>
    </row>
    <row r="864" spans="3:21" x14ac:dyDescent="0.25">
      <c r="C864" s="28"/>
      <c r="D864" s="20"/>
      <c r="E864" s="4"/>
      <c r="F864" s="37"/>
      <c r="G864" s="24"/>
      <c r="H864" s="31">
        <f>_xlfn.XLOOKUP(AP[[#This Row],[Supplier name]], Supplier_master[Supplier name], Supplier_master[Category L1], 0)</f>
        <v>0</v>
      </c>
      <c r="I864" s="64">
        <f>_xlfn.XLOOKUP(AP[[#This Row],[Supplier name]], Supplier_master[Supplier name], Supplier_master[Category L2], 0)</f>
        <v>0</v>
      </c>
      <c r="J864" s="55"/>
      <c r="K864" s="54"/>
      <c r="L864" s="57">
        <f>IF(AP[[#This Row],[Spend category L1 - Override]] &lt;&gt; "", AP[[#This Row],[Spend category L1 - Override]], AP[[#This Row],[Spend category L1]])</f>
        <v>0</v>
      </c>
      <c r="M864" s="57">
        <f>IF(AP[[#This Row],[Spend category L2 - Override]] &lt;&gt; "", AP[[#This Row],[Spend category L2 - Override]], AP[[#This Row],[Spend category L2]])</f>
        <v>0</v>
      </c>
      <c r="N864" s="51">
        <f>Assumptions!$D$15</f>
        <v>0.1</v>
      </c>
      <c r="O864" s="45">
        <f>IF(AP[[#This Row],[GST applies?]] = "Yes", (AP[[#This Row],[Invoice value inc. GST]] / 1 + AP[[#This Row],[GST %]]) * AP[[#This Row],[GST %]], 0)</f>
        <v>0</v>
      </c>
      <c r="P864" s="31">
        <f>_xlfn.XLOOKUP(AP[[#This Row],[Supplier name]], Supplier_master[Supplier name], Supplier_master[EOM or Net], 0)</f>
        <v>0</v>
      </c>
      <c r="Q864" s="31">
        <f>_xlfn.XLOOKUP(AP[[#This Row],[Supplier name]], Supplier_master[Supplier name], Supplier_master[Terms days], 0)</f>
        <v>0</v>
      </c>
      <c r="R8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4" s="4"/>
      <c r="T864" s="46">
        <f>IF(AP[[#This Row],[Payment date - override (dd/mm/yyyy)]] &lt;&gt; "", AP[[#This Row],[Payment date - override (dd/mm/yyyy)]], AP[[#This Row],[Due date (dd/mm/yyyy)]])</f>
        <v>0</v>
      </c>
      <c r="U864" s="46">
        <f t="shared" si="13"/>
        <v>52</v>
      </c>
    </row>
    <row r="865" spans="3:21" x14ac:dyDescent="0.25">
      <c r="C865" s="28"/>
      <c r="D865" s="20"/>
      <c r="E865" s="4"/>
      <c r="F865" s="37"/>
      <c r="G865" s="24"/>
      <c r="H865" s="31">
        <f>_xlfn.XLOOKUP(AP[[#This Row],[Supplier name]], Supplier_master[Supplier name], Supplier_master[Category L1], 0)</f>
        <v>0</v>
      </c>
      <c r="I865" s="64">
        <f>_xlfn.XLOOKUP(AP[[#This Row],[Supplier name]], Supplier_master[Supplier name], Supplier_master[Category L2], 0)</f>
        <v>0</v>
      </c>
      <c r="J865" s="55"/>
      <c r="K865" s="54"/>
      <c r="L865" s="57">
        <f>IF(AP[[#This Row],[Spend category L1 - Override]] &lt;&gt; "", AP[[#This Row],[Spend category L1 - Override]], AP[[#This Row],[Spend category L1]])</f>
        <v>0</v>
      </c>
      <c r="M865" s="57">
        <f>IF(AP[[#This Row],[Spend category L2 - Override]] &lt;&gt; "", AP[[#This Row],[Spend category L2 - Override]], AP[[#This Row],[Spend category L2]])</f>
        <v>0</v>
      </c>
      <c r="N865" s="51">
        <f>Assumptions!$D$15</f>
        <v>0.1</v>
      </c>
      <c r="O865" s="45">
        <f>IF(AP[[#This Row],[GST applies?]] = "Yes", (AP[[#This Row],[Invoice value inc. GST]] / 1 + AP[[#This Row],[GST %]]) * AP[[#This Row],[GST %]], 0)</f>
        <v>0</v>
      </c>
      <c r="P865" s="31">
        <f>_xlfn.XLOOKUP(AP[[#This Row],[Supplier name]], Supplier_master[Supplier name], Supplier_master[EOM or Net], 0)</f>
        <v>0</v>
      </c>
      <c r="Q865" s="31">
        <f>_xlfn.XLOOKUP(AP[[#This Row],[Supplier name]], Supplier_master[Supplier name], Supplier_master[Terms days], 0)</f>
        <v>0</v>
      </c>
      <c r="R8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5" s="4"/>
      <c r="T865" s="46">
        <f>IF(AP[[#This Row],[Payment date - override (dd/mm/yyyy)]] &lt;&gt; "", AP[[#This Row],[Payment date - override (dd/mm/yyyy)]], AP[[#This Row],[Due date (dd/mm/yyyy)]])</f>
        <v>0</v>
      </c>
      <c r="U865" s="46">
        <f t="shared" si="13"/>
        <v>52</v>
      </c>
    </row>
    <row r="866" spans="3:21" x14ac:dyDescent="0.25">
      <c r="C866" s="28"/>
      <c r="D866" s="20"/>
      <c r="E866" s="4"/>
      <c r="F866" s="37"/>
      <c r="G866" s="24"/>
      <c r="H866" s="31">
        <f>_xlfn.XLOOKUP(AP[[#This Row],[Supplier name]], Supplier_master[Supplier name], Supplier_master[Category L1], 0)</f>
        <v>0</v>
      </c>
      <c r="I866" s="64">
        <f>_xlfn.XLOOKUP(AP[[#This Row],[Supplier name]], Supplier_master[Supplier name], Supplier_master[Category L2], 0)</f>
        <v>0</v>
      </c>
      <c r="J866" s="55"/>
      <c r="K866" s="54"/>
      <c r="L866" s="57">
        <f>IF(AP[[#This Row],[Spend category L1 - Override]] &lt;&gt; "", AP[[#This Row],[Spend category L1 - Override]], AP[[#This Row],[Spend category L1]])</f>
        <v>0</v>
      </c>
      <c r="M866" s="57">
        <f>IF(AP[[#This Row],[Spend category L2 - Override]] &lt;&gt; "", AP[[#This Row],[Spend category L2 - Override]], AP[[#This Row],[Spend category L2]])</f>
        <v>0</v>
      </c>
      <c r="N866" s="51">
        <f>Assumptions!$D$15</f>
        <v>0.1</v>
      </c>
      <c r="O866" s="45">
        <f>IF(AP[[#This Row],[GST applies?]] = "Yes", (AP[[#This Row],[Invoice value inc. GST]] / 1 + AP[[#This Row],[GST %]]) * AP[[#This Row],[GST %]], 0)</f>
        <v>0</v>
      </c>
      <c r="P866" s="31">
        <f>_xlfn.XLOOKUP(AP[[#This Row],[Supplier name]], Supplier_master[Supplier name], Supplier_master[EOM or Net], 0)</f>
        <v>0</v>
      </c>
      <c r="Q866" s="31">
        <f>_xlfn.XLOOKUP(AP[[#This Row],[Supplier name]], Supplier_master[Supplier name], Supplier_master[Terms days], 0)</f>
        <v>0</v>
      </c>
      <c r="R8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6" s="4"/>
      <c r="T866" s="46">
        <f>IF(AP[[#This Row],[Payment date - override (dd/mm/yyyy)]] &lt;&gt; "", AP[[#This Row],[Payment date - override (dd/mm/yyyy)]], AP[[#This Row],[Due date (dd/mm/yyyy)]])</f>
        <v>0</v>
      </c>
      <c r="U866" s="46">
        <f t="shared" si="13"/>
        <v>52</v>
      </c>
    </row>
    <row r="867" spans="3:21" x14ac:dyDescent="0.25">
      <c r="C867" s="28"/>
      <c r="D867" s="20"/>
      <c r="E867" s="4"/>
      <c r="F867" s="37"/>
      <c r="G867" s="24"/>
      <c r="H867" s="31">
        <f>_xlfn.XLOOKUP(AP[[#This Row],[Supplier name]], Supplier_master[Supplier name], Supplier_master[Category L1], 0)</f>
        <v>0</v>
      </c>
      <c r="I867" s="64">
        <f>_xlfn.XLOOKUP(AP[[#This Row],[Supplier name]], Supplier_master[Supplier name], Supplier_master[Category L2], 0)</f>
        <v>0</v>
      </c>
      <c r="J867" s="55"/>
      <c r="K867" s="54"/>
      <c r="L867" s="57">
        <f>IF(AP[[#This Row],[Spend category L1 - Override]] &lt;&gt; "", AP[[#This Row],[Spend category L1 - Override]], AP[[#This Row],[Spend category L1]])</f>
        <v>0</v>
      </c>
      <c r="M867" s="57">
        <f>IF(AP[[#This Row],[Spend category L2 - Override]] &lt;&gt; "", AP[[#This Row],[Spend category L2 - Override]], AP[[#This Row],[Spend category L2]])</f>
        <v>0</v>
      </c>
      <c r="N867" s="51">
        <f>Assumptions!$D$15</f>
        <v>0.1</v>
      </c>
      <c r="O867" s="45">
        <f>IF(AP[[#This Row],[GST applies?]] = "Yes", (AP[[#This Row],[Invoice value inc. GST]] / 1 + AP[[#This Row],[GST %]]) * AP[[#This Row],[GST %]], 0)</f>
        <v>0</v>
      </c>
      <c r="P867" s="31">
        <f>_xlfn.XLOOKUP(AP[[#This Row],[Supplier name]], Supplier_master[Supplier name], Supplier_master[EOM or Net], 0)</f>
        <v>0</v>
      </c>
      <c r="Q867" s="31">
        <f>_xlfn.XLOOKUP(AP[[#This Row],[Supplier name]], Supplier_master[Supplier name], Supplier_master[Terms days], 0)</f>
        <v>0</v>
      </c>
      <c r="R8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7" s="4"/>
      <c r="T867" s="46">
        <f>IF(AP[[#This Row],[Payment date - override (dd/mm/yyyy)]] &lt;&gt; "", AP[[#This Row],[Payment date - override (dd/mm/yyyy)]], AP[[#This Row],[Due date (dd/mm/yyyy)]])</f>
        <v>0</v>
      </c>
      <c r="U867" s="46">
        <f t="shared" si="13"/>
        <v>52</v>
      </c>
    </row>
    <row r="868" spans="3:21" x14ac:dyDescent="0.25">
      <c r="C868" s="28"/>
      <c r="D868" s="20"/>
      <c r="E868" s="4"/>
      <c r="F868" s="37"/>
      <c r="G868" s="24"/>
      <c r="H868" s="31">
        <f>_xlfn.XLOOKUP(AP[[#This Row],[Supplier name]], Supplier_master[Supplier name], Supplier_master[Category L1], 0)</f>
        <v>0</v>
      </c>
      <c r="I868" s="64">
        <f>_xlfn.XLOOKUP(AP[[#This Row],[Supplier name]], Supplier_master[Supplier name], Supplier_master[Category L2], 0)</f>
        <v>0</v>
      </c>
      <c r="J868" s="55"/>
      <c r="K868" s="54"/>
      <c r="L868" s="57">
        <f>IF(AP[[#This Row],[Spend category L1 - Override]] &lt;&gt; "", AP[[#This Row],[Spend category L1 - Override]], AP[[#This Row],[Spend category L1]])</f>
        <v>0</v>
      </c>
      <c r="M868" s="57">
        <f>IF(AP[[#This Row],[Spend category L2 - Override]] &lt;&gt; "", AP[[#This Row],[Spend category L2 - Override]], AP[[#This Row],[Spend category L2]])</f>
        <v>0</v>
      </c>
      <c r="N868" s="51">
        <f>Assumptions!$D$15</f>
        <v>0.1</v>
      </c>
      <c r="O868" s="45">
        <f>IF(AP[[#This Row],[GST applies?]] = "Yes", (AP[[#This Row],[Invoice value inc. GST]] / 1 + AP[[#This Row],[GST %]]) * AP[[#This Row],[GST %]], 0)</f>
        <v>0</v>
      </c>
      <c r="P868" s="31">
        <f>_xlfn.XLOOKUP(AP[[#This Row],[Supplier name]], Supplier_master[Supplier name], Supplier_master[EOM or Net], 0)</f>
        <v>0</v>
      </c>
      <c r="Q868" s="31">
        <f>_xlfn.XLOOKUP(AP[[#This Row],[Supplier name]], Supplier_master[Supplier name], Supplier_master[Terms days], 0)</f>
        <v>0</v>
      </c>
      <c r="R8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8" s="4"/>
      <c r="T868" s="46">
        <f>IF(AP[[#This Row],[Payment date - override (dd/mm/yyyy)]] &lt;&gt; "", AP[[#This Row],[Payment date - override (dd/mm/yyyy)]], AP[[#This Row],[Due date (dd/mm/yyyy)]])</f>
        <v>0</v>
      </c>
      <c r="U868" s="46">
        <f t="shared" si="13"/>
        <v>52</v>
      </c>
    </row>
    <row r="869" spans="3:21" x14ac:dyDescent="0.25">
      <c r="C869" s="28"/>
      <c r="D869" s="20"/>
      <c r="E869" s="4"/>
      <c r="F869" s="37"/>
      <c r="G869" s="24"/>
      <c r="H869" s="31">
        <f>_xlfn.XLOOKUP(AP[[#This Row],[Supplier name]], Supplier_master[Supplier name], Supplier_master[Category L1], 0)</f>
        <v>0</v>
      </c>
      <c r="I869" s="64">
        <f>_xlfn.XLOOKUP(AP[[#This Row],[Supplier name]], Supplier_master[Supplier name], Supplier_master[Category L2], 0)</f>
        <v>0</v>
      </c>
      <c r="J869" s="55"/>
      <c r="K869" s="54"/>
      <c r="L869" s="57">
        <f>IF(AP[[#This Row],[Spend category L1 - Override]] &lt;&gt; "", AP[[#This Row],[Spend category L1 - Override]], AP[[#This Row],[Spend category L1]])</f>
        <v>0</v>
      </c>
      <c r="M869" s="57">
        <f>IF(AP[[#This Row],[Spend category L2 - Override]] &lt;&gt; "", AP[[#This Row],[Spend category L2 - Override]], AP[[#This Row],[Spend category L2]])</f>
        <v>0</v>
      </c>
      <c r="N869" s="51">
        <f>Assumptions!$D$15</f>
        <v>0.1</v>
      </c>
      <c r="O869" s="45">
        <f>IF(AP[[#This Row],[GST applies?]] = "Yes", (AP[[#This Row],[Invoice value inc. GST]] / 1 + AP[[#This Row],[GST %]]) * AP[[#This Row],[GST %]], 0)</f>
        <v>0</v>
      </c>
      <c r="P869" s="31">
        <f>_xlfn.XLOOKUP(AP[[#This Row],[Supplier name]], Supplier_master[Supplier name], Supplier_master[EOM or Net], 0)</f>
        <v>0</v>
      </c>
      <c r="Q869" s="31">
        <f>_xlfn.XLOOKUP(AP[[#This Row],[Supplier name]], Supplier_master[Supplier name], Supplier_master[Terms days], 0)</f>
        <v>0</v>
      </c>
      <c r="R8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9" s="4"/>
      <c r="T869" s="46">
        <f>IF(AP[[#This Row],[Payment date - override (dd/mm/yyyy)]] &lt;&gt; "", AP[[#This Row],[Payment date - override (dd/mm/yyyy)]], AP[[#This Row],[Due date (dd/mm/yyyy)]])</f>
        <v>0</v>
      </c>
      <c r="U869" s="46">
        <f t="shared" si="13"/>
        <v>52</v>
      </c>
    </row>
    <row r="870" spans="3:21" x14ac:dyDescent="0.25">
      <c r="C870" s="28"/>
      <c r="D870" s="20"/>
      <c r="E870" s="4"/>
      <c r="F870" s="37"/>
      <c r="G870" s="24"/>
      <c r="H870" s="31">
        <f>_xlfn.XLOOKUP(AP[[#This Row],[Supplier name]], Supplier_master[Supplier name], Supplier_master[Category L1], 0)</f>
        <v>0</v>
      </c>
      <c r="I870" s="64">
        <f>_xlfn.XLOOKUP(AP[[#This Row],[Supplier name]], Supplier_master[Supplier name], Supplier_master[Category L2], 0)</f>
        <v>0</v>
      </c>
      <c r="J870" s="55"/>
      <c r="K870" s="54"/>
      <c r="L870" s="57">
        <f>IF(AP[[#This Row],[Spend category L1 - Override]] &lt;&gt; "", AP[[#This Row],[Spend category L1 - Override]], AP[[#This Row],[Spend category L1]])</f>
        <v>0</v>
      </c>
      <c r="M870" s="57">
        <f>IF(AP[[#This Row],[Spend category L2 - Override]] &lt;&gt; "", AP[[#This Row],[Spend category L2 - Override]], AP[[#This Row],[Spend category L2]])</f>
        <v>0</v>
      </c>
      <c r="N870" s="51">
        <f>Assumptions!$D$15</f>
        <v>0.1</v>
      </c>
      <c r="O870" s="45">
        <f>IF(AP[[#This Row],[GST applies?]] = "Yes", (AP[[#This Row],[Invoice value inc. GST]] / 1 + AP[[#This Row],[GST %]]) * AP[[#This Row],[GST %]], 0)</f>
        <v>0</v>
      </c>
      <c r="P870" s="31">
        <f>_xlfn.XLOOKUP(AP[[#This Row],[Supplier name]], Supplier_master[Supplier name], Supplier_master[EOM or Net], 0)</f>
        <v>0</v>
      </c>
      <c r="Q870" s="31">
        <f>_xlfn.XLOOKUP(AP[[#This Row],[Supplier name]], Supplier_master[Supplier name], Supplier_master[Terms days], 0)</f>
        <v>0</v>
      </c>
      <c r="R8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0" s="4"/>
      <c r="T870" s="46">
        <f>IF(AP[[#This Row],[Payment date - override (dd/mm/yyyy)]] &lt;&gt; "", AP[[#This Row],[Payment date - override (dd/mm/yyyy)]], AP[[#This Row],[Due date (dd/mm/yyyy)]])</f>
        <v>0</v>
      </c>
      <c r="U870" s="46">
        <f t="shared" si="13"/>
        <v>52</v>
      </c>
    </row>
    <row r="871" spans="3:21" x14ac:dyDescent="0.25">
      <c r="C871" s="28"/>
      <c r="D871" s="20"/>
      <c r="E871" s="4"/>
      <c r="F871" s="37"/>
      <c r="G871" s="24"/>
      <c r="H871" s="31">
        <f>_xlfn.XLOOKUP(AP[[#This Row],[Supplier name]], Supplier_master[Supplier name], Supplier_master[Category L1], 0)</f>
        <v>0</v>
      </c>
      <c r="I871" s="64">
        <f>_xlfn.XLOOKUP(AP[[#This Row],[Supplier name]], Supplier_master[Supplier name], Supplier_master[Category L2], 0)</f>
        <v>0</v>
      </c>
      <c r="J871" s="55"/>
      <c r="K871" s="54"/>
      <c r="L871" s="57">
        <f>IF(AP[[#This Row],[Spend category L1 - Override]] &lt;&gt; "", AP[[#This Row],[Spend category L1 - Override]], AP[[#This Row],[Spend category L1]])</f>
        <v>0</v>
      </c>
      <c r="M871" s="57">
        <f>IF(AP[[#This Row],[Spend category L2 - Override]] &lt;&gt; "", AP[[#This Row],[Spend category L2 - Override]], AP[[#This Row],[Spend category L2]])</f>
        <v>0</v>
      </c>
      <c r="N871" s="51">
        <f>Assumptions!$D$15</f>
        <v>0.1</v>
      </c>
      <c r="O871" s="45">
        <f>IF(AP[[#This Row],[GST applies?]] = "Yes", (AP[[#This Row],[Invoice value inc. GST]] / 1 + AP[[#This Row],[GST %]]) * AP[[#This Row],[GST %]], 0)</f>
        <v>0</v>
      </c>
      <c r="P871" s="31">
        <f>_xlfn.XLOOKUP(AP[[#This Row],[Supplier name]], Supplier_master[Supplier name], Supplier_master[EOM or Net], 0)</f>
        <v>0</v>
      </c>
      <c r="Q871" s="31">
        <f>_xlfn.XLOOKUP(AP[[#This Row],[Supplier name]], Supplier_master[Supplier name], Supplier_master[Terms days], 0)</f>
        <v>0</v>
      </c>
      <c r="R8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1" s="4"/>
      <c r="T871" s="46">
        <f>IF(AP[[#This Row],[Payment date - override (dd/mm/yyyy)]] &lt;&gt; "", AP[[#This Row],[Payment date - override (dd/mm/yyyy)]], AP[[#This Row],[Due date (dd/mm/yyyy)]])</f>
        <v>0</v>
      </c>
      <c r="U871" s="46">
        <f t="shared" si="13"/>
        <v>52</v>
      </c>
    </row>
    <row r="872" spans="3:21" x14ac:dyDescent="0.25">
      <c r="C872" s="28"/>
      <c r="D872" s="20"/>
      <c r="E872" s="4"/>
      <c r="F872" s="37"/>
      <c r="G872" s="24"/>
      <c r="H872" s="31">
        <f>_xlfn.XLOOKUP(AP[[#This Row],[Supplier name]], Supplier_master[Supplier name], Supplier_master[Category L1], 0)</f>
        <v>0</v>
      </c>
      <c r="I872" s="64">
        <f>_xlfn.XLOOKUP(AP[[#This Row],[Supplier name]], Supplier_master[Supplier name], Supplier_master[Category L2], 0)</f>
        <v>0</v>
      </c>
      <c r="J872" s="55"/>
      <c r="K872" s="54"/>
      <c r="L872" s="57">
        <f>IF(AP[[#This Row],[Spend category L1 - Override]] &lt;&gt; "", AP[[#This Row],[Spend category L1 - Override]], AP[[#This Row],[Spend category L1]])</f>
        <v>0</v>
      </c>
      <c r="M872" s="57">
        <f>IF(AP[[#This Row],[Spend category L2 - Override]] &lt;&gt; "", AP[[#This Row],[Spend category L2 - Override]], AP[[#This Row],[Spend category L2]])</f>
        <v>0</v>
      </c>
      <c r="N872" s="51">
        <f>Assumptions!$D$15</f>
        <v>0.1</v>
      </c>
      <c r="O872" s="45">
        <f>IF(AP[[#This Row],[GST applies?]] = "Yes", (AP[[#This Row],[Invoice value inc. GST]] / 1 + AP[[#This Row],[GST %]]) * AP[[#This Row],[GST %]], 0)</f>
        <v>0</v>
      </c>
      <c r="P872" s="31">
        <f>_xlfn.XLOOKUP(AP[[#This Row],[Supplier name]], Supplier_master[Supplier name], Supplier_master[EOM or Net], 0)</f>
        <v>0</v>
      </c>
      <c r="Q872" s="31">
        <f>_xlfn.XLOOKUP(AP[[#This Row],[Supplier name]], Supplier_master[Supplier name], Supplier_master[Terms days], 0)</f>
        <v>0</v>
      </c>
      <c r="R8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2" s="4"/>
      <c r="T872" s="46">
        <f>IF(AP[[#This Row],[Payment date - override (dd/mm/yyyy)]] &lt;&gt; "", AP[[#This Row],[Payment date - override (dd/mm/yyyy)]], AP[[#This Row],[Due date (dd/mm/yyyy)]])</f>
        <v>0</v>
      </c>
      <c r="U872" s="46">
        <f t="shared" si="13"/>
        <v>52</v>
      </c>
    </row>
    <row r="873" spans="3:21" x14ac:dyDescent="0.25">
      <c r="C873" s="28"/>
      <c r="D873" s="20"/>
      <c r="E873" s="4"/>
      <c r="F873" s="37"/>
      <c r="G873" s="24"/>
      <c r="H873" s="31">
        <f>_xlfn.XLOOKUP(AP[[#This Row],[Supplier name]], Supplier_master[Supplier name], Supplier_master[Category L1], 0)</f>
        <v>0</v>
      </c>
      <c r="I873" s="64">
        <f>_xlfn.XLOOKUP(AP[[#This Row],[Supplier name]], Supplier_master[Supplier name], Supplier_master[Category L2], 0)</f>
        <v>0</v>
      </c>
      <c r="J873" s="55"/>
      <c r="K873" s="54"/>
      <c r="L873" s="57">
        <f>IF(AP[[#This Row],[Spend category L1 - Override]] &lt;&gt; "", AP[[#This Row],[Spend category L1 - Override]], AP[[#This Row],[Spend category L1]])</f>
        <v>0</v>
      </c>
      <c r="M873" s="57">
        <f>IF(AP[[#This Row],[Spend category L2 - Override]] &lt;&gt; "", AP[[#This Row],[Spend category L2 - Override]], AP[[#This Row],[Spend category L2]])</f>
        <v>0</v>
      </c>
      <c r="N873" s="51">
        <f>Assumptions!$D$15</f>
        <v>0.1</v>
      </c>
      <c r="O873" s="45">
        <f>IF(AP[[#This Row],[GST applies?]] = "Yes", (AP[[#This Row],[Invoice value inc. GST]] / 1 + AP[[#This Row],[GST %]]) * AP[[#This Row],[GST %]], 0)</f>
        <v>0</v>
      </c>
      <c r="P873" s="31">
        <f>_xlfn.XLOOKUP(AP[[#This Row],[Supplier name]], Supplier_master[Supplier name], Supplier_master[EOM or Net], 0)</f>
        <v>0</v>
      </c>
      <c r="Q873" s="31">
        <f>_xlfn.XLOOKUP(AP[[#This Row],[Supplier name]], Supplier_master[Supplier name], Supplier_master[Terms days], 0)</f>
        <v>0</v>
      </c>
      <c r="R8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3" s="4"/>
      <c r="T873" s="46">
        <f>IF(AP[[#This Row],[Payment date - override (dd/mm/yyyy)]] &lt;&gt; "", AP[[#This Row],[Payment date - override (dd/mm/yyyy)]], AP[[#This Row],[Due date (dd/mm/yyyy)]])</f>
        <v>0</v>
      </c>
      <c r="U873" s="46">
        <f t="shared" si="13"/>
        <v>52</v>
      </c>
    </row>
    <row r="874" spans="3:21" x14ac:dyDescent="0.25">
      <c r="C874" s="28"/>
      <c r="D874" s="20"/>
      <c r="E874" s="4"/>
      <c r="F874" s="37"/>
      <c r="G874" s="24"/>
      <c r="H874" s="31">
        <f>_xlfn.XLOOKUP(AP[[#This Row],[Supplier name]], Supplier_master[Supplier name], Supplier_master[Category L1], 0)</f>
        <v>0</v>
      </c>
      <c r="I874" s="64">
        <f>_xlfn.XLOOKUP(AP[[#This Row],[Supplier name]], Supplier_master[Supplier name], Supplier_master[Category L2], 0)</f>
        <v>0</v>
      </c>
      <c r="J874" s="55"/>
      <c r="K874" s="54"/>
      <c r="L874" s="57">
        <f>IF(AP[[#This Row],[Spend category L1 - Override]] &lt;&gt; "", AP[[#This Row],[Spend category L1 - Override]], AP[[#This Row],[Spend category L1]])</f>
        <v>0</v>
      </c>
      <c r="M874" s="57">
        <f>IF(AP[[#This Row],[Spend category L2 - Override]] &lt;&gt; "", AP[[#This Row],[Spend category L2 - Override]], AP[[#This Row],[Spend category L2]])</f>
        <v>0</v>
      </c>
      <c r="N874" s="51">
        <f>Assumptions!$D$15</f>
        <v>0.1</v>
      </c>
      <c r="O874" s="45">
        <f>IF(AP[[#This Row],[GST applies?]] = "Yes", (AP[[#This Row],[Invoice value inc. GST]] / 1 + AP[[#This Row],[GST %]]) * AP[[#This Row],[GST %]], 0)</f>
        <v>0</v>
      </c>
      <c r="P874" s="31">
        <f>_xlfn.XLOOKUP(AP[[#This Row],[Supplier name]], Supplier_master[Supplier name], Supplier_master[EOM or Net], 0)</f>
        <v>0</v>
      </c>
      <c r="Q874" s="31">
        <f>_xlfn.XLOOKUP(AP[[#This Row],[Supplier name]], Supplier_master[Supplier name], Supplier_master[Terms days], 0)</f>
        <v>0</v>
      </c>
      <c r="R8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4" s="4"/>
      <c r="T874" s="46">
        <f>IF(AP[[#This Row],[Payment date - override (dd/mm/yyyy)]] &lt;&gt; "", AP[[#This Row],[Payment date - override (dd/mm/yyyy)]], AP[[#This Row],[Due date (dd/mm/yyyy)]])</f>
        <v>0</v>
      </c>
      <c r="U874" s="46">
        <f t="shared" si="13"/>
        <v>52</v>
      </c>
    </row>
    <row r="875" spans="3:21" x14ac:dyDescent="0.25">
      <c r="C875" s="28"/>
      <c r="D875" s="20"/>
      <c r="E875" s="4"/>
      <c r="F875" s="37"/>
      <c r="G875" s="24"/>
      <c r="H875" s="31">
        <f>_xlfn.XLOOKUP(AP[[#This Row],[Supplier name]], Supplier_master[Supplier name], Supplier_master[Category L1], 0)</f>
        <v>0</v>
      </c>
      <c r="I875" s="64">
        <f>_xlfn.XLOOKUP(AP[[#This Row],[Supplier name]], Supplier_master[Supplier name], Supplier_master[Category L2], 0)</f>
        <v>0</v>
      </c>
      <c r="J875" s="55"/>
      <c r="K875" s="54"/>
      <c r="L875" s="57">
        <f>IF(AP[[#This Row],[Spend category L1 - Override]] &lt;&gt; "", AP[[#This Row],[Spend category L1 - Override]], AP[[#This Row],[Spend category L1]])</f>
        <v>0</v>
      </c>
      <c r="M875" s="57">
        <f>IF(AP[[#This Row],[Spend category L2 - Override]] &lt;&gt; "", AP[[#This Row],[Spend category L2 - Override]], AP[[#This Row],[Spend category L2]])</f>
        <v>0</v>
      </c>
      <c r="N875" s="51">
        <f>Assumptions!$D$15</f>
        <v>0.1</v>
      </c>
      <c r="O875" s="45">
        <f>IF(AP[[#This Row],[GST applies?]] = "Yes", (AP[[#This Row],[Invoice value inc. GST]] / 1 + AP[[#This Row],[GST %]]) * AP[[#This Row],[GST %]], 0)</f>
        <v>0</v>
      </c>
      <c r="P875" s="31">
        <f>_xlfn.XLOOKUP(AP[[#This Row],[Supplier name]], Supplier_master[Supplier name], Supplier_master[EOM or Net], 0)</f>
        <v>0</v>
      </c>
      <c r="Q875" s="31">
        <f>_xlfn.XLOOKUP(AP[[#This Row],[Supplier name]], Supplier_master[Supplier name], Supplier_master[Terms days], 0)</f>
        <v>0</v>
      </c>
      <c r="R8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5" s="4"/>
      <c r="T875" s="46">
        <f>IF(AP[[#This Row],[Payment date - override (dd/mm/yyyy)]] &lt;&gt; "", AP[[#This Row],[Payment date - override (dd/mm/yyyy)]], AP[[#This Row],[Due date (dd/mm/yyyy)]])</f>
        <v>0</v>
      </c>
      <c r="U875" s="46">
        <f t="shared" si="13"/>
        <v>52</v>
      </c>
    </row>
    <row r="876" spans="3:21" x14ac:dyDescent="0.25">
      <c r="C876" s="28"/>
      <c r="D876" s="20"/>
      <c r="E876" s="4"/>
      <c r="F876" s="37"/>
      <c r="G876" s="24"/>
      <c r="H876" s="31">
        <f>_xlfn.XLOOKUP(AP[[#This Row],[Supplier name]], Supplier_master[Supplier name], Supplier_master[Category L1], 0)</f>
        <v>0</v>
      </c>
      <c r="I876" s="64">
        <f>_xlfn.XLOOKUP(AP[[#This Row],[Supplier name]], Supplier_master[Supplier name], Supplier_master[Category L2], 0)</f>
        <v>0</v>
      </c>
      <c r="J876" s="55"/>
      <c r="K876" s="54"/>
      <c r="L876" s="57">
        <f>IF(AP[[#This Row],[Spend category L1 - Override]] &lt;&gt; "", AP[[#This Row],[Spend category L1 - Override]], AP[[#This Row],[Spend category L1]])</f>
        <v>0</v>
      </c>
      <c r="M876" s="57">
        <f>IF(AP[[#This Row],[Spend category L2 - Override]] &lt;&gt; "", AP[[#This Row],[Spend category L2 - Override]], AP[[#This Row],[Spend category L2]])</f>
        <v>0</v>
      </c>
      <c r="N876" s="51">
        <f>Assumptions!$D$15</f>
        <v>0.1</v>
      </c>
      <c r="O876" s="45">
        <f>IF(AP[[#This Row],[GST applies?]] = "Yes", (AP[[#This Row],[Invoice value inc. GST]] / 1 + AP[[#This Row],[GST %]]) * AP[[#This Row],[GST %]], 0)</f>
        <v>0</v>
      </c>
      <c r="P876" s="31">
        <f>_xlfn.XLOOKUP(AP[[#This Row],[Supplier name]], Supplier_master[Supplier name], Supplier_master[EOM or Net], 0)</f>
        <v>0</v>
      </c>
      <c r="Q876" s="31">
        <f>_xlfn.XLOOKUP(AP[[#This Row],[Supplier name]], Supplier_master[Supplier name], Supplier_master[Terms days], 0)</f>
        <v>0</v>
      </c>
      <c r="R8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6" s="4"/>
      <c r="T876" s="46">
        <f>IF(AP[[#This Row],[Payment date - override (dd/mm/yyyy)]] &lt;&gt; "", AP[[#This Row],[Payment date - override (dd/mm/yyyy)]], AP[[#This Row],[Due date (dd/mm/yyyy)]])</f>
        <v>0</v>
      </c>
      <c r="U876" s="46">
        <f t="shared" si="13"/>
        <v>52</v>
      </c>
    </row>
    <row r="877" spans="3:21" x14ac:dyDescent="0.25">
      <c r="C877" s="28"/>
      <c r="D877" s="20"/>
      <c r="E877" s="4"/>
      <c r="F877" s="37"/>
      <c r="G877" s="24"/>
      <c r="H877" s="31">
        <f>_xlfn.XLOOKUP(AP[[#This Row],[Supplier name]], Supplier_master[Supplier name], Supplier_master[Category L1], 0)</f>
        <v>0</v>
      </c>
      <c r="I877" s="64">
        <f>_xlfn.XLOOKUP(AP[[#This Row],[Supplier name]], Supplier_master[Supplier name], Supplier_master[Category L2], 0)</f>
        <v>0</v>
      </c>
      <c r="J877" s="55"/>
      <c r="K877" s="54"/>
      <c r="L877" s="57">
        <f>IF(AP[[#This Row],[Spend category L1 - Override]] &lt;&gt; "", AP[[#This Row],[Spend category L1 - Override]], AP[[#This Row],[Spend category L1]])</f>
        <v>0</v>
      </c>
      <c r="M877" s="57">
        <f>IF(AP[[#This Row],[Spend category L2 - Override]] &lt;&gt; "", AP[[#This Row],[Spend category L2 - Override]], AP[[#This Row],[Spend category L2]])</f>
        <v>0</v>
      </c>
      <c r="N877" s="51">
        <f>Assumptions!$D$15</f>
        <v>0.1</v>
      </c>
      <c r="O877" s="45">
        <f>IF(AP[[#This Row],[GST applies?]] = "Yes", (AP[[#This Row],[Invoice value inc. GST]] / 1 + AP[[#This Row],[GST %]]) * AP[[#This Row],[GST %]], 0)</f>
        <v>0</v>
      </c>
      <c r="P877" s="31">
        <f>_xlfn.XLOOKUP(AP[[#This Row],[Supplier name]], Supplier_master[Supplier name], Supplier_master[EOM or Net], 0)</f>
        <v>0</v>
      </c>
      <c r="Q877" s="31">
        <f>_xlfn.XLOOKUP(AP[[#This Row],[Supplier name]], Supplier_master[Supplier name], Supplier_master[Terms days], 0)</f>
        <v>0</v>
      </c>
      <c r="R8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7" s="4"/>
      <c r="T877" s="46">
        <f>IF(AP[[#This Row],[Payment date - override (dd/mm/yyyy)]] &lt;&gt; "", AP[[#This Row],[Payment date - override (dd/mm/yyyy)]], AP[[#This Row],[Due date (dd/mm/yyyy)]])</f>
        <v>0</v>
      </c>
      <c r="U877" s="46">
        <f t="shared" si="13"/>
        <v>52</v>
      </c>
    </row>
    <row r="878" spans="3:21" x14ac:dyDescent="0.25">
      <c r="C878" s="28"/>
      <c r="D878" s="20"/>
      <c r="E878" s="4"/>
      <c r="F878" s="37"/>
      <c r="G878" s="24"/>
      <c r="H878" s="31">
        <f>_xlfn.XLOOKUP(AP[[#This Row],[Supplier name]], Supplier_master[Supplier name], Supplier_master[Category L1], 0)</f>
        <v>0</v>
      </c>
      <c r="I878" s="64">
        <f>_xlfn.XLOOKUP(AP[[#This Row],[Supplier name]], Supplier_master[Supplier name], Supplier_master[Category L2], 0)</f>
        <v>0</v>
      </c>
      <c r="J878" s="55"/>
      <c r="K878" s="54"/>
      <c r="L878" s="57">
        <f>IF(AP[[#This Row],[Spend category L1 - Override]] &lt;&gt; "", AP[[#This Row],[Spend category L1 - Override]], AP[[#This Row],[Spend category L1]])</f>
        <v>0</v>
      </c>
      <c r="M878" s="57">
        <f>IF(AP[[#This Row],[Spend category L2 - Override]] &lt;&gt; "", AP[[#This Row],[Spend category L2 - Override]], AP[[#This Row],[Spend category L2]])</f>
        <v>0</v>
      </c>
      <c r="N878" s="51">
        <f>Assumptions!$D$15</f>
        <v>0.1</v>
      </c>
      <c r="O878" s="45">
        <f>IF(AP[[#This Row],[GST applies?]] = "Yes", (AP[[#This Row],[Invoice value inc. GST]] / 1 + AP[[#This Row],[GST %]]) * AP[[#This Row],[GST %]], 0)</f>
        <v>0</v>
      </c>
      <c r="P878" s="31">
        <f>_xlfn.XLOOKUP(AP[[#This Row],[Supplier name]], Supplier_master[Supplier name], Supplier_master[EOM or Net], 0)</f>
        <v>0</v>
      </c>
      <c r="Q878" s="31">
        <f>_xlfn.XLOOKUP(AP[[#This Row],[Supplier name]], Supplier_master[Supplier name], Supplier_master[Terms days], 0)</f>
        <v>0</v>
      </c>
      <c r="R8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8" s="4"/>
      <c r="T878" s="46">
        <f>IF(AP[[#This Row],[Payment date - override (dd/mm/yyyy)]] &lt;&gt; "", AP[[#This Row],[Payment date - override (dd/mm/yyyy)]], AP[[#This Row],[Due date (dd/mm/yyyy)]])</f>
        <v>0</v>
      </c>
      <c r="U878" s="46">
        <f t="shared" si="13"/>
        <v>52</v>
      </c>
    </row>
    <row r="879" spans="3:21" x14ac:dyDescent="0.25">
      <c r="C879" s="28"/>
      <c r="D879" s="20"/>
      <c r="E879" s="4"/>
      <c r="F879" s="37"/>
      <c r="G879" s="24"/>
      <c r="H879" s="31">
        <f>_xlfn.XLOOKUP(AP[[#This Row],[Supplier name]], Supplier_master[Supplier name], Supplier_master[Category L1], 0)</f>
        <v>0</v>
      </c>
      <c r="I879" s="64">
        <f>_xlfn.XLOOKUP(AP[[#This Row],[Supplier name]], Supplier_master[Supplier name], Supplier_master[Category L2], 0)</f>
        <v>0</v>
      </c>
      <c r="J879" s="55"/>
      <c r="K879" s="54"/>
      <c r="L879" s="57">
        <f>IF(AP[[#This Row],[Spend category L1 - Override]] &lt;&gt; "", AP[[#This Row],[Spend category L1 - Override]], AP[[#This Row],[Spend category L1]])</f>
        <v>0</v>
      </c>
      <c r="M879" s="57">
        <f>IF(AP[[#This Row],[Spend category L2 - Override]] &lt;&gt; "", AP[[#This Row],[Spend category L2 - Override]], AP[[#This Row],[Spend category L2]])</f>
        <v>0</v>
      </c>
      <c r="N879" s="51">
        <f>Assumptions!$D$15</f>
        <v>0.1</v>
      </c>
      <c r="O879" s="45">
        <f>IF(AP[[#This Row],[GST applies?]] = "Yes", (AP[[#This Row],[Invoice value inc. GST]] / 1 + AP[[#This Row],[GST %]]) * AP[[#This Row],[GST %]], 0)</f>
        <v>0</v>
      </c>
      <c r="P879" s="31">
        <f>_xlfn.XLOOKUP(AP[[#This Row],[Supplier name]], Supplier_master[Supplier name], Supplier_master[EOM or Net], 0)</f>
        <v>0</v>
      </c>
      <c r="Q879" s="31">
        <f>_xlfn.XLOOKUP(AP[[#This Row],[Supplier name]], Supplier_master[Supplier name], Supplier_master[Terms days], 0)</f>
        <v>0</v>
      </c>
      <c r="R8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9" s="4"/>
      <c r="T879" s="46">
        <f>IF(AP[[#This Row],[Payment date - override (dd/mm/yyyy)]] &lt;&gt; "", AP[[#This Row],[Payment date - override (dd/mm/yyyy)]], AP[[#This Row],[Due date (dd/mm/yyyy)]])</f>
        <v>0</v>
      </c>
      <c r="U879" s="46">
        <f t="shared" si="13"/>
        <v>52</v>
      </c>
    </row>
    <row r="880" spans="3:21" x14ac:dyDescent="0.25">
      <c r="C880" s="28"/>
      <c r="D880" s="20"/>
      <c r="E880" s="4"/>
      <c r="F880" s="37"/>
      <c r="G880" s="24"/>
      <c r="H880" s="31">
        <f>_xlfn.XLOOKUP(AP[[#This Row],[Supplier name]], Supplier_master[Supplier name], Supplier_master[Category L1], 0)</f>
        <v>0</v>
      </c>
      <c r="I880" s="64">
        <f>_xlfn.XLOOKUP(AP[[#This Row],[Supplier name]], Supplier_master[Supplier name], Supplier_master[Category L2], 0)</f>
        <v>0</v>
      </c>
      <c r="J880" s="55"/>
      <c r="K880" s="54"/>
      <c r="L880" s="57">
        <f>IF(AP[[#This Row],[Spend category L1 - Override]] &lt;&gt; "", AP[[#This Row],[Spend category L1 - Override]], AP[[#This Row],[Spend category L1]])</f>
        <v>0</v>
      </c>
      <c r="M880" s="57">
        <f>IF(AP[[#This Row],[Spend category L2 - Override]] &lt;&gt; "", AP[[#This Row],[Spend category L2 - Override]], AP[[#This Row],[Spend category L2]])</f>
        <v>0</v>
      </c>
      <c r="N880" s="51">
        <f>Assumptions!$D$15</f>
        <v>0.1</v>
      </c>
      <c r="O880" s="45">
        <f>IF(AP[[#This Row],[GST applies?]] = "Yes", (AP[[#This Row],[Invoice value inc. GST]] / 1 + AP[[#This Row],[GST %]]) * AP[[#This Row],[GST %]], 0)</f>
        <v>0</v>
      </c>
      <c r="P880" s="31">
        <f>_xlfn.XLOOKUP(AP[[#This Row],[Supplier name]], Supplier_master[Supplier name], Supplier_master[EOM or Net], 0)</f>
        <v>0</v>
      </c>
      <c r="Q880" s="31">
        <f>_xlfn.XLOOKUP(AP[[#This Row],[Supplier name]], Supplier_master[Supplier name], Supplier_master[Terms days], 0)</f>
        <v>0</v>
      </c>
      <c r="R8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0" s="4"/>
      <c r="T880" s="46">
        <f>IF(AP[[#This Row],[Payment date - override (dd/mm/yyyy)]] &lt;&gt; "", AP[[#This Row],[Payment date - override (dd/mm/yyyy)]], AP[[#This Row],[Due date (dd/mm/yyyy)]])</f>
        <v>0</v>
      </c>
      <c r="U880" s="46">
        <f t="shared" si="13"/>
        <v>52</v>
      </c>
    </row>
    <row r="881" spans="3:21" x14ac:dyDescent="0.25">
      <c r="C881" s="28"/>
      <c r="D881" s="20"/>
      <c r="E881" s="4"/>
      <c r="F881" s="37"/>
      <c r="G881" s="24"/>
      <c r="H881" s="31">
        <f>_xlfn.XLOOKUP(AP[[#This Row],[Supplier name]], Supplier_master[Supplier name], Supplier_master[Category L1], 0)</f>
        <v>0</v>
      </c>
      <c r="I881" s="64">
        <f>_xlfn.XLOOKUP(AP[[#This Row],[Supplier name]], Supplier_master[Supplier name], Supplier_master[Category L2], 0)</f>
        <v>0</v>
      </c>
      <c r="J881" s="55"/>
      <c r="K881" s="54"/>
      <c r="L881" s="57">
        <f>IF(AP[[#This Row],[Spend category L1 - Override]] &lt;&gt; "", AP[[#This Row],[Spend category L1 - Override]], AP[[#This Row],[Spend category L1]])</f>
        <v>0</v>
      </c>
      <c r="M881" s="57">
        <f>IF(AP[[#This Row],[Spend category L2 - Override]] &lt;&gt; "", AP[[#This Row],[Spend category L2 - Override]], AP[[#This Row],[Spend category L2]])</f>
        <v>0</v>
      </c>
      <c r="N881" s="51">
        <f>Assumptions!$D$15</f>
        <v>0.1</v>
      </c>
      <c r="O881" s="45">
        <f>IF(AP[[#This Row],[GST applies?]] = "Yes", (AP[[#This Row],[Invoice value inc. GST]] / 1 + AP[[#This Row],[GST %]]) * AP[[#This Row],[GST %]], 0)</f>
        <v>0</v>
      </c>
      <c r="P881" s="31">
        <f>_xlfn.XLOOKUP(AP[[#This Row],[Supplier name]], Supplier_master[Supplier name], Supplier_master[EOM or Net], 0)</f>
        <v>0</v>
      </c>
      <c r="Q881" s="31">
        <f>_xlfn.XLOOKUP(AP[[#This Row],[Supplier name]], Supplier_master[Supplier name], Supplier_master[Terms days], 0)</f>
        <v>0</v>
      </c>
      <c r="R8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1" s="4"/>
      <c r="T881" s="46">
        <f>IF(AP[[#This Row],[Payment date - override (dd/mm/yyyy)]] &lt;&gt; "", AP[[#This Row],[Payment date - override (dd/mm/yyyy)]], AP[[#This Row],[Due date (dd/mm/yyyy)]])</f>
        <v>0</v>
      </c>
      <c r="U881" s="46">
        <f t="shared" si="13"/>
        <v>52</v>
      </c>
    </row>
    <row r="882" spans="3:21" x14ac:dyDescent="0.25">
      <c r="C882" s="28"/>
      <c r="D882" s="20"/>
      <c r="E882" s="4"/>
      <c r="F882" s="37"/>
      <c r="G882" s="24"/>
      <c r="H882" s="31">
        <f>_xlfn.XLOOKUP(AP[[#This Row],[Supplier name]], Supplier_master[Supplier name], Supplier_master[Category L1], 0)</f>
        <v>0</v>
      </c>
      <c r="I882" s="64">
        <f>_xlfn.XLOOKUP(AP[[#This Row],[Supplier name]], Supplier_master[Supplier name], Supplier_master[Category L2], 0)</f>
        <v>0</v>
      </c>
      <c r="J882" s="55"/>
      <c r="K882" s="54"/>
      <c r="L882" s="57">
        <f>IF(AP[[#This Row],[Spend category L1 - Override]] &lt;&gt; "", AP[[#This Row],[Spend category L1 - Override]], AP[[#This Row],[Spend category L1]])</f>
        <v>0</v>
      </c>
      <c r="M882" s="57">
        <f>IF(AP[[#This Row],[Spend category L2 - Override]] &lt;&gt; "", AP[[#This Row],[Spend category L2 - Override]], AP[[#This Row],[Spend category L2]])</f>
        <v>0</v>
      </c>
      <c r="N882" s="51">
        <f>Assumptions!$D$15</f>
        <v>0.1</v>
      </c>
      <c r="O882" s="45">
        <f>IF(AP[[#This Row],[GST applies?]] = "Yes", (AP[[#This Row],[Invoice value inc. GST]] / 1 + AP[[#This Row],[GST %]]) * AP[[#This Row],[GST %]], 0)</f>
        <v>0</v>
      </c>
      <c r="P882" s="31">
        <f>_xlfn.XLOOKUP(AP[[#This Row],[Supplier name]], Supplier_master[Supplier name], Supplier_master[EOM or Net], 0)</f>
        <v>0</v>
      </c>
      <c r="Q882" s="31">
        <f>_xlfn.XLOOKUP(AP[[#This Row],[Supplier name]], Supplier_master[Supplier name], Supplier_master[Terms days], 0)</f>
        <v>0</v>
      </c>
      <c r="R8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2" s="4"/>
      <c r="T882" s="46">
        <f>IF(AP[[#This Row],[Payment date - override (dd/mm/yyyy)]] &lt;&gt; "", AP[[#This Row],[Payment date - override (dd/mm/yyyy)]], AP[[#This Row],[Due date (dd/mm/yyyy)]])</f>
        <v>0</v>
      </c>
      <c r="U882" s="46">
        <f t="shared" si="13"/>
        <v>52</v>
      </c>
    </row>
    <row r="883" spans="3:21" x14ac:dyDescent="0.25">
      <c r="C883" s="28"/>
      <c r="D883" s="20"/>
      <c r="E883" s="4"/>
      <c r="F883" s="37"/>
      <c r="G883" s="24"/>
      <c r="H883" s="31">
        <f>_xlfn.XLOOKUP(AP[[#This Row],[Supplier name]], Supplier_master[Supplier name], Supplier_master[Category L1], 0)</f>
        <v>0</v>
      </c>
      <c r="I883" s="64">
        <f>_xlfn.XLOOKUP(AP[[#This Row],[Supplier name]], Supplier_master[Supplier name], Supplier_master[Category L2], 0)</f>
        <v>0</v>
      </c>
      <c r="J883" s="55"/>
      <c r="K883" s="54"/>
      <c r="L883" s="57">
        <f>IF(AP[[#This Row],[Spend category L1 - Override]] &lt;&gt; "", AP[[#This Row],[Spend category L1 - Override]], AP[[#This Row],[Spend category L1]])</f>
        <v>0</v>
      </c>
      <c r="M883" s="57">
        <f>IF(AP[[#This Row],[Spend category L2 - Override]] &lt;&gt; "", AP[[#This Row],[Spend category L2 - Override]], AP[[#This Row],[Spend category L2]])</f>
        <v>0</v>
      </c>
      <c r="N883" s="51">
        <f>Assumptions!$D$15</f>
        <v>0.1</v>
      </c>
      <c r="O883" s="45">
        <f>IF(AP[[#This Row],[GST applies?]] = "Yes", (AP[[#This Row],[Invoice value inc. GST]] / 1 + AP[[#This Row],[GST %]]) * AP[[#This Row],[GST %]], 0)</f>
        <v>0</v>
      </c>
      <c r="P883" s="31">
        <f>_xlfn.XLOOKUP(AP[[#This Row],[Supplier name]], Supplier_master[Supplier name], Supplier_master[EOM or Net], 0)</f>
        <v>0</v>
      </c>
      <c r="Q883" s="31">
        <f>_xlfn.XLOOKUP(AP[[#This Row],[Supplier name]], Supplier_master[Supplier name], Supplier_master[Terms days], 0)</f>
        <v>0</v>
      </c>
      <c r="R8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3" s="4"/>
      <c r="T883" s="46">
        <f>IF(AP[[#This Row],[Payment date - override (dd/mm/yyyy)]] &lt;&gt; "", AP[[#This Row],[Payment date - override (dd/mm/yyyy)]], AP[[#This Row],[Due date (dd/mm/yyyy)]])</f>
        <v>0</v>
      </c>
      <c r="U883" s="46">
        <f t="shared" si="13"/>
        <v>52</v>
      </c>
    </row>
    <row r="884" spans="3:21" x14ac:dyDescent="0.25">
      <c r="C884" s="28"/>
      <c r="D884" s="20"/>
      <c r="E884" s="4"/>
      <c r="F884" s="37"/>
      <c r="G884" s="24"/>
      <c r="H884" s="31">
        <f>_xlfn.XLOOKUP(AP[[#This Row],[Supplier name]], Supplier_master[Supplier name], Supplier_master[Category L1], 0)</f>
        <v>0</v>
      </c>
      <c r="I884" s="64">
        <f>_xlfn.XLOOKUP(AP[[#This Row],[Supplier name]], Supplier_master[Supplier name], Supplier_master[Category L2], 0)</f>
        <v>0</v>
      </c>
      <c r="J884" s="55"/>
      <c r="K884" s="54"/>
      <c r="L884" s="57">
        <f>IF(AP[[#This Row],[Spend category L1 - Override]] &lt;&gt; "", AP[[#This Row],[Spend category L1 - Override]], AP[[#This Row],[Spend category L1]])</f>
        <v>0</v>
      </c>
      <c r="M884" s="57">
        <f>IF(AP[[#This Row],[Spend category L2 - Override]] &lt;&gt; "", AP[[#This Row],[Spend category L2 - Override]], AP[[#This Row],[Spend category L2]])</f>
        <v>0</v>
      </c>
      <c r="N884" s="51">
        <f>Assumptions!$D$15</f>
        <v>0.1</v>
      </c>
      <c r="O884" s="45">
        <f>IF(AP[[#This Row],[GST applies?]] = "Yes", (AP[[#This Row],[Invoice value inc. GST]] / 1 + AP[[#This Row],[GST %]]) * AP[[#This Row],[GST %]], 0)</f>
        <v>0</v>
      </c>
      <c r="P884" s="31">
        <f>_xlfn.XLOOKUP(AP[[#This Row],[Supplier name]], Supplier_master[Supplier name], Supplier_master[EOM or Net], 0)</f>
        <v>0</v>
      </c>
      <c r="Q884" s="31">
        <f>_xlfn.XLOOKUP(AP[[#This Row],[Supplier name]], Supplier_master[Supplier name], Supplier_master[Terms days], 0)</f>
        <v>0</v>
      </c>
      <c r="R8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4" s="4"/>
      <c r="T884" s="46">
        <f>IF(AP[[#This Row],[Payment date - override (dd/mm/yyyy)]] &lt;&gt; "", AP[[#This Row],[Payment date - override (dd/mm/yyyy)]], AP[[#This Row],[Due date (dd/mm/yyyy)]])</f>
        <v>0</v>
      </c>
      <c r="U884" s="46">
        <f t="shared" si="13"/>
        <v>52</v>
      </c>
    </row>
    <row r="885" spans="3:21" x14ac:dyDescent="0.25">
      <c r="C885" s="28"/>
      <c r="D885" s="20"/>
      <c r="E885" s="4"/>
      <c r="F885" s="37"/>
      <c r="G885" s="24"/>
      <c r="H885" s="31">
        <f>_xlfn.XLOOKUP(AP[[#This Row],[Supplier name]], Supplier_master[Supplier name], Supplier_master[Category L1], 0)</f>
        <v>0</v>
      </c>
      <c r="I885" s="64">
        <f>_xlfn.XLOOKUP(AP[[#This Row],[Supplier name]], Supplier_master[Supplier name], Supplier_master[Category L2], 0)</f>
        <v>0</v>
      </c>
      <c r="J885" s="55"/>
      <c r="K885" s="54"/>
      <c r="L885" s="57">
        <f>IF(AP[[#This Row],[Spend category L1 - Override]] &lt;&gt; "", AP[[#This Row],[Spend category L1 - Override]], AP[[#This Row],[Spend category L1]])</f>
        <v>0</v>
      </c>
      <c r="M885" s="57">
        <f>IF(AP[[#This Row],[Spend category L2 - Override]] &lt;&gt; "", AP[[#This Row],[Spend category L2 - Override]], AP[[#This Row],[Spend category L2]])</f>
        <v>0</v>
      </c>
      <c r="N885" s="51">
        <f>Assumptions!$D$15</f>
        <v>0.1</v>
      </c>
      <c r="O885" s="45">
        <f>IF(AP[[#This Row],[GST applies?]] = "Yes", (AP[[#This Row],[Invoice value inc. GST]] / 1 + AP[[#This Row],[GST %]]) * AP[[#This Row],[GST %]], 0)</f>
        <v>0</v>
      </c>
      <c r="P885" s="31">
        <f>_xlfn.XLOOKUP(AP[[#This Row],[Supplier name]], Supplier_master[Supplier name], Supplier_master[EOM or Net], 0)</f>
        <v>0</v>
      </c>
      <c r="Q885" s="31">
        <f>_xlfn.XLOOKUP(AP[[#This Row],[Supplier name]], Supplier_master[Supplier name], Supplier_master[Terms days], 0)</f>
        <v>0</v>
      </c>
      <c r="R8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5" s="4"/>
      <c r="T885" s="46">
        <f>IF(AP[[#This Row],[Payment date - override (dd/mm/yyyy)]] &lt;&gt; "", AP[[#This Row],[Payment date - override (dd/mm/yyyy)]], AP[[#This Row],[Due date (dd/mm/yyyy)]])</f>
        <v>0</v>
      </c>
      <c r="U885" s="46">
        <f t="shared" si="13"/>
        <v>52</v>
      </c>
    </row>
    <row r="886" spans="3:21" x14ac:dyDescent="0.25">
      <c r="C886" s="28"/>
      <c r="D886" s="20"/>
      <c r="E886" s="4"/>
      <c r="F886" s="37"/>
      <c r="G886" s="24"/>
      <c r="H886" s="31">
        <f>_xlfn.XLOOKUP(AP[[#This Row],[Supplier name]], Supplier_master[Supplier name], Supplier_master[Category L1], 0)</f>
        <v>0</v>
      </c>
      <c r="I886" s="64">
        <f>_xlfn.XLOOKUP(AP[[#This Row],[Supplier name]], Supplier_master[Supplier name], Supplier_master[Category L2], 0)</f>
        <v>0</v>
      </c>
      <c r="J886" s="55"/>
      <c r="K886" s="54"/>
      <c r="L886" s="57">
        <f>IF(AP[[#This Row],[Spend category L1 - Override]] &lt;&gt; "", AP[[#This Row],[Spend category L1 - Override]], AP[[#This Row],[Spend category L1]])</f>
        <v>0</v>
      </c>
      <c r="M886" s="57">
        <f>IF(AP[[#This Row],[Spend category L2 - Override]] &lt;&gt; "", AP[[#This Row],[Spend category L2 - Override]], AP[[#This Row],[Spend category L2]])</f>
        <v>0</v>
      </c>
      <c r="N886" s="51">
        <f>Assumptions!$D$15</f>
        <v>0.1</v>
      </c>
      <c r="O886" s="45">
        <f>IF(AP[[#This Row],[GST applies?]] = "Yes", (AP[[#This Row],[Invoice value inc. GST]] / 1 + AP[[#This Row],[GST %]]) * AP[[#This Row],[GST %]], 0)</f>
        <v>0</v>
      </c>
      <c r="P886" s="31">
        <f>_xlfn.XLOOKUP(AP[[#This Row],[Supplier name]], Supplier_master[Supplier name], Supplier_master[EOM or Net], 0)</f>
        <v>0</v>
      </c>
      <c r="Q886" s="31">
        <f>_xlfn.XLOOKUP(AP[[#This Row],[Supplier name]], Supplier_master[Supplier name], Supplier_master[Terms days], 0)</f>
        <v>0</v>
      </c>
      <c r="R8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6" s="4"/>
      <c r="T886" s="46">
        <f>IF(AP[[#This Row],[Payment date - override (dd/mm/yyyy)]] &lt;&gt; "", AP[[#This Row],[Payment date - override (dd/mm/yyyy)]], AP[[#This Row],[Due date (dd/mm/yyyy)]])</f>
        <v>0</v>
      </c>
      <c r="U886" s="46">
        <f t="shared" si="13"/>
        <v>52</v>
      </c>
    </row>
    <row r="887" spans="3:21" x14ac:dyDescent="0.25">
      <c r="C887" s="28"/>
      <c r="D887" s="20"/>
      <c r="E887" s="4"/>
      <c r="F887" s="37"/>
      <c r="G887" s="24"/>
      <c r="H887" s="31">
        <f>_xlfn.XLOOKUP(AP[[#This Row],[Supplier name]], Supplier_master[Supplier name], Supplier_master[Category L1], 0)</f>
        <v>0</v>
      </c>
      <c r="I887" s="64">
        <f>_xlfn.XLOOKUP(AP[[#This Row],[Supplier name]], Supplier_master[Supplier name], Supplier_master[Category L2], 0)</f>
        <v>0</v>
      </c>
      <c r="J887" s="55"/>
      <c r="K887" s="54"/>
      <c r="L887" s="57">
        <f>IF(AP[[#This Row],[Spend category L1 - Override]] &lt;&gt; "", AP[[#This Row],[Spend category L1 - Override]], AP[[#This Row],[Spend category L1]])</f>
        <v>0</v>
      </c>
      <c r="M887" s="57">
        <f>IF(AP[[#This Row],[Spend category L2 - Override]] &lt;&gt; "", AP[[#This Row],[Spend category L2 - Override]], AP[[#This Row],[Spend category L2]])</f>
        <v>0</v>
      </c>
      <c r="N887" s="51">
        <f>Assumptions!$D$15</f>
        <v>0.1</v>
      </c>
      <c r="O887" s="45">
        <f>IF(AP[[#This Row],[GST applies?]] = "Yes", (AP[[#This Row],[Invoice value inc. GST]] / 1 + AP[[#This Row],[GST %]]) * AP[[#This Row],[GST %]], 0)</f>
        <v>0</v>
      </c>
      <c r="P887" s="31">
        <f>_xlfn.XLOOKUP(AP[[#This Row],[Supplier name]], Supplier_master[Supplier name], Supplier_master[EOM or Net], 0)</f>
        <v>0</v>
      </c>
      <c r="Q887" s="31">
        <f>_xlfn.XLOOKUP(AP[[#This Row],[Supplier name]], Supplier_master[Supplier name], Supplier_master[Terms days], 0)</f>
        <v>0</v>
      </c>
      <c r="R8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7" s="4"/>
      <c r="T887" s="46">
        <f>IF(AP[[#This Row],[Payment date - override (dd/mm/yyyy)]] &lt;&gt; "", AP[[#This Row],[Payment date - override (dd/mm/yyyy)]], AP[[#This Row],[Due date (dd/mm/yyyy)]])</f>
        <v>0</v>
      </c>
      <c r="U887" s="46">
        <f t="shared" si="13"/>
        <v>52</v>
      </c>
    </row>
    <row r="888" spans="3:21" x14ac:dyDescent="0.25">
      <c r="C888" s="28"/>
      <c r="D888" s="20"/>
      <c r="E888" s="4"/>
      <c r="F888" s="37"/>
      <c r="G888" s="24"/>
      <c r="H888" s="31">
        <f>_xlfn.XLOOKUP(AP[[#This Row],[Supplier name]], Supplier_master[Supplier name], Supplier_master[Category L1], 0)</f>
        <v>0</v>
      </c>
      <c r="I888" s="64">
        <f>_xlfn.XLOOKUP(AP[[#This Row],[Supplier name]], Supplier_master[Supplier name], Supplier_master[Category L2], 0)</f>
        <v>0</v>
      </c>
      <c r="J888" s="55"/>
      <c r="K888" s="54"/>
      <c r="L888" s="57">
        <f>IF(AP[[#This Row],[Spend category L1 - Override]] &lt;&gt; "", AP[[#This Row],[Spend category L1 - Override]], AP[[#This Row],[Spend category L1]])</f>
        <v>0</v>
      </c>
      <c r="M888" s="57">
        <f>IF(AP[[#This Row],[Spend category L2 - Override]] &lt;&gt; "", AP[[#This Row],[Spend category L2 - Override]], AP[[#This Row],[Spend category L2]])</f>
        <v>0</v>
      </c>
      <c r="N888" s="51">
        <f>Assumptions!$D$15</f>
        <v>0.1</v>
      </c>
      <c r="O888" s="45">
        <f>IF(AP[[#This Row],[GST applies?]] = "Yes", (AP[[#This Row],[Invoice value inc. GST]] / 1 + AP[[#This Row],[GST %]]) * AP[[#This Row],[GST %]], 0)</f>
        <v>0</v>
      </c>
      <c r="P888" s="31">
        <f>_xlfn.XLOOKUP(AP[[#This Row],[Supplier name]], Supplier_master[Supplier name], Supplier_master[EOM or Net], 0)</f>
        <v>0</v>
      </c>
      <c r="Q888" s="31">
        <f>_xlfn.XLOOKUP(AP[[#This Row],[Supplier name]], Supplier_master[Supplier name], Supplier_master[Terms days], 0)</f>
        <v>0</v>
      </c>
      <c r="R8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8" s="4"/>
      <c r="T888" s="46">
        <f>IF(AP[[#This Row],[Payment date - override (dd/mm/yyyy)]] &lt;&gt; "", AP[[#This Row],[Payment date - override (dd/mm/yyyy)]], AP[[#This Row],[Due date (dd/mm/yyyy)]])</f>
        <v>0</v>
      </c>
      <c r="U888" s="46">
        <f t="shared" si="13"/>
        <v>52</v>
      </c>
    </row>
    <row r="889" spans="3:21" x14ac:dyDescent="0.25">
      <c r="C889" s="28"/>
      <c r="D889" s="20"/>
      <c r="E889" s="4"/>
      <c r="F889" s="37"/>
      <c r="G889" s="24"/>
      <c r="H889" s="31">
        <f>_xlfn.XLOOKUP(AP[[#This Row],[Supplier name]], Supplier_master[Supplier name], Supplier_master[Category L1], 0)</f>
        <v>0</v>
      </c>
      <c r="I889" s="64">
        <f>_xlfn.XLOOKUP(AP[[#This Row],[Supplier name]], Supplier_master[Supplier name], Supplier_master[Category L2], 0)</f>
        <v>0</v>
      </c>
      <c r="J889" s="55"/>
      <c r="K889" s="54"/>
      <c r="L889" s="57">
        <f>IF(AP[[#This Row],[Spend category L1 - Override]] &lt;&gt; "", AP[[#This Row],[Spend category L1 - Override]], AP[[#This Row],[Spend category L1]])</f>
        <v>0</v>
      </c>
      <c r="M889" s="57">
        <f>IF(AP[[#This Row],[Spend category L2 - Override]] &lt;&gt; "", AP[[#This Row],[Spend category L2 - Override]], AP[[#This Row],[Spend category L2]])</f>
        <v>0</v>
      </c>
      <c r="N889" s="51">
        <f>Assumptions!$D$15</f>
        <v>0.1</v>
      </c>
      <c r="O889" s="45">
        <f>IF(AP[[#This Row],[GST applies?]] = "Yes", (AP[[#This Row],[Invoice value inc. GST]] / 1 + AP[[#This Row],[GST %]]) * AP[[#This Row],[GST %]], 0)</f>
        <v>0</v>
      </c>
      <c r="P889" s="31">
        <f>_xlfn.XLOOKUP(AP[[#This Row],[Supplier name]], Supplier_master[Supplier name], Supplier_master[EOM or Net], 0)</f>
        <v>0</v>
      </c>
      <c r="Q889" s="31">
        <f>_xlfn.XLOOKUP(AP[[#This Row],[Supplier name]], Supplier_master[Supplier name], Supplier_master[Terms days], 0)</f>
        <v>0</v>
      </c>
      <c r="R8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9" s="4"/>
      <c r="T889" s="46">
        <f>IF(AP[[#This Row],[Payment date - override (dd/mm/yyyy)]] &lt;&gt; "", AP[[#This Row],[Payment date - override (dd/mm/yyyy)]], AP[[#This Row],[Due date (dd/mm/yyyy)]])</f>
        <v>0</v>
      </c>
      <c r="U889" s="46">
        <f t="shared" si="13"/>
        <v>52</v>
      </c>
    </row>
    <row r="890" spans="3:21" x14ac:dyDescent="0.25">
      <c r="C890" s="28"/>
      <c r="D890" s="20"/>
      <c r="E890" s="4"/>
      <c r="F890" s="37"/>
      <c r="G890" s="24"/>
      <c r="H890" s="31">
        <f>_xlfn.XLOOKUP(AP[[#This Row],[Supplier name]], Supplier_master[Supplier name], Supplier_master[Category L1], 0)</f>
        <v>0</v>
      </c>
      <c r="I890" s="64">
        <f>_xlfn.XLOOKUP(AP[[#This Row],[Supplier name]], Supplier_master[Supplier name], Supplier_master[Category L2], 0)</f>
        <v>0</v>
      </c>
      <c r="J890" s="55"/>
      <c r="K890" s="54"/>
      <c r="L890" s="57">
        <f>IF(AP[[#This Row],[Spend category L1 - Override]] &lt;&gt; "", AP[[#This Row],[Spend category L1 - Override]], AP[[#This Row],[Spend category L1]])</f>
        <v>0</v>
      </c>
      <c r="M890" s="57">
        <f>IF(AP[[#This Row],[Spend category L2 - Override]] &lt;&gt; "", AP[[#This Row],[Spend category L2 - Override]], AP[[#This Row],[Spend category L2]])</f>
        <v>0</v>
      </c>
      <c r="N890" s="51">
        <f>Assumptions!$D$15</f>
        <v>0.1</v>
      </c>
      <c r="O890" s="45">
        <f>IF(AP[[#This Row],[GST applies?]] = "Yes", (AP[[#This Row],[Invoice value inc. GST]] / 1 + AP[[#This Row],[GST %]]) * AP[[#This Row],[GST %]], 0)</f>
        <v>0</v>
      </c>
      <c r="P890" s="31">
        <f>_xlfn.XLOOKUP(AP[[#This Row],[Supplier name]], Supplier_master[Supplier name], Supplier_master[EOM or Net], 0)</f>
        <v>0</v>
      </c>
      <c r="Q890" s="31">
        <f>_xlfn.XLOOKUP(AP[[#This Row],[Supplier name]], Supplier_master[Supplier name], Supplier_master[Terms days], 0)</f>
        <v>0</v>
      </c>
      <c r="R8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0" s="4"/>
      <c r="T890" s="46">
        <f>IF(AP[[#This Row],[Payment date - override (dd/mm/yyyy)]] &lt;&gt; "", AP[[#This Row],[Payment date - override (dd/mm/yyyy)]], AP[[#This Row],[Due date (dd/mm/yyyy)]])</f>
        <v>0</v>
      </c>
      <c r="U890" s="46">
        <f t="shared" si="13"/>
        <v>52</v>
      </c>
    </row>
    <row r="891" spans="3:21" x14ac:dyDescent="0.25">
      <c r="C891" s="28"/>
      <c r="D891" s="20"/>
      <c r="E891" s="4"/>
      <c r="F891" s="37"/>
      <c r="G891" s="24"/>
      <c r="H891" s="31">
        <f>_xlfn.XLOOKUP(AP[[#This Row],[Supplier name]], Supplier_master[Supplier name], Supplier_master[Category L1], 0)</f>
        <v>0</v>
      </c>
      <c r="I891" s="64">
        <f>_xlfn.XLOOKUP(AP[[#This Row],[Supplier name]], Supplier_master[Supplier name], Supplier_master[Category L2], 0)</f>
        <v>0</v>
      </c>
      <c r="J891" s="55"/>
      <c r="K891" s="54"/>
      <c r="L891" s="57">
        <f>IF(AP[[#This Row],[Spend category L1 - Override]] &lt;&gt; "", AP[[#This Row],[Spend category L1 - Override]], AP[[#This Row],[Spend category L1]])</f>
        <v>0</v>
      </c>
      <c r="M891" s="57">
        <f>IF(AP[[#This Row],[Spend category L2 - Override]] &lt;&gt; "", AP[[#This Row],[Spend category L2 - Override]], AP[[#This Row],[Spend category L2]])</f>
        <v>0</v>
      </c>
      <c r="N891" s="51">
        <f>Assumptions!$D$15</f>
        <v>0.1</v>
      </c>
      <c r="O891" s="45">
        <f>IF(AP[[#This Row],[GST applies?]] = "Yes", (AP[[#This Row],[Invoice value inc. GST]] / 1 + AP[[#This Row],[GST %]]) * AP[[#This Row],[GST %]], 0)</f>
        <v>0</v>
      </c>
      <c r="P891" s="31">
        <f>_xlfn.XLOOKUP(AP[[#This Row],[Supplier name]], Supplier_master[Supplier name], Supplier_master[EOM or Net], 0)</f>
        <v>0</v>
      </c>
      <c r="Q891" s="31">
        <f>_xlfn.XLOOKUP(AP[[#This Row],[Supplier name]], Supplier_master[Supplier name], Supplier_master[Terms days], 0)</f>
        <v>0</v>
      </c>
      <c r="R8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1" s="4"/>
      <c r="T891" s="46">
        <f>IF(AP[[#This Row],[Payment date - override (dd/mm/yyyy)]] &lt;&gt; "", AP[[#This Row],[Payment date - override (dd/mm/yyyy)]], AP[[#This Row],[Due date (dd/mm/yyyy)]])</f>
        <v>0</v>
      </c>
      <c r="U891" s="46">
        <f t="shared" si="13"/>
        <v>52</v>
      </c>
    </row>
    <row r="892" spans="3:21" x14ac:dyDescent="0.25">
      <c r="C892" s="28"/>
      <c r="D892" s="20"/>
      <c r="E892" s="4"/>
      <c r="F892" s="37"/>
      <c r="G892" s="24"/>
      <c r="H892" s="31">
        <f>_xlfn.XLOOKUP(AP[[#This Row],[Supplier name]], Supplier_master[Supplier name], Supplier_master[Category L1], 0)</f>
        <v>0</v>
      </c>
      <c r="I892" s="64">
        <f>_xlfn.XLOOKUP(AP[[#This Row],[Supplier name]], Supplier_master[Supplier name], Supplier_master[Category L2], 0)</f>
        <v>0</v>
      </c>
      <c r="J892" s="55"/>
      <c r="K892" s="54"/>
      <c r="L892" s="57">
        <f>IF(AP[[#This Row],[Spend category L1 - Override]] &lt;&gt; "", AP[[#This Row],[Spend category L1 - Override]], AP[[#This Row],[Spend category L1]])</f>
        <v>0</v>
      </c>
      <c r="M892" s="57">
        <f>IF(AP[[#This Row],[Spend category L2 - Override]] &lt;&gt; "", AP[[#This Row],[Spend category L2 - Override]], AP[[#This Row],[Spend category L2]])</f>
        <v>0</v>
      </c>
      <c r="N892" s="51">
        <f>Assumptions!$D$15</f>
        <v>0.1</v>
      </c>
      <c r="O892" s="45">
        <f>IF(AP[[#This Row],[GST applies?]] = "Yes", (AP[[#This Row],[Invoice value inc. GST]] / 1 + AP[[#This Row],[GST %]]) * AP[[#This Row],[GST %]], 0)</f>
        <v>0</v>
      </c>
      <c r="P892" s="31">
        <f>_xlfn.XLOOKUP(AP[[#This Row],[Supplier name]], Supplier_master[Supplier name], Supplier_master[EOM or Net], 0)</f>
        <v>0</v>
      </c>
      <c r="Q892" s="31">
        <f>_xlfn.XLOOKUP(AP[[#This Row],[Supplier name]], Supplier_master[Supplier name], Supplier_master[Terms days], 0)</f>
        <v>0</v>
      </c>
      <c r="R8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2" s="4"/>
      <c r="T892" s="46">
        <f>IF(AP[[#This Row],[Payment date - override (dd/mm/yyyy)]] &lt;&gt; "", AP[[#This Row],[Payment date - override (dd/mm/yyyy)]], AP[[#This Row],[Due date (dd/mm/yyyy)]])</f>
        <v>0</v>
      </c>
      <c r="U892" s="46">
        <f t="shared" si="13"/>
        <v>52</v>
      </c>
    </row>
    <row r="893" spans="3:21" x14ac:dyDescent="0.25">
      <c r="C893" s="28"/>
      <c r="D893" s="20"/>
      <c r="E893" s="4"/>
      <c r="F893" s="37"/>
      <c r="G893" s="24"/>
      <c r="H893" s="31">
        <f>_xlfn.XLOOKUP(AP[[#This Row],[Supplier name]], Supplier_master[Supplier name], Supplier_master[Category L1], 0)</f>
        <v>0</v>
      </c>
      <c r="I893" s="64">
        <f>_xlfn.XLOOKUP(AP[[#This Row],[Supplier name]], Supplier_master[Supplier name], Supplier_master[Category L2], 0)</f>
        <v>0</v>
      </c>
      <c r="J893" s="55"/>
      <c r="K893" s="54"/>
      <c r="L893" s="57">
        <f>IF(AP[[#This Row],[Spend category L1 - Override]] &lt;&gt; "", AP[[#This Row],[Spend category L1 - Override]], AP[[#This Row],[Spend category L1]])</f>
        <v>0</v>
      </c>
      <c r="M893" s="57">
        <f>IF(AP[[#This Row],[Spend category L2 - Override]] &lt;&gt; "", AP[[#This Row],[Spend category L2 - Override]], AP[[#This Row],[Spend category L2]])</f>
        <v>0</v>
      </c>
      <c r="N893" s="51">
        <f>Assumptions!$D$15</f>
        <v>0.1</v>
      </c>
      <c r="O893" s="45">
        <f>IF(AP[[#This Row],[GST applies?]] = "Yes", (AP[[#This Row],[Invoice value inc. GST]] / 1 + AP[[#This Row],[GST %]]) * AP[[#This Row],[GST %]], 0)</f>
        <v>0</v>
      </c>
      <c r="P893" s="31">
        <f>_xlfn.XLOOKUP(AP[[#This Row],[Supplier name]], Supplier_master[Supplier name], Supplier_master[EOM or Net], 0)</f>
        <v>0</v>
      </c>
      <c r="Q893" s="31">
        <f>_xlfn.XLOOKUP(AP[[#This Row],[Supplier name]], Supplier_master[Supplier name], Supplier_master[Terms days], 0)</f>
        <v>0</v>
      </c>
      <c r="R8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3" s="4"/>
      <c r="T893" s="46">
        <f>IF(AP[[#This Row],[Payment date - override (dd/mm/yyyy)]] &lt;&gt; "", AP[[#This Row],[Payment date - override (dd/mm/yyyy)]], AP[[#This Row],[Due date (dd/mm/yyyy)]])</f>
        <v>0</v>
      </c>
      <c r="U893" s="46">
        <f t="shared" si="13"/>
        <v>52</v>
      </c>
    </row>
    <row r="894" spans="3:21" x14ac:dyDescent="0.25">
      <c r="C894" s="28"/>
      <c r="D894" s="20"/>
      <c r="E894" s="4"/>
      <c r="F894" s="37"/>
      <c r="G894" s="24"/>
      <c r="H894" s="31">
        <f>_xlfn.XLOOKUP(AP[[#This Row],[Supplier name]], Supplier_master[Supplier name], Supplier_master[Category L1], 0)</f>
        <v>0</v>
      </c>
      <c r="I894" s="64">
        <f>_xlfn.XLOOKUP(AP[[#This Row],[Supplier name]], Supplier_master[Supplier name], Supplier_master[Category L2], 0)</f>
        <v>0</v>
      </c>
      <c r="J894" s="55"/>
      <c r="K894" s="54"/>
      <c r="L894" s="57">
        <f>IF(AP[[#This Row],[Spend category L1 - Override]] &lt;&gt; "", AP[[#This Row],[Spend category L1 - Override]], AP[[#This Row],[Spend category L1]])</f>
        <v>0</v>
      </c>
      <c r="M894" s="57">
        <f>IF(AP[[#This Row],[Spend category L2 - Override]] &lt;&gt; "", AP[[#This Row],[Spend category L2 - Override]], AP[[#This Row],[Spend category L2]])</f>
        <v>0</v>
      </c>
      <c r="N894" s="51">
        <f>Assumptions!$D$15</f>
        <v>0.1</v>
      </c>
      <c r="O894" s="45">
        <f>IF(AP[[#This Row],[GST applies?]] = "Yes", (AP[[#This Row],[Invoice value inc. GST]] / 1 + AP[[#This Row],[GST %]]) * AP[[#This Row],[GST %]], 0)</f>
        <v>0</v>
      </c>
      <c r="P894" s="31">
        <f>_xlfn.XLOOKUP(AP[[#This Row],[Supplier name]], Supplier_master[Supplier name], Supplier_master[EOM or Net], 0)</f>
        <v>0</v>
      </c>
      <c r="Q894" s="31">
        <f>_xlfn.XLOOKUP(AP[[#This Row],[Supplier name]], Supplier_master[Supplier name], Supplier_master[Terms days], 0)</f>
        <v>0</v>
      </c>
      <c r="R8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4" s="4"/>
      <c r="T894" s="46">
        <f>IF(AP[[#This Row],[Payment date - override (dd/mm/yyyy)]] &lt;&gt; "", AP[[#This Row],[Payment date - override (dd/mm/yyyy)]], AP[[#This Row],[Due date (dd/mm/yyyy)]])</f>
        <v>0</v>
      </c>
      <c r="U894" s="46">
        <f t="shared" si="13"/>
        <v>52</v>
      </c>
    </row>
    <row r="895" spans="3:21" x14ac:dyDescent="0.25">
      <c r="C895" s="28"/>
      <c r="D895" s="20"/>
      <c r="E895" s="4"/>
      <c r="F895" s="37"/>
      <c r="G895" s="24"/>
      <c r="H895" s="31">
        <f>_xlfn.XLOOKUP(AP[[#This Row],[Supplier name]], Supplier_master[Supplier name], Supplier_master[Category L1], 0)</f>
        <v>0</v>
      </c>
      <c r="I895" s="64">
        <f>_xlfn.XLOOKUP(AP[[#This Row],[Supplier name]], Supplier_master[Supplier name], Supplier_master[Category L2], 0)</f>
        <v>0</v>
      </c>
      <c r="J895" s="55"/>
      <c r="K895" s="54"/>
      <c r="L895" s="57">
        <f>IF(AP[[#This Row],[Spend category L1 - Override]] &lt;&gt; "", AP[[#This Row],[Spend category L1 - Override]], AP[[#This Row],[Spend category L1]])</f>
        <v>0</v>
      </c>
      <c r="M895" s="57">
        <f>IF(AP[[#This Row],[Spend category L2 - Override]] &lt;&gt; "", AP[[#This Row],[Spend category L2 - Override]], AP[[#This Row],[Spend category L2]])</f>
        <v>0</v>
      </c>
      <c r="N895" s="51">
        <f>Assumptions!$D$15</f>
        <v>0.1</v>
      </c>
      <c r="O895" s="45">
        <f>IF(AP[[#This Row],[GST applies?]] = "Yes", (AP[[#This Row],[Invoice value inc. GST]] / 1 + AP[[#This Row],[GST %]]) * AP[[#This Row],[GST %]], 0)</f>
        <v>0</v>
      </c>
      <c r="P895" s="31">
        <f>_xlfn.XLOOKUP(AP[[#This Row],[Supplier name]], Supplier_master[Supplier name], Supplier_master[EOM or Net], 0)</f>
        <v>0</v>
      </c>
      <c r="Q895" s="31">
        <f>_xlfn.XLOOKUP(AP[[#This Row],[Supplier name]], Supplier_master[Supplier name], Supplier_master[Terms days], 0)</f>
        <v>0</v>
      </c>
      <c r="R8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5" s="4"/>
      <c r="T895" s="46">
        <f>IF(AP[[#This Row],[Payment date - override (dd/mm/yyyy)]] &lt;&gt; "", AP[[#This Row],[Payment date - override (dd/mm/yyyy)]], AP[[#This Row],[Due date (dd/mm/yyyy)]])</f>
        <v>0</v>
      </c>
      <c r="U895" s="46">
        <f t="shared" si="13"/>
        <v>52</v>
      </c>
    </row>
    <row r="896" spans="3:21" x14ac:dyDescent="0.25">
      <c r="C896" s="28"/>
      <c r="D896" s="20"/>
      <c r="E896" s="4"/>
      <c r="F896" s="37"/>
      <c r="G896" s="24"/>
      <c r="H896" s="31">
        <f>_xlfn.XLOOKUP(AP[[#This Row],[Supplier name]], Supplier_master[Supplier name], Supplier_master[Category L1], 0)</f>
        <v>0</v>
      </c>
      <c r="I896" s="64">
        <f>_xlfn.XLOOKUP(AP[[#This Row],[Supplier name]], Supplier_master[Supplier name], Supplier_master[Category L2], 0)</f>
        <v>0</v>
      </c>
      <c r="J896" s="55"/>
      <c r="K896" s="54"/>
      <c r="L896" s="57">
        <f>IF(AP[[#This Row],[Spend category L1 - Override]] &lt;&gt; "", AP[[#This Row],[Spend category L1 - Override]], AP[[#This Row],[Spend category L1]])</f>
        <v>0</v>
      </c>
      <c r="M896" s="57">
        <f>IF(AP[[#This Row],[Spend category L2 - Override]] &lt;&gt; "", AP[[#This Row],[Spend category L2 - Override]], AP[[#This Row],[Spend category L2]])</f>
        <v>0</v>
      </c>
      <c r="N896" s="51">
        <f>Assumptions!$D$15</f>
        <v>0.1</v>
      </c>
      <c r="O896" s="45">
        <f>IF(AP[[#This Row],[GST applies?]] = "Yes", (AP[[#This Row],[Invoice value inc. GST]] / 1 + AP[[#This Row],[GST %]]) * AP[[#This Row],[GST %]], 0)</f>
        <v>0</v>
      </c>
      <c r="P896" s="31">
        <f>_xlfn.XLOOKUP(AP[[#This Row],[Supplier name]], Supplier_master[Supplier name], Supplier_master[EOM or Net], 0)</f>
        <v>0</v>
      </c>
      <c r="Q896" s="31">
        <f>_xlfn.XLOOKUP(AP[[#This Row],[Supplier name]], Supplier_master[Supplier name], Supplier_master[Terms days], 0)</f>
        <v>0</v>
      </c>
      <c r="R8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6" s="4"/>
      <c r="T896" s="46">
        <f>IF(AP[[#This Row],[Payment date - override (dd/mm/yyyy)]] &lt;&gt; "", AP[[#This Row],[Payment date - override (dd/mm/yyyy)]], AP[[#This Row],[Due date (dd/mm/yyyy)]])</f>
        <v>0</v>
      </c>
      <c r="U896" s="46">
        <f t="shared" si="13"/>
        <v>52</v>
      </c>
    </row>
    <row r="897" spans="3:21" x14ac:dyDescent="0.25">
      <c r="C897" s="28"/>
      <c r="D897" s="20"/>
      <c r="E897" s="4"/>
      <c r="F897" s="37"/>
      <c r="G897" s="24"/>
      <c r="H897" s="31">
        <f>_xlfn.XLOOKUP(AP[[#This Row],[Supplier name]], Supplier_master[Supplier name], Supplier_master[Category L1], 0)</f>
        <v>0</v>
      </c>
      <c r="I897" s="64">
        <f>_xlfn.XLOOKUP(AP[[#This Row],[Supplier name]], Supplier_master[Supplier name], Supplier_master[Category L2], 0)</f>
        <v>0</v>
      </c>
      <c r="J897" s="55"/>
      <c r="K897" s="54"/>
      <c r="L897" s="57">
        <f>IF(AP[[#This Row],[Spend category L1 - Override]] &lt;&gt; "", AP[[#This Row],[Spend category L1 - Override]], AP[[#This Row],[Spend category L1]])</f>
        <v>0</v>
      </c>
      <c r="M897" s="57">
        <f>IF(AP[[#This Row],[Spend category L2 - Override]] &lt;&gt; "", AP[[#This Row],[Spend category L2 - Override]], AP[[#This Row],[Spend category L2]])</f>
        <v>0</v>
      </c>
      <c r="N897" s="51">
        <f>Assumptions!$D$15</f>
        <v>0.1</v>
      </c>
      <c r="O897" s="45">
        <f>IF(AP[[#This Row],[GST applies?]] = "Yes", (AP[[#This Row],[Invoice value inc. GST]] / 1 + AP[[#This Row],[GST %]]) * AP[[#This Row],[GST %]], 0)</f>
        <v>0</v>
      </c>
      <c r="P897" s="31">
        <f>_xlfn.XLOOKUP(AP[[#This Row],[Supplier name]], Supplier_master[Supplier name], Supplier_master[EOM or Net], 0)</f>
        <v>0</v>
      </c>
      <c r="Q897" s="31">
        <f>_xlfn.XLOOKUP(AP[[#This Row],[Supplier name]], Supplier_master[Supplier name], Supplier_master[Terms days], 0)</f>
        <v>0</v>
      </c>
      <c r="R8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7" s="4"/>
      <c r="T897" s="46">
        <f>IF(AP[[#This Row],[Payment date - override (dd/mm/yyyy)]] &lt;&gt; "", AP[[#This Row],[Payment date - override (dd/mm/yyyy)]], AP[[#This Row],[Due date (dd/mm/yyyy)]])</f>
        <v>0</v>
      </c>
      <c r="U897" s="46">
        <f t="shared" si="13"/>
        <v>52</v>
      </c>
    </row>
    <row r="898" spans="3:21" x14ac:dyDescent="0.25">
      <c r="C898" s="28"/>
      <c r="D898" s="20"/>
      <c r="E898" s="4"/>
      <c r="F898" s="37"/>
      <c r="G898" s="24"/>
      <c r="H898" s="31">
        <f>_xlfn.XLOOKUP(AP[[#This Row],[Supplier name]], Supplier_master[Supplier name], Supplier_master[Category L1], 0)</f>
        <v>0</v>
      </c>
      <c r="I898" s="64">
        <f>_xlfn.XLOOKUP(AP[[#This Row],[Supplier name]], Supplier_master[Supplier name], Supplier_master[Category L2], 0)</f>
        <v>0</v>
      </c>
      <c r="J898" s="55"/>
      <c r="K898" s="54"/>
      <c r="L898" s="57">
        <f>IF(AP[[#This Row],[Spend category L1 - Override]] &lt;&gt; "", AP[[#This Row],[Spend category L1 - Override]], AP[[#This Row],[Spend category L1]])</f>
        <v>0</v>
      </c>
      <c r="M898" s="57">
        <f>IF(AP[[#This Row],[Spend category L2 - Override]] &lt;&gt; "", AP[[#This Row],[Spend category L2 - Override]], AP[[#This Row],[Spend category L2]])</f>
        <v>0</v>
      </c>
      <c r="N898" s="51">
        <f>Assumptions!$D$15</f>
        <v>0.1</v>
      </c>
      <c r="O898" s="45">
        <f>IF(AP[[#This Row],[GST applies?]] = "Yes", (AP[[#This Row],[Invoice value inc. GST]] / 1 + AP[[#This Row],[GST %]]) * AP[[#This Row],[GST %]], 0)</f>
        <v>0</v>
      </c>
      <c r="P898" s="31">
        <f>_xlfn.XLOOKUP(AP[[#This Row],[Supplier name]], Supplier_master[Supplier name], Supplier_master[EOM or Net], 0)</f>
        <v>0</v>
      </c>
      <c r="Q898" s="31">
        <f>_xlfn.XLOOKUP(AP[[#This Row],[Supplier name]], Supplier_master[Supplier name], Supplier_master[Terms days], 0)</f>
        <v>0</v>
      </c>
      <c r="R8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8" s="4"/>
      <c r="T898" s="46">
        <f>IF(AP[[#This Row],[Payment date - override (dd/mm/yyyy)]] &lt;&gt; "", AP[[#This Row],[Payment date - override (dd/mm/yyyy)]], AP[[#This Row],[Due date (dd/mm/yyyy)]])</f>
        <v>0</v>
      </c>
      <c r="U898" s="46">
        <f t="shared" si="13"/>
        <v>52</v>
      </c>
    </row>
    <row r="899" spans="3:21" x14ac:dyDescent="0.25">
      <c r="C899" s="28"/>
      <c r="D899" s="20"/>
      <c r="E899" s="4"/>
      <c r="F899" s="37"/>
      <c r="G899" s="24"/>
      <c r="H899" s="31">
        <f>_xlfn.XLOOKUP(AP[[#This Row],[Supplier name]], Supplier_master[Supplier name], Supplier_master[Category L1], 0)</f>
        <v>0</v>
      </c>
      <c r="I899" s="64">
        <f>_xlfn.XLOOKUP(AP[[#This Row],[Supplier name]], Supplier_master[Supplier name], Supplier_master[Category L2], 0)</f>
        <v>0</v>
      </c>
      <c r="J899" s="55"/>
      <c r="K899" s="54"/>
      <c r="L899" s="57">
        <f>IF(AP[[#This Row],[Spend category L1 - Override]] &lt;&gt; "", AP[[#This Row],[Spend category L1 - Override]], AP[[#This Row],[Spend category L1]])</f>
        <v>0</v>
      </c>
      <c r="M899" s="57">
        <f>IF(AP[[#This Row],[Spend category L2 - Override]] &lt;&gt; "", AP[[#This Row],[Spend category L2 - Override]], AP[[#This Row],[Spend category L2]])</f>
        <v>0</v>
      </c>
      <c r="N899" s="51">
        <f>Assumptions!$D$15</f>
        <v>0.1</v>
      </c>
      <c r="O899" s="45">
        <f>IF(AP[[#This Row],[GST applies?]] = "Yes", (AP[[#This Row],[Invoice value inc. GST]] / 1 + AP[[#This Row],[GST %]]) * AP[[#This Row],[GST %]], 0)</f>
        <v>0</v>
      </c>
      <c r="P899" s="31">
        <f>_xlfn.XLOOKUP(AP[[#This Row],[Supplier name]], Supplier_master[Supplier name], Supplier_master[EOM or Net], 0)</f>
        <v>0</v>
      </c>
      <c r="Q899" s="31">
        <f>_xlfn.XLOOKUP(AP[[#This Row],[Supplier name]], Supplier_master[Supplier name], Supplier_master[Terms days], 0)</f>
        <v>0</v>
      </c>
      <c r="R8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9" s="4"/>
      <c r="T899" s="46">
        <f>IF(AP[[#This Row],[Payment date - override (dd/mm/yyyy)]] &lt;&gt; "", AP[[#This Row],[Payment date - override (dd/mm/yyyy)]], AP[[#This Row],[Due date (dd/mm/yyyy)]])</f>
        <v>0</v>
      </c>
      <c r="U899" s="46">
        <f t="shared" si="13"/>
        <v>52</v>
      </c>
    </row>
    <row r="900" spans="3:21" x14ac:dyDescent="0.25">
      <c r="C900" s="28"/>
      <c r="D900" s="20"/>
      <c r="E900" s="4"/>
      <c r="F900" s="37"/>
      <c r="G900" s="24"/>
      <c r="H900" s="31">
        <f>_xlfn.XLOOKUP(AP[[#This Row],[Supplier name]], Supplier_master[Supplier name], Supplier_master[Category L1], 0)</f>
        <v>0</v>
      </c>
      <c r="I900" s="64">
        <f>_xlfn.XLOOKUP(AP[[#This Row],[Supplier name]], Supplier_master[Supplier name], Supplier_master[Category L2], 0)</f>
        <v>0</v>
      </c>
      <c r="J900" s="55"/>
      <c r="K900" s="54"/>
      <c r="L900" s="57">
        <f>IF(AP[[#This Row],[Spend category L1 - Override]] &lt;&gt; "", AP[[#This Row],[Spend category L1 - Override]], AP[[#This Row],[Spend category L1]])</f>
        <v>0</v>
      </c>
      <c r="M900" s="57">
        <f>IF(AP[[#This Row],[Spend category L2 - Override]] &lt;&gt; "", AP[[#This Row],[Spend category L2 - Override]], AP[[#This Row],[Spend category L2]])</f>
        <v>0</v>
      </c>
      <c r="N900" s="51">
        <f>Assumptions!$D$15</f>
        <v>0.1</v>
      </c>
      <c r="O900" s="45">
        <f>IF(AP[[#This Row],[GST applies?]] = "Yes", (AP[[#This Row],[Invoice value inc. GST]] / 1 + AP[[#This Row],[GST %]]) * AP[[#This Row],[GST %]], 0)</f>
        <v>0</v>
      </c>
      <c r="P900" s="31">
        <f>_xlfn.XLOOKUP(AP[[#This Row],[Supplier name]], Supplier_master[Supplier name], Supplier_master[EOM or Net], 0)</f>
        <v>0</v>
      </c>
      <c r="Q900" s="31">
        <f>_xlfn.XLOOKUP(AP[[#This Row],[Supplier name]], Supplier_master[Supplier name], Supplier_master[Terms days], 0)</f>
        <v>0</v>
      </c>
      <c r="R9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0" s="4"/>
      <c r="T900" s="46">
        <f>IF(AP[[#This Row],[Payment date - override (dd/mm/yyyy)]] &lt;&gt; "", AP[[#This Row],[Payment date - override (dd/mm/yyyy)]], AP[[#This Row],[Due date (dd/mm/yyyy)]])</f>
        <v>0</v>
      </c>
      <c r="U900" s="46">
        <f t="shared" si="13"/>
        <v>52</v>
      </c>
    </row>
    <row r="901" spans="3:21" x14ac:dyDescent="0.25">
      <c r="C901" s="28"/>
      <c r="D901" s="20"/>
      <c r="E901" s="4"/>
      <c r="F901" s="37"/>
      <c r="G901" s="24"/>
      <c r="H901" s="31">
        <f>_xlfn.XLOOKUP(AP[[#This Row],[Supplier name]], Supplier_master[Supplier name], Supplier_master[Category L1], 0)</f>
        <v>0</v>
      </c>
      <c r="I901" s="64">
        <f>_xlfn.XLOOKUP(AP[[#This Row],[Supplier name]], Supplier_master[Supplier name], Supplier_master[Category L2], 0)</f>
        <v>0</v>
      </c>
      <c r="J901" s="55"/>
      <c r="K901" s="54"/>
      <c r="L901" s="57">
        <f>IF(AP[[#This Row],[Spend category L1 - Override]] &lt;&gt; "", AP[[#This Row],[Spend category L1 - Override]], AP[[#This Row],[Spend category L1]])</f>
        <v>0</v>
      </c>
      <c r="M901" s="57">
        <f>IF(AP[[#This Row],[Spend category L2 - Override]] &lt;&gt; "", AP[[#This Row],[Spend category L2 - Override]], AP[[#This Row],[Spend category L2]])</f>
        <v>0</v>
      </c>
      <c r="N901" s="51">
        <f>Assumptions!$D$15</f>
        <v>0.1</v>
      </c>
      <c r="O901" s="45">
        <f>IF(AP[[#This Row],[GST applies?]] = "Yes", (AP[[#This Row],[Invoice value inc. GST]] / 1 + AP[[#This Row],[GST %]]) * AP[[#This Row],[GST %]], 0)</f>
        <v>0</v>
      </c>
      <c r="P901" s="31">
        <f>_xlfn.XLOOKUP(AP[[#This Row],[Supplier name]], Supplier_master[Supplier name], Supplier_master[EOM or Net], 0)</f>
        <v>0</v>
      </c>
      <c r="Q901" s="31">
        <f>_xlfn.XLOOKUP(AP[[#This Row],[Supplier name]], Supplier_master[Supplier name], Supplier_master[Terms days], 0)</f>
        <v>0</v>
      </c>
      <c r="R9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1" s="4"/>
      <c r="T901" s="46">
        <f>IF(AP[[#This Row],[Payment date - override (dd/mm/yyyy)]] &lt;&gt; "", AP[[#This Row],[Payment date - override (dd/mm/yyyy)]], AP[[#This Row],[Due date (dd/mm/yyyy)]])</f>
        <v>0</v>
      </c>
      <c r="U901" s="46">
        <f t="shared" si="13"/>
        <v>52</v>
      </c>
    </row>
    <row r="902" spans="3:21" x14ac:dyDescent="0.25">
      <c r="C902" s="28"/>
      <c r="D902" s="20"/>
      <c r="E902" s="4"/>
      <c r="F902" s="37"/>
      <c r="G902" s="24"/>
      <c r="H902" s="31">
        <f>_xlfn.XLOOKUP(AP[[#This Row],[Supplier name]], Supplier_master[Supplier name], Supplier_master[Category L1], 0)</f>
        <v>0</v>
      </c>
      <c r="I902" s="64">
        <f>_xlfn.XLOOKUP(AP[[#This Row],[Supplier name]], Supplier_master[Supplier name], Supplier_master[Category L2], 0)</f>
        <v>0</v>
      </c>
      <c r="J902" s="55"/>
      <c r="K902" s="54"/>
      <c r="L902" s="57">
        <f>IF(AP[[#This Row],[Spend category L1 - Override]] &lt;&gt; "", AP[[#This Row],[Spend category L1 - Override]], AP[[#This Row],[Spend category L1]])</f>
        <v>0</v>
      </c>
      <c r="M902" s="57">
        <f>IF(AP[[#This Row],[Spend category L2 - Override]] &lt;&gt; "", AP[[#This Row],[Spend category L2 - Override]], AP[[#This Row],[Spend category L2]])</f>
        <v>0</v>
      </c>
      <c r="N902" s="51">
        <f>Assumptions!$D$15</f>
        <v>0.1</v>
      </c>
      <c r="O902" s="45">
        <f>IF(AP[[#This Row],[GST applies?]] = "Yes", (AP[[#This Row],[Invoice value inc. GST]] / 1 + AP[[#This Row],[GST %]]) * AP[[#This Row],[GST %]], 0)</f>
        <v>0</v>
      </c>
      <c r="P902" s="31">
        <f>_xlfn.XLOOKUP(AP[[#This Row],[Supplier name]], Supplier_master[Supplier name], Supplier_master[EOM or Net], 0)</f>
        <v>0</v>
      </c>
      <c r="Q902" s="31">
        <f>_xlfn.XLOOKUP(AP[[#This Row],[Supplier name]], Supplier_master[Supplier name], Supplier_master[Terms days], 0)</f>
        <v>0</v>
      </c>
      <c r="R9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2" s="4"/>
      <c r="T902" s="46">
        <f>IF(AP[[#This Row],[Payment date - override (dd/mm/yyyy)]] &lt;&gt; "", AP[[#This Row],[Payment date - override (dd/mm/yyyy)]], AP[[#This Row],[Due date (dd/mm/yyyy)]])</f>
        <v>0</v>
      </c>
      <c r="U902" s="46">
        <f t="shared" si="13"/>
        <v>52</v>
      </c>
    </row>
    <row r="903" spans="3:21" x14ac:dyDescent="0.25">
      <c r="C903" s="28"/>
      <c r="D903" s="20"/>
      <c r="E903" s="4"/>
      <c r="F903" s="37"/>
      <c r="G903" s="24"/>
      <c r="H903" s="31">
        <f>_xlfn.XLOOKUP(AP[[#This Row],[Supplier name]], Supplier_master[Supplier name], Supplier_master[Category L1], 0)</f>
        <v>0</v>
      </c>
      <c r="I903" s="64">
        <f>_xlfn.XLOOKUP(AP[[#This Row],[Supplier name]], Supplier_master[Supplier name], Supplier_master[Category L2], 0)</f>
        <v>0</v>
      </c>
      <c r="J903" s="55"/>
      <c r="K903" s="54"/>
      <c r="L903" s="57">
        <f>IF(AP[[#This Row],[Spend category L1 - Override]] &lt;&gt; "", AP[[#This Row],[Spend category L1 - Override]], AP[[#This Row],[Spend category L1]])</f>
        <v>0</v>
      </c>
      <c r="M903" s="57">
        <f>IF(AP[[#This Row],[Spend category L2 - Override]] &lt;&gt; "", AP[[#This Row],[Spend category L2 - Override]], AP[[#This Row],[Spend category L2]])</f>
        <v>0</v>
      </c>
      <c r="N903" s="51">
        <f>Assumptions!$D$15</f>
        <v>0.1</v>
      </c>
      <c r="O903" s="45">
        <f>IF(AP[[#This Row],[GST applies?]] = "Yes", (AP[[#This Row],[Invoice value inc. GST]] / 1 + AP[[#This Row],[GST %]]) * AP[[#This Row],[GST %]], 0)</f>
        <v>0</v>
      </c>
      <c r="P903" s="31">
        <f>_xlfn.XLOOKUP(AP[[#This Row],[Supplier name]], Supplier_master[Supplier name], Supplier_master[EOM or Net], 0)</f>
        <v>0</v>
      </c>
      <c r="Q903" s="31">
        <f>_xlfn.XLOOKUP(AP[[#This Row],[Supplier name]], Supplier_master[Supplier name], Supplier_master[Terms days], 0)</f>
        <v>0</v>
      </c>
      <c r="R9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3" s="4"/>
      <c r="T903" s="46">
        <f>IF(AP[[#This Row],[Payment date - override (dd/mm/yyyy)]] &lt;&gt; "", AP[[#This Row],[Payment date - override (dd/mm/yyyy)]], AP[[#This Row],[Due date (dd/mm/yyyy)]])</f>
        <v>0</v>
      </c>
      <c r="U903" s="46">
        <f t="shared" si="13"/>
        <v>52</v>
      </c>
    </row>
    <row r="904" spans="3:21" x14ac:dyDescent="0.25">
      <c r="C904" s="28"/>
      <c r="D904" s="20"/>
      <c r="E904" s="4"/>
      <c r="F904" s="37"/>
      <c r="G904" s="24"/>
      <c r="H904" s="31">
        <f>_xlfn.XLOOKUP(AP[[#This Row],[Supplier name]], Supplier_master[Supplier name], Supplier_master[Category L1], 0)</f>
        <v>0</v>
      </c>
      <c r="I904" s="64">
        <f>_xlfn.XLOOKUP(AP[[#This Row],[Supplier name]], Supplier_master[Supplier name], Supplier_master[Category L2], 0)</f>
        <v>0</v>
      </c>
      <c r="J904" s="55"/>
      <c r="K904" s="54"/>
      <c r="L904" s="57">
        <f>IF(AP[[#This Row],[Spend category L1 - Override]] &lt;&gt; "", AP[[#This Row],[Spend category L1 - Override]], AP[[#This Row],[Spend category L1]])</f>
        <v>0</v>
      </c>
      <c r="M904" s="57">
        <f>IF(AP[[#This Row],[Spend category L2 - Override]] &lt;&gt; "", AP[[#This Row],[Spend category L2 - Override]], AP[[#This Row],[Spend category L2]])</f>
        <v>0</v>
      </c>
      <c r="N904" s="51">
        <f>Assumptions!$D$15</f>
        <v>0.1</v>
      </c>
      <c r="O904" s="45">
        <f>IF(AP[[#This Row],[GST applies?]] = "Yes", (AP[[#This Row],[Invoice value inc. GST]] / 1 + AP[[#This Row],[GST %]]) * AP[[#This Row],[GST %]], 0)</f>
        <v>0</v>
      </c>
      <c r="P904" s="31">
        <f>_xlfn.XLOOKUP(AP[[#This Row],[Supplier name]], Supplier_master[Supplier name], Supplier_master[EOM or Net], 0)</f>
        <v>0</v>
      </c>
      <c r="Q904" s="31">
        <f>_xlfn.XLOOKUP(AP[[#This Row],[Supplier name]], Supplier_master[Supplier name], Supplier_master[Terms days], 0)</f>
        <v>0</v>
      </c>
      <c r="R9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4" s="4"/>
      <c r="T904" s="46">
        <f>IF(AP[[#This Row],[Payment date - override (dd/mm/yyyy)]] &lt;&gt; "", AP[[#This Row],[Payment date - override (dd/mm/yyyy)]], AP[[#This Row],[Due date (dd/mm/yyyy)]])</f>
        <v>0</v>
      </c>
      <c r="U904" s="46">
        <f t="shared" si="13"/>
        <v>52</v>
      </c>
    </row>
    <row r="905" spans="3:21" x14ac:dyDescent="0.25">
      <c r="C905" s="28"/>
      <c r="D905" s="20"/>
      <c r="E905" s="4"/>
      <c r="F905" s="37"/>
      <c r="G905" s="24"/>
      <c r="H905" s="31">
        <f>_xlfn.XLOOKUP(AP[[#This Row],[Supplier name]], Supplier_master[Supplier name], Supplier_master[Category L1], 0)</f>
        <v>0</v>
      </c>
      <c r="I905" s="64">
        <f>_xlfn.XLOOKUP(AP[[#This Row],[Supplier name]], Supplier_master[Supplier name], Supplier_master[Category L2], 0)</f>
        <v>0</v>
      </c>
      <c r="J905" s="55"/>
      <c r="K905" s="54"/>
      <c r="L905" s="57">
        <f>IF(AP[[#This Row],[Spend category L1 - Override]] &lt;&gt; "", AP[[#This Row],[Spend category L1 - Override]], AP[[#This Row],[Spend category L1]])</f>
        <v>0</v>
      </c>
      <c r="M905" s="57">
        <f>IF(AP[[#This Row],[Spend category L2 - Override]] &lt;&gt; "", AP[[#This Row],[Spend category L2 - Override]], AP[[#This Row],[Spend category L2]])</f>
        <v>0</v>
      </c>
      <c r="N905" s="51">
        <f>Assumptions!$D$15</f>
        <v>0.1</v>
      </c>
      <c r="O905" s="45">
        <f>IF(AP[[#This Row],[GST applies?]] = "Yes", (AP[[#This Row],[Invoice value inc. GST]] / 1 + AP[[#This Row],[GST %]]) * AP[[#This Row],[GST %]], 0)</f>
        <v>0</v>
      </c>
      <c r="P905" s="31">
        <f>_xlfn.XLOOKUP(AP[[#This Row],[Supplier name]], Supplier_master[Supplier name], Supplier_master[EOM or Net], 0)</f>
        <v>0</v>
      </c>
      <c r="Q905" s="31">
        <f>_xlfn.XLOOKUP(AP[[#This Row],[Supplier name]], Supplier_master[Supplier name], Supplier_master[Terms days], 0)</f>
        <v>0</v>
      </c>
      <c r="R9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5" s="4"/>
      <c r="T905" s="46">
        <f>IF(AP[[#This Row],[Payment date - override (dd/mm/yyyy)]] &lt;&gt; "", AP[[#This Row],[Payment date - override (dd/mm/yyyy)]], AP[[#This Row],[Due date (dd/mm/yyyy)]])</f>
        <v>0</v>
      </c>
      <c r="U905" s="46">
        <f t="shared" ref="U905:U968" si="14">IF(GST_Freq="Monthly",
    DATE(YEAR(E905), MONTH(E905) + 1, 21),
    IF(GST_Freq="Quarterly",
        IF(MOD(MONTH(E905) + 2 - MOD(MOD(MONTH(E905) - GST_First_Month, 12), 3), 12) = 0,
            DATE(YEAR(E905), MONTH(E905) + 4 - MOD(MOD(MONTH(E905) - GST_First_Month, 12), 3), 28),
            DATE(YEAR(E905), MONTH(E905) + 3 - MOD(MOD(MONTH(E905) - GST_First_Month, 12), 3), 28)
        ),
        "Invalid frequency"
    )
)</f>
        <v>52</v>
      </c>
    </row>
    <row r="906" spans="3:21" x14ac:dyDescent="0.25">
      <c r="C906" s="28"/>
      <c r="D906" s="20"/>
      <c r="E906" s="4"/>
      <c r="F906" s="37"/>
      <c r="G906" s="24"/>
      <c r="H906" s="31">
        <f>_xlfn.XLOOKUP(AP[[#This Row],[Supplier name]], Supplier_master[Supplier name], Supplier_master[Category L1], 0)</f>
        <v>0</v>
      </c>
      <c r="I906" s="64">
        <f>_xlfn.XLOOKUP(AP[[#This Row],[Supplier name]], Supplier_master[Supplier name], Supplier_master[Category L2], 0)</f>
        <v>0</v>
      </c>
      <c r="J906" s="55"/>
      <c r="K906" s="54"/>
      <c r="L906" s="57">
        <f>IF(AP[[#This Row],[Spend category L1 - Override]] &lt;&gt; "", AP[[#This Row],[Spend category L1 - Override]], AP[[#This Row],[Spend category L1]])</f>
        <v>0</v>
      </c>
      <c r="M906" s="57">
        <f>IF(AP[[#This Row],[Spend category L2 - Override]] &lt;&gt; "", AP[[#This Row],[Spend category L2 - Override]], AP[[#This Row],[Spend category L2]])</f>
        <v>0</v>
      </c>
      <c r="N906" s="51">
        <f>Assumptions!$D$15</f>
        <v>0.1</v>
      </c>
      <c r="O906" s="45">
        <f>IF(AP[[#This Row],[GST applies?]] = "Yes", (AP[[#This Row],[Invoice value inc. GST]] / 1 + AP[[#This Row],[GST %]]) * AP[[#This Row],[GST %]], 0)</f>
        <v>0</v>
      </c>
      <c r="P906" s="31">
        <f>_xlfn.XLOOKUP(AP[[#This Row],[Supplier name]], Supplier_master[Supplier name], Supplier_master[EOM or Net], 0)</f>
        <v>0</v>
      </c>
      <c r="Q906" s="31">
        <f>_xlfn.XLOOKUP(AP[[#This Row],[Supplier name]], Supplier_master[Supplier name], Supplier_master[Terms days], 0)</f>
        <v>0</v>
      </c>
      <c r="R9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6" s="4"/>
      <c r="T906" s="46">
        <f>IF(AP[[#This Row],[Payment date - override (dd/mm/yyyy)]] &lt;&gt; "", AP[[#This Row],[Payment date - override (dd/mm/yyyy)]], AP[[#This Row],[Due date (dd/mm/yyyy)]])</f>
        <v>0</v>
      </c>
      <c r="U906" s="46">
        <f t="shared" si="14"/>
        <v>52</v>
      </c>
    </row>
    <row r="907" spans="3:21" x14ac:dyDescent="0.25">
      <c r="C907" s="28"/>
      <c r="D907" s="20"/>
      <c r="E907" s="4"/>
      <c r="F907" s="37"/>
      <c r="G907" s="24"/>
      <c r="H907" s="31">
        <f>_xlfn.XLOOKUP(AP[[#This Row],[Supplier name]], Supplier_master[Supplier name], Supplier_master[Category L1], 0)</f>
        <v>0</v>
      </c>
      <c r="I907" s="64">
        <f>_xlfn.XLOOKUP(AP[[#This Row],[Supplier name]], Supplier_master[Supplier name], Supplier_master[Category L2], 0)</f>
        <v>0</v>
      </c>
      <c r="J907" s="55"/>
      <c r="K907" s="54"/>
      <c r="L907" s="57">
        <f>IF(AP[[#This Row],[Spend category L1 - Override]] &lt;&gt; "", AP[[#This Row],[Spend category L1 - Override]], AP[[#This Row],[Spend category L1]])</f>
        <v>0</v>
      </c>
      <c r="M907" s="57">
        <f>IF(AP[[#This Row],[Spend category L2 - Override]] &lt;&gt; "", AP[[#This Row],[Spend category L2 - Override]], AP[[#This Row],[Spend category L2]])</f>
        <v>0</v>
      </c>
      <c r="N907" s="51">
        <f>Assumptions!$D$15</f>
        <v>0.1</v>
      </c>
      <c r="O907" s="45">
        <f>IF(AP[[#This Row],[GST applies?]] = "Yes", (AP[[#This Row],[Invoice value inc. GST]] / 1 + AP[[#This Row],[GST %]]) * AP[[#This Row],[GST %]], 0)</f>
        <v>0</v>
      </c>
      <c r="P907" s="31">
        <f>_xlfn.XLOOKUP(AP[[#This Row],[Supplier name]], Supplier_master[Supplier name], Supplier_master[EOM or Net], 0)</f>
        <v>0</v>
      </c>
      <c r="Q907" s="31">
        <f>_xlfn.XLOOKUP(AP[[#This Row],[Supplier name]], Supplier_master[Supplier name], Supplier_master[Terms days], 0)</f>
        <v>0</v>
      </c>
      <c r="R9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7" s="4"/>
      <c r="T907" s="46">
        <f>IF(AP[[#This Row],[Payment date - override (dd/mm/yyyy)]] &lt;&gt; "", AP[[#This Row],[Payment date - override (dd/mm/yyyy)]], AP[[#This Row],[Due date (dd/mm/yyyy)]])</f>
        <v>0</v>
      </c>
      <c r="U907" s="46">
        <f t="shared" si="14"/>
        <v>52</v>
      </c>
    </row>
    <row r="908" spans="3:21" x14ac:dyDescent="0.25">
      <c r="C908" s="28"/>
      <c r="D908" s="20"/>
      <c r="E908" s="4"/>
      <c r="F908" s="37"/>
      <c r="G908" s="24"/>
      <c r="H908" s="31">
        <f>_xlfn.XLOOKUP(AP[[#This Row],[Supplier name]], Supplier_master[Supplier name], Supplier_master[Category L1], 0)</f>
        <v>0</v>
      </c>
      <c r="I908" s="64">
        <f>_xlfn.XLOOKUP(AP[[#This Row],[Supplier name]], Supplier_master[Supplier name], Supplier_master[Category L2], 0)</f>
        <v>0</v>
      </c>
      <c r="J908" s="55"/>
      <c r="K908" s="54"/>
      <c r="L908" s="57">
        <f>IF(AP[[#This Row],[Spend category L1 - Override]] &lt;&gt; "", AP[[#This Row],[Spend category L1 - Override]], AP[[#This Row],[Spend category L1]])</f>
        <v>0</v>
      </c>
      <c r="M908" s="57">
        <f>IF(AP[[#This Row],[Spend category L2 - Override]] &lt;&gt; "", AP[[#This Row],[Spend category L2 - Override]], AP[[#This Row],[Spend category L2]])</f>
        <v>0</v>
      </c>
      <c r="N908" s="51">
        <f>Assumptions!$D$15</f>
        <v>0.1</v>
      </c>
      <c r="O908" s="45">
        <f>IF(AP[[#This Row],[GST applies?]] = "Yes", (AP[[#This Row],[Invoice value inc. GST]] / 1 + AP[[#This Row],[GST %]]) * AP[[#This Row],[GST %]], 0)</f>
        <v>0</v>
      </c>
      <c r="P908" s="31">
        <f>_xlfn.XLOOKUP(AP[[#This Row],[Supplier name]], Supplier_master[Supplier name], Supplier_master[EOM or Net], 0)</f>
        <v>0</v>
      </c>
      <c r="Q908" s="31">
        <f>_xlfn.XLOOKUP(AP[[#This Row],[Supplier name]], Supplier_master[Supplier name], Supplier_master[Terms days], 0)</f>
        <v>0</v>
      </c>
      <c r="R9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8" s="4"/>
      <c r="T908" s="46">
        <f>IF(AP[[#This Row],[Payment date - override (dd/mm/yyyy)]] &lt;&gt; "", AP[[#This Row],[Payment date - override (dd/mm/yyyy)]], AP[[#This Row],[Due date (dd/mm/yyyy)]])</f>
        <v>0</v>
      </c>
      <c r="U908" s="46">
        <f t="shared" si="14"/>
        <v>52</v>
      </c>
    </row>
    <row r="909" spans="3:21" x14ac:dyDescent="0.25">
      <c r="C909" s="28"/>
      <c r="D909" s="20"/>
      <c r="E909" s="4"/>
      <c r="F909" s="37"/>
      <c r="G909" s="24"/>
      <c r="H909" s="31">
        <f>_xlfn.XLOOKUP(AP[[#This Row],[Supplier name]], Supplier_master[Supplier name], Supplier_master[Category L1], 0)</f>
        <v>0</v>
      </c>
      <c r="I909" s="64">
        <f>_xlfn.XLOOKUP(AP[[#This Row],[Supplier name]], Supplier_master[Supplier name], Supplier_master[Category L2], 0)</f>
        <v>0</v>
      </c>
      <c r="J909" s="55"/>
      <c r="K909" s="54"/>
      <c r="L909" s="57">
        <f>IF(AP[[#This Row],[Spend category L1 - Override]] &lt;&gt; "", AP[[#This Row],[Spend category L1 - Override]], AP[[#This Row],[Spend category L1]])</f>
        <v>0</v>
      </c>
      <c r="M909" s="57">
        <f>IF(AP[[#This Row],[Spend category L2 - Override]] &lt;&gt; "", AP[[#This Row],[Spend category L2 - Override]], AP[[#This Row],[Spend category L2]])</f>
        <v>0</v>
      </c>
      <c r="N909" s="51">
        <f>Assumptions!$D$15</f>
        <v>0.1</v>
      </c>
      <c r="O909" s="45">
        <f>IF(AP[[#This Row],[GST applies?]] = "Yes", (AP[[#This Row],[Invoice value inc. GST]] / 1 + AP[[#This Row],[GST %]]) * AP[[#This Row],[GST %]], 0)</f>
        <v>0</v>
      </c>
      <c r="P909" s="31">
        <f>_xlfn.XLOOKUP(AP[[#This Row],[Supplier name]], Supplier_master[Supplier name], Supplier_master[EOM or Net], 0)</f>
        <v>0</v>
      </c>
      <c r="Q909" s="31">
        <f>_xlfn.XLOOKUP(AP[[#This Row],[Supplier name]], Supplier_master[Supplier name], Supplier_master[Terms days], 0)</f>
        <v>0</v>
      </c>
      <c r="R9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9" s="4"/>
      <c r="T909" s="46">
        <f>IF(AP[[#This Row],[Payment date - override (dd/mm/yyyy)]] &lt;&gt; "", AP[[#This Row],[Payment date - override (dd/mm/yyyy)]], AP[[#This Row],[Due date (dd/mm/yyyy)]])</f>
        <v>0</v>
      </c>
      <c r="U909" s="46">
        <f t="shared" si="14"/>
        <v>52</v>
      </c>
    </row>
    <row r="910" spans="3:21" x14ac:dyDescent="0.25">
      <c r="C910" s="28"/>
      <c r="D910" s="20"/>
      <c r="E910" s="4"/>
      <c r="F910" s="37"/>
      <c r="G910" s="24"/>
      <c r="H910" s="31">
        <f>_xlfn.XLOOKUP(AP[[#This Row],[Supplier name]], Supplier_master[Supplier name], Supplier_master[Category L1], 0)</f>
        <v>0</v>
      </c>
      <c r="I910" s="64">
        <f>_xlfn.XLOOKUP(AP[[#This Row],[Supplier name]], Supplier_master[Supplier name], Supplier_master[Category L2], 0)</f>
        <v>0</v>
      </c>
      <c r="J910" s="55"/>
      <c r="K910" s="54"/>
      <c r="L910" s="57">
        <f>IF(AP[[#This Row],[Spend category L1 - Override]] &lt;&gt; "", AP[[#This Row],[Spend category L1 - Override]], AP[[#This Row],[Spend category L1]])</f>
        <v>0</v>
      </c>
      <c r="M910" s="57">
        <f>IF(AP[[#This Row],[Spend category L2 - Override]] &lt;&gt; "", AP[[#This Row],[Spend category L2 - Override]], AP[[#This Row],[Spend category L2]])</f>
        <v>0</v>
      </c>
      <c r="N910" s="51">
        <f>Assumptions!$D$15</f>
        <v>0.1</v>
      </c>
      <c r="O910" s="45">
        <f>IF(AP[[#This Row],[GST applies?]] = "Yes", (AP[[#This Row],[Invoice value inc. GST]] / 1 + AP[[#This Row],[GST %]]) * AP[[#This Row],[GST %]], 0)</f>
        <v>0</v>
      </c>
      <c r="P910" s="31">
        <f>_xlfn.XLOOKUP(AP[[#This Row],[Supplier name]], Supplier_master[Supplier name], Supplier_master[EOM or Net], 0)</f>
        <v>0</v>
      </c>
      <c r="Q910" s="31">
        <f>_xlfn.XLOOKUP(AP[[#This Row],[Supplier name]], Supplier_master[Supplier name], Supplier_master[Terms days], 0)</f>
        <v>0</v>
      </c>
      <c r="R9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0" s="4"/>
      <c r="T910" s="46">
        <f>IF(AP[[#This Row],[Payment date - override (dd/mm/yyyy)]] &lt;&gt; "", AP[[#This Row],[Payment date - override (dd/mm/yyyy)]], AP[[#This Row],[Due date (dd/mm/yyyy)]])</f>
        <v>0</v>
      </c>
      <c r="U910" s="46">
        <f t="shared" si="14"/>
        <v>52</v>
      </c>
    </row>
    <row r="911" spans="3:21" x14ac:dyDescent="0.25">
      <c r="C911" s="28"/>
      <c r="D911" s="20"/>
      <c r="E911" s="4"/>
      <c r="F911" s="37"/>
      <c r="G911" s="24"/>
      <c r="H911" s="31">
        <f>_xlfn.XLOOKUP(AP[[#This Row],[Supplier name]], Supplier_master[Supplier name], Supplier_master[Category L1], 0)</f>
        <v>0</v>
      </c>
      <c r="I911" s="64">
        <f>_xlfn.XLOOKUP(AP[[#This Row],[Supplier name]], Supplier_master[Supplier name], Supplier_master[Category L2], 0)</f>
        <v>0</v>
      </c>
      <c r="J911" s="55"/>
      <c r="K911" s="54"/>
      <c r="L911" s="57">
        <f>IF(AP[[#This Row],[Spend category L1 - Override]] &lt;&gt; "", AP[[#This Row],[Spend category L1 - Override]], AP[[#This Row],[Spend category L1]])</f>
        <v>0</v>
      </c>
      <c r="M911" s="57">
        <f>IF(AP[[#This Row],[Spend category L2 - Override]] &lt;&gt; "", AP[[#This Row],[Spend category L2 - Override]], AP[[#This Row],[Spend category L2]])</f>
        <v>0</v>
      </c>
      <c r="N911" s="51">
        <f>Assumptions!$D$15</f>
        <v>0.1</v>
      </c>
      <c r="O911" s="45">
        <f>IF(AP[[#This Row],[GST applies?]] = "Yes", (AP[[#This Row],[Invoice value inc. GST]] / 1 + AP[[#This Row],[GST %]]) * AP[[#This Row],[GST %]], 0)</f>
        <v>0</v>
      </c>
      <c r="P911" s="31">
        <f>_xlfn.XLOOKUP(AP[[#This Row],[Supplier name]], Supplier_master[Supplier name], Supplier_master[EOM or Net], 0)</f>
        <v>0</v>
      </c>
      <c r="Q911" s="31">
        <f>_xlfn.XLOOKUP(AP[[#This Row],[Supplier name]], Supplier_master[Supplier name], Supplier_master[Terms days], 0)</f>
        <v>0</v>
      </c>
      <c r="R9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1" s="4"/>
      <c r="T911" s="46">
        <f>IF(AP[[#This Row],[Payment date - override (dd/mm/yyyy)]] &lt;&gt; "", AP[[#This Row],[Payment date - override (dd/mm/yyyy)]], AP[[#This Row],[Due date (dd/mm/yyyy)]])</f>
        <v>0</v>
      </c>
      <c r="U911" s="46">
        <f t="shared" si="14"/>
        <v>52</v>
      </c>
    </row>
    <row r="912" spans="3:21" x14ac:dyDescent="0.25">
      <c r="C912" s="28"/>
      <c r="D912" s="20"/>
      <c r="E912" s="4"/>
      <c r="F912" s="37"/>
      <c r="G912" s="24"/>
      <c r="H912" s="31">
        <f>_xlfn.XLOOKUP(AP[[#This Row],[Supplier name]], Supplier_master[Supplier name], Supplier_master[Category L1], 0)</f>
        <v>0</v>
      </c>
      <c r="I912" s="64">
        <f>_xlfn.XLOOKUP(AP[[#This Row],[Supplier name]], Supplier_master[Supplier name], Supplier_master[Category L2], 0)</f>
        <v>0</v>
      </c>
      <c r="J912" s="55"/>
      <c r="K912" s="54"/>
      <c r="L912" s="57">
        <f>IF(AP[[#This Row],[Spend category L1 - Override]] &lt;&gt; "", AP[[#This Row],[Spend category L1 - Override]], AP[[#This Row],[Spend category L1]])</f>
        <v>0</v>
      </c>
      <c r="M912" s="57">
        <f>IF(AP[[#This Row],[Spend category L2 - Override]] &lt;&gt; "", AP[[#This Row],[Spend category L2 - Override]], AP[[#This Row],[Spend category L2]])</f>
        <v>0</v>
      </c>
      <c r="N912" s="51">
        <f>Assumptions!$D$15</f>
        <v>0.1</v>
      </c>
      <c r="O912" s="45">
        <f>IF(AP[[#This Row],[GST applies?]] = "Yes", (AP[[#This Row],[Invoice value inc. GST]] / 1 + AP[[#This Row],[GST %]]) * AP[[#This Row],[GST %]], 0)</f>
        <v>0</v>
      </c>
      <c r="P912" s="31">
        <f>_xlfn.XLOOKUP(AP[[#This Row],[Supplier name]], Supplier_master[Supplier name], Supplier_master[EOM or Net], 0)</f>
        <v>0</v>
      </c>
      <c r="Q912" s="31">
        <f>_xlfn.XLOOKUP(AP[[#This Row],[Supplier name]], Supplier_master[Supplier name], Supplier_master[Terms days], 0)</f>
        <v>0</v>
      </c>
      <c r="R9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2" s="4"/>
      <c r="T912" s="46">
        <f>IF(AP[[#This Row],[Payment date - override (dd/mm/yyyy)]] &lt;&gt; "", AP[[#This Row],[Payment date - override (dd/mm/yyyy)]], AP[[#This Row],[Due date (dd/mm/yyyy)]])</f>
        <v>0</v>
      </c>
      <c r="U912" s="46">
        <f t="shared" si="14"/>
        <v>52</v>
      </c>
    </row>
    <row r="913" spans="3:21" x14ac:dyDescent="0.25">
      <c r="C913" s="28"/>
      <c r="D913" s="20"/>
      <c r="E913" s="4"/>
      <c r="F913" s="37"/>
      <c r="G913" s="24"/>
      <c r="H913" s="31">
        <f>_xlfn.XLOOKUP(AP[[#This Row],[Supplier name]], Supplier_master[Supplier name], Supplier_master[Category L1], 0)</f>
        <v>0</v>
      </c>
      <c r="I913" s="64">
        <f>_xlfn.XLOOKUP(AP[[#This Row],[Supplier name]], Supplier_master[Supplier name], Supplier_master[Category L2], 0)</f>
        <v>0</v>
      </c>
      <c r="J913" s="55"/>
      <c r="K913" s="54"/>
      <c r="L913" s="57">
        <f>IF(AP[[#This Row],[Spend category L1 - Override]] &lt;&gt; "", AP[[#This Row],[Spend category L1 - Override]], AP[[#This Row],[Spend category L1]])</f>
        <v>0</v>
      </c>
      <c r="M913" s="57">
        <f>IF(AP[[#This Row],[Spend category L2 - Override]] &lt;&gt; "", AP[[#This Row],[Spend category L2 - Override]], AP[[#This Row],[Spend category L2]])</f>
        <v>0</v>
      </c>
      <c r="N913" s="51">
        <f>Assumptions!$D$15</f>
        <v>0.1</v>
      </c>
      <c r="O913" s="45">
        <f>IF(AP[[#This Row],[GST applies?]] = "Yes", (AP[[#This Row],[Invoice value inc. GST]] / 1 + AP[[#This Row],[GST %]]) * AP[[#This Row],[GST %]], 0)</f>
        <v>0</v>
      </c>
      <c r="P913" s="31">
        <f>_xlfn.XLOOKUP(AP[[#This Row],[Supplier name]], Supplier_master[Supplier name], Supplier_master[EOM or Net], 0)</f>
        <v>0</v>
      </c>
      <c r="Q913" s="31">
        <f>_xlfn.XLOOKUP(AP[[#This Row],[Supplier name]], Supplier_master[Supplier name], Supplier_master[Terms days], 0)</f>
        <v>0</v>
      </c>
      <c r="R9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3" s="4"/>
      <c r="T913" s="46">
        <f>IF(AP[[#This Row],[Payment date - override (dd/mm/yyyy)]] &lt;&gt; "", AP[[#This Row],[Payment date - override (dd/mm/yyyy)]], AP[[#This Row],[Due date (dd/mm/yyyy)]])</f>
        <v>0</v>
      </c>
      <c r="U913" s="46">
        <f t="shared" si="14"/>
        <v>52</v>
      </c>
    </row>
    <row r="914" spans="3:21" x14ac:dyDescent="0.25">
      <c r="C914" s="28"/>
      <c r="D914" s="20"/>
      <c r="E914" s="4"/>
      <c r="F914" s="37"/>
      <c r="G914" s="24"/>
      <c r="H914" s="31">
        <f>_xlfn.XLOOKUP(AP[[#This Row],[Supplier name]], Supplier_master[Supplier name], Supplier_master[Category L1], 0)</f>
        <v>0</v>
      </c>
      <c r="I914" s="64">
        <f>_xlfn.XLOOKUP(AP[[#This Row],[Supplier name]], Supplier_master[Supplier name], Supplier_master[Category L2], 0)</f>
        <v>0</v>
      </c>
      <c r="J914" s="55"/>
      <c r="K914" s="54"/>
      <c r="L914" s="57">
        <f>IF(AP[[#This Row],[Spend category L1 - Override]] &lt;&gt; "", AP[[#This Row],[Spend category L1 - Override]], AP[[#This Row],[Spend category L1]])</f>
        <v>0</v>
      </c>
      <c r="M914" s="57">
        <f>IF(AP[[#This Row],[Spend category L2 - Override]] &lt;&gt; "", AP[[#This Row],[Spend category L2 - Override]], AP[[#This Row],[Spend category L2]])</f>
        <v>0</v>
      </c>
      <c r="N914" s="51">
        <f>Assumptions!$D$15</f>
        <v>0.1</v>
      </c>
      <c r="O914" s="45">
        <f>IF(AP[[#This Row],[GST applies?]] = "Yes", (AP[[#This Row],[Invoice value inc. GST]] / 1 + AP[[#This Row],[GST %]]) * AP[[#This Row],[GST %]], 0)</f>
        <v>0</v>
      </c>
      <c r="P914" s="31">
        <f>_xlfn.XLOOKUP(AP[[#This Row],[Supplier name]], Supplier_master[Supplier name], Supplier_master[EOM or Net], 0)</f>
        <v>0</v>
      </c>
      <c r="Q914" s="31">
        <f>_xlfn.XLOOKUP(AP[[#This Row],[Supplier name]], Supplier_master[Supplier name], Supplier_master[Terms days], 0)</f>
        <v>0</v>
      </c>
      <c r="R9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4" s="4"/>
      <c r="T914" s="46">
        <f>IF(AP[[#This Row],[Payment date - override (dd/mm/yyyy)]] &lt;&gt; "", AP[[#This Row],[Payment date - override (dd/mm/yyyy)]], AP[[#This Row],[Due date (dd/mm/yyyy)]])</f>
        <v>0</v>
      </c>
      <c r="U914" s="46">
        <f t="shared" si="14"/>
        <v>52</v>
      </c>
    </row>
    <row r="915" spans="3:21" x14ac:dyDescent="0.25">
      <c r="C915" s="28"/>
      <c r="D915" s="20"/>
      <c r="E915" s="4"/>
      <c r="F915" s="37"/>
      <c r="G915" s="24"/>
      <c r="H915" s="31">
        <f>_xlfn.XLOOKUP(AP[[#This Row],[Supplier name]], Supplier_master[Supplier name], Supplier_master[Category L1], 0)</f>
        <v>0</v>
      </c>
      <c r="I915" s="64">
        <f>_xlfn.XLOOKUP(AP[[#This Row],[Supplier name]], Supplier_master[Supplier name], Supplier_master[Category L2], 0)</f>
        <v>0</v>
      </c>
      <c r="J915" s="55"/>
      <c r="K915" s="54"/>
      <c r="L915" s="57">
        <f>IF(AP[[#This Row],[Spend category L1 - Override]] &lt;&gt; "", AP[[#This Row],[Spend category L1 - Override]], AP[[#This Row],[Spend category L1]])</f>
        <v>0</v>
      </c>
      <c r="M915" s="57">
        <f>IF(AP[[#This Row],[Spend category L2 - Override]] &lt;&gt; "", AP[[#This Row],[Spend category L2 - Override]], AP[[#This Row],[Spend category L2]])</f>
        <v>0</v>
      </c>
      <c r="N915" s="51">
        <f>Assumptions!$D$15</f>
        <v>0.1</v>
      </c>
      <c r="O915" s="45">
        <f>IF(AP[[#This Row],[GST applies?]] = "Yes", (AP[[#This Row],[Invoice value inc. GST]] / 1 + AP[[#This Row],[GST %]]) * AP[[#This Row],[GST %]], 0)</f>
        <v>0</v>
      </c>
      <c r="P915" s="31">
        <f>_xlfn.XLOOKUP(AP[[#This Row],[Supplier name]], Supplier_master[Supplier name], Supplier_master[EOM or Net], 0)</f>
        <v>0</v>
      </c>
      <c r="Q915" s="31">
        <f>_xlfn.XLOOKUP(AP[[#This Row],[Supplier name]], Supplier_master[Supplier name], Supplier_master[Terms days], 0)</f>
        <v>0</v>
      </c>
      <c r="R9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5" s="4"/>
      <c r="T915" s="46">
        <f>IF(AP[[#This Row],[Payment date - override (dd/mm/yyyy)]] &lt;&gt; "", AP[[#This Row],[Payment date - override (dd/mm/yyyy)]], AP[[#This Row],[Due date (dd/mm/yyyy)]])</f>
        <v>0</v>
      </c>
      <c r="U915" s="46">
        <f t="shared" si="14"/>
        <v>52</v>
      </c>
    </row>
    <row r="916" spans="3:21" x14ac:dyDescent="0.25">
      <c r="C916" s="28"/>
      <c r="D916" s="20"/>
      <c r="E916" s="4"/>
      <c r="F916" s="37"/>
      <c r="G916" s="24"/>
      <c r="H916" s="31">
        <f>_xlfn.XLOOKUP(AP[[#This Row],[Supplier name]], Supplier_master[Supplier name], Supplier_master[Category L1], 0)</f>
        <v>0</v>
      </c>
      <c r="I916" s="64">
        <f>_xlfn.XLOOKUP(AP[[#This Row],[Supplier name]], Supplier_master[Supplier name], Supplier_master[Category L2], 0)</f>
        <v>0</v>
      </c>
      <c r="J916" s="55"/>
      <c r="K916" s="54"/>
      <c r="L916" s="57">
        <f>IF(AP[[#This Row],[Spend category L1 - Override]] &lt;&gt; "", AP[[#This Row],[Spend category L1 - Override]], AP[[#This Row],[Spend category L1]])</f>
        <v>0</v>
      </c>
      <c r="M916" s="57">
        <f>IF(AP[[#This Row],[Spend category L2 - Override]] &lt;&gt; "", AP[[#This Row],[Spend category L2 - Override]], AP[[#This Row],[Spend category L2]])</f>
        <v>0</v>
      </c>
      <c r="N916" s="51">
        <f>Assumptions!$D$15</f>
        <v>0.1</v>
      </c>
      <c r="O916" s="45">
        <f>IF(AP[[#This Row],[GST applies?]] = "Yes", (AP[[#This Row],[Invoice value inc. GST]] / 1 + AP[[#This Row],[GST %]]) * AP[[#This Row],[GST %]], 0)</f>
        <v>0</v>
      </c>
      <c r="P916" s="31">
        <f>_xlfn.XLOOKUP(AP[[#This Row],[Supplier name]], Supplier_master[Supplier name], Supplier_master[EOM or Net], 0)</f>
        <v>0</v>
      </c>
      <c r="Q916" s="31">
        <f>_xlfn.XLOOKUP(AP[[#This Row],[Supplier name]], Supplier_master[Supplier name], Supplier_master[Terms days], 0)</f>
        <v>0</v>
      </c>
      <c r="R9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6" s="4"/>
      <c r="T916" s="46">
        <f>IF(AP[[#This Row],[Payment date - override (dd/mm/yyyy)]] &lt;&gt; "", AP[[#This Row],[Payment date - override (dd/mm/yyyy)]], AP[[#This Row],[Due date (dd/mm/yyyy)]])</f>
        <v>0</v>
      </c>
      <c r="U916" s="46">
        <f t="shared" si="14"/>
        <v>52</v>
      </c>
    </row>
    <row r="917" spans="3:21" x14ac:dyDescent="0.25">
      <c r="C917" s="28"/>
      <c r="D917" s="20"/>
      <c r="E917" s="4"/>
      <c r="F917" s="37"/>
      <c r="G917" s="24"/>
      <c r="H917" s="31">
        <f>_xlfn.XLOOKUP(AP[[#This Row],[Supplier name]], Supplier_master[Supplier name], Supplier_master[Category L1], 0)</f>
        <v>0</v>
      </c>
      <c r="I917" s="64">
        <f>_xlfn.XLOOKUP(AP[[#This Row],[Supplier name]], Supplier_master[Supplier name], Supplier_master[Category L2], 0)</f>
        <v>0</v>
      </c>
      <c r="J917" s="55"/>
      <c r="K917" s="54"/>
      <c r="L917" s="57">
        <f>IF(AP[[#This Row],[Spend category L1 - Override]] &lt;&gt; "", AP[[#This Row],[Spend category L1 - Override]], AP[[#This Row],[Spend category L1]])</f>
        <v>0</v>
      </c>
      <c r="M917" s="57">
        <f>IF(AP[[#This Row],[Spend category L2 - Override]] &lt;&gt; "", AP[[#This Row],[Spend category L2 - Override]], AP[[#This Row],[Spend category L2]])</f>
        <v>0</v>
      </c>
      <c r="N917" s="51">
        <f>Assumptions!$D$15</f>
        <v>0.1</v>
      </c>
      <c r="O917" s="45">
        <f>IF(AP[[#This Row],[GST applies?]] = "Yes", (AP[[#This Row],[Invoice value inc. GST]] / 1 + AP[[#This Row],[GST %]]) * AP[[#This Row],[GST %]], 0)</f>
        <v>0</v>
      </c>
      <c r="P917" s="31">
        <f>_xlfn.XLOOKUP(AP[[#This Row],[Supplier name]], Supplier_master[Supplier name], Supplier_master[EOM or Net], 0)</f>
        <v>0</v>
      </c>
      <c r="Q917" s="31">
        <f>_xlfn.XLOOKUP(AP[[#This Row],[Supplier name]], Supplier_master[Supplier name], Supplier_master[Terms days], 0)</f>
        <v>0</v>
      </c>
      <c r="R9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7" s="4"/>
      <c r="T917" s="46">
        <f>IF(AP[[#This Row],[Payment date - override (dd/mm/yyyy)]] &lt;&gt; "", AP[[#This Row],[Payment date - override (dd/mm/yyyy)]], AP[[#This Row],[Due date (dd/mm/yyyy)]])</f>
        <v>0</v>
      </c>
      <c r="U917" s="46">
        <f t="shared" si="14"/>
        <v>52</v>
      </c>
    </row>
    <row r="918" spans="3:21" x14ac:dyDescent="0.25">
      <c r="C918" s="28"/>
      <c r="D918" s="20"/>
      <c r="E918" s="4"/>
      <c r="F918" s="37"/>
      <c r="G918" s="24"/>
      <c r="H918" s="31">
        <f>_xlfn.XLOOKUP(AP[[#This Row],[Supplier name]], Supplier_master[Supplier name], Supplier_master[Category L1], 0)</f>
        <v>0</v>
      </c>
      <c r="I918" s="64">
        <f>_xlfn.XLOOKUP(AP[[#This Row],[Supplier name]], Supplier_master[Supplier name], Supplier_master[Category L2], 0)</f>
        <v>0</v>
      </c>
      <c r="J918" s="55"/>
      <c r="K918" s="54"/>
      <c r="L918" s="57">
        <f>IF(AP[[#This Row],[Spend category L1 - Override]] &lt;&gt; "", AP[[#This Row],[Spend category L1 - Override]], AP[[#This Row],[Spend category L1]])</f>
        <v>0</v>
      </c>
      <c r="M918" s="57">
        <f>IF(AP[[#This Row],[Spend category L2 - Override]] &lt;&gt; "", AP[[#This Row],[Spend category L2 - Override]], AP[[#This Row],[Spend category L2]])</f>
        <v>0</v>
      </c>
      <c r="N918" s="51">
        <f>Assumptions!$D$15</f>
        <v>0.1</v>
      </c>
      <c r="O918" s="45">
        <f>IF(AP[[#This Row],[GST applies?]] = "Yes", (AP[[#This Row],[Invoice value inc. GST]] / 1 + AP[[#This Row],[GST %]]) * AP[[#This Row],[GST %]], 0)</f>
        <v>0</v>
      </c>
      <c r="P918" s="31">
        <f>_xlfn.XLOOKUP(AP[[#This Row],[Supplier name]], Supplier_master[Supplier name], Supplier_master[EOM or Net], 0)</f>
        <v>0</v>
      </c>
      <c r="Q918" s="31">
        <f>_xlfn.XLOOKUP(AP[[#This Row],[Supplier name]], Supplier_master[Supplier name], Supplier_master[Terms days], 0)</f>
        <v>0</v>
      </c>
      <c r="R9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8" s="4"/>
      <c r="T918" s="46">
        <f>IF(AP[[#This Row],[Payment date - override (dd/mm/yyyy)]] &lt;&gt; "", AP[[#This Row],[Payment date - override (dd/mm/yyyy)]], AP[[#This Row],[Due date (dd/mm/yyyy)]])</f>
        <v>0</v>
      </c>
      <c r="U918" s="46">
        <f t="shared" si="14"/>
        <v>52</v>
      </c>
    </row>
    <row r="919" spans="3:21" x14ac:dyDescent="0.25">
      <c r="C919" s="28"/>
      <c r="D919" s="20"/>
      <c r="E919" s="4"/>
      <c r="F919" s="37"/>
      <c r="G919" s="24"/>
      <c r="H919" s="31">
        <f>_xlfn.XLOOKUP(AP[[#This Row],[Supplier name]], Supplier_master[Supplier name], Supplier_master[Category L1], 0)</f>
        <v>0</v>
      </c>
      <c r="I919" s="64">
        <f>_xlfn.XLOOKUP(AP[[#This Row],[Supplier name]], Supplier_master[Supplier name], Supplier_master[Category L2], 0)</f>
        <v>0</v>
      </c>
      <c r="J919" s="55"/>
      <c r="K919" s="54"/>
      <c r="L919" s="57">
        <f>IF(AP[[#This Row],[Spend category L1 - Override]] &lt;&gt; "", AP[[#This Row],[Spend category L1 - Override]], AP[[#This Row],[Spend category L1]])</f>
        <v>0</v>
      </c>
      <c r="M919" s="57">
        <f>IF(AP[[#This Row],[Spend category L2 - Override]] &lt;&gt; "", AP[[#This Row],[Spend category L2 - Override]], AP[[#This Row],[Spend category L2]])</f>
        <v>0</v>
      </c>
      <c r="N919" s="51">
        <f>Assumptions!$D$15</f>
        <v>0.1</v>
      </c>
      <c r="O919" s="45">
        <f>IF(AP[[#This Row],[GST applies?]] = "Yes", (AP[[#This Row],[Invoice value inc. GST]] / 1 + AP[[#This Row],[GST %]]) * AP[[#This Row],[GST %]], 0)</f>
        <v>0</v>
      </c>
      <c r="P919" s="31">
        <f>_xlfn.XLOOKUP(AP[[#This Row],[Supplier name]], Supplier_master[Supplier name], Supplier_master[EOM or Net], 0)</f>
        <v>0</v>
      </c>
      <c r="Q919" s="31">
        <f>_xlfn.XLOOKUP(AP[[#This Row],[Supplier name]], Supplier_master[Supplier name], Supplier_master[Terms days], 0)</f>
        <v>0</v>
      </c>
      <c r="R9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9" s="4"/>
      <c r="T919" s="46">
        <f>IF(AP[[#This Row],[Payment date - override (dd/mm/yyyy)]] &lt;&gt; "", AP[[#This Row],[Payment date - override (dd/mm/yyyy)]], AP[[#This Row],[Due date (dd/mm/yyyy)]])</f>
        <v>0</v>
      </c>
      <c r="U919" s="46">
        <f t="shared" si="14"/>
        <v>52</v>
      </c>
    </row>
    <row r="920" spans="3:21" x14ac:dyDescent="0.25">
      <c r="C920" s="28"/>
      <c r="D920" s="20"/>
      <c r="E920" s="4"/>
      <c r="F920" s="37"/>
      <c r="G920" s="24"/>
      <c r="H920" s="31">
        <f>_xlfn.XLOOKUP(AP[[#This Row],[Supplier name]], Supplier_master[Supplier name], Supplier_master[Category L1], 0)</f>
        <v>0</v>
      </c>
      <c r="I920" s="64">
        <f>_xlfn.XLOOKUP(AP[[#This Row],[Supplier name]], Supplier_master[Supplier name], Supplier_master[Category L2], 0)</f>
        <v>0</v>
      </c>
      <c r="J920" s="55"/>
      <c r="K920" s="54"/>
      <c r="L920" s="57">
        <f>IF(AP[[#This Row],[Spend category L1 - Override]] &lt;&gt; "", AP[[#This Row],[Spend category L1 - Override]], AP[[#This Row],[Spend category L1]])</f>
        <v>0</v>
      </c>
      <c r="M920" s="57">
        <f>IF(AP[[#This Row],[Spend category L2 - Override]] &lt;&gt; "", AP[[#This Row],[Spend category L2 - Override]], AP[[#This Row],[Spend category L2]])</f>
        <v>0</v>
      </c>
      <c r="N920" s="51">
        <f>Assumptions!$D$15</f>
        <v>0.1</v>
      </c>
      <c r="O920" s="45">
        <f>IF(AP[[#This Row],[GST applies?]] = "Yes", (AP[[#This Row],[Invoice value inc. GST]] / 1 + AP[[#This Row],[GST %]]) * AP[[#This Row],[GST %]], 0)</f>
        <v>0</v>
      </c>
      <c r="P920" s="31">
        <f>_xlfn.XLOOKUP(AP[[#This Row],[Supplier name]], Supplier_master[Supplier name], Supplier_master[EOM or Net], 0)</f>
        <v>0</v>
      </c>
      <c r="Q920" s="31">
        <f>_xlfn.XLOOKUP(AP[[#This Row],[Supplier name]], Supplier_master[Supplier name], Supplier_master[Terms days], 0)</f>
        <v>0</v>
      </c>
      <c r="R9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0" s="4"/>
      <c r="T920" s="46">
        <f>IF(AP[[#This Row],[Payment date - override (dd/mm/yyyy)]] &lt;&gt; "", AP[[#This Row],[Payment date - override (dd/mm/yyyy)]], AP[[#This Row],[Due date (dd/mm/yyyy)]])</f>
        <v>0</v>
      </c>
      <c r="U920" s="46">
        <f t="shared" si="14"/>
        <v>52</v>
      </c>
    </row>
    <row r="921" spans="3:21" x14ac:dyDescent="0.25">
      <c r="C921" s="28"/>
      <c r="D921" s="20"/>
      <c r="E921" s="4"/>
      <c r="F921" s="37"/>
      <c r="G921" s="24"/>
      <c r="H921" s="31">
        <f>_xlfn.XLOOKUP(AP[[#This Row],[Supplier name]], Supplier_master[Supplier name], Supplier_master[Category L1], 0)</f>
        <v>0</v>
      </c>
      <c r="I921" s="64">
        <f>_xlfn.XLOOKUP(AP[[#This Row],[Supplier name]], Supplier_master[Supplier name], Supplier_master[Category L2], 0)</f>
        <v>0</v>
      </c>
      <c r="J921" s="55"/>
      <c r="K921" s="54"/>
      <c r="L921" s="57">
        <f>IF(AP[[#This Row],[Spend category L1 - Override]] &lt;&gt; "", AP[[#This Row],[Spend category L1 - Override]], AP[[#This Row],[Spend category L1]])</f>
        <v>0</v>
      </c>
      <c r="M921" s="57">
        <f>IF(AP[[#This Row],[Spend category L2 - Override]] &lt;&gt; "", AP[[#This Row],[Spend category L2 - Override]], AP[[#This Row],[Spend category L2]])</f>
        <v>0</v>
      </c>
      <c r="N921" s="51">
        <f>Assumptions!$D$15</f>
        <v>0.1</v>
      </c>
      <c r="O921" s="45">
        <f>IF(AP[[#This Row],[GST applies?]] = "Yes", (AP[[#This Row],[Invoice value inc. GST]] / 1 + AP[[#This Row],[GST %]]) * AP[[#This Row],[GST %]], 0)</f>
        <v>0</v>
      </c>
      <c r="P921" s="31">
        <f>_xlfn.XLOOKUP(AP[[#This Row],[Supplier name]], Supplier_master[Supplier name], Supplier_master[EOM or Net], 0)</f>
        <v>0</v>
      </c>
      <c r="Q921" s="31">
        <f>_xlfn.XLOOKUP(AP[[#This Row],[Supplier name]], Supplier_master[Supplier name], Supplier_master[Terms days], 0)</f>
        <v>0</v>
      </c>
      <c r="R9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1" s="4"/>
      <c r="T921" s="46">
        <f>IF(AP[[#This Row],[Payment date - override (dd/mm/yyyy)]] &lt;&gt; "", AP[[#This Row],[Payment date - override (dd/mm/yyyy)]], AP[[#This Row],[Due date (dd/mm/yyyy)]])</f>
        <v>0</v>
      </c>
      <c r="U921" s="46">
        <f t="shared" si="14"/>
        <v>52</v>
      </c>
    </row>
    <row r="922" spans="3:21" x14ac:dyDescent="0.25">
      <c r="C922" s="28"/>
      <c r="D922" s="20"/>
      <c r="E922" s="4"/>
      <c r="F922" s="37"/>
      <c r="G922" s="24"/>
      <c r="H922" s="31">
        <f>_xlfn.XLOOKUP(AP[[#This Row],[Supplier name]], Supplier_master[Supplier name], Supplier_master[Category L1], 0)</f>
        <v>0</v>
      </c>
      <c r="I922" s="64">
        <f>_xlfn.XLOOKUP(AP[[#This Row],[Supplier name]], Supplier_master[Supplier name], Supplier_master[Category L2], 0)</f>
        <v>0</v>
      </c>
      <c r="J922" s="55"/>
      <c r="K922" s="54"/>
      <c r="L922" s="57">
        <f>IF(AP[[#This Row],[Spend category L1 - Override]] &lt;&gt; "", AP[[#This Row],[Spend category L1 - Override]], AP[[#This Row],[Spend category L1]])</f>
        <v>0</v>
      </c>
      <c r="M922" s="57">
        <f>IF(AP[[#This Row],[Spend category L2 - Override]] &lt;&gt; "", AP[[#This Row],[Spend category L2 - Override]], AP[[#This Row],[Spend category L2]])</f>
        <v>0</v>
      </c>
      <c r="N922" s="51">
        <f>Assumptions!$D$15</f>
        <v>0.1</v>
      </c>
      <c r="O922" s="45">
        <f>IF(AP[[#This Row],[GST applies?]] = "Yes", (AP[[#This Row],[Invoice value inc. GST]] / 1 + AP[[#This Row],[GST %]]) * AP[[#This Row],[GST %]], 0)</f>
        <v>0</v>
      </c>
      <c r="P922" s="31">
        <f>_xlfn.XLOOKUP(AP[[#This Row],[Supplier name]], Supplier_master[Supplier name], Supplier_master[EOM or Net], 0)</f>
        <v>0</v>
      </c>
      <c r="Q922" s="31">
        <f>_xlfn.XLOOKUP(AP[[#This Row],[Supplier name]], Supplier_master[Supplier name], Supplier_master[Terms days], 0)</f>
        <v>0</v>
      </c>
      <c r="R9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2" s="4"/>
      <c r="T922" s="46">
        <f>IF(AP[[#This Row],[Payment date - override (dd/mm/yyyy)]] &lt;&gt; "", AP[[#This Row],[Payment date - override (dd/mm/yyyy)]], AP[[#This Row],[Due date (dd/mm/yyyy)]])</f>
        <v>0</v>
      </c>
      <c r="U922" s="46">
        <f t="shared" si="14"/>
        <v>52</v>
      </c>
    </row>
    <row r="923" spans="3:21" x14ac:dyDescent="0.25">
      <c r="C923" s="28"/>
      <c r="D923" s="20"/>
      <c r="E923" s="4"/>
      <c r="F923" s="37"/>
      <c r="G923" s="24"/>
      <c r="H923" s="31">
        <f>_xlfn.XLOOKUP(AP[[#This Row],[Supplier name]], Supplier_master[Supplier name], Supplier_master[Category L1], 0)</f>
        <v>0</v>
      </c>
      <c r="I923" s="64">
        <f>_xlfn.XLOOKUP(AP[[#This Row],[Supplier name]], Supplier_master[Supplier name], Supplier_master[Category L2], 0)</f>
        <v>0</v>
      </c>
      <c r="J923" s="55"/>
      <c r="K923" s="54"/>
      <c r="L923" s="57">
        <f>IF(AP[[#This Row],[Spend category L1 - Override]] &lt;&gt; "", AP[[#This Row],[Spend category L1 - Override]], AP[[#This Row],[Spend category L1]])</f>
        <v>0</v>
      </c>
      <c r="M923" s="57">
        <f>IF(AP[[#This Row],[Spend category L2 - Override]] &lt;&gt; "", AP[[#This Row],[Spend category L2 - Override]], AP[[#This Row],[Spend category L2]])</f>
        <v>0</v>
      </c>
      <c r="N923" s="51">
        <f>Assumptions!$D$15</f>
        <v>0.1</v>
      </c>
      <c r="O923" s="45">
        <f>IF(AP[[#This Row],[GST applies?]] = "Yes", (AP[[#This Row],[Invoice value inc. GST]] / 1 + AP[[#This Row],[GST %]]) * AP[[#This Row],[GST %]], 0)</f>
        <v>0</v>
      </c>
      <c r="P923" s="31">
        <f>_xlfn.XLOOKUP(AP[[#This Row],[Supplier name]], Supplier_master[Supplier name], Supplier_master[EOM or Net], 0)</f>
        <v>0</v>
      </c>
      <c r="Q923" s="31">
        <f>_xlfn.XLOOKUP(AP[[#This Row],[Supplier name]], Supplier_master[Supplier name], Supplier_master[Terms days], 0)</f>
        <v>0</v>
      </c>
      <c r="R9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3" s="4"/>
      <c r="T923" s="46">
        <f>IF(AP[[#This Row],[Payment date - override (dd/mm/yyyy)]] &lt;&gt; "", AP[[#This Row],[Payment date - override (dd/mm/yyyy)]], AP[[#This Row],[Due date (dd/mm/yyyy)]])</f>
        <v>0</v>
      </c>
      <c r="U923" s="46">
        <f t="shared" si="14"/>
        <v>52</v>
      </c>
    </row>
    <row r="924" spans="3:21" x14ac:dyDescent="0.25">
      <c r="C924" s="28"/>
      <c r="D924" s="20"/>
      <c r="E924" s="4"/>
      <c r="F924" s="37"/>
      <c r="G924" s="24"/>
      <c r="H924" s="31">
        <f>_xlfn.XLOOKUP(AP[[#This Row],[Supplier name]], Supplier_master[Supplier name], Supplier_master[Category L1], 0)</f>
        <v>0</v>
      </c>
      <c r="I924" s="64">
        <f>_xlfn.XLOOKUP(AP[[#This Row],[Supplier name]], Supplier_master[Supplier name], Supplier_master[Category L2], 0)</f>
        <v>0</v>
      </c>
      <c r="J924" s="55"/>
      <c r="K924" s="54"/>
      <c r="L924" s="57">
        <f>IF(AP[[#This Row],[Spend category L1 - Override]] &lt;&gt; "", AP[[#This Row],[Spend category L1 - Override]], AP[[#This Row],[Spend category L1]])</f>
        <v>0</v>
      </c>
      <c r="M924" s="57">
        <f>IF(AP[[#This Row],[Spend category L2 - Override]] &lt;&gt; "", AP[[#This Row],[Spend category L2 - Override]], AP[[#This Row],[Spend category L2]])</f>
        <v>0</v>
      </c>
      <c r="N924" s="51">
        <f>Assumptions!$D$15</f>
        <v>0.1</v>
      </c>
      <c r="O924" s="45">
        <f>IF(AP[[#This Row],[GST applies?]] = "Yes", (AP[[#This Row],[Invoice value inc. GST]] / 1 + AP[[#This Row],[GST %]]) * AP[[#This Row],[GST %]], 0)</f>
        <v>0</v>
      </c>
      <c r="P924" s="31">
        <f>_xlfn.XLOOKUP(AP[[#This Row],[Supplier name]], Supplier_master[Supplier name], Supplier_master[EOM or Net], 0)</f>
        <v>0</v>
      </c>
      <c r="Q924" s="31">
        <f>_xlfn.XLOOKUP(AP[[#This Row],[Supplier name]], Supplier_master[Supplier name], Supplier_master[Terms days], 0)</f>
        <v>0</v>
      </c>
      <c r="R9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4" s="4"/>
      <c r="T924" s="46">
        <f>IF(AP[[#This Row],[Payment date - override (dd/mm/yyyy)]] &lt;&gt; "", AP[[#This Row],[Payment date - override (dd/mm/yyyy)]], AP[[#This Row],[Due date (dd/mm/yyyy)]])</f>
        <v>0</v>
      </c>
      <c r="U924" s="46">
        <f t="shared" si="14"/>
        <v>52</v>
      </c>
    </row>
    <row r="925" spans="3:21" x14ac:dyDescent="0.25">
      <c r="C925" s="28"/>
      <c r="D925" s="20"/>
      <c r="E925" s="4"/>
      <c r="F925" s="37"/>
      <c r="G925" s="24"/>
      <c r="H925" s="31">
        <f>_xlfn.XLOOKUP(AP[[#This Row],[Supplier name]], Supplier_master[Supplier name], Supplier_master[Category L1], 0)</f>
        <v>0</v>
      </c>
      <c r="I925" s="64">
        <f>_xlfn.XLOOKUP(AP[[#This Row],[Supplier name]], Supplier_master[Supplier name], Supplier_master[Category L2], 0)</f>
        <v>0</v>
      </c>
      <c r="J925" s="55"/>
      <c r="K925" s="54"/>
      <c r="L925" s="57">
        <f>IF(AP[[#This Row],[Spend category L1 - Override]] &lt;&gt; "", AP[[#This Row],[Spend category L1 - Override]], AP[[#This Row],[Spend category L1]])</f>
        <v>0</v>
      </c>
      <c r="M925" s="57">
        <f>IF(AP[[#This Row],[Spend category L2 - Override]] &lt;&gt; "", AP[[#This Row],[Spend category L2 - Override]], AP[[#This Row],[Spend category L2]])</f>
        <v>0</v>
      </c>
      <c r="N925" s="51">
        <f>Assumptions!$D$15</f>
        <v>0.1</v>
      </c>
      <c r="O925" s="45">
        <f>IF(AP[[#This Row],[GST applies?]] = "Yes", (AP[[#This Row],[Invoice value inc. GST]] / 1 + AP[[#This Row],[GST %]]) * AP[[#This Row],[GST %]], 0)</f>
        <v>0</v>
      </c>
      <c r="P925" s="31">
        <f>_xlfn.XLOOKUP(AP[[#This Row],[Supplier name]], Supplier_master[Supplier name], Supplier_master[EOM or Net], 0)</f>
        <v>0</v>
      </c>
      <c r="Q925" s="31">
        <f>_xlfn.XLOOKUP(AP[[#This Row],[Supplier name]], Supplier_master[Supplier name], Supplier_master[Terms days], 0)</f>
        <v>0</v>
      </c>
      <c r="R9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5" s="4"/>
      <c r="T925" s="46">
        <f>IF(AP[[#This Row],[Payment date - override (dd/mm/yyyy)]] &lt;&gt; "", AP[[#This Row],[Payment date - override (dd/mm/yyyy)]], AP[[#This Row],[Due date (dd/mm/yyyy)]])</f>
        <v>0</v>
      </c>
      <c r="U925" s="46">
        <f t="shared" si="14"/>
        <v>52</v>
      </c>
    </row>
    <row r="926" spans="3:21" x14ac:dyDescent="0.25">
      <c r="C926" s="28"/>
      <c r="D926" s="20"/>
      <c r="E926" s="4"/>
      <c r="F926" s="37"/>
      <c r="G926" s="24"/>
      <c r="H926" s="31">
        <f>_xlfn.XLOOKUP(AP[[#This Row],[Supplier name]], Supplier_master[Supplier name], Supplier_master[Category L1], 0)</f>
        <v>0</v>
      </c>
      <c r="I926" s="64">
        <f>_xlfn.XLOOKUP(AP[[#This Row],[Supplier name]], Supplier_master[Supplier name], Supplier_master[Category L2], 0)</f>
        <v>0</v>
      </c>
      <c r="J926" s="55"/>
      <c r="K926" s="54"/>
      <c r="L926" s="57">
        <f>IF(AP[[#This Row],[Spend category L1 - Override]] &lt;&gt; "", AP[[#This Row],[Spend category L1 - Override]], AP[[#This Row],[Spend category L1]])</f>
        <v>0</v>
      </c>
      <c r="M926" s="57">
        <f>IF(AP[[#This Row],[Spend category L2 - Override]] &lt;&gt; "", AP[[#This Row],[Spend category L2 - Override]], AP[[#This Row],[Spend category L2]])</f>
        <v>0</v>
      </c>
      <c r="N926" s="51">
        <f>Assumptions!$D$15</f>
        <v>0.1</v>
      </c>
      <c r="O926" s="45">
        <f>IF(AP[[#This Row],[GST applies?]] = "Yes", (AP[[#This Row],[Invoice value inc. GST]] / 1 + AP[[#This Row],[GST %]]) * AP[[#This Row],[GST %]], 0)</f>
        <v>0</v>
      </c>
      <c r="P926" s="31">
        <f>_xlfn.XLOOKUP(AP[[#This Row],[Supplier name]], Supplier_master[Supplier name], Supplier_master[EOM or Net], 0)</f>
        <v>0</v>
      </c>
      <c r="Q926" s="31">
        <f>_xlfn.XLOOKUP(AP[[#This Row],[Supplier name]], Supplier_master[Supplier name], Supplier_master[Terms days], 0)</f>
        <v>0</v>
      </c>
      <c r="R9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6" s="4"/>
      <c r="T926" s="46">
        <f>IF(AP[[#This Row],[Payment date - override (dd/mm/yyyy)]] &lt;&gt; "", AP[[#This Row],[Payment date - override (dd/mm/yyyy)]], AP[[#This Row],[Due date (dd/mm/yyyy)]])</f>
        <v>0</v>
      </c>
      <c r="U926" s="46">
        <f t="shared" si="14"/>
        <v>52</v>
      </c>
    </row>
    <row r="927" spans="3:21" x14ac:dyDescent="0.25">
      <c r="C927" s="28"/>
      <c r="D927" s="20"/>
      <c r="E927" s="4"/>
      <c r="F927" s="37"/>
      <c r="G927" s="24"/>
      <c r="H927" s="31">
        <f>_xlfn.XLOOKUP(AP[[#This Row],[Supplier name]], Supplier_master[Supplier name], Supplier_master[Category L1], 0)</f>
        <v>0</v>
      </c>
      <c r="I927" s="64">
        <f>_xlfn.XLOOKUP(AP[[#This Row],[Supplier name]], Supplier_master[Supplier name], Supplier_master[Category L2], 0)</f>
        <v>0</v>
      </c>
      <c r="J927" s="55"/>
      <c r="K927" s="54"/>
      <c r="L927" s="57">
        <f>IF(AP[[#This Row],[Spend category L1 - Override]] &lt;&gt; "", AP[[#This Row],[Spend category L1 - Override]], AP[[#This Row],[Spend category L1]])</f>
        <v>0</v>
      </c>
      <c r="M927" s="57">
        <f>IF(AP[[#This Row],[Spend category L2 - Override]] &lt;&gt; "", AP[[#This Row],[Spend category L2 - Override]], AP[[#This Row],[Spend category L2]])</f>
        <v>0</v>
      </c>
      <c r="N927" s="51">
        <f>Assumptions!$D$15</f>
        <v>0.1</v>
      </c>
      <c r="O927" s="45">
        <f>IF(AP[[#This Row],[GST applies?]] = "Yes", (AP[[#This Row],[Invoice value inc. GST]] / 1 + AP[[#This Row],[GST %]]) * AP[[#This Row],[GST %]], 0)</f>
        <v>0</v>
      </c>
      <c r="P927" s="31">
        <f>_xlfn.XLOOKUP(AP[[#This Row],[Supplier name]], Supplier_master[Supplier name], Supplier_master[EOM or Net], 0)</f>
        <v>0</v>
      </c>
      <c r="Q927" s="31">
        <f>_xlfn.XLOOKUP(AP[[#This Row],[Supplier name]], Supplier_master[Supplier name], Supplier_master[Terms days], 0)</f>
        <v>0</v>
      </c>
      <c r="R9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7" s="4"/>
      <c r="T927" s="46">
        <f>IF(AP[[#This Row],[Payment date - override (dd/mm/yyyy)]] &lt;&gt; "", AP[[#This Row],[Payment date - override (dd/mm/yyyy)]], AP[[#This Row],[Due date (dd/mm/yyyy)]])</f>
        <v>0</v>
      </c>
      <c r="U927" s="46">
        <f t="shared" si="14"/>
        <v>52</v>
      </c>
    </row>
    <row r="928" spans="3:21" x14ac:dyDescent="0.25">
      <c r="C928" s="28"/>
      <c r="D928" s="20"/>
      <c r="E928" s="4"/>
      <c r="F928" s="37"/>
      <c r="G928" s="24"/>
      <c r="H928" s="31">
        <f>_xlfn.XLOOKUP(AP[[#This Row],[Supplier name]], Supplier_master[Supplier name], Supplier_master[Category L1], 0)</f>
        <v>0</v>
      </c>
      <c r="I928" s="64">
        <f>_xlfn.XLOOKUP(AP[[#This Row],[Supplier name]], Supplier_master[Supplier name], Supplier_master[Category L2], 0)</f>
        <v>0</v>
      </c>
      <c r="J928" s="55"/>
      <c r="K928" s="54"/>
      <c r="L928" s="57">
        <f>IF(AP[[#This Row],[Spend category L1 - Override]] &lt;&gt; "", AP[[#This Row],[Spend category L1 - Override]], AP[[#This Row],[Spend category L1]])</f>
        <v>0</v>
      </c>
      <c r="M928" s="57">
        <f>IF(AP[[#This Row],[Spend category L2 - Override]] &lt;&gt; "", AP[[#This Row],[Spend category L2 - Override]], AP[[#This Row],[Spend category L2]])</f>
        <v>0</v>
      </c>
      <c r="N928" s="51">
        <f>Assumptions!$D$15</f>
        <v>0.1</v>
      </c>
      <c r="O928" s="45">
        <f>IF(AP[[#This Row],[GST applies?]] = "Yes", (AP[[#This Row],[Invoice value inc. GST]] / 1 + AP[[#This Row],[GST %]]) * AP[[#This Row],[GST %]], 0)</f>
        <v>0</v>
      </c>
      <c r="P928" s="31">
        <f>_xlfn.XLOOKUP(AP[[#This Row],[Supplier name]], Supplier_master[Supplier name], Supplier_master[EOM or Net], 0)</f>
        <v>0</v>
      </c>
      <c r="Q928" s="31">
        <f>_xlfn.XLOOKUP(AP[[#This Row],[Supplier name]], Supplier_master[Supplier name], Supplier_master[Terms days], 0)</f>
        <v>0</v>
      </c>
      <c r="R9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8" s="4"/>
      <c r="T928" s="46">
        <f>IF(AP[[#This Row],[Payment date - override (dd/mm/yyyy)]] &lt;&gt; "", AP[[#This Row],[Payment date - override (dd/mm/yyyy)]], AP[[#This Row],[Due date (dd/mm/yyyy)]])</f>
        <v>0</v>
      </c>
      <c r="U928" s="46">
        <f t="shared" si="14"/>
        <v>52</v>
      </c>
    </row>
    <row r="929" spans="3:21" x14ac:dyDescent="0.25">
      <c r="C929" s="28"/>
      <c r="D929" s="20"/>
      <c r="E929" s="4"/>
      <c r="F929" s="37"/>
      <c r="G929" s="24"/>
      <c r="H929" s="31">
        <f>_xlfn.XLOOKUP(AP[[#This Row],[Supplier name]], Supplier_master[Supplier name], Supplier_master[Category L1], 0)</f>
        <v>0</v>
      </c>
      <c r="I929" s="64">
        <f>_xlfn.XLOOKUP(AP[[#This Row],[Supplier name]], Supplier_master[Supplier name], Supplier_master[Category L2], 0)</f>
        <v>0</v>
      </c>
      <c r="J929" s="55"/>
      <c r="K929" s="54"/>
      <c r="L929" s="57">
        <f>IF(AP[[#This Row],[Spend category L1 - Override]] &lt;&gt; "", AP[[#This Row],[Spend category L1 - Override]], AP[[#This Row],[Spend category L1]])</f>
        <v>0</v>
      </c>
      <c r="M929" s="57">
        <f>IF(AP[[#This Row],[Spend category L2 - Override]] &lt;&gt; "", AP[[#This Row],[Spend category L2 - Override]], AP[[#This Row],[Spend category L2]])</f>
        <v>0</v>
      </c>
      <c r="N929" s="51">
        <f>Assumptions!$D$15</f>
        <v>0.1</v>
      </c>
      <c r="O929" s="45">
        <f>IF(AP[[#This Row],[GST applies?]] = "Yes", (AP[[#This Row],[Invoice value inc. GST]] / 1 + AP[[#This Row],[GST %]]) * AP[[#This Row],[GST %]], 0)</f>
        <v>0</v>
      </c>
      <c r="P929" s="31">
        <f>_xlfn.XLOOKUP(AP[[#This Row],[Supplier name]], Supplier_master[Supplier name], Supplier_master[EOM or Net], 0)</f>
        <v>0</v>
      </c>
      <c r="Q929" s="31">
        <f>_xlfn.XLOOKUP(AP[[#This Row],[Supplier name]], Supplier_master[Supplier name], Supplier_master[Terms days], 0)</f>
        <v>0</v>
      </c>
      <c r="R9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9" s="4"/>
      <c r="T929" s="46">
        <f>IF(AP[[#This Row],[Payment date - override (dd/mm/yyyy)]] &lt;&gt; "", AP[[#This Row],[Payment date - override (dd/mm/yyyy)]], AP[[#This Row],[Due date (dd/mm/yyyy)]])</f>
        <v>0</v>
      </c>
      <c r="U929" s="46">
        <f t="shared" si="14"/>
        <v>52</v>
      </c>
    </row>
    <row r="930" spans="3:21" x14ac:dyDescent="0.25">
      <c r="C930" s="28"/>
      <c r="D930" s="20"/>
      <c r="E930" s="4"/>
      <c r="F930" s="37"/>
      <c r="G930" s="24"/>
      <c r="H930" s="31">
        <f>_xlfn.XLOOKUP(AP[[#This Row],[Supplier name]], Supplier_master[Supplier name], Supplier_master[Category L1], 0)</f>
        <v>0</v>
      </c>
      <c r="I930" s="64">
        <f>_xlfn.XLOOKUP(AP[[#This Row],[Supplier name]], Supplier_master[Supplier name], Supplier_master[Category L2], 0)</f>
        <v>0</v>
      </c>
      <c r="J930" s="55"/>
      <c r="K930" s="54"/>
      <c r="L930" s="57">
        <f>IF(AP[[#This Row],[Spend category L1 - Override]] &lt;&gt; "", AP[[#This Row],[Spend category L1 - Override]], AP[[#This Row],[Spend category L1]])</f>
        <v>0</v>
      </c>
      <c r="M930" s="57">
        <f>IF(AP[[#This Row],[Spend category L2 - Override]] &lt;&gt; "", AP[[#This Row],[Spend category L2 - Override]], AP[[#This Row],[Spend category L2]])</f>
        <v>0</v>
      </c>
      <c r="N930" s="51">
        <f>Assumptions!$D$15</f>
        <v>0.1</v>
      </c>
      <c r="O930" s="45">
        <f>IF(AP[[#This Row],[GST applies?]] = "Yes", (AP[[#This Row],[Invoice value inc. GST]] / 1 + AP[[#This Row],[GST %]]) * AP[[#This Row],[GST %]], 0)</f>
        <v>0</v>
      </c>
      <c r="P930" s="31">
        <f>_xlfn.XLOOKUP(AP[[#This Row],[Supplier name]], Supplier_master[Supplier name], Supplier_master[EOM or Net], 0)</f>
        <v>0</v>
      </c>
      <c r="Q930" s="31">
        <f>_xlfn.XLOOKUP(AP[[#This Row],[Supplier name]], Supplier_master[Supplier name], Supplier_master[Terms days], 0)</f>
        <v>0</v>
      </c>
      <c r="R9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0" s="4"/>
      <c r="T930" s="46">
        <f>IF(AP[[#This Row],[Payment date - override (dd/mm/yyyy)]] &lt;&gt; "", AP[[#This Row],[Payment date - override (dd/mm/yyyy)]], AP[[#This Row],[Due date (dd/mm/yyyy)]])</f>
        <v>0</v>
      </c>
      <c r="U930" s="46">
        <f t="shared" si="14"/>
        <v>52</v>
      </c>
    </row>
    <row r="931" spans="3:21" x14ac:dyDescent="0.25">
      <c r="C931" s="28"/>
      <c r="D931" s="20"/>
      <c r="E931" s="4"/>
      <c r="F931" s="37"/>
      <c r="G931" s="24"/>
      <c r="H931" s="31">
        <f>_xlfn.XLOOKUP(AP[[#This Row],[Supplier name]], Supplier_master[Supplier name], Supplier_master[Category L1], 0)</f>
        <v>0</v>
      </c>
      <c r="I931" s="64">
        <f>_xlfn.XLOOKUP(AP[[#This Row],[Supplier name]], Supplier_master[Supplier name], Supplier_master[Category L2], 0)</f>
        <v>0</v>
      </c>
      <c r="J931" s="55"/>
      <c r="K931" s="54"/>
      <c r="L931" s="57">
        <f>IF(AP[[#This Row],[Spend category L1 - Override]] &lt;&gt; "", AP[[#This Row],[Spend category L1 - Override]], AP[[#This Row],[Spend category L1]])</f>
        <v>0</v>
      </c>
      <c r="M931" s="57">
        <f>IF(AP[[#This Row],[Spend category L2 - Override]] &lt;&gt; "", AP[[#This Row],[Spend category L2 - Override]], AP[[#This Row],[Spend category L2]])</f>
        <v>0</v>
      </c>
      <c r="N931" s="51">
        <f>Assumptions!$D$15</f>
        <v>0.1</v>
      </c>
      <c r="O931" s="45">
        <f>IF(AP[[#This Row],[GST applies?]] = "Yes", (AP[[#This Row],[Invoice value inc. GST]] / 1 + AP[[#This Row],[GST %]]) * AP[[#This Row],[GST %]], 0)</f>
        <v>0</v>
      </c>
      <c r="P931" s="31">
        <f>_xlfn.XLOOKUP(AP[[#This Row],[Supplier name]], Supplier_master[Supplier name], Supplier_master[EOM or Net], 0)</f>
        <v>0</v>
      </c>
      <c r="Q931" s="31">
        <f>_xlfn.XLOOKUP(AP[[#This Row],[Supplier name]], Supplier_master[Supplier name], Supplier_master[Terms days], 0)</f>
        <v>0</v>
      </c>
      <c r="R9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1" s="4"/>
      <c r="T931" s="46">
        <f>IF(AP[[#This Row],[Payment date - override (dd/mm/yyyy)]] &lt;&gt; "", AP[[#This Row],[Payment date - override (dd/mm/yyyy)]], AP[[#This Row],[Due date (dd/mm/yyyy)]])</f>
        <v>0</v>
      </c>
      <c r="U931" s="46">
        <f t="shared" si="14"/>
        <v>52</v>
      </c>
    </row>
    <row r="932" spans="3:21" x14ac:dyDescent="0.25">
      <c r="C932" s="28"/>
      <c r="D932" s="20"/>
      <c r="E932" s="4"/>
      <c r="F932" s="37"/>
      <c r="G932" s="24"/>
      <c r="H932" s="31">
        <f>_xlfn.XLOOKUP(AP[[#This Row],[Supplier name]], Supplier_master[Supplier name], Supplier_master[Category L1], 0)</f>
        <v>0</v>
      </c>
      <c r="I932" s="64">
        <f>_xlfn.XLOOKUP(AP[[#This Row],[Supplier name]], Supplier_master[Supplier name], Supplier_master[Category L2], 0)</f>
        <v>0</v>
      </c>
      <c r="J932" s="55"/>
      <c r="K932" s="54"/>
      <c r="L932" s="57">
        <f>IF(AP[[#This Row],[Spend category L1 - Override]] &lt;&gt; "", AP[[#This Row],[Spend category L1 - Override]], AP[[#This Row],[Spend category L1]])</f>
        <v>0</v>
      </c>
      <c r="M932" s="57">
        <f>IF(AP[[#This Row],[Spend category L2 - Override]] &lt;&gt; "", AP[[#This Row],[Spend category L2 - Override]], AP[[#This Row],[Spend category L2]])</f>
        <v>0</v>
      </c>
      <c r="N932" s="51">
        <f>Assumptions!$D$15</f>
        <v>0.1</v>
      </c>
      <c r="O932" s="45">
        <f>IF(AP[[#This Row],[GST applies?]] = "Yes", (AP[[#This Row],[Invoice value inc. GST]] / 1 + AP[[#This Row],[GST %]]) * AP[[#This Row],[GST %]], 0)</f>
        <v>0</v>
      </c>
      <c r="P932" s="31">
        <f>_xlfn.XLOOKUP(AP[[#This Row],[Supplier name]], Supplier_master[Supplier name], Supplier_master[EOM or Net], 0)</f>
        <v>0</v>
      </c>
      <c r="Q932" s="31">
        <f>_xlfn.XLOOKUP(AP[[#This Row],[Supplier name]], Supplier_master[Supplier name], Supplier_master[Terms days], 0)</f>
        <v>0</v>
      </c>
      <c r="R9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2" s="4"/>
      <c r="T932" s="46">
        <f>IF(AP[[#This Row],[Payment date - override (dd/mm/yyyy)]] &lt;&gt; "", AP[[#This Row],[Payment date - override (dd/mm/yyyy)]], AP[[#This Row],[Due date (dd/mm/yyyy)]])</f>
        <v>0</v>
      </c>
      <c r="U932" s="46">
        <f t="shared" si="14"/>
        <v>52</v>
      </c>
    </row>
    <row r="933" spans="3:21" x14ac:dyDescent="0.25">
      <c r="C933" s="28"/>
      <c r="D933" s="20"/>
      <c r="E933" s="4"/>
      <c r="F933" s="37"/>
      <c r="G933" s="24"/>
      <c r="H933" s="31">
        <f>_xlfn.XLOOKUP(AP[[#This Row],[Supplier name]], Supplier_master[Supplier name], Supplier_master[Category L1], 0)</f>
        <v>0</v>
      </c>
      <c r="I933" s="64">
        <f>_xlfn.XLOOKUP(AP[[#This Row],[Supplier name]], Supplier_master[Supplier name], Supplier_master[Category L2], 0)</f>
        <v>0</v>
      </c>
      <c r="J933" s="55"/>
      <c r="K933" s="54"/>
      <c r="L933" s="57">
        <f>IF(AP[[#This Row],[Spend category L1 - Override]] &lt;&gt; "", AP[[#This Row],[Spend category L1 - Override]], AP[[#This Row],[Spend category L1]])</f>
        <v>0</v>
      </c>
      <c r="M933" s="57">
        <f>IF(AP[[#This Row],[Spend category L2 - Override]] &lt;&gt; "", AP[[#This Row],[Spend category L2 - Override]], AP[[#This Row],[Spend category L2]])</f>
        <v>0</v>
      </c>
      <c r="N933" s="51">
        <f>Assumptions!$D$15</f>
        <v>0.1</v>
      </c>
      <c r="O933" s="45">
        <f>IF(AP[[#This Row],[GST applies?]] = "Yes", (AP[[#This Row],[Invoice value inc. GST]] / 1 + AP[[#This Row],[GST %]]) * AP[[#This Row],[GST %]], 0)</f>
        <v>0</v>
      </c>
      <c r="P933" s="31">
        <f>_xlfn.XLOOKUP(AP[[#This Row],[Supplier name]], Supplier_master[Supplier name], Supplier_master[EOM or Net], 0)</f>
        <v>0</v>
      </c>
      <c r="Q933" s="31">
        <f>_xlfn.XLOOKUP(AP[[#This Row],[Supplier name]], Supplier_master[Supplier name], Supplier_master[Terms days], 0)</f>
        <v>0</v>
      </c>
      <c r="R9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3" s="4"/>
      <c r="T933" s="46">
        <f>IF(AP[[#This Row],[Payment date - override (dd/mm/yyyy)]] &lt;&gt; "", AP[[#This Row],[Payment date - override (dd/mm/yyyy)]], AP[[#This Row],[Due date (dd/mm/yyyy)]])</f>
        <v>0</v>
      </c>
      <c r="U933" s="46">
        <f t="shared" si="14"/>
        <v>52</v>
      </c>
    </row>
    <row r="934" spans="3:21" x14ac:dyDescent="0.25">
      <c r="C934" s="28"/>
      <c r="D934" s="20"/>
      <c r="E934" s="4"/>
      <c r="F934" s="37"/>
      <c r="G934" s="24"/>
      <c r="H934" s="31">
        <f>_xlfn.XLOOKUP(AP[[#This Row],[Supplier name]], Supplier_master[Supplier name], Supplier_master[Category L1], 0)</f>
        <v>0</v>
      </c>
      <c r="I934" s="64">
        <f>_xlfn.XLOOKUP(AP[[#This Row],[Supplier name]], Supplier_master[Supplier name], Supplier_master[Category L2], 0)</f>
        <v>0</v>
      </c>
      <c r="J934" s="55"/>
      <c r="K934" s="54"/>
      <c r="L934" s="57">
        <f>IF(AP[[#This Row],[Spend category L1 - Override]] &lt;&gt; "", AP[[#This Row],[Spend category L1 - Override]], AP[[#This Row],[Spend category L1]])</f>
        <v>0</v>
      </c>
      <c r="M934" s="57">
        <f>IF(AP[[#This Row],[Spend category L2 - Override]] &lt;&gt; "", AP[[#This Row],[Spend category L2 - Override]], AP[[#This Row],[Spend category L2]])</f>
        <v>0</v>
      </c>
      <c r="N934" s="51">
        <f>Assumptions!$D$15</f>
        <v>0.1</v>
      </c>
      <c r="O934" s="45">
        <f>IF(AP[[#This Row],[GST applies?]] = "Yes", (AP[[#This Row],[Invoice value inc. GST]] / 1 + AP[[#This Row],[GST %]]) * AP[[#This Row],[GST %]], 0)</f>
        <v>0</v>
      </c>
      <c r="P934" s="31">
        <f>_xlfn.XLOOKUP(AP[[#This Row],[Supplier name]], Supplier_master[Supplier name], Supplier_master[EOM or Net], 0)</f>
        <v>0</v>
      </c>
      <c r="Q934" s="31">
        <f>_xlfn.XLOOKUP(AP[[#This Row],[Supplier name]], Supplier_master[Supplier name], Supplier_master[Terms days], 0)</f>
        <v>0</v>
      </c>
      <c r="R9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4" s="4"/>
      <c r="T934" s="46">
        <f>IF(AP[[#This Row],[Payment date - override (dd/mm/yyyy)]] &lt;&gt; "", AP[[#This Row],[Payment date - override (dd/mm/yyyy)]], AP[[#This Row],[Due date (dd/mm/yyyy)]])</f>
        <v>0</v>
      </c>
      <c r="U934" s="46">
        <f t="shared" si="14"/>
        <v>52</v>
      </c>
    </row>
    <row r="935" spans="3:21" x14ac:dyDescent="0.25">
      <c r="C935" s="28"/>
      <c r="D935" s="20"/>
      <c r="E935" s="4"/>
      <c r="F935" s="37"/>
      <c r="G935" s="24"/>
      <c r="H935" s="31">
        <f>_xlfn.XLOOKUP(AP[[#This Row],[Supplier name]], Supplier_master[Supplier name], Supplier_master[Category L1], 0)</f>
        <v>0</v>
      </c>
      <c r="I935" s="64">
        <f>_xlfn.XLOOKUP(AP[[#This Row],[Supplier name]], Supplier_master[Supplier name], Supplier_master[Category L2], 0)</f>
        <v>0</v>
      </c>
      <c r="J935" s="55"/>
      <c r="K935" s="54"/>
      <c r="L935" s="57">
        <f>IF(AP[[#This Row],[Spend category L1 - Override]] &lt;&gt; "", AP[[#This Row],[Spend category L1 - Override]], AP[[#This Row],[Spend category L1]])</f>
        <v>0</v>
      </c>
      <c r="M935" s="57">
        <f>IF(AP[[#This Row],[Spend category L2 - Override]] &lt;&gt; "", AP[[#This Row],[Spend category L2 - Override]], AP[[#This Row],[Spend category L2]])</f>
        <v>0</v>
      </c>
      <c r="N935" s="51">
        <f>Assumptions!$D$15</f>
        <v>0.1</v>
      </c>
      <c r="O935" s="45">
        <f>IF(AP[[#This Row],[GST applies?]] = "Yes", (AP[[#This Row],[Invoice value inc. GST]] / 1 + AP[[#This Row],[GST %]]) * AP[[#This Row],[GST %]], 0)</f>
        <v>0</v>
      </c>
      <c r="P935" s="31">
        <f>_xlfn.XLOOKUP(AP[[#This Row],[Supplier name]], Supplier_master[Supplier name], Supplier_master[EOM or Net], 0)</f>
        <v>0</v>
      </c>
      <c r="Q935" s="31">
        <f>_xlfn.XLOOKUP(AP[[#This Row],[Supplier name]], Supplier_master[Supplier name], Supplier_master[Terms days], 0)</f>
        <v>0</v>
      </c>
      <c r="R9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5" s="4"/>
      <c r="T935" s="46">
        <f>IF(AP[[#This Row],[Payment date - override (dd/mm/yyyy)]] &lt;&gt; "", AP[[#This Row],[Payment date - override (dd/mm/yyyy)]], AP[[#This Row],[Due date (dd/mm/yyyy)]])</f>
        <v>0</v>
      </c>
      <c r="U935" s="46">
        <f t="shared" si="14"/>
        <v>52</v>
      </c>
    </row>
    <row r="936" spans="3:21" x14ac:dyDescent="0.25">
      <c r="C936" s="28"/>
      <c r="D936" s="20"/>
      <c r="E936" s="4"/>
      <c r="F936" s="37"/>
      <c r="G936" s="24"/>
      <c r="H936" s="31">
        <f>_xlfn.XLOOKUP(AP[[#This Row],[Supplier name]], Supplier_master[Supplier name], Supplier_master[Category L1], 0)</f>
        <v>0</v>
      </c>
      <c r="I936" s="64">
        <f>_xlfn.XLOOKUP(AP[[#This Row],[Supplier name]], Supplier_master[Supplier name], Supplier_master[Category L2], 0)</f>
        <v>0</v>
      </c>
      <c r="J936" s="55"/>
      <c r="K936" s="54"/>
      <c r="L936" s="57">
        <f>IF(AP[[#This Row],[Spend category L1 - Override]] &lt;&gt; "", AP[[#This Row],[Spend category L1 - Override]], AP[[#This Row],[Spend category L1]])</f>
        <v>0</v>
      </c>
      <c r="M936" s="57">
        <f>IF(AP[[#This Row],[Spend category L2 - Override]] &lt;&gt; "", AP[[#This Row],[Spend category L2 - Override]], AP[[#This Row],[Spend category L2]])</f>
        <v>0</v>
      </c>
      <c r="N936" s="51">
        <f>Assumptions!$D$15</f>
        <v>0.1</v>
      </c>
      <c r="O936" s="45">
        <f>IF(AP[[#This Row],[GST applies?]] = "Yes", (AP[[#This Row],[Invoice value inc. GST]] / 1 + AP[[#This Row],[GST %]]) * AP[[#This Row],[GST %]], 0)</f>
        <v>0</v>
      </c>
      <c r="P936" s="31">
        <f>_xlfn.XLOOKUP(AP[[#This Row],[Supplier name]], Supplier_master[Supplier name], Supplier_master[EOM or Net], 0)</f>
        <v>0</v>
      </c>
      <c r="Q936" s="31">
        <f>_xlfn.XLOOKUP(AP[[#This Row],[Supplier name]], Supplier_master[Supplier name], Supplier_master[Terms days], 0)</f>
        <v>0</v>
      </c>
      <c r="R9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6" s="4"/>
      <c r="T936" s="46">
        <f>IF(AP[[#This Row],[Payment date - override (dd/mm/yyyy)]] &lt;&gt; "", AP[[#This Row],[Payment date - override (dd/mm/yyyy)]], AP[[#This Row],[Due date (dd/mm/yyyy)]])</f>
        <v>0</v>
      </c>
      <c r="U936" s="46">
        <f t="shared" si="14"/>
        <v>52</v>
      </c>
    </row>
    <row r="937" spans="3:21" x14ac:dyDescent="0.25">
      <c r="C937" s="28"/>
      <c r="D937" s="20"/>
      <c r="E937" s="4"/>
      <c r="F937" s="37"/>
      <c r="G937" s="24"/>
      <c r="H937" s="31">
        <f>_xlfn.XLOOKUP(AP[[#This Row],[Supplier name]], Supplier_master[Supplier name], Supplier_master[Category L1], 0)</f>
        <v>0</v>
      </c>
      <c r="I937" s="64">
        <f>_xlfn.XLOOKUP(AP[[#This Row],[Supplier name]], Supplier_master[Supplier name], Supplier_master[Category L2], 0)</f>
        <v>0</v>
      </c>
      <c r="J937" s="55"/>
      <c r="K937" s="54"/>
      <c r="L937" s="57">
        <f>IF(AP[[#This Row],[Spend category L1 - Override]] &lt;&gt; "", AP[[#This Row],[Spend category L1 - Override]], AP[[#This Row],[Spend category L1]])</f>
        <v>0</v>
      </c>
      <c r="M937" s="57">
        <f>IF(AP[[#This Row],[Spend category L2 - Override]] &lt;&gt; "", AP[[#This Row],[Spend category L2 - Override]], AP[[#This Row],[Spend category L2]])</f>
        <v>0</v>
      </c>
      <c r="N937" s="51">
        <f>Assumptions!$D$15</f>
        <v>0.1</v>
      </c>
      <c r="O937" s="45">
        <f>IF(AP[[#This Row],[GST applies?]] = "Yes", (AP[[#This Row],[Invoice value inc. GST]] / 1 + AP[[#This Row],[GST %]]) * AP[[#This Row],[GST %]], 0)</f>
        <v>0</v>
      </c>
      <c r="P937" s="31">
        <f>_xlfn.XLOOKUP(AP[[#This Row],[Supplier name]], Supplier_master[Supplier name], Supplier_master[EOM or Net], 0)</f>
        <v>0</v>
      </c>
      <c r="Q937" s="31">
        <f>_xlfn.XLOOKUP(AP[[#This Row],[Supplier name]], Supplier_master[Supplier name], Supplier_master[Terms days], 0)</f>
        <v>0</v>
      </c>
      <c r="R9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7" s="4"/>
      <c r="T937" s="46">
        <f>IF(AP[[#This Row],[Payment date - override (dd/mm/yyyy)]] &lt;&gt; "", AP[[#This Row],[Payment date - override (dd/mm/yyyy)]], AP[[#This Row],[Due date (dd/mm/yyyy)]])</f>
        <v>0</v>
      </c>
      <c r="U937" s="46">
        <f t="shared" si="14"/>
        <v>52</v>
      </c>
    </row>
    <row r="938" spans="3:21" x14ac:dyDescent="0.25">
      <c r="C938" s="28"/>
      <c r="D938" s="20"/>
      <c r="E938" s="4"/>
      <c r="F938" s="37"/>
      <c r="G938" s="24"/>
      <c r="H938" s="31">
        <f>_xlfn.XLOOKUP(AP[[#This Row],[Supplier name]], Supplier_master[Supplier name], Supplier_master[Category L1], 0)</f>
        <v>0</v>
      </c>
      <c r="I938" s="64">
        <f>_xlfn.XLOOKUP(AP[[#This Row],[Supplier name]], Supplier_master[Supplier name], Supplier_master[Category L2], 0)</f>
        <v>0</v>
      </c>
      <c r="J938" s="55"/>
      <c r="K938" s="54"/>
      <c r="L938" s="57">
        <f>IF(AP[[#This Row],[Spend category L1 - Override]] &lt;&gt; "", AP[[#This Row],[Spend category L1 - Override]], AP[[#This Row],[Spend category L1]])</f>
        <v>0</v>
      </c>
      <c r="M938" s="57">
        <f>IF(AP[[#This Row],[Spend category L2 - Override]] &lt;&gt; "", AP[[#This Row],[Spend category L2 - Override]], AP[[#This Row],[Spend category L2]])</f>
        <v>0</v>
      </c>
      <c r="N938" s="51">
        <f>Assumptions!$D$15</f>
        <v>0.1</v>
      </c>
      <c r="O938" s="45">
        <f>IF(AP[[#This Row],[GST applies?]] = "Yes", (AP[[#This Row],[Invoice value inc. GST]] / 1 + AP[[#This Row],[GST %]]) * AP[[#This Row],[GST %]], 0)</f>
        <v>0</v>
      </c>
      <c r="P938" s="31">
        <f>_xlfn.XLOOKUP(AP[[#This Row],[Supplier name]], Supplier_master[Supplier name], Supplier_master[EOM or Net], 0)</f>
        <v>0</v>
      </c>
      <c r="Q938" s="31">
        <f>_xlfn.XLOOKUP(AP[[#This Row],[Supplier name]], Supplier_master[Supplier name], Supplier_master[Terms days], 0)</f>
        <v>0</v>
      </c>
      <c r="R9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8" s="4"/>
      <c r="T938" s="46">
        <f>IF(AP[[#This Row],[Payment date - override (dd/mm/yyyy)]] &lt;&gt; "", AP[[#This Row],[Payment date - override (dd/mm/yyyy)]], AP[[#This Row],[Due date (dd/mm/yyyy)]])</f>
        <v>0</v>
      </c>
      <c r="U938" s="46">
        <f t="shared" si="14"/>
        <v>52</v>
      </c>
    </row>
    <row r="939" spans="3:21" x14ac:dyDescent="0.25">
      <c r="C939" s="28"/>
      <c r="D939" s="20"/>
      <c r="E939" s="4"/>
      <c r="F939" s="37"/>
      <c r="G939" s="24"/>
      <c r="H939" s="31">
        <f>_xlfn.XLOOKUP(AP[[#This Row],[Supplier name]], Supplier_master[Supplier name], Supplier_master[Category L1], 0)</f>
        <v>0</v>
      </c>
      <c r="I939" s="64">
        <f>_xlfn.XLOOKUP(AP[[#This Row],[Supplier name]], Supplier_master[Supplier name], Supplier_master[Category L2], 0)</f>
        <v>0</v>
      </c>
      <c r="J939" s="55"/>
      <c r="K939" s="54"/>
      <c r="L939" s="57">
        <f>IF(AP[[#This Row],[Spend category L1 - Override]] &lt;&gt; "", AP[[#This Row],[Spend category L1 - Override]], AP[[#This Row],[Spend category L1]])</f>
        <v>0</v>
      </c>
      <c r="M939" s="57">
        <f>IF(AP[[#This Row],[Spend category L2 - Override]] &lt;&gt; "", AP[[#This Row],[Spend category L2 - Override]], AP[[#This Row],[Spend category L2]])</f>
        <v>0</v>
      </c>
      <c r="N939" s="51">
        <f>Assumptions!$D$15</f>
        <v>0.1</v>
      </c>
      <c r="O939" s="45">
        <f>IF(AP[[#This Row],[GST applies?]] = "Yes", (AP[[#This Row],[Invoice value inc. GST]] / 1 + AP[[#This Row],[GST %]]) * AP[[#This Row],[GST %]], 0)</f>
        <v>0</v>
      </c>
      <c r="P939" s="31">
        <f>_xlfn.XLOOKUP(AP[[#This Row],[Supplier name]], Supplier_master[Supplier name], Supplier_master[EOM or Net], 0)</f>
        <v>0</v>
      </c>
      <c r="Q939" s="31">
        <f>_xlfn.XLOOKUP(AP[[#This Row],[Supplier name]], Supplier_master[Supplier name], Supplier_master[Terms days], 0)</f>
        <v>0</v>
      </c>
      <c r="R9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9" s="4"/>
      <c r="T939" s="46">
        <f>IF(AP[[#This Row],[Payment date - override (dd/mm/yyyy)]] &lt;&gt; "", AP[[#This Row],[Payment date - override (dd/mm/yyyy)]], AP[[#This Row],[Due date (dd/mm/yyyy)]])</f>
        <v>0</v>
      </c>
      <c r="U939" s="46">
        <f t="shared" si="14"/>
        <v>52</v>
      </c>
    </row>
    <row r="940" spans="3:21" x14ac:dyDescent="0.25">
      <c r="C940" s="28"/>
      <c r="D940" s="20"/>
      <c r="E940" s="4"/>
      <c r="F940" s="37"/>
      <c r="G940" s="24"/>
      <c r="H940" s="31">
        <f>_xlfn.XLOOKUP(AP[[#This Row],[Supplier name]], Supplier_master[Supplier name], Supplier_master[Category L1], 0)</f>
        <v>0</v>
      </c>
      <c r="I940" s="64">
        <f>_xlfn.XLOOKUP(AP[[#This Row],[Supplier name]], Supplier_master[Supplier name], Supplier_master[Category L2], 0)</f>
        <v>0</v>
      </c>
      <c r="J940" s="55"/>
      <c r="K940" s="54"/>
      <c r="L940" s="57">
        <f>IF(AP[[#This Row],[Spend category L1 - Override]] &lt;&gt; "", AP[[#This Row],[Spend category L1 - Override]], AP[[#This Row],[Spend category L1]])</f>
        <v>0</v>
      </c>
      <c r="M940" s="57">
        <f>IF(AP[[#This Row],[Spend category L2 - Override]] &lt;&gt; "", AP[[#This Row],[Spend category L2 - Override]], AP[[#This Row],[Spend category L2]])</f>
        <v>0</v>
      </c>
      <c r="N940" s="51">
        <f>Assumptions!$D$15</f>
        <v>0.1</v>
      </c>
      <c r="O940" s="45">
        <f>IF(AP[[#This Row],[GST applies?]] = "Yes", (AP[[#This Row],[Invoice value inc. GST]] / 1 + AP[[#This Row],[GST %]]) * AP[[#This Row],[GST %]], 0)</f>
        <v>0</v>
      </c>
      <c r="P940" s="31">
        <f>_xlfn.XLOOKUP(AP[[#This Row],[Supplier name]], Supplier_master[Supplier name], Supplier_master[EOM or Net], 0)</f>
        <v>0</v>
      </c>
      <c r="Q940" s="31">
        <f>_xlfn.XLOOKUP(AP[[#This Row],[Supplier name]], Supplier_master[Supplier name], Supplier_master[Terms days], 0)</f>
        <v>0</v>
      </c>
      <c r="R9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0" s="4"/>
      <c r="T940" s="46">
        <f>IF(AP[[#This Row],[Payment date - override (dd/mm/yyyy)]] &lt;&gt; "", AP[[#This Row],[Payment date - override (dd/mm/yyyy)]], AP[[#This Row],[Due date (dd/mm/yyyy)]])</f>
        <v>0</v>
      </c>
      <c r="U940" s="46">
        <f t="shared" si="14"/>
        <v>52</v>
      </c>
    </row>
    <row r="941" spans="3:21" x14ac:dyDescent="0.25">
      <c r="C941" s="28"/>
      <c r="D941" s="20"/>
      <c r="E941" s="4"/>
      <c r="F941" s="37"/>
      <c r="G941" s="24"/>
      <c r="H941" s="31">
        <f>_xlfn.XLOOKUP(AP[[#This Row],[Supplier name]], Supplier_master[Supplier name], Supplier_master[Category L1], 0)</f>
        <v>0</v>
      </c>
      <c r="I941" s="64">
        <f>_xlfn.XLOOKUP(AP[[#This Row],[Supplier name]], Supplier_master[Supplier name], Supplier_master[Category L2], 0)</f>
        <v>0</v>
      </c>
      <c r="J941" s="55"/>
      <c r="K941" s="54"/>
      <c r="L941" s="57">
        <f>IF(AP[[#This Row],[Spend category L1 - Override]] &lt;&gt; "", AP[[#This Row],[Spend category L1 - Override]], AP[[#This Row],[Spend category L1]])</f>
        <v>0</v>
      </c>
      <c r="M941" s="57">
        <f>IF(AP[[#This Row],[Spend category L2 - Override]] &lt;&gt; "", AP[[#This Row],[Spend category L2 - Override]], AP[[#This Row],[Spend category L2]])</f>
        <v>0</v>
      </c>
      <c r="N941" s="51">
        <f>Assumptions!$D$15</f>
        <v>0.1</v>
      </c>
      <c r="O941" s="45">
        <f>IF(AP[[#This Row],[GST applies?]] = "Yes", (AP[[#This Row],[Invoice value inc. GST]] / 1 + AP[[#This Row],[GST %]]) * AP[[#This Row],[GST %]], 0)</f>
        <v>0</v>
      </c>
      <c r="P941" s="31">
        <f>_xlfn.XLOOKUP(AP[[#This Row],[Supplier name]], Supplier_master[Supplier name], Supplier_master[EOM or Net], 0)</f>
        <v>0</v>
      </c>
      <c r="Q941" s="31">
        <f>_xlfn.XLOOKUP(AP[[#This Row],[Supplier name]], Supplier_master[Supplier name], Supplier_master[Terms days], 0)</f>
        <v>0</v>
      </c>
      <c r="R9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1" s="4"/>
      <c r="T941" s="46">
        <f>IF(AP[[#This Row],[Payment date - override (dd/mm/yyyy)]] &lt;&gt; "", AP[[#This Row],[Payment date - override (dd/mm/yyyy)]], AP[[#This Row],[Due date (dd/mm/yyyy)]])</f>
        <v>0</v>
      </c>
      <c r="U941" s="46">
        <f t="shared" si="14"/>
        <v>52</v>
      </c>
    </row>
    <row r="942" spans="3:21" x14ac:dyDescent="0.25">
      <c r="C942" s="28"/>
      <c r="D942" s="20"/>
      <c r="E942" s="4"/>
      <c r="F942" s="37"/>
      <c r="G942" s="24"/>
      <c r="H942" s="31">
        <f>_xlfn.XLOOKUP(AP[[#This Row],[Supplier name]], Supplier_master[Supplier name], Supplier_master[Category L1], 0)</f>
        <v>0</v>
      </c>
      <c r="I942" s="64">
        <f>_xlfn.XLOOKUP(AP[[#This Row],[Supplier name]], Supplier_master[Supplier name], Supplier_master[Category L2], 0)</f>
        <v>0</v>
      </c>
      <c r="J942" s="55"/>
      <c r="K942" s="54"/>
      <c r="L942" s="57">
        <f>IF(AP[[#This Row],[Spend category L1 - Override]] &lt;&gt; "", AP[[#This Row],[Spend category L1 - Override]], AP[[#This Row],[Spend category L1]])</f>
        <v>0</v>
      </c>
      <c r="M942" s="57">
        <f>IF(AP[[#This Row],[Spend category L2 - Override]] &lt;&gt; "", AP[[#This Row],[Spend category L2 - Override]], AP[[#This Row],[Spend category L2]])</f>
        <v>0</v>
      </c>
      <c r="N942" s="51">
        <f>Assumptions!$D$15</f>
        <v>0.1</v>
      </c>
      <c r="O942" s="45">
        <f>IF(AP[[#This Row],[GST applies?]] = "Yes", (AP[[#This Row],[Invoice value inc. GST]] / 1 + AP[[#This Row],[GST %]]) * AP[[#This Row],[GST %]], 0)</f>
        <v>0</v>
      </c>
      <c r="P942" s="31">
        <f>_xlfn.XLOOKUP(AP[[#This Row],[Supplier name]], Supplier_master[Supplier name], Supplier_master[EOM or Net], 0)</f>
        <v>0</v>
      </c>
      <c r="Q942" s="31">
        <f>_xlfn.XLOOKUP(AP[[#This Row],[Supplier name]], Supplier_master[Supplier name], Supplier_master[Terms days], 0)</f>
        <v>0</v>
      </c>
      <c r="R9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2" s="4"/>
      <c r="T942" s="46">
        <f>IF(AP[[#This Row],[Payment date - override (dd/mm/yyyy)]] &lt;&gt; "", AP[[#This Row],[Payment date - override (dd/mm/yyyy)]], AP[[#This Row],[Due date (dd/mm/yyyy)]])</f>
        <v>0</v>
      </c>
      <c r="U942" s="46">
        <f t="shared" si="14"/>
        <v>52</v>
      </c>
    </row>
    <row r="943" spans="3:21" x14ac:dyDescent="0.25">
      <c r="C943" s="28"/>
      <c r="D943" s="20"/>
      <c r="E943" s="4"/>
      <c r="F943" s="37"/>
      <c r="G943" s="24"/>
      <c r="H943" s="31">
        <f>_xlfn.XLOOKUP(AP[[#This Row],[Supplier name]], Supplier_master[Supplier name], Supplier_master[Category L1], 0)</f>
        <v>0</v>
      </c>
      <c r="I943" s="64">
        <f>_xlfn.XLOOKUP(AP[[#This Row],[Supplier name]], Supplier_master[Supplier name], Supplier_master[Category L2], 0)</f>
        <v>0</v>
      </c>
      <c r="J943" s="55"/>
      <c r="K943" s="54"/>
      <c r="L943" s="57">
        <f>IF(AP[[#This Row],[Spend category L1 - Override]] &lt;&gt; "", AP[[#This Row],[Spend category L1 - Override]], AP[[#This Row],[Spend category L1]])</f>
        <v>0</v>
      </c>
      <c r="M943" s="57">
        <f>IF(AP[[#This Row],[Spend category L2 - Override]] &lt;&gt; "", AP[[#This Row],[Spend category L2 - Override]], AP[[#This Row],[Spend category L2]])</f>
        <v>0</v>
      </c>
      <c r="N943" s="51">
        <f>Assumptions!$D$15</f>
        <v>0.1</v>
      </c>
      <c r="O943" s="45">
        <f>IF(AP[[#This Row],[GST applies?]] = "Yes", (AP[[#This Row],[Invoice value inc. GST]] / 1 + AP[[#This Row],[GST %]]) * AP[[#This Row],[GST %]], 0)</f>
        <v>0</v>
      </c>
      <c r="P943" s="31">
        <f>_xlfn.XLOOKUP(AP[[#This Row],[Supplier name]], Supplier_master[Supplier name], Supplier_master[EOM or Net], 0)</f>
        <v>0</v>
      </c>
      <c r="Q943" s="31">
        <f>_xlfn.XLOOKUP(AP[[#This Row],[Supplier name]], Supplier_master[Supplier name], Supplier_master[Terms days], 0)</f>
        <v>0</v>
      </c>
      <c r="R9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3" s="4"/>
      <c r="T943" s="46">
        <f>IF(AP[[#This Row],[Payment date - override (dd/mm/yyyy)]] &lt;&gt; "", AP[[#This Row],[Payment date - override (dd/mm/yyyy)]], AP[[#This Row],[Due date (dd/mm/yyyy)]])</f>
        <v>0</v>
      </c>
      <c r="U943" s="46">
        <f t="shared" si="14"/>
        <v>52</v>
      </c>
    </row>
    <row r="944" spans="3:21" x14ac:dyDescent="0.25">
      <c r="C944" s="28"/>
      <c r="D944" s="20"/>
      <c r="E944" s="4"/>
      <c r="F944" s="37"/>
      <c r="G944" s="24"/>
      <c r="H944" s="31">
        <f>_xlfn.XLOOKUP(AP[[#This Row],[Supplier name]], Supplier_master[Supplier name], Supplier_master[Category L1], 0)</f>
        <v>0</v>
      </c>
      <c r="I944" s="64">
        <f>_xlfn.XLOOKUP(AP[[#This Row],[Supplier name]], Supplier_master[Supplier name], Supplier_master[Category L2], 0)</f>
        <v>0</v>
      </c>
      <c r="J944" s="55"/>
      <c r="K944" s="54"/>
      <c r="L944" s="57">
        <f>IF(AP[[#This Row],[Spend category L1 - Override]] &lt;&gt; "", AP[[#This Row],[Spend category L1 - Override]], AP[[#This Row],[Spend category L1]])</f>
        <v>0</v>
      </c>
      <c r="M944" s="57">
        <f>IF(AP[[#This Row],[Spend category L2 - Override]] &lt;&gt; "", AP[[#This Row],[Spend category L2 - Override]], AP[[#This Row],[Spend category L2]])</f>
        <v>0</v>
      </c>
      <c r="N944" s="51">
        <f>Assumptions!$D$15</f>
        <v>0.1</v>
      </c>
      <c r="O944" s="45">
        <f>IF(AP[[#This Row],[GST applies?]] = "Yes", (AP[[#This Row],[Invoice value inc. GST]] / 1 + AP[[#This Row],[GST %]]) * AP[[#This Row],[GST %]], 0)</f>
        <v>0</v>
      </c>
      <c r="P944" s="31">
        <f>_xlfn.XLOOKUP(AP[[#This Row],[Supplier name]], Supplier_master[Supplier name], Supplier_master[EOM or Net], 0)</f>
        <v>0</v>
      </c>
      <c r="Q944" s="31">
        <f>_xlfn.XLOOKUP(AP[[#This Row],[Supplier name]], Supplier_master[Supplier name], Supplier_master[Terms days], 0)</f>
        <v>0</v>
      </c>
      <c r="R9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4" s="4"/>
      <c r="T944" s="46">
        <f>IF(AP[[#This Row],[Payment date - override (dd/mm/yyyy)]] &lt;&gt; "", AP[[#This Row],[Payment date - override (dd/mm/yyyy)]], AP[[#This Row],[Due date (dd/mm/yyyy)]])</f>
        <v>0</v>
      </c>
      <c r="U944" s="46">
        <f t="shared" si="14"/>
        <v>52</v>
      </c>
    </row>
    <row r="945" spans="3:21" x14ac:dyDescent="0.25">
      <c r="C945" s="28"/>
      <c r="D945" s="20"/>
      <c r="E945" s="4"/>
      <c r="F945" s="37"/>
      <c r="G945" s="24"/>
      <c r="H945" s="31">
        <f>_xlfn.XLOOKUP(AP[[#This Row],[Supplier name]], Supplier_master[Supplier name], Supplier_master[Category L1], 0)</f>
        <v>0</v>
      </c>
      <c r="I945" s="64">
        <f>_xlfn.XLOOKUP(AP[[#This Row],[Supplier name]], Supplier_master[Supplier name], Supplier_master[Category L2], 0)</f>
        <v>0</v>
      </c>
      <c r="J945" s="55"/>
      <c r="K945" s="54"/>
      <c r="L945" s="57">
        <f>IF(AP[[#This Row],[Spend category L1 - Override]] &lt;&gt; "", AP[[#This Row],[Spend category L1 - Override]], AP[[#This Row],[Spend category L1]])</f>
        <v>0</v>
      </c>
      <c r="M945" s="57">
        <f>IF(AP[[#This Row],[Spend category L2 - Override]] &lt;&gt; "", AP[[#This Row],[Spend category L2 - Override]], AP[[#This Row],[Spend category L2]])</f>
        <v>0</v>
      </c>
      <c r="N945" s="51">
        <f>Assumptions!$D$15</f>
        <v>0.1</v>
      </c>
      <c r="O945" s="45">
        <f>IF(AP[[#This Row],[GST applies?]] = "Yes", (AP[[#This Row],[Invoice value inc. GST]] / 1 + AP[[#This Row],[GST %]]) * AP[[#This Row],[GST %]], 0)</f>
        <v>0</v>
      </c>
      <c r="P945" s="31">
        <f>_xlfn.XLOOKUP(AP[[#This Row],[Supplier name]], Supplier_master[Supplier name], Supplier_master[EOM or Net], 0)</f>
        <v>0</v>
      </c>
      <c r="Q945" s="31">
        <f>_xlfn.XLOOKUP(AP[[#This Row],[Supplier name]], Supplier_master[Supplier name], Supplier_master[Terms days], 0)</f>
        <v>0</v>
      </c>
      <c r="R9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5" s="4"/>
      <c r="T945" s="46">
        <f>IF(AP[[#This Row],[Payment date - override (dd/mm/yyyy)]] &lt;&gt; "", AP[[#This Row],[Payment date - override (dd/mm/yyyy)]], AP[[#This Row],[Due date (dd/mm/yyyy)]])</f>
        <v>0</v>
      </c>
      <c r="U945" s="46">
        <f t="shared" si="14"/>
        <v>52</v>
      </c>
    </row>
    <row r="946" spans="3:21" x14ac:dyDescent="0.25">
      <c r="C946" s="28"/>
      <c r="D946" s="20"/>
      <c r="E946" s="4"/>
      <c r="F946" s="37"/>
      <c r="G946" s="24"/>
      <c r="H946" s="31">
        <f>_xlfn.XLOOKUP(AP[[#This Row],[Supplier name]], Supplier_master[Supplier name], Supplier_master[Category L1], 0)</f>
        <v>0</v>
      </c>
      <c r="I946" s="64">
        <f>_xlfn.XLOOKUP(AP[[#This Row],[Supplier name]], Supplier_master[Supplier name], Supplier_master[Category L2], 0)</f>
        <v>0</v>
      </c>
      <c r="J946" s="55"/>
      <c r="K946" s="54"/>
      <c r="L946" s="57">
        <f>IF(AP[[#This Row],[Spend category L1 - Override]] &lt;&gt; "", AP[[#This Row],[Spend category L1 - Override]], AP[[#This Row],[Spend category L1]])</f>
        <v>0</v>
      </c>
      <c r="M946" s="57">
        <f>IF(AP[[#This Row],[Spend category L2 - Override]] &lt;&gt; "", AP[[#This Row],[Spend category L2 - Override]], AP[[#This Row],[Spend category L2]])</f>
        <v>0</v>
      </c>
      <c r="N946" s="51">
        <f>Assumptions!$D$15</f>
        <v>0.1</v>
      </c>
      <c r="O946" s="45">
        <f>IF(AP[[#This Row],[GST applies?]] = "Yes", (AP[[#This Row],[Invoice value inc. GST]] / 1 + AP[[#This Row],[GST %]]) * AP[[#This Row],[GST %]], 0)</f>
        <v>0</v>
      </c>
      <c r="P946" s="31">
        <f>_xlfn.XLOOKUP(AP[[#This Row],[Supplier name]], Supplier_master[Supplier name], Supplier_master[EOM or Net], 0)</f>
        <v>0</v>
      </c>
      <c r="Q946" s="31">
        <f>_xlfn.XLOOKUP(AP[[#This Row],[Supplier name]], Supplier_master[Supplier name], Supplier_master[Terms days], 0)</f>
        <v>0</v>
      </c>
      <c r="R9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6" s="4"/>
      <c r="T946" s="46">
        <f>IF(AP[[#This Row],[Payment date - override (dd/mm/yyyy)]] &lt;&gt; "", AP[[#This Row],[Payment date - override (dd/mm/yyyy)]], AP[[#This Row],[Due date (dd/mm/yyyy)]])</f>
        <v>0</v>
      </c>
      <c r="U946" s="46">
        <f t="shared" si="14"/>
        <v>52</v>
      </c>
    </row>
    <row r="947" spans="3:21" x14ac:dyDescent="0.25">
      <c r="C947" s="28"/>
      <c r="D947" s="20"/>
      <c r="E947" s="4"/>
      <c r="F947" s="37"/>
      <c r="G947" s="24"/>
      <c r="H947" s="31">
        <f>_xlfn.XLOOKUP(AP[[#This Row],[Supplier name]], Supplier_master[Supplier name], Supplier_master[Category L1], 0)</f>
        <v>0</v>
      </c>
      <c r="I947" s="64">
        <f>_xlfn.XLOOKUP(AP[[#This Row],[Supplier name]], Supplier_master[Supplier name], Supplier_master[Category L2], 0)</f>
        <v>0</v>
      </c>
      <c r="J947" s="55"/>
      <c r="K947" s="54"/>
      <c r="L947" s="57">
        <f>IF(AP[[#This Row],[Spend category L1 - Override]] &lt;&gt; "", AP[[#This Row],[Spend category L1 - Override]], AP[[#This Row],[Spend category L1]])</f>
        <v>0</v>
      </c>
      <c r="M947" s="57">
        <f>IF(AP[[#This Row],[Spend category L2 - Override]] &lt;&gt; "", AP[[#This Row],[Spend category L2 - Override]], AP[[#This Row],[Spend category L2]])</f>
        <v>0</v>
      </c>
      <c r="N947" s="51">
        <f>Assumptions!$D$15</f>
        <v>0.1</v>
      </c>
      <c r="O947" s="45">
        <f>IF(AP[[#This Row],[GST applies?]] = "Yes", (AP[[#This Row],[Invoice value inc. GST]] / 1 + AP[[#This Row],[GST %]]) * AP[[#This Row],[GST %]], 0)</f>
        <v>0</v>
      </c>
      <c r="P947" s="31">
        <f>_xlfn.XLOOKUP(AP[[#This Row],[Supplier name]], Supplier_master[Supplier name], Supplier_master[EOM or Net], 0)</f>
        <v>0</v>
      </c>
      <c r="Q947" s="31">
        <f>_xlfn.XLOOKUP(AP[[#This Row],[Supplier name]], Supplier_master[Supplier name], Supplier_master[Terms days], 0)</f>
        <v>0</v>
      </c>
      <c r="R9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7" s="4"/>
      <c r="T947" s="46">
        <f>IF(AP[[#This Row],[Payment date - override (dd/mm/yyyy)]] &lt;&gt; "", AP[[#This Row],[Payment date - override (dd/mm/yyyy)]], AP[[#This Row],[Due date (dd/mm/yyyy)]])</f>
        <v>0</v>
      </c>
      <c r="U947" s="46">
        <f t="shared" si="14"/>
        <v>52</v>
      </c>
    </row>
    <row r="948" spans="3:21" x14ac:dyDescent="0.25">
      <c r="C948" s="28"/>
      <c r="D948" s="20"/>
      <c r="E948" s="4"/>
      <c r="F948" s="37"/>
      <c r="G948" s="24"/>
      <c r="H948" s="31">
        <f>_xlfn.XLOOKUP(AP[[#This Row],[Supplier name]], Supplier_master[Supplier name], Supplier_master[Category L1], 0)</f>
        <v>0</v>
      </c>
      <c r="I948" s="64">
        <f>_xlfn.XLOOKUP(AP[[#This Row],[Supplier name]], Supplier_master[Supplier name], Supplier_master[Category L2], 0)</f>
        <v>0</v>
      </c>
      <c r="J948" s="55"/>
      <c r="K948" s="54"/>
      <c r="L948" s="57">
        <f>IF(AP[[#This Row],[Spend category L1 - Override]] &lt;&gt; "", AP[[#This Row],[Spend category L1 - Override]], AP[[#This Row],[Spend category L1]])</f>
        <v>0</v>
      </c>
      <c r="M948" s="57">
        <f>IF(AP[[#This Row],[Spend category L2 - Override]] &lt;&gt; "", AP[[#This Row],[Spend category L2 - Override]], AP[[#This Row],[Spend category L2]])</f>
        <v>0</v>
      </c>
      <c r="N948" s="51">
        <f>Assumptions!$D$15</f>
        <v>0.1</v>
      </c>
      <c r="O948" s="45">
        <f>IF(AP[[#This Row],[GST applies?]] = "Yes", (AP[[#This Row],[Invoice value inc. GST]] / 1 + AP[[#This Row],[GST %]]) * AP[[#This Row],[GST %]], 0)</f>
        <v>0</v>
      </c>
      <c r="P948" s="31">
        <f>_xlfn.XLOOKUP(AP[[#This Row],[Supplier name]], Supplier_master[Supplier name], Supplier_master[EOM or Net], 0)</f>
        <v>0</v>
      </c>
      <c r="Q948" s="31">
        <f>_xlfn.XLOOKUP(AP[[#This Row],[Supplier name]], Supplier_master[Supplier name], Supplier_master[Terms days], 0)</f>
        <v>0</v>
      </c>
      <c r="R9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8" s="4"/>
      <c r="T948" s="46">
        <f>IF(AP[[#This Row],[Payment date - override (dd/mm/yyyy)]] &lt;&gt; "", AP[[#This Row],[Payment date - override (dd/mm/yyyy)]], AP[[#This Row],[Due date (dd/mm/yyyy)]])</f>
        <v>0</v>
      </c>
      <c r="U948" s="46">
        <f t="shared" si="14"/>
        <v>52</v>
      </c>
    </row>
    <row r="949" spans="3:21" x14ac:dyDescent="0.25">
      <c r="C949" s="28"/>
      <c r="D949" s="20"/>
      <c r="E949" s="4"/>
      <c r="F949" s="37"/>
      <c r="G949" s="24"/>
      <c r="H949" s="31">
        <f>_xlfn.XLOOKUP(AP[[#This Row],[Supplier name]], Supplier_master[Supplier name], Supplier_master[Category L1], 0)</f>
        <v>0</v>
      </c>
      <c r="I949" s="64">
        <f>_xlfn.XLOOKUP(AP[[#This Row],[Supplier name]], Supplier_master[Supplier name], Supplier_master[Category L2], 0)</f>
        <v>0</v>
      </c>
      <c r="J949" s="55"/>
      <c r="K949" s="54"/>
      <c r="L949" s="57">
        <f>IF(AP[[#This Row],[Spend category L1 - Override]] &lt;&gt; "", AP[[#This Row],[Spend category L1 - Override]], AP[[#This Row],[Spend category L1]])</f>
        <v>0</v>
      </c>
      <c r="M949" s="57">
        <f>IF(AP[[#This Row],[Spend category L2 - Override]] &lt;&gt; "", AP[[#This Row],[Spend category L2 - Override]], AP[[#This Row],[Spend category L2]])</f>
        <v>0</v>
      </c>
      <c r="N949" s="51">
        <f>Assumptions!$D$15</f>
        <v>0.1</v>
      </c>
      <c r="O949" s="45">
        <f>IF(AP[[#This Row],[GST applies?]] = "Yes", (AP[[#This Row],[Invoice value inc. GST]] / 1 + AP[[#This Row],[GST %]]) * AP[[#This Row],[GST %]], 0)</f>
        <v>0</v>
      </c>
      <c r="P949" s="31">
        <f>_xlfn.XLOOKUP(AP[[#This Row],[Supplier name]], Supplier_master[Supplier name], Supplier_master[EOM or Net], 0)</f>
        <v>0</v>
      </c>
      <c r="Q949" s="31">
        <f>_xlfn.XLOOKUP(AP[[#This Row],[Supplier name]], Supplier_master[Supplier name], Supplier_master[Terms days], 0)</f>
        <v>0</v>
      </c>
      <c r="R9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9" s="4"/>
      <c r="T949" s="46">
        <f>IF(AP[[#This Row],[Payment date - override (dd/mm/yyyy)]] &lt;&gt; "", AP[[#This Row],[Payment date - override (dd/mm/yyyy)]], AP[[#This Row],[Due date (dd/mm/yyyy)]])</f>
        <v>0</v>
      </c>
      <c r="U949" s="46">
        <f t="shared" si="14"/>
        <v>52</v>
      </c>
    </row>
    <row r="950" spans="3:21" x14ac:dyDescent="0.25">
      <c r="C950" s="28"/>
      <c r="D950" s="20"/>
      <c r="E950" s="4"/>
      <c r="F950" s="37"/>
      <c r="G950" s="24"/>
      <c r="H950" s="31">
        <f>_xlfn.XLOOKUP(AP[[#This Row],[Supplier name]], Supplier_master[Supplier name], Supplier_master[Category L1], 0)</f>
        <v>0</v>
      </c>
      <c r="I950" s="64">
        <f>_xlfn.XLOOKUP(AP[[#This Row],[Supplier name]], Supplier_master[Supplier name], Supplier_master[Category L2], 0)</f>
        <v>0</v>
      </c>
      <c r="J950" s="55"/>
      <c r="K950" s="54"/>
      <c r="L950" s="57">
        <f>IF(AP[[#This Row],[Spend category L1 - Override]] &lt;&gt; "", AP[[#This Row],[Spend category L1 - Override]], AP[[#This Row],[Spend category L1]])</f>
        <v>0</v>
      </c>
      <c r="M950" s="57">
        <f>IF(AP[[#This Row],[Spend category L2 - Override]] &lt;&gt; "", AP[[#This Row],[Spend category L2 - Override]], AP[[#This Row],[Spend category L2]])</f>
        <v>0</v>
      </c>
      <c r="N950" s="51">
        <f>Assumptions!$D$15</f>
        <v>0.1</v>
      </c>
      <c r="O950" s="45">
        <f>IF(AP[[#This Row],[GST applies?]] = "Yes", (AP[[#This Row],[Invoice value inc. GST]] / 1 + AP[[#This Row],[GST %]]) * AP[[#This Row],[GST %]], 0)</f>
        <v>0</v>
      </c>
      <c r="P950" s="31">
        <f>_xlfn.XLOOKUP(AP[[#This Row],[Supplier name]], Supplier_master[Supplier name], Supplier_master[EOM or Net], 0)</f>
        <v>0</v>
      </c>
      <c r="Q950" s="31">
        <f>_xlfn.XLOOKUP(AP[[#This Row],[Supplier name]], Supplier_master[Supplier name], Supplier_master[Terms days], 0)</f>
        <v>0</v>
      </c>
      <c r="R9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0" s="4"/>
      <c r="T950" s="46">
        <f>IF(AP[[#This Row],[Payment date - override (dd/mm/yyyy)]] &lt;&gt; "", AP[[#This Row],[Payment date - override (dd/mm/yyyy)]], AP[[#This Row],[Due date (dd/mm/yyyy)]])</f>
        <v>0</v>
      </c>
      <c r="U950" s="46">
        <f t="shared" si="14"/>
        <v>52</v>
      </c>
    </row>
    <row r="951" spans="3:21" x14ac:dyDescent="0.25">
      <c r="C951" s="28"/>
      <c r="D951" s="20"/>
      <c r="E951" s="4"/>
      <c r="F951" s="37"/>
      <c r="G951" s="24"/>
      <c r="H951" s="31">
        <f>_xlfn.XLOOKUP(AP[[#This Row],[Supplier name]], Supplier_master[Supplier name], Supplier_master[Category L1], 0)</f>
        <v>0</v>
      </c>
      <c r="I951" s="64">
        <f>_xlfn.XLOOKUP(AP[[#This Row],[Supplier name]], Supplier_master[Supplier name], Supplier_master[Category L2], 0)</f>
        <v>0</v>
      </c>
      <c r="J951" s="55"/>
      <c r="K951" s="54"/>
      <c r="L951" s="57">
        <f>IF(AP[[#This Row],[Spend category L1 - Override]] &lt;&gt; "", AP[[#This Row],[Spend category L1 - Override]], AP[[#This Row],[Spend category L1]])</f>
        <v>0</v>
      </c>
      <c r="M951" s="57">
        <f>IF(AP[[#This Row],[Spend category L2 - Override]] &lt;&gt; "", AP[[#This Row],[Spend category L2 - Override]], AP[[#This Row],[Spend category L2]])</f>
        <v>0</v>
      </c>
      <c r="N951" s="51">
        <f>Assumptions!$D$15</f>
        <v>0.1</v>
      </c>
      <c r="O951" s="45">
        <f>IF(AP[[#This Row],[GST applies?]] = "Yes", (AP[[#This Row],[Invoice value inc. GST]] / 1 + AP[[#This Row],[GST %]]) * AP[[#This Row],[GST %]], 0)</f>
        <v>0</v>
      </c>
      <c r="P951" s="31">
        <f>_xlfn.XLOOKUP(AP[[#This Row],[Supplier name]], Supplier_master[Supplier name], Supplier_master[EOM or Net], 0)</f>
        <v>0</v>
      </c>
      <c r="Q951" s="31">
        <f>_xlfn.XLOOKUP(AP[[#This Row],[Supplier name]], Supplier_master[Supplier name], Supplier_master[Terms days], 0)</f>
        <v>0</v>
      </c>
      <c r="R9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1" s="4"/>
      <c r="T951" s="46">
        <f>IF(AP[[#This Row],[Payment date - override (dd/mm/yyyy)]] &lt;&gt; "", AP[[#This Row],[Payment date - override (dd/mm/yyyy)]], AP[[#This Row],[Due date (dd/mm/yyyy)]])</f>
        <v>0</v>
      </c>
      <c r="U951" s="46">
        <f t="shared" si="14"/>
        <v>52</v>
      </c>
    </row>
    <row r="952" spans="3:21" x14ac:dyDescent="0.25">
      <c r="C952" s="28"/>
      <c r="D952" s="20"/>
      <c r="E952" s="4"/>
      <c r="F952" s="37"/>
      <c r="G952" s="24"/>
      <c r="H952" s="31">
        <f>_xlfn.XLOOKUP(AP[[#This Row],[Supplier name]], Supplier_master[Supplier name], Supplier_master[Category L1], 0)</f>
        <v>0</v>
      </c>
      <c r="I952" s="64">
        <f>_xlfn.XLOOKUP(AP[[#This Row],[Supplier name]], Supplier_master[Supplier name], Supplier_master[Category L2], 0)</f>
        <v>0</v>
      </c>
      <c r="J952" s="55"/>
      <c r="K952" s="54"/>
      <c r="L952" s="57">
        <f>IF(AP[[#This Row],[Spend category L1 - Override]] &lt;&gt; "", AP[[#This Row],[Spend category L1 - Override]], AP[[#This Row],[Spend category L1]])</f>
        <v>0</v>
      </c>
      <c r="M952" s="57">
        <f>IF(AP[[#This Row],[Spend category L2 - Override]] &lt;&gt; "", AP[[#This Row],[Spend category L2 - Override]], AP[[#This Row],[Spend category L2]])</f>
        <v>0</v>
      </c>
      <c r="N952" s="51">
        <f>Assumptions!$D$15</f>
        <v>0.1</v>
      </c>
      <c r="O952" s="45">
        <f>IF(AP[[#This Row],[GST applies?]] = "Yes", (AP[[#This Row],[Invoice value inc. GST]] / 1 + AP[[#This Row],[GST %]]) * AP[[#This Row],[GST %]], 0)</f>
        <v>0</v>
      </c>
      <c r="P952" s="31">
        <f>_xlfn.XLOOKUP(AP[[#This Row],[Supplier name]], Supplier_master[Supplier name], Supplier_master[EOM or Net], 0)</f>
        <v>0</v>
      </c>
      <c r="Q952" s="31">
        <f>_xlfn.XLOOKUP(AP[[#This Row],[Supplier name]], Supplier_master[Supplier name], Supplier_master[Terms days], 0)</f>
        <v>0</v>
      </c>
      <c r="R9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2" s="4"/>
      <c r="T952" s="46">
        <f>IF(AP[[#This Row],[Payment date - override (dd/mm/yyyy)]] &lt;&gt; "", AP[[#This Row],[Payment date - override (dd/mm/yyyy)]], AP[[#This Row],[Due date (dd/mm/yyyy)]])</f>
        <v>0</v>
      </c>
      <c r="U952" s="46">
        <f t="shared" si="14"/>
        <v>52</v>
      </c>
    </row>
    <row r="953" spans="3:21" x14ac:dyDescent="0.25">
      <c r="C953" s="28"/>
      <c r="D953" s="20"/>
      <c r="E953" s="4"/>
      <c r="F953" s="37"/>
      <c r="G953" s="24"/>
      <c r="H953" s="31">
        <f>_xlfn.XLOOKUP(AP[[#This Row],[Supplier name]], Supplier_master[Supplier name], Supplier_master[Category L1], 0)</f>
        <v>0</v>
      </c>
      <c r="I953" s="64">
        <f>_xlfn.XLOOKUP(AP[[#This Row],[Supplier name]], Supplier_master[Supplier name], Supplier_master[Category L2], 0)</f>
        <v>0</v>
      </c>
      <c r="J953" s="55"/>
      <c r="K953" s="54"/>
      <c r="L953" s="57">
        <f>IF(AP[[#This Row],[Spend category L1 - Override]] &lt;&gt; "", AP[[#This Row],[Spend category L1 - Override]], AP[[#This Row],[Spend category L1]])</f>
        <v>0</v>
      </c>
      <c r="M953" s="57">
        <f>IF(AP[[#This Row],[Spend category L2 - Override]] &lt;&gt; "", AP[[#This Row],[Spend category L2 - Override]], AP[[#This Row],[Spend category L2]])</f>
        <v>0</v>
      </c>
      <c r="N953" s="51">
        <f>Assumptions!$D$15</f>
        <v>0.1</v>
      </c>
      <c r="O953" s="45">
        <f>IF(AP[[#This Row],[GST applies?]] = "Yes", (AP[[#This Row],[Invoice value inc. GST]] / 1 + AP[[#This Row],[GST %]]) * AP[[#This Row],[GST %]], 0)</f>
        <v>0</v>
      </c>
      <c r="P953" s="31">
        <f>_xlfn.XLOOKUP(AP[[#This Row],[Supplier name]], Supplier_master[Supplier name], Supplier_master[EOM or Net], 0)</f>
        <v>0</v>
      </c>
      <c r="Q953" s="31">
        <f>_xlfn.XLOOKUP(AP[[#This Row],[Supplier name]], Supplier_master[Supplier name], Supplier_master[Terms days], 0)</f>
        <v>0</v>
      </c>
      <c r="R9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3" s="4"/>
      <c r="T953" s="46">
        <f>IF(AP[[#This Row],[Payment date - override (dd/mm/yyyy)]] &lt;&gt; "", AP[[#This Row],[Payment date - override (dd/mm/yyyy)]], AP[[#This Row],[Due date (dd/mm/yyyy)]])</f>
        <v>0</v>
      </c>
      <c r="U953" s="46">
        <f t="shared" si="14"/>
        <v>52</v>
      </c>
    </row>
    <row r="954" spans="3:21" x14ac:dyDescent="0.25">
      <c r="C954" s="28"/>
      <c r="D954" s="20"/>
      <c r="E954" s="4"/>
      <c r="F954" s="37"/>
      <c r="G954" s="24"/>
      <c r="H954" s="31">
        <f>_xlfn.XLOOKUP(AP[[#This Row],[Supplier name]], Supplier_master[Supplier name], Supplier_master[Category L1], 0)</f>
        <v>0</v>
      </c>
      <c r="I954" s="64">
        <f>_xlfn.XLOOKUP(AP[[#This Row],[Supplier name]], Supplier_master[Supplier name], Supplier_master[Category L2], 0)</f>
        <v>0</v>
      </c>
      <c r="J954" s="55"/>
      <c r="K954" s="54"/>
      <c r="L954" s="57">
        <f>IF(AP[[#This Row],[Spend category L1 - Override]] &lt;&gt; "", AP[[#This Row],[Spend category L1 - Override]], AP[[#This Row],[Spend category L1]])</f>
        <v>0</v>
      </c>
      <c r="M954" s="57">
        <f>IF(AP[[#This Row],[Spend category L2 - Override]] &lt;&gt; "", AP[[#This Row],[Spend category L2 - Override]], AP[[#This Row],[Spend category L2]])</f>
        <v>0</v>
      </c>
      <c r="N954" s="51">
        <f>Assumptions!$D$15</f>
        <v>0.1</v>
      </c>
      <c r="O954" s="45">
        <f>IF(AP[[#This Row],[GST applies?]] = "Yes", (AP[[#This Row],[Invoice value inc. GST]] / 1 + AP[[#This Row],[GST %]]) * AP[[#This Row],[GST %]], 0)</f>
        <v>0</v>
      </c>
      <c r="P954" s="31">
        <f>_xlfn.XLOOKUP(AP[[#This Row],[Supplier name]], Supplier_master[Supplier name], Supplier_master[EOM or Net], 0)</f>
        <v>0</v>
      </c>
      <c r="Q954" s="31">
        <f>_xlfn.XLOOKUP(AP[[#This Row],[Supplier name]], Supplier_master[Supplier name], Supplier_master[Terms days], 0)</f>
        <v>0</v>
      </c>
      <c r="R9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4" s="4"/>
      <c r="T954" s="46">
        <f>IF(AP[[#This Row],[Payment date - override (dd/mm/yyyy)]] &lt;&gt; "", AP[[#This Row],[Payment date - override (dd/mm/yyyy)]], AP[[#This Row],[Due date (dd/mm/yyyy)]])</f>
        <v>0</v>
      </c>
      <c r="U954" s="46">
        <f t="shared" si="14"/>
        <v>52</v>
      </c>
    </row>
    <row r="955" spans="3:21" x14ac:dyDescent="0.25">
      <c r="C955" s="28"/>
      <c r="D955" s="20"/>
      <c r="E955" s="4"/>
      <c r="F955" s="37"/>
      <c r="G955" s="24"/>
      <c r="H955" s="31">
        <f>_xlfn.XLOOKUP(AP[[#This Row],[Supplier name]], Supplier_master[Supplier name], Supplier_master[Category L1], 0)</f>
        <v>0</v>
      </c>
      <c r="I955" s="64">
        <f>_xlfn.XLOOKUP(AP[[#This Row],[Supplier name]], Supplier_master[Supplier name], Supplier_master[Category L2], 0)</f>
        <v>0</v>
      </c>
      <c r="J955" s="55"/>
      <c r="K955" s="54"/>
      <c r="L955" s="57">
        <f>IF(AP[[#This Row],[Spend category L1 - Override]] &lt;&gt; "", AP[[#This Row],[Spend category L1 - Override]], AP[[#This Row],[Spend category L1]])</f>
        <v>0</v>
      </c>
      <c r="M955" s="57">
        <f>IF(AP[[#This Row],[Spend category L2 - Override]] &lt;&gt; "", AP[[#This Row],[Spend category L2 - Override]], AP[[#This Row],[Spend category L2]])</f>
        <v>0</v>
      </c>
      <c r="N955" s="51">
        <f>Assumptions!$D$15</f>
        <v>0.1</v>
      </c>
      <c r="O955" s="45">
        <f>IF(AP[[#This Row],[GST applies?]] = "Yes", (AP[[#This Row],[Invoice value inc. GST]] / 1 + AP[[#This Row],[GST %]]) * AP[[#This Row],[GST %]], 0)</f>
        <v>0</v>
      </c>
      <c r="P955" s="31">
        <f>_xlfn.XLOOKUP(AP[[#This Row],[Supplier name]], Supplier_master[Supplier name], Supplier_master[EOM or Net], 0)</f>
        <v>0</v>
      </c>
      <c r="Q955" s="31">
        <f>_xlfn.XLOOKUP(AP[[#This Row],[Supplier name]], Supplier_master[Supplier name], Supplier_master[Terms days], 0)</f>
        <v>0</v>
      </c>
      <c r="R9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5" s="4"/>
      <c r="T955" s="46">
        <f>IF(AP[[#This Row],[Payment date - override (dd/mm/yyyy)]] &lt;&gt; "", AP[[#This Row],[Payment date - override (dd/mm/yyyy)]], AP[[#This Row],[Due date (dd/mm/yyyy)]])</f>
        <v>0</v>
      </c>
      <c r="U955" s="46">
        <f t="shared" si="14"/>
        <v>52</v>
      </c>
    </row>
    <row r="956" spans="3:21" x14ac:dyDescent="0.25">
      <c r="C956" s="28"/>
      <c r="D956" s="20"/>
      <c r="E956" s="4"/>
      <c r="F956" s="37"/>
      <c r="G956" s="24"/>
      <c r="H956" s="31">
        <f>_xlfn.XLOOKUP(AP[[#This Row],[Supplier name]], Supplier_master[Supplier name], Supplier_master[Category L1], 0)</f>
        <v>0</v>
      </c>
      <c r="I956" s="64">
        <f>_xlfn.XLOOKUP(AP[[#This Row],[Supplier name]], Supplier_master[Supplier name], Supplier_master[Category L2], 0)</f>
        <v>0</v>
      </c>
      <c r="J956" s="55"/>
      <c r="K956" s="54"/>
      <c r="L956" s="57">
        <f>IF(AP[[#This Row],[Spend category L1 - Override]] &lt;&gt; "", AP[[#This Row],[Spend category L1 - Override]], AP[[#This Row],[Spend category L1]])</f>
        <v>0</v>
      </c>
      <c r="M956" s="57">
        <f>IF(AP[[#This Row],[Spend category L2 - Override]] &lt;&gt; "", AP[[#This Row],[Spend category L2 - Override]], AP[[#This Row],[Spend category L2]])</f>
        <v>0</v>
      </c>
      <c r="N956" s="51">
        <f>Assumptions!$D$15</f>
        <v>0.1</v>
      </c>
      <c r="O956" s="45">
        <f>IF(AP[[#This Row],[GST applies?]] = "Yes", (AP[[#This Row],[Invoice value inc. GST]] / 1 + AP[[#This Row],[GST %]]) * AP[[#This Row],[GST %]], 0)</f>
        <v>0</v>
      </c>
      <c r="P956" s="31">
        <f>_xlfn.XLOOKUP(AP[[#This Row],[Supplier name]], Supplier_master[Supplier name], Supplier_master[EOM or Net], 0)</f>
        <v>0</v>
      </c>
      <c r="Q956" s="31">
        <f>_xlfn.XLOOKUP(AP[[#This Row],[Supplier name]], Supplier_master[Supplier name], Supplier_master[Terms days], 0)</f>
        <v>0</v>
      </c>
      <c r="R9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6" s="4"/>
      <c r="T956" s="46">
        <f>IF(AP[[#This Row],[Payment date - override (dd/mm/yyyy)]] &lt;&gt; "", AP[[#This Row],[Payment date - override (dd/mm/yyyy)]], AP[[#This Row],[Due date (dd/mm/yyyy)]])</f>
        <v>0</v>
      </c>
      <c r="U956" s="46">
        <f t="shared" si="14"/>
        <v>52</v>
      </c>
    </row>
    <row r="957" spans="3:21" x14ac:dyDescent="0.25">
      <c r="C957" s="28"/>
      <c r="D957" s="20"/>
      <c r="E957" s="4"/>
      <c r="F957" s="37"/>
      <c r="G957" s="24"/>
      <c r="H957" s="31">
        <f>_xlfn.XLOOKUP(AP[[#This Row],[Supplier name]], Supplier_master[Supplier name], Supplier_master[Category L1], 0)</f>
        <v>0</v>
      </c>
      <c r="I957" s="64">
        <f>_xlfn.XLOOKUP(AP[[#This Row],[Supplier name]], Supplier_master[Supplier name], Supplier_master[Category L2], 0)</f>
        <v>0</v>
      </c>
      <c r="J957" s="55"/>
      <c r="K957" s="54"/>
      <c r="L957" s="57">
        <f>IF(AP[[#This Row],[Spend category L1 - Override]] &lt;&gt; "", AP[[#This Row],[Spend category L1 - Override]], AP[[#This Row],[Spend category L1]])</f>
        <v>0</v>
      </c>
      <c r="M957" s="57">
        <f>IF(AP[[#This Row],[Spend category L2 - Override]] &lt;&gt; "", AP[[#This Row],[Spend category L2 - Override]], AP[[#This Row],[Spend category L2]])</f>
        <v>0</v>
      </c>
      <c r="N957" s="51">
        <f>Assumptions!$D$15</f>
        <v>0.1</v>
      </c>
      <c r="O957" s="45">
        <f>IF(AP[[#This Row],[GST applies?]] = "Yes", (AP[[#This Row],[Invoice value inc. GST]] / 1 + AP[[#This Row],[GST %]]) * AP[[#This Row],[GST %]], 0)</f>
        <v>0</v>
      </c>
      <c r="P957" s="31">
        <f>_xlfn.XLOOKUP(AP[[#This Row],[Supplier name]], Supplier_master[Supplier name], Supplier_master[EOM or Net], 0)</f>
        <v>0</v>
      </c>
      <c r="Q957" s="31">
        <f>_xlfn.XLOOKUP(AP[[#This Row],[Supplier name]], Supplier_master[Supplier name], Supplier_master[Terms days], 0)</f>
        <v>0</v>
      </c>
      <c r="R9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7" s="4"/>
      <c r="T957" s="46">
        <f>IF(AP[[#This Row],[Payment date - override (dd/mm/yyyy)]] &lt;&gt; "", AP[[#This Row],[Payment date - override (dd/mm/yyyy)]], AP[[#This Row],[Due date (dd/mm/yyyy)]])</f>
        <v>0</v>
      </c>
      <c r="U957" s="46">
        <f t="shared" si="14"/>
        <v>52</v>
      </c>
    </row>
    <row r="958" spans="3:21" x14ac:dyDescent="0.25">
      <c r="C958" s="28"/>
      <c r="D958" s="20"/>
      <c r="E958" s="4"/>
      <c r="F958" s="37"/>
      <c r="G958" s="24"/>
      <c r="H958" s="31">
        <f>_xlfn.XLOOKUP(AP[[#This Row],[Supplier name]], Supplier_master[Supplier name], Supplier_master[Category L1], 0)</f>
        <v>0</v>
      </c>
      <c r="I958" s="64">
        <f>_xlfn.XLOOKUP(AP[[#This Row],[Supplier name]], Supplier_master[Supplier name], Supplier_master[Category L2], 0)</f>
        <v>0</v>
      </c>
      <c r="J958" s="55"/>
      <c r="K958" s="54"/>
      <c r="L958" s="57">
        <f>IF(AP[[#This Row],[Spend category L1 - Override]] &lt;&gt; "", AP[[#This Row],[Spend category L1 - Override]], AP[[#This Row],[Spend category L1]])</f>
        <v>0</v>
      </c>
      <c r="M958" s="57">
        <f>IF(AP[[#This Row],[Spend category L2 - Override]] &lt;&gt; "", AP[[#This Row],[Spend category L2 - Override]], AP[[#This Row],[Spend category L2]])</f>
        <v>0</v>
      </c>
      <c r="N958" s="51">
        <f>Assumptions!$D$15</f>
        <v>0.1</v>
      </c>
      <c r="O958" s="45">
        <f>IF(AP[[#This Row],[GST applies?]] = "Yes", (AP[[#This Row],[Invoice value inc. GST]] / 1 + AP[[#This Row],[GST %]]) * AP[[#This Row],[GST %]], 0)</f>
        <v>0</v>
      </c>
      <c r="P958" s="31">
        <f>_xlfn.XLOOKUP(AP[[#This Row],[Supplier name]], Supplier_master[Supplier name], Supplier_master[EOM or Net], 0)</f>
        <v>0</v>
      </c>
      <c r="Q958" s="31">
        <f>_xlfn.XLOOKUP(AP[[#This Row],[Supplier name]], Supplier_master[Supplier name], Supplier_master[Terms days], 0)</f>
        <v>0</v>
      </c>
      <c r="R9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8" s="4"/>
      <c r="T958" s="46">
        <f>IF(AP[[#This Row],[Payment date - override (dd/mm/yyyy)]] &lt;&gt; "", AP[[#This Row],[Payment date - override (dd/mm/yyyy)]], AP[[#This Row],[Due date (dd/mm/yyyy)]])</f>
        <v>0</v>
      </c>
      <c r="U958" s="46">
        <f t="shared" si="14"/>
        <v>52</v>
      </c>
    </row>
    <row r="959" spans="3:21" x14ac:dyDescent="0.25">
      <c r="C959" s="28"/>
      <c r="D959" s="20"/>
      <c r="E959" s="4"/>
      <c r="F959" s="37"/>
      <c r="G959" s="24"/>
      <c r="H959" s="31">
        <f>_xlfn.XLOOKUP(AP[[#This Row],[Supplier name]], Supplier_master[Supplier name], Supplier_master[Category L1], 0)</f>
        <v>0</v>
      </c>
      <c r="I959" s="64">
        <f>_xlfn.XLOOKUP(AP[[#This Row],[Supplier name]], Supplier_master[Supplier name], Supplier_master[Category L2], 0)</f>
        <v>0</v>
      </c>
      <c r="J959" s="55"/>
      <c r="K959" s="54"/>
      <c r="L959" s="57">
        <f>IF(AP[[#This Row],[Spend category L1 - Override]] &lt;&gt; "", AP[[#This Row],[Spend category L1 - Override]], AP[[#This Row],[Spend category L1]])</f>
        <v>0</v>
      </c>
      <c r="M959" s="57">
        <f>IF(AP[[#This Row],[Spend category L2 - Override]] &lt;&gt; "", AP[[#This Row],[Spend category L2 - Override]], AP[[#This Row],[Spend category L2]])</f>
        <v>0</v>
      </c>
      <c r="N959" s="51">
        <f>Assumptions!$D$15</f>
        <v>0.1</v>
      </c>
      <c r="O959" s="45">
        <f>IF(AP[[#This Row],[GST applies?]] = "Yes", (AP[[#This Row],[Invoice value inc. GST]] / 1 + AP[[#This Row],[GST %]]) * AP[[#This Row],[GST %]], 0)</f>
        <v>0</v>
      </c>
      <c r="P959" s="31">
        <f>_xlfn.XLOOKUP(AP[[#This Row],[Supplier name]], Supplier_master[Supplier name], Supplier_master[EOM or Net], 0)</f>
        <v>0</v>
      </c>
      <c r="Q959" s="31">
        <f>_xlfn.XLOOKUP(AP[[#This Row],[Supplier name]], Supplier_master[Supplier name], Supplier_master[Terms days], 0)</f>
        <v>0</v>
      </c>
      <c r="R9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9" s="4"/>
      <c r="T959" s="46">
        <f>IF(AP[[#This Row],[Payment date - override (dd/mm/yyyy)]] &lt;&gt; "", AP[[#This Row],[Payment date - override (dd/mm/yyyy)]], AP[[#This Row],[Due date (dd/mm/yyyy)]])</f>
        <v>0</v>
      </c>
      <c r="U959" s="46">
        <f t="shared" si="14"/>
        <v>52</v>
      </c>
    </row>
    <row r="960" spans="3:21" x14ac:dyDescent="0.25">
      <c r="C960" s="28"/>
      <c r="D960" s="20"/>
      <c r="E960" s="4"/>
      <c r="F960" s="37"/>
      <c r="G960" s="24"/>
      <c r="H960" s="31">
        <f>_xlfn.XLOOKUP(AP[[#This Row],[Supplier name]], Supplier_master[Supplier name], Supplier_master[Category L1], 0)</f>
        <v>0</v>
      </c>
      <c r="I960" s="64">
        <f>_xlfn.XLOOKUP(AP[[#This Row],[Supplier name]], Supplier_master[Supplier name], Supplier_master[Category L2], 0)</f>
        <v>0</v>
      </c>
      <c r="J960" s="55"/>
      <c r="K960" s="54"/>
      <c r="L960" s="57">
        <f>IF(AP[[#This Row],[Spend category L1 - Override]] &lt;&gt; "", AP[[#This Row],[Spend category L1 - Override]], AP[[#This Row],[Spend category L1]])</f>
        <v>0</v>
      </c>
      <c r="M960" s="57">
        <f>IF(AP[[#This Row],[Spend category L2 - Override]] &lt;&gt; "", AP[[#This Row],[Spend category L2 - Override]], AP[[#This Row],[Spend category L2]])</f>
        <v>0</v>
      </c>
      <c r="N960" s="51">
        <f>Assumptions!$D$15</f>
        <v>0.1</v>
      </c>
      <c r="O960" s="45">
        <f>IF(AP[[#This Row],[GST applies?]] = "Yes", (AP[[#This Row],[Invoice value inc. GST]] / 1 + AP[[#This Row],[GST %]]) * AP[[#This Row],[GST %]], 0)</f>
        <v>0</v>
      </c>
      <c r="P960" s="31">
        <f>_xlfn.XLOOKUP(AP[[#This Row],[Supplier name]], Supplier_master[Supplier name], Supplier_master[EOM or Net], 0)</f>
        <v>0</v>
      </c>
      <c r="Q960" s="31">
        <f>_xlfn.XLOOKUP(AP[[#This Row],[Supplier name]], Supplier_master[Supplier name], Supplier_master[Terms days], 0)</f>
        <v>0</v>
      </c>
      <c r="R9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0" s="4"/>
      <c r="T960" s="46">
        <f>IF(AP[[#This Row],[Payment date - override (dd/mm/yyyy)]] &lt;&gt; "", AP[[#This Row],[Payment date - override (dd/mm/yyyy)]], AP[[#This Row],[Due date (dd/mm/yyyy)]])</f>
        <v>0</v>
      </c>
      <c r="U960" s="46">
        <f t="shared" si="14"/>
        <v>52</v>
      </c>
    </row>
    <row r="961" spans="3:21" x14ac:dyDescent="0.25">
      <c r="C961" s="28"/>
      <c r="D961" s="20"/>
      <c r="E961" s="4"/>
      <c r="F961" s="37"/>
      <c r="G961" s="24"/>
      <c r="H961" s="31">
        <f>_xlfn.XLOOKUP(AP[[#This Row],[Supplier name]], Supplier_master[Supplier name], Supplier_master[Category L1], 0)</f>
        <v>0</v>
      </c>
      <c r="I961" s="64">
        <f>_xlfn.XLOOKUP(AP[[#This Row],[Supplier name]], Supplier_master[Supplier name], Supplier_master[Category L2], 0)</f>
        <v>0</v>
      </c>
      <c r="J961" s="55"/>
      <c r="K961" s="54"/>
      <c r="L961" s="57">
        <f>IF(AP[[#This Row],[Spend category L1 - Override]] &lt;&gt; "", AP[[#This Row],[Spend category L1 - Override]], AP[[#This Row],[Spend category L1]])</f>
        <v>0</v>
      </c>
      <c r="M961" s="57">
        <f>IF(AP[[#This Row],[Spend category L2 - Override]] &lt;&gt; "", AP[[#This Row],[Spend category L2 - Override]], AP[[#This Row],[Spend category L2]])</f>
        <v>0</v>
      </c>
      <c r="N961" s="51">
        <f>Assumptions!$D$15</f>
        <v>0.1</v>
      </c>
      <c r="O961" s="45">
        <f>IF(AP[[#This Row],[GST applies?]] = "Yes", (AP[[#This Row],[Invoice value inc. GST]] / 1 + AP[[#This Row],[GST %]]) * AP[[#This Row],[GST %]], 0)</f>
        <v>0</v>
      </c>
      <c r="P961" s="31">
        <f>_xlfn.XLOOKUP(AP[[#This Row],[Supplier name]], Supplier_master[Supplier name], Supplier_master[EOM or Net], 0)</f>
        <v>0</v>
      </c>
      <c r="Q961" s="31">
        <f>_xlfn.XLOOKUP(AP[[#This Row],[Supplier name]], Supplier_master[Supplier name], Supplier_master[Terms days], 0)</f>
        <v>0</v>
      </c>
      <c r="R9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1" s="4"/>
      <c r="T961" s="46">
        <f>IF(AP[[#This Row],[Payment date - override (dd/mm/yyyy)]] &lt;&gt; "", AP[[#This Row],[Payment date - override (dd/mm/yyyy)]], AP[[#This Row],[Due date (dd/mm/yyyy)]])</f>
        <v>0</v>
      </c>
      <c r="U961" s="46">
        <f t="shared" si="14"/>
        <v>52</v>
      </c>
    </row>
    <row r="962" spans="3:21" x14ac:dyDescent="0.25">
      <c r="C962" s="28"/>
      <c r="D962" s="20"/>
      <c r="E962" s="4"/>
      <c r="F962" s="37"/>
      <c r="G962" s="24"/>
      <c r="H962" s="31">
        <f>_xlfn.XLOOKUP(AP[[#This Row],[Supplier name]], Supplier_master[Supplier name], Supplier_master[Category L1], 0)</f>
        <v>0</v>
      </c>
      <c r="I962" s="64">
        <f>_xlfn.XLOOKUP(AP[[#This Row],[Supplier name]], Supplier_master[Supplier name], Supplier_master[Category L2], 0)</f>
        <v>0</v>
      </c>
      <c r="J962" s="55"/>
      <c r="K962" s="54"/>
      <c r="L962" s="57">
        <f>IF(AP[[#This Row],[Spend category L1 - Override]] &lt;&gt; "", AP[[#This Row],[Spend category L1 - Override]], AP[[#This Row],[Spend category L1]])</f>
        <v>0</v>
      </c>
      <c r="M962" s="57">
        <f>IF(AP[[#This Row],[Spend category L2 - Override]] &lt;&gt; "", AP[[#This Row],[Spend category L2 - Override]], AP[[#This Row],[Spend category L2]])</f>
        <v>0</v>
      </c>
      <c r="N962" s="51">
        <f>Assumptions!$D$15</f>
        <v>0.1</v>
      </c>
      <c r="O962" s="45">
        <f>IF(AP[[#This Row],[GST applies?]] = "Yes", (AP[[#This Row],[Invoice value inc. GST]] / 1 + AP[[#This Row],[GST %]]) * AP[[#This Row],[GST %]], 0)</f>
        <v>0</v>
      </c>
      <c r="P962" s="31">
        <f>_xlfn.XLOOKUP(AP[[#This Row],[Supplier name]], Supplier_master[Supplier name], Supplier_master[EOM or Net], 0)</f>
        <v>0</v>
      </c>
      <c r="Q962" s="31">
        <f>_xlfn.XLOOKUP(AP[[#This Row],[Supplier name]], Supplier_master[Supplier name], Supplier_master[Terms days], 0)</f>
        <v>0</v>
      </c>
      <c r="R9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2" s="4"/>
      <c r="T962" s="46">
        <f>IF(AP[[#This Row],[Payment date - override (dd/mm/yyyy)]] &lt;&gt; "", AP[[#This Row],[Payment date - override (dd/mm/yyyy)]], AP[[#This Row],[Due date (dd/mm/yyyy)]])</f>
        <v>0</v>
      </c>
      <c r="U962" s="46">
        <f t="shared" si="14"/>
        <v>52</v>
      </c>
    </row>
    <row r="963" spans="3:21" x14ac:dyDescent="0.25">
      <c r="C963" s="28"/>
      <c r="D963" s="20"/>
      <c r="E963" s="4"/>
      <c r="F963" s="37"/>
      <c r="G963" s="24"/>
      <c r="H963" s="31">
        <f>_xlfn.XLOOKUP(AP[[#This Row],[Supplier name]], Supplier_master[Supplier name], Supplier_master[Category L1], 0)</f>
        <v>0</v>
      </c>
      <c r="I963" s="64">
        <f>_xlfn.XLOOKUP(AP[[#This Row],[Supplier name]], Supplier_master[Supplier name], Supplier_master[Category L2], 0)</f>
        <v>0</v>
      </c>
      <c r="J963" s="55"/>
      <c r="K963" s="54"/>
      <c r="L963" s="57">
        <f>IF(AP[[#This Row],[Spend category L1 - Override]] &lt;&gt; "", AP[[#This Row],[Spend category L1 - Override]], AP[[#This Row],[Spend category L1]])</f>
        <v>0</v>
      </c>
      <c r="M963" s="57">
        <f>IF(AP[[#This Row],[Spend category L2 - Override]] &lt;&gt; "", AP[[#This Row],[Spend category L2 - Override]], AP[[#This Row],[Spend category L2]])</f>
        <v>0</v>
      </c>
      <c r="N963" s="51">
        <f>Assumptions!$D$15</f>
        <v>0.1</v>
      </c>
      <c r="O963" s="45">
        <f>IF(AP[[#This Row],[GST applies?]] = "Yes", (AP[[#This Row],[Invoice value inc. GST]] / 1 + AP[[#This Row],[GST %]]) * AP[[#This Row],[GST %]], 0)</f>
        <v>0</v>
      </c>
      <c r="P963" s="31">
        <f>_xlfn.XLOOKUP(AP[[#This Row],[Supplier name]], Supplier_master[Supplier name], Supplier_master[EOM or Net], 0)</f>
        <v>0</v>
      </c>
      <c r="Q963" s="31">
        <f>_xlfn.XLOOKUP(AP[[#This Row],[Supplier name]], Supplier_master[Supplier name], Supplier_master[Terms days], 0)</f>
        <v>0</v>
      </c>
      <c r="R9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3" s="4"/>
      <c r="T963" s="46">
        <f>IF(AP[[#This Row],[Payment date - override (dd/mm/yyyy)]] &lt;&gt; "", AP[[#This Row],[Payment date - override (dd/mm/yyyy)]], AP[[#This Row],[Due date (dd/mm/yyyy)]])</f>
        <v>0</v>
      </c>
      <c r="U963" s="46">
        <f t="shared" si="14"/>
        <v>52</v>
      </c>
    </row>
    <row r="964" spans="3:21" x14ac:dyDescent="0.25">
      <c r="C964" s="28"/>
      <c r="D964" s="20"/>
      <c r="E964" s="4"/>
      <c r="F964" s="37"/>
      <c r="G964" s="24"/>
      <c r="H964" s="31">
        <f>_xlfn.XLOOKUP(AP[[#This Row],[Supplier name]], Supplier_master[Supplier name], Supplier_master[Category L1], 0)</f>
        <v>0</v>
      </c>
      <c r="I964" s="64">
        <f>_xlfn.XLOOKUP(AP[[#This Row],[Supplier name]], Supplier_master[Supplier name], Supplier_master[Category L2], 0)</f>
        <v>0</v>
      </c>
      <c r="J964" s="55"/>
      <c r="K964" s="54"/>
      <c r="L964" s="57">
        <f>IF(AP[[#This Row],[Spend category L1 - Override]] &lt;&gt; "", AP[[#This Row],[Spend category L1 - Override]], AP[[#This Row],[Spend category L1]])</f>
        <v>0</v>
      </c>
      <c r="M964" s="57">
        <f>IF(AP[[#This Row],[Spend category L2 - Override]] &lt;&gt; "", AP[[#This Row],[Spend category L2 - Override]], AP[[#This Row],[Spend category L2]])</f>
        <v>0</v>
      </c>
      <c r="N964" s="51">
        <f>Assumptions!$D$15</f>
        <v>0.1</v>
      </c>
      <c r="O964" s="45">
        <f>IF(AP[[#This Row],[GST applies?]] = "Yes", (AP[[#This Row],[Invoice value inc. GST]] / 1 + AP[[#This Row],[GST %]]) * AP[[#This Row],[GST %]], 0)</f>
        <v>0</v>
      </c>
      <c r="P964" s="31">
        <f>_xlfn.XLOOKUP(AP[[#This Row],[Supplier name]], Supplier_master[Supplier name], Supplier_master[EOM or Net], 0)</f>
        <v>0</v>
      </c>
      <c r="Q964" s="31">
        <f>_xlfn.XLOOKUP(AP[[#This Row],[Supplier name]], Supplier_master[Supplier name], Supplier_master[Terms days], 0)</f>
        <v>0</v>
      </c>
      <c r="R9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4" s="4"/>
      <c r="T964" s="46">
        <f>IF(AP[[#This Row],[Payment date - override (dd/mm/yyyy)]] &lt;&gt; "", AP[[#This Row],[Payment date - override (dd/mm/yyyy)]], AP[[#This Row],[Due date (dd/mm/yyyy)]])</f>
        <v>0</v>
      </c>
      <c r="U964" s="46">
        <f t="shared" si="14"/>
        <v>52</v>
      </c>
    </row>
    <row r="965" spans="3:21" x14ac:dyDescent="0.25">
      <c r="C965" s="28"/>
      <c r="D965" s="20"/>
      <c r="E965" s="4"/>
      <c r="F965" s="37"/>
      <c r="G965" s="24"/>
      <c r="H965" s="31">
        <f>_xlfn.XLOOKUP(AP[[#This Row],[Supplier name]], Supplier_master[Supplier name], Supplier_master[Category L1], 0)</f>
        <v>0</v>
      </c>
      <c r="I965" s="64">
        <f>_xlfn.XLOOKUP(AP[[#This Row],[Supplier name]], Supplier_master[Supplier name], Supplier_master[Category L2], 0)</f>
        <v>0</v>
      </c>
      <c r="J965" s="55"/>
      <c r="K965" s="54"/>
      <c r="L965" s="57">
        <f>IF(AP[[#This Row],[Spend category L1 - Override]] &lt;&gt; "", AP[[#This Row],[Spend category L1 - Override]], AP[[#This Row],[Spend category L1]])</f>
        <v>0</v>
      </c>
      <c r="M965" s="57">
        <f>IF(AP[[#This Row],[Spend category L2 - Override]] &lt;&gt; "", AP[[#This Row],[Spend category L2 - Override]], AP[[#This Row],[Spend category L2]])</f>
        <v>0</v>
      </c>
      <c r="N965" s="51">
        <f>Assumptions!$D$15</f>
        <v>0.1</v>
      </c>
      <c r="O965" s="45">
        <f>IF(AP[[#This Row],[GST applies?]] = "Yes", (AP[[#This Row],[Invoice value inc. GST]] / 1 + AP[[#This Row],[GST %]]) * AP[[#This Row],[GST %]], 0)</f>
        <v>0</v>
      </c>
      <c r="P965" s="31">
        <f>_xlfn.XLOOKUP(AP[[#This Row],[Supplier name]], Supplier_master[Supplier name], Supplier_master[EOM or Net], 0)</f>
        <v>0</v>
      </c>
      <c r="Q965" s="31">
        <f>_xlfn.XLOOKUP(AP[[#This Row],[Supplier name]], Supplier_master[Supplier name], Supplier_master[Terms days], 0)</f>
        <v>0</v>
      </c>
      <c r="R9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5" s="4"/>
      <c r="T965" s="46">
        <f>IF(AP[[#This Row],[Payment date - override (dd/mm/yyyy)]] &lt;&gt; "", AP[[#This Row],[Payment date - override (dd/mm/yyyy)]], AP[[#This Row],[Due date (dd/mm/yyyy)]])</f>
        <v>0</v>
      </c>
      <c r="U965" s="46">
        <f t="shared" si="14"/>
        <v>52</v>
      </c>
    </row>
    <row r="966" spans="3:21" x14ac:dyDescent="0.25">
      <c r="C966" s="28"/>
      <c r="D966" s="20"/>
      <c r="E966" s="4"/>
      <c r="F966" s="37"/>
      <c r="G966" s="24"/>
      <c r="H966" s="31">
        <f>_xlfn.XLOOKUP(AP[[#This Row],[Supplier name]], Supplier_master[Supplier name], Supplier_master[Category L1], 0)</f>
        <v>0</v>
      </c>
      <c r="I966" s="64">
        <f>_xlfn.XLOOKUP(AP[[#This Row],[Supplier name]], Supplier_master[Supplier name], Supplier_master[Category L2], 0)</f>
        <v>0</v>
      </c>
      <c r="J966" s="55"/>
      <c r="K966" s="54"/>
      <c r="L966" s="57">
        <f>IF(AP[[#This Row],[Spend category L1 - Override]] &lt;&gt; "", AP[[#This Row],[Spend category L1 - Override]], AP[[#This Row],[Spend category L1]])</f>
        <v>0</v>
      </c>
      <c r="M966" s="57">
        <f>IF(AP[[#This Row],[Spend category L2 - Override]] &lt;&gt; "", AP[[#This Row],[Spend category L2 - Override]], AP[[#This Row],[Spend category L2]])</f>
        <v>0</v>
      </c>
      <c r="N966" s="51">
        <f>Assumptions!$D$15</f>
        <v>0.1</v>
      </c>
      <c r="O966" s="45">
        <f>IF(AP[[#This Row],[GST applies?]] = "Yes", (AP[[#This Row],[Invoice value inc. GST]] / 1 + AP[[#This Row],[GST %]]) * AP[[#This Row],[GST %]], 0)</f>
        <v>0</v>
      </c>
      <c r="P966" s="31">
        <f>_xlfn.XLOOKUP(AP[[#This Row],[Supplier name]], Supplier_master[Supplier name], Supplier_master[EOM or Net], 0)</f>
        <v>0</v>
      </c>
      <c r="Q966" s="31">
        <f>_xlfn.XLOOKUP(AP[[#This Row],[Supplier name]], Supplier_master[Supplier name], Supplier_master[Terms days], 0)</f>
        <v>0</v>
      </c>
      <c r="R9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6" s="4"/>
      <c r="T966" s="46">
        <f>IF(AP[[#This Row],[Payment date - override (dd/mm/yyyy)]] &lt;&gt; "", AP[[#This Row],[Payment date - override (dd/mm/yyyy)]], AP[[#This Row],[Due date (dd/mm/yyyy)]])</f>
        <v>0</v>
      </c>
      <c r="U966" s="46">
        <f t="shared" si="14"/>
        <v>52</v>
      </c>
    </row>
    <row r="967" spans="3:21" x14ac:dyDescent="0.25">
      <c r="C967" s="28"/>
      <c r="D967" s="20"/>
      <c r="E967" s="4"/>
      <c r="F967" s="37"/>
      <c r="G967" s="24"/>
      <c r="H967" s="31">
        <f>_xlfn.XLOOKUP(AP[[#This Row],[Supplier name]], Supplier_master[Supplier name], Supplier_master[Category L1], 0)</f>
        <v>0</v>
      </c>
      <c r="I967" s="64">
        <f>_xlfn.XLOOKUP(AP[[#This Row],[Supplier name]], Supplier_master[Supplier name], Supplier_master[Category L2], 0)</f>
        <v>0</v>
      </c>
      <c r="J967" s="55"/>
      <c r="K967" s="54"/>
      <c r="L967" s="57">
        <f>IF(AP[[#This Row],[Spend category L1 - Override]] &lt;&gt; "", AP[[#This Row],[Spend category L1 - Override]], AP[[#This Row],[Spend category L1]])</f>
        <v>0</v>
      </c>
      <c r="M967" s="57">
        <f>IF(AP[[#This Row],[Spend category L2 - Override]] &lt;&gt; "", AP[[#This Row],[Spend category L2 - Override]], AP[[#This Row],[Spend category L2]])</f>
        <v>0</v>
      </c>
      <c r="N967" s="51">
        <f>Assumptions!$D$15</f>
        <v>0.1</v>
      </c>
      <c r="O967" s="45">
        <f>IF(AP[[#This Row],[GST applies?]] = "Yes", (AP[[#This Row],[Invoice value inc. GST]] / 1 + AP[[#This Row],[GST %]]) * AP[[#This Row],[GST %]], 0)</f>
        <v>0</v>
      </c>
      <c r="P967" s="31">
        <f>_xlfn.XLOOKUP(AP[[#This Row],[Supplier name]], Supplier_master[Supplier name], Supplier_master[EOM or Net], 0)</f>
        <v>0</v>
      </c>
      <c r="Q967" s="31">
        <f>_xlfn.XLOOKUP(AP[[#This Row],[Supplier name]], Supplier_master[Supplier name], Supplier_master[Terms days], 0)</f>
        <v>0</v>
      </c>
      <c r="R9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7" s="4"/>
      <c r="T967" s="46">
        <f>IF(AP[[#This Row],[Payment date - override (dd/mm/yyyy)]] &lt;&gt; "", AP[[#This Row],[Payment date - override (dd/mm/yyyy)]], AP[[#This Row],[Due date (dd/mm/yyyy)]])</f>
        <v>0</v>
      </c>
      <c r="U967" s="46">
        <f t="shared" si="14"/>
        <v>52</v>
      </c>
    </row>
    <row r="968" spans="3:21" x14ac:dyDescent="0.25">
      <c r="C968" s="28"/>
      <c r="D968" s="20"/>
      <c r="E968" s="4"/>
      <c r="F968" s="37"/>
      <c r="G968" s="24"/>
      <c r="H968" s="31">
        <f>_xlfn.XLOOKUP(AP[[#This Row],[Supplier name]], Supplier_master[Supplier name], Supplier_master[Category L1], 0)</f>
        <v>0</v>
      </c>
      <c r="I968" s="64">
        <f>_xlfn.XLOOKUP(AP[[#This Row],[Supplier name]], Supplier_master[Supplier name], Supplier_master[Category L2], 0)</f>
        <v>0</v>
      </c>
      <c r="J968" s="55"/>
      <c r="K968" s="54"/>
      <c r="L968" s="57">
        <f>IF(AP[[#This Row],[Spend category L1 - Override]] &lt;&gt; "", AP[[#This Row],[Spend category L1 - Override]], AP[[#This Row],[Spend category L1]])</f>
        <v>0</v>
      </c>
      <c r="M968" s="57">
        <f>IF(AP[[#This Row],[Spend category L2 - Override]] &lt;&gt; "", AP[[#This Row],[Spend category L2 - Override]], AP[[#This Row],[Spend category L2]])</f>
        <v>0</v>
      </c>
      <c r="N968" s="51">
        <f>Assumptions!$D$15</f>
        <v>0.1</v>
      </c>
      <c r="O968" s="45">
        <f>IF(AP[[#This Row],[GST applies?]] = "Yes", (AP[[#This Row],[Invoice value inc. GST]] / 1 + AP[[#This Row],[GST %]]) * AP[[#This Row],[GST %]], 0)</f>
        <v>0</v>
      </c>
      <c r="P968" s="31">
        <f>_xlfn.XLOOKUP(AP[[#This Row],[Supplier name]], Supplier_master[Supplier name], Supplier_master[EOM or Net], 0)</f>
        <v>0</v>
      </c>
      <c r="Q968" s="31">
        <f>_xlfn.XLOOKUP(AP[[#This Row],[Supplier name]], Supplier_master[Supplier name], Supplier_master[Terms days], 0)</f>
        <v>0</v>
      </c>
      <c r="R9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8" s="4"/>
      <c r="T968" s="46">
        <f>IF(AP[[#This Row],[Payment date - override (dd/mm/yyyy)]] &lt;&gt; "", AP[[#This Row],[Payment date - override (dd/mm/yyyy)]], AP[[#This Row],[Due date (dd/mm/yyyy)]])</f>
        <v>0</v>
      </c>
      <c r="U968" s="46">
        <f t="shared" si="14"/>
        <v>52</v>
      </c>
    </row>
    <row r="969" spans="3:21" x14ac:dyDescent="0.25">
      <c r="C969" s="28"/>
      <c r="D969" s="20"/>
      <c r="E969" s="4"/>
      <c r="F969" s="37"/>
      <c r="G969" s="24"/>
      <c r="H969" s="31">
        <f>_xlfn.XLOOKUP(AP[[#This Row],[Supplier name]], Supplier_master[Supplier name], Supplier_master[Category L1], 0)</f>
        <v>0</v>
      </c>
      <c r="I969" s="64">
        <f>_xlfn.XLOOKUP(AP[[#This Row],[Supplier name]], Supplier_master[Supplier name], Supplier_master[Category L2], 0)</f>
        <v>0</v>
      </c>
      <c r="J969" s="55"/>
      <c r="K969" s="54"/>
      <c r="L969" s="57">
        <f>IF(AP[[#This Row],[Spend category L1 - Override]] &lt;&gt; "", AP[[#This Row],[Spend category L1 - Override]], AP[[#This Row],[Spend category L1]])</f>
        <v>0</v>
      </c>
      <c r="M969" s="57">
        <f>IF(AP[[#This Row],[Spend category L2 - Override]] &lt;&gt; "", AP[[#This Row],[Spend category L2 - Override]], AP[[#This Row],[Spend category L2]])</f>
        <v>0</v>
      </c>
      <c r="N969" s="51">
        <f>Assumptions!$D$15</f>
        <v>0.1</v>
      </c>
      <c r="O969" s="45">
        <f>IF(AP[[#This Row],[GST applies?]] = "Yes", (AP[[#This Row],[Invoice value inc. GST]] / 1 + AP[[#This Row],[GST %]]) * AP[[#This Row],[GST %]], 0)</f>
        <v>0</v>
      </c>
      <c r="P969" s="31">
        <f>_xlfn.XLOOKUP(AP[[#This Row],[Supplier name]], Supplier_master[Supplier name], Supplier_master[EOM or Net], 0)</f>
        <v>0</v>
      </c>
      <c r="Q969" s="31">
        <f>_xlfn.XLOOKUP(AP[[#This Row],[Supplier name]], Supplier_master[Supplier name], Supplier_master[Terms days], 0)</f>
        <v>0</v>
      </c>
      <c r="R9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9" s="4"/>
      <c r="T969" s="46">
        <f>IF(AP[[#This Row],[Payment date - override (dd/mm/yyyy)]] &lt;&gt; "", AP[[#This Row],[Payment date - override (dd/mm/yyyy)]], AP[[#This Row],[Due date (dd/mm/yyyy)]])</f>
        <v>0</v>
      </c>
      <c r="U969" s="46">
        <f t="shared" ref="U969:U1000" si="15">IF(GST_Freq="Monthly",
    DATE(YEAR(E969), MONTH(E969) + 1, 21),
    IF(GST_Freq="Quarterly",
        IF(MOD(MONTH(E969) + 2 - MOD(MOD(MONTH(E969) - GST_First_Month, 12), 3), 12) = 0,
            DATE(YEAR(E969), MONTH(E969) + 4 - MOD(MOD(MONTH(E969) - GST_First_Month, 12), 3), 28),
            DATE(YEAR(E969), MONTH(E969) + 3 - MOD(MOD(MONTH(E969) - GST_First_Month, 12), 3), 28)
        ),
        "Invalid frequency"
    )
)</f>
        <v>52</v>
      </c>
    </row>
    <row r="970" spans="3:21" x14ac:dyDescent="0.25">
      <c r="C970" s="28"/>
      <c r="D970" s="20"/>
      <c r="E970" s="4"/>
      <c r="F970" s="37"/>
      <c r="G970" s="24"/>
      <c r="H970" s="31">
        <f>_xlfn.XLOOKUP(AP[[#This Row],[Supplier name]], Supplier_master[Supplier name], Supplier_master[Category L1], 0)</f>
        <v>0</v>
      </c>
      <c r="I970" s="64">
        <f>_xlfn.XLOOKUP(AP[[#This Row],[Supplier name]], Supplier_master[Supplier name], Supplier_master[Category L2], 0)</f>
        <v>0</v>
      </c>
      <c r="J970" s="55"/>
      <c r="K970" s="54"/>
      <c r="L970" s="57">
        <f>IF(AP[[#This Row],[Spend category L1 - Override]] &lt;&gt; "", AP[[#This Row],[Spend category L1 - Override]], AP[[#This Row],[Spend category L1]])</f>
        <v>0</v>
      </c>
      <c r="M970" s="57">
        <f>IF(AP[[#This Row],[Spend category L2 - Override]] &lt;&gt; "", AP[[#This Row],[Spend category L2 - Override]], AP[[#This Row],[Spend category L2]])</f>
        <v>0</v>
      </c>
      <c r="N970" s="51">
        <f>Assumptions!$D$15</f>
        <v>0.1</v>
      </c>
      <c r="O970" s="45">
        <f>IF(AP[[#This Row],[GST applies?]] = "Yes", (AP[[#This Row],[Invoice value inc. GST]] / 1 + AP[[#This Row],[GST %]]) * AP[[#This Row],[GST %]], 0)</f>
        <v>0</v>
      </c>
      <c r="P970" s="31">
        <f>_xlfn.XLOOKUP(AP[[#This Row],[Supplier name]], Supplier_master[Supplier name], Supplier_master[EOM or Net], 0)</f>
        <v>0</v>
      </c>
      <c r="Q970" s="31">
        <f>_xlfn.XLOOKUP(AP[[#This Row],[Supplier name]], Supplier_master[Supplier name], Supplier_master[Terms days], 0)</f>
        <v>0</v>
      </c>
      <c r="R9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0" s="4"/>
      <c r="T970" s="46">
        <f>IF(AP[[#This Row],[Payment date - override (dd/mm/yyyy)]] &lt;&gt; "", AP[[#This Row],[Payment date - override (dd/mm/yyyy)]], AP[[#This Row],[Due date (dd/mm/yyyy)]])</f>
        <v>0</v>
      </c>
      <c r="U970" s="46">
        <f t="shared" si="15"/>
        <v>52</v>
      </c>
    </row>
    <row r="971" spans="3:21" x14ac:dyDescent="0.25">
      <c r="C971" s="28"/>
      <c r="D971" s="20"/>
      <c r="E971" s="4"/>
      <c r="F971" s="37"/>
      <c r="G971" s="24"/>
      <c r="H971" s="31">
        <f>_xlfn.XLOOKUP(AP[[#This Row],[Supplier name]], Supplier_master[Supplier name], Supplier_master[Category L1], 0)</f>
        <v>0</v>
      </c>
      <c r="I971" s="64">
        <f>_xlfn.XLOOKUP(AP[[#This Row],[Supplier name]], Supplier_master[Supplier name], Supplier_master[Category L2], 0)</f>
        <v>0</v>
      </c>
      <c r="J971" s="55"/>
      <c r="K971" s="54"/>
      <c r="L971" s="57">
        <f>IF(AP[[#This Row],[Spend category L1 - Override]] &lt;&gt; "", AP[[#This Row],[Spend category L1 - Override]], AP[[#This Row],[Spend category L1]])</f>
        <v>0</v>
      </c>
      <c r="M971" s="57">
        <f>IF(AP[[#This Row],[Spend category L2 - Override]] &lt;&gt; "", AP[[#This Row],[Spend category L2 - Override]], AP[[#This Row],[Spend category L2]])</f>
        <v>0</v>
      </c>
      <c r="N971" s="51">
        <f>Assumptions!$D$15</f>
        <v>0.1</v>
      </c>
      <c r="O971" s="45">
        <f>IF(AP[[#This Row],[GST applies?]] = "Yes", (AP[[#This Row],[Invoice value inc. GST]] / 1 + AP[[#This Row],[GST %]]) * AP[[#This Row],[GST %]], 0)</f>
        <v>0</v>
      </c>
      <c r="P971" s="31">
        <f>_xlfn.XLOOKUP(AP[[#This Row],[Supplier name]], Supplier_master[Supplier name], Supplier_master[EOM or Net], 0)</f>
        <v>0</v>
      </c>
      <c r="Q971" s="31">
        <f>_xlfn.XLOOKUP(AP[[#This Row],[Supplier name]], Supplier_master[Supplier name], Supplier_master[Terms days], 0)</f>
        <v>0</v>
      </c>
      <c r="R9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1" s="4"/>
      <c r="T971" s="46">
        <f>IF(AP[[#This Row],[Payment date - override (dd/mm/yyyy)]] &lt;&gt; "", AP[[#This Row],[Payment date - override (dd/mm/yyyy)]], AP[[#This Row],[Due date (dd/mm/yyyy)]])</f>
        <v>0</v>
      </c>
      <c r="U971" s="46">
        <f t="shared" si="15"/>
        <v>52</v>
      </c>
    </row>
    <row r="972" spans="3:21" x14ac:dyDescent="0.25">
      <c r="C972" s="28"/>
      <c r="D972" s="20"/>
      <c r="E972" s="4"/>
      <c r="F972" s="37"/>
      <c r="G972" s="24"/>
      <c r="H972" s="31">
        <f>_xlfn.XLOOKUP(AP[[#This Row],[Supplier name]], Supplier_master[Supplier name], Supplier_master[Category L1], 0)</f>
        <v>0</v>
      </c>
      <c r="I972" s="64">
        <f>_xlfn.XLOOKUP(AP[[#This Row],[Supplier name]], Supplier_master[Supplier name], Supplier_master[Category L2], 0)</f>
        <v>0</v>
      </c>
      <c r="J972" s="55"/>
      <c r="K972" s="54"/>
      <c r="L972" s="57">
        <f>IF(AP[[#This Row],[Spend category L1 - Override]] &lt;&gt; "", AP[[#This Row],[Spend category L1 - Override]], AP[[#This Row],[Spend category L1]])</f>
        <v>0</v>
      </c>
      <c r="M972" s="57">
        <f>IF(AP[[#This Row],[Spend category L2 - Override]] &lt;&gt; "", AP[[#This Row],[Spend category L2 - Override]], AP[[#This Row],[Spend category L2]])</f>
        <v>0</v>
      </c>
      <c r="N972" s="51">
        <f>Assumptions!$D$15</f>
        <v>0.1</v>
      </c>
      <c r="O972" s="45">
        <f>IF(AP[[#This Row],[GST applies?]] = "Yes", (AP[[#This Row],[Invoice value inc. GST]] / 1 + AP[[#This Row],[GST %]]) * AP[[#This Row],[GST %]], 0)</f>
        <v>0</v>
      </c>
      <c r="P972" s="31">
        <f>_xlfn.XLOOKUP(AP[[#This Row],[Supplier name]], Supplier_master[Supplier name], Supplier_master[EOM or Net], 0)</f>
        <v>0</v>
      </c>
      <c r="Q972" s="31">
        <f>_xlfn.XLOOKUP(AP[[#This Row],[Supplier name]], Supplier_master[Supplier name], Supplier_master[Terms days], 0)</f>
        <v>0</v>
      </c>
      <c r="R9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2" s="4"/>
      <c r="T972" s="46">
        <f>IF(AP[[#This Row],[Payment date - override (dd/mm/yyyy)]] &lt;&gt; "", AP[[#This Row],[Payment date - override (dd/mm/yyyy)]], AP[[#This Row],[Due date (dd/mm/yyyy)]])</f>
        <v>0</v>
      </c>
      <c r="U972" s="46">
        <f t="shared" si="15"/>
        <v>52</v>
      </c>
    </row>
    <row r="973" spans="3:21" x14ac:dyDescent="0.25">
      <c r="C973" s="28"/>
      <c r="D973" s="20"/>
      <c r="E973" s="4"/>
      <c r="F973" s="37"/>
      <c r="G973" s="24"/>
      <c r="H973" s="31">
        <f>_xlfn.XLOOKUP(AP[[#This Row],[Supplier name]], Supplier_master[Supplier name], Supplier_master[Category L1], 0)</f>
        <v>0</v>
      </c>
      <c r="I973" s="64">
        <f>_xlfn.XLOOKUP(AP[[#This Row],[Supplier name]], Supplier_master[Supplier name], Supplier_master[Category L2], 0)</f>
        <v>0</v>
      </c>
      <c r="J973" s="55"/>
      <c r="K973" s="54"/>
      <c r="L973" s="57">
        <f>IF(AP[[#This Row],[Spend category L1 - Override]] &lt;&gt; "", AP[[#This Row],[Spend category L1 - Override]], AP[[#This Row],[Spend category L1]])</f>
        <v>0</v>
      </c>
      <c r="M973" s="57">
        <f>IF(AP[[#This Row],[Spend category L2 - Override]] &lt;&gt; "", AP[[#This Row],[Spend category L2 - Override]], AP[[#This Row],[Spend category L2]])</f>
        <v>0</v>
      </c>
      <c r="N973" s="51">
        <f>Assumptions!$D$15</f>
        <v>0.1</v>
      </c>
      <c r="O973" s="45">
        <f>IF(AP[[#This Row],[GST applies?]] = "Yes", (AP[[#This Row],[Invoice value inc. GST]] / 1 + AP[[#This Row],[GST %]]) * AP[[#This Row],[GST %]], 0)</f>
        <v>0</v>
      </c>
      <c r="P973" s="31">
        <f>_xlfn.XLOOKUP(AP[[#This Row],[Supplier name]], Supplier_master[Supplier name], Supplier_master[EOM or Net], 0)</f>
        <v>0</v>
      </c>
      <c r="Q973" s="31">
        <f>_xlfn.XLOOKUP(AP[[#This Row],[Supplier name]], Supplier_master[Supplier name], Supplier_master[Terms days], 0)</f>
        <v>0</v>
      </c>
      <c r="R9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3" s="4"/>
      <c r="T973" s="46">
        <f>IF(AP[[#This Row],[Payment date - override (dd/mm/yyyy)]] &lt;&gt; "", AP[[#This Row],[Payment date - override (dd/mm/yyyy)]], AP[[#This Row],[Due date (dd/mm/yyyy)]])</f>
        <v>0</v>
      </c>
      <c r="U973" s="46">
        <f t="shared" si="15"/>
        <v>52</v>
      </c>
    </row>
    <row r="974" spans="3:21" x14ac:dyDescent="0.25">
      <c r="C974" s="28"/>
      <c r="D974" s="20"/>
      <c r="E974" s="4"/>
      <c r="F974" s="37"/>
      <c r="G974" s="24"/>
      <c r="H974" s="31">
        <f>_xlfn.XLOOKUP(AP[[#This Row],[Supplier name]], Supplier_master[Supplier name], Supplier_master[Category L1], 0)</f>
        <v>0</v>
      </c>
      <c r="I974" s="64">
        <f>_xlfn.XLOOKUP(AP[[#This Row],[Supplier name]], Supplier_master[Supplier name], Supplier_master[Category L2], 0)</f>
        <v>0</v>
      </c>
      <c r="J974" s="55"/>
      <c r="K974" s="54"/>
      <c r="L974" s="57">
        <f>IF(AP[[#This Row],[Spend category L1 - Override]] &lt;&gt; "", AP[[#This Row],[Spend category L1 - Override]], AP[[#This Row],[Spend category L1]])</f>
        <v>0</v>
      </c>
      <c r="M974" s="57">
        <f>IF(AP[[#This Row],[Spend category L2 - Override]] &lt;&gt; "", AP[[#This Row],[Spend category L2 - Override]], AP[[#This Row],[Spend category L2]])</f>
        <v>0</v>
      </c>
      <c r="N974" s="51">
        <f>Assumptions!$D$15</f>
        <v>0.1</v>
      </c>
      <c r="O974" s="45">
        <f>IF(AP[[#This Row],[GST applies?]] = "Yes", (AP[[#This Row],[Invoice value inc. GST]] / 1 + AP[[#This Row],[GST %]]) * AP[[#This Row],[GST %]], 0)</f>
        <v>0</v>
      </c>
      <c r="P974" s="31">
        <f>_xlfn.XLOOKUP(AP[[#This Row],[Supplier name]], Supplier_master[Supplier name], Supplier_master[EOM or Net], 0)</f>
        <v>0</v>
      </c>
      <c r="Q974" s="31">
        <f>_xlfn.XLOOKUP(AP[[#This Row],[Supplier name]], Supplier_master[Supplier name], Supplier_master[Terms days], 0)</f>
        <v>0</v>
      </c>
      <c r="R9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4" s="4"/>
      <c r="T974" s="46">
        <f>IF(AP[[#This Row],[Payment date - override (dd/mm/yyyy)]] &lt;&gt; "", AP[[#This Row],[Payment date - override (dd/mm/yyyy)]], AP[[#This Row],[Due date (dd/mm/yyyy)]])</f>
        <v>0</v>
      </c>
      <c r="U974" s="46">
        <f t="shared" si="15"/>
        <v>52</v>
      </c>
    </row>
    <row r="975" spans="3:21" x14ac:dyDescent="0.25">
      <c r="C975" s="28"/>
      <c r="D975" s="20"/>
      <c r="E975" s="4"/>
      <c r="F975" s="37"/>
      <c r="G975" s="24"/>
      <c r="H975" s="31">
        <f>_xlfn.XLOOKUP(AP[[#This Row],[Supplier name]], Supplier_master[Supplier name], Supplier_master[Category L1], 0)</f>
        <v>0</v>
      </c>
      <c r="I975" s="64">
        <f>_xlfn.XLOOKUP(AP[[#This Row],[Supplier name]], Supplier_master[Supplier name], Supplier_master[Category L2], 0)</f>
        <v>0</v>
      </c>
      <c r="J975" s="55"/>
      <c r="K975" s="54"/>
      <c r="L975" s="57">
        <f>IF(AP[[#This Row],[Spend category L1 - Override]] &lt;&gt; "", AP[[#This Row],[Spend category L1 - Override]], AP[[#This Row],[Spend category L1]])</f>
        <v>0</v>
      </c>
      <c r="M975" s="57">
        <f>IF(AP[[#This Row],[Spend category L2 - Override]] &lt;&gt; "", AP[[#This Row],[Spend category L2 - Override]], AP[[#This Row],[Spend category L2]])</f>
        <v>0</v>
      </c>
      <c r="N975" s="51">
        <f>Assumptions!$D$15</f>
        <v>0.1</v>
      </c>
      <c r="O975" s="45">
        <f>IF(AP[[#This Row],[GST applies?]] = "Yes", (AP[[#This Row],[Invoice value inc. GST]] / 1 + AP[[#This Row],[GST %]]) * AP[[#This Row],[GST %]], 0)</f>
        <v>0</v>
      </c>
      <c r="P975" s="31">
        <f>_xlfn.XLOOKUP(AP[[#This Row],[Supplier name]], Supplier_master[Supplier name], Supplier_master[EOM or Net], 0)</f>
        <v>0</v>
      </c>
      <c r="Q975" s="31">
        <f>_xlfn.XLOOKUP(AP[[#This Row],[Supplier name]], Supplier_master[Supplier name], Supplier_master[Terms days], 0)</f>
        <v>0</v>
      </c>
      <c r="R9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5" s="4"/>
      <c r="T975" s="46">
        <f>IF(AP[[#This Row],[Payment date - override (dd/mm/yyyy)]] &lt;&gt; "", AP[[#This Row],[Payment date - override (dd/mm/yyyy)]], AP[[#This Row],[Due date (dd/mm/yyyy)]])</f>
        <v>0</v>
      </c>
      <c r="U975" s="46">
        <f t="shared" si="15"/>
        <v>52</v>
      </c>
    </row>
    <row r="976" spans="3:21" x14ac:dyDescent="0.25">
      <c r="C976" s="28"/>
      <c r="D976" s="20"/>
      <c r="E976" s="4"/>
      <c r="F976" s="37"/>
      <c r="G976" s="24"/>
      <c r="H976" s="31">
        <f>_xlfn.XLOOKUP(AP[[#This Row],[Supplier name]], Supplier_master[Supplier name], Supplier_master[Category L1], 0)</f>
        <v>0</v>
      </c>
      <c r="I976" s="64">
        <f>_xlfn.XLOOKUP(AP[[#This Row],[Supplier name]], Supplier_master[Supplier name], Supplier_master[Category L2], 0)</f>
        <v>0</v>
      </c>
      <c r="J976" s="55"/>
      <c r="K976" s="54"/>
      <c r="L976" s="57">
        <f>IF(AP[[#This Row],[Spend category L1 - Override]] &lt;&gt; "", AP[[#This Row],[Spend category L1 - Override]], AP[[#This Row],[Spend category L1]])</f>
        <v>0</v>
      </c>
      <c r="M976" s="57">
        <f>IF(AP[[#This Row],[Spend category L2 - Override]] &lt;&gt; "", AP[[#This Row],[Spend category L2 - Override]], AP[[#This Row],[Spend category L2]])</f>
        <v>0</v>
      </c>
      <c r="N976" s="51">
        <f>Assumptions!$D$15</f>
        <v>0.1</v>
      </c>
      <c r="O976" s="45">
        <f>IF(AP[[#This Row],[GST applies?]] = "Yes", (AP[[#This Row],[Invoice value inc. GST]] / 1 + AP[[#This Row],[GST %]]) * AP[[#This Row],[GST %]], 0)</f>
        <v>0</v>
      </c>
      <c r="P976" s="31">
        <f>_xlfn.XLOOKUP(AP[[#This Row],[Supplier name]], Supplier_master[Supplier name], Supplier_master[EOM or Net], 0)</f>
        <v>0</v>
      </c>
      <c r="Q976" s="31">
        <f>_xlfn.XLOOKUP(AP[[#This Row],[Supplier name]], Supplier_master[Supplier name], Supplier_master[Terms days], 0)</f>
        <v>0</v>
      </c>
      <c r="R9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6" s="4"/>
      <c r="T976" s="46">
        <f>IF(AP[[#This Row],[Payment date - override (dd/mm/yyyy)]] &lt;&gt; "", AP[[#This Row],[Payment date - override (dd/mm/yyyy)]], AP[[#This Row],[Due date (dd/mm/yyyy)]])</f>
        <v>0</v>
      </c>
      <c r="U976" s="46">
        <f t="shared" si="15"/>
        <v>52</v>
      </c>
    </row>
    <row r="977" spans="3:21" x14ac:dyDescent="0.25">
      <c r="C977" s="28"/>
      <c r="D977" s="20"/>
      <c r="E977" s="4"/>
      <c r="F977" s="37"/>
      <c r="G977" s="24"/>
      <c r="H977" s="31">
        <f>_xlfn.XLOOKUP(AP[[#This Row],[Supplier name]], Supplier_master[Supplier name], Supplier_master[Category L1], 0)</f>
        <v>0</v>
      </c>
      <c r="I977" s="64">
        <f>_xlfn.XLOOKUP(AP[[#This Row],[Supplier name]], Supplier_master[Supplier name], Supplier_master[Category L2], 0)</f>
        <v>0</v>
      </c>
      <c r="J977" s="55"/>
      <c r="K977" s="54"/>
      <c r="L977" s="57">
        <f>IF(AP[[#This Row],[Spend category L1 - Override]] &lt;&gt; "", AP[[#This Row],[Spend category L1 - Override]], AP[[#This Row],[Spend category L1]])</f>
        <v>0</v>
      </c>
      <c r="M977" s="57">
        <f>IF(AP[[#This Row],[Spend category L2 - Override]] &lt;&gt; "", AP[[#This Row],[Spend category L2 - Override]], AP[[#This Row],[Spend category L2]])</f>
        <v>0</v>
      </c>
      <c r="N977" s="51">
        <f>Assumptions!$D$15</f>
        <v>0.1</v>
      </c>
      <c r="O977" s="45">
        <f>IF(AP[[#This Row],[GST applies?]] = "Yes", (AP[[#This Row],[Invoice value inc. GST]] / 1 + AP[[#This Row],[GST %]]) * AP[[#This Row],[GST %]], 0)</f>
        <v>0</v>
      </c>
      <c r="P977" s="31">
        <f>_xlfn.XLOOKUP(AP[[#This Row],[Supplier name]], Supplier_master[Supplier name], Supplier_master[EOM or Net], 0)</f>
        <v>0</v>
      </c>
      <c r="Q977" s="31">
        <f>_xlfn.XLOOKUP(AP[[#This Row],[Supplier name]], Supplier_master[Supplier name], Supplier_master[Terms days], 0)</f>
        <v>0</v>
      </c>
      <c r="R9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7" s="4"/>
      <c r="T977" s="46">
        <f>IF(AP[[#This Row],[Payment date - override (dd/mm/yyyy)]] &lt;&gt; "", AP[[#This Row],[Payment date - override (dd/mm/yyyy)]], AP[[#This Row],[Due date (dd/mm/yyyy)]])</f>
        <v>0</v>
      </c>
      <c r="U977" s="46">
        <f t="shared" si="15"/>
        <v>52</v>
      </c>
    </row>
    <row r="978" spans="3:21" x14ac:dyDescent="0.25">
      <c r="C978" s="28"/>
      <c r="D978" s="20"/>
      <c r="E978" s="4"/>
      <c r="F978" s="37"/>
      <c r="G978" s="24"/>
      <c r="H978" s="31">
        <f>_xlfn.XLOOKUP(AP[[#This Row],[Supplier name]], Supplier_master[Supplier name], Supplier_master[Category L1], 0)</f>
        <v>0</v>
      </c>
      <c r="I978" s="64">
        <f>_xlfn.XLOOKUP(AP[[#This Row],[Supplier name]], Supplier_master[Supplier name], Supplier_master[Category L2], 0)</f>
        <v>0</v>
      </c>
      <c r="J978" s="55"/>
      <c r="K978" s="54"/>
      <c r="L978" s="57">
        <f>IF(AP[[#This Row],[Spend category L1 - Override]] &lt;&gt; "", AP[[#This Row],[Spend category L1 - Override]], AP[[#This Row],[Spend category L1]])</f>
        <v>0</v>
      </c>
      <c r="M978" s="57">
        <f>IF(AP[[#This Row],[Spend category L2 - Override]] &lt;&gt; "", AP[[#This Row],[Spend category L2 - Override]], AP[[#This Row],[Spend category L2]])</f>
        <v>0</v>
      </c>
      <c r="N978" s="51">
        <f>Assumptions!$D$15</f>
        <v>0.1</v>
      </c>
      <c r="O978" s="45">
        <f>IF(AP[[#This Row],[GST applies?]] = "Yes", (AP[[#This Row],[Invoice value inc. GST]] / 1 + AP[[#This Row],[GST %]]) * AP[[#This Row],[GST %]], 0)</f>
        <v>0</v>
      </c>
      <c r="P978" s="31">
        <f>_xlfn.XLOOKUP(AP[[#This Row],[Supplier name]], Supplier_master[Supplier name], Supplier_master[EOM or Net], 0)</f>
        <v>0</v>
      </c>
      <c r="Q978" s="31">
        <f>_xlfn.XLOOKUP(AP[[#This Row],[Supplier name]], Supplier_master[Supplier name], Supplier_master[Terms days], 0)</f>
        <v>0</v>
      </c>
      <c r="R9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8" s="4"/>
      <c r="T978" s="46">
        <f>IF(AP[[#This Row],[Payment date - override (dd/mm/yyyy)]] &lt;&gt; "", AP[[#This Row],[Payment date - override (dd/mm/yyyy)]], AP[[#This Row],[Due date (dd/mm/yyyy)]])</f>
        <v>0</v>
      </c>
      <c r="U978" s="46">
        <f t="shared" si="15"/>
        <v>52</v>
      </c>
    </row>
    <row r="979" spans="3:21" x14ac:dyDescent="0.25">
      <c r="C979" s="28"/>
      <c r="D979" s="20"/>
      <c r="E979" s="4"/>
      <c r="F979" s="37"/>
      <c r="G979" s="24"/>
      <c r="H979" s="31">
        <f>_xlfn.XLOOKUP(AP[[#This Row],[Supplier name]], Supplier_master[Supplier name], Supplier_master[Category L1], 0)</f>
        <v>0</v>
      </c>
      <c r="I979" s="64">
        <f>_xlfn.XLOOKUP(AP[[#This Row],[Supplier name]], Supplier_master[Supplier name], Supplier_master[Category L2], 0)</f>
        <v>0</v>
      </c>
      <c r="J979" s="55"/>
      <c r="K979" s="54"/>
      <c r="L979" s="57">
        <f>IF(AP[[#This Row],[Spend category L1 - Override]] &lt;&gt; "", AP[[#This Row],[Spend category L1 - Override]], AP[[#This Row],[Spend category L1]])</f>
        <v>0</v>
      </c>
      <c r="M979" s="57">
        <f>IF(AP[[#This Row],[Spend category L2 - Override]] &lt;&gt; "", AP[[#This Row],[Spend category L2 - Override]], AP[[#This Row],[Spend category L2]])</f>
        <v>0</v>
      </c>
      <c r="N979" s="51">
        <f>Assumptions!$D$15</f>
        <v>0.1</v>
      </c>
      <c r="O979" s="45">
        <f>IF(AP[[#This Row],[GST applies?]] = "Yes", (AP[[#This Row],[Invoice value inc. GST]] / 1 + AP[[#This Row],[GST %]]) * AP[[#This Row],[GST %]], 0)</f>
        <v>0</v>
      </c>
      <c r="P979" s="31">
        <f>_xlfn.XLOOKUP(AP[[#This Row],[Supplier name]], Supplier_master[Supplier name], Supplier_master[EOM or Net], 0)</f>
        <v>0</v>
      </c>
      <c r="Q979" s="31">
        <f>_xlfn.XLOOKUP(AP[[#This Row],[Supplier name]], Supplier_master[Supplier name], Supplier_master[Terms days], 0)</f>
        <v>0</v>
      </c>
      <c r="R9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9" s="4"/>
      <c r="T979" s="46">
        <f>IF(AP[[#This Row],[Payment date - override (dd/mm/yyyy)]] &lt;&gt; "", AP[[#This Row],[Payment date - override (dd/mm/yyyy)]], AP[[#This Row],[Due date (dd/mm/yyyy)]])</f>
        <v>0</v>
      </c>
      <c r="U979" s="46">
        <f t="shared" si="15"/>
        <v>52</v>
      </c>
    </row>
    <row r="980" spans="3:21" x14ac:dyDescent="0.25">
      <c r="C980" s="28"/>
      <c r="D980" s="20"/>
      <c r="E980" s="4"/>
      <c r="F980" s="37"/>
      <c r="G980" s="24"/>
      <c r="H980" s="31">
        <f>_xlfn.XLOOKUP(AP[[#This Row],[Supplier name]], Supplier_master[Supplier name], Supplier_master[Category L1], 0)</f>
        <v>0</v>
      </c>
      <c r="I980" s="64">
        <f>_xlfn.XLOOKUP(AP[[#This Row],[Supplier name]], Supplier_master[Supplier name], Supplier_master[Category L2], 0)</f>
        <v>0</v>
      </c>
      <c r="J980" s="55"/>
      <c r="K980" s="54"/>
      <c r="L980" s="57">
        <f>IF(AP[[#This Row],[Spend category L1 - Override]] &lt;&gt; "", AP[[#This Row],[Spend category L1 - Override]], AP[[#This Row],[Spend category L1]])</f>
        <v>0</v>
      </c>
      <c r="M980" s="57">
        <f>IF(AP[[#This Row],[Spend category L2 - Override]] &lt;&gt; "", AP[[#This Row],[Spend category L2 - Override]], AP[[#This Row],[Spend category L2]])</f>
        <v>0</v>
      </c>
      <c r="N980" s="51">
        <f>Assumptions!$D$15</f>
        <v>0.1</v>
      </c>
      <c r="O980" s="45">
        <f>IF(AP[[#This Row],[GST applies?]] = "Yes", (AP[[#This Row],[Invoice value inc. GST]] / 1 + AP[[#This Row],[GST %]]) * AP[[#This Row],[GST %]], 0)</f>
        <v>0</v>
      </c>
      <c r="P980" s="31">
        <f>_xlfn.XLOOKUP(AP[[#This Row],[Supplier name]], Supplier_master[Supplier name], Supplier_master[EOM or Net], 0)</f>
        <v>0</v>
      </c>
      <c r="Q980" s="31">
        <f>_xlfn.XLOOKUP(AP[[#This Row],[Supplier name]], Supplier_master[Supplier name], Supplier_master[Terms days], 0)</f>
        <v>0</v>
      </c>
      <c r="R9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0" s="4"/>
      <c r="T980" s="46">
        <f>IF(AP[[#This Row],[Payment date - override (dd/mm/yyyy)]] &lt;&gt; "", AP[[#This Row],[Payment date - override (dd/mm/yyyy)]], AP[[#This Row],[Due date (dd/mm/yyyy)]])</f>
        <v>0</v>
      </c>
      <c r="U980" s="46">
        <f t="shared" si="15"/>
        <v>52</v>
      </c>
    </row>
    <row r="981" spans="3:21" x14ac:dyDescent="0.25">
      <c r="C981" s="28"/>
      <c r="D981" s="20"/>
      <c r="E981" s="4"/>
      <c r="F981" s="37"/>
      <c r="G981" s="24"/>
      <c r="H981" s="31">
        <f>_xlfn.XLOOKUP(AP[[#This Row],[Supplier name]], Supplier_master[Supplier name], Supplier_master[Category L1], 0)</f>
        <v>0</v>
      </c>
      <c r="I981" s="64">
        <f>_xlfn.XLOOKUP(AP[[#This Row],[Supplier name]], Supplier_master[Supplier name], Supplier_master[Category L2], 0)</f>
        <v>0</v>
      </c>
      <c r="J981" s="55"/>
      <c r="K981" s="54"/>
      <c r="L981" s="57">
        <f>IF(AP[[#This Row],[Spend category L1 - Override]] &lt;&gt; "", AP[[#This Row],[Spend category L1 - Override]], AP[[#This Row],[Spend category L1]])</f>
        <v>0</v>
      </c>
      <c r="M981" s="57">
        <f>IF(AP[[#This Row],[Spend category L2 - Override]] &lt;&gt; "", AP[[#This Row],[Spend category L2 - Override]], AP[[#This Row],[Spend category L2]])</f>
        <v>0</v>
      </c>
      <c r="N981" s="51">
        <f>Assumptions!$D$15</f>
        <v>0.1</v>
      </c>
      <c r="O981" s="45">
        <f>IF(AP[[#This Row],[GST applies?]] = "Yes", (AP[[#This Row],[Invoice value inc. GST]] / 1 + AP[[#This Row],[GST %]]) * AP[[#This Row],[GST %]], 0)</f>
        <v>0</v>
      </c>
      <c r="P981" s="31">
        <f>_xlfn.XLOOKUP(AP[[#This Row],[Supplier name]], Supplier_master[Supplier name], Supplier_master[EOM or Net], 0)</f>
        <v>0</v>
      </c>
      <c r="Q981" s="31">
        <f>_xlfn.XLOOKUP(AP[[#This Row],[Supplier name]], Supplier_master[Supplier name], Supplier_master[Terms days], 0)</f>
        <v>0</v>
      </c>
      <c r="R9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1" s="4"/>
      <c r="T981" s="46">
        <f>IF(AP[[#This Row],[Payment date - override (dd/mm/yyyy)]] &lt;&gt; "", AP[[#This Row],[Payment date - override (dd/mm/yyyy)]], AP[[#This Row],[Due date (dd/mm/yyyy)]])</f>
        <v>0</v>
      </c>
      <c r="U981" s="46">
        <f t="shared" si="15"/>
        <v>52</v>
      </c>
    </row>
    <row r="982" spans="3:21" x14ac:dyDescent="0.25">
      <c r="C982" s="28"/>
      <c r="D982" s="20"/>
      <c r="E982" s="4"/>
      <c r="F982" s="37"/>
      <c r="G982" s="24"/>
      <c r="H982" s="31">
        <f>_xlfn.XLOOKUP(AP[[#This Row],[Supplier name]], Supplier_master[Supplier name], Supplier_master[Category L1], 0)</f>
        <v>0</v>
      </c>
      <c r="I982" s="64">
        <f>_xlfn.XLOOKUP(AP[[#This Row],[Supplier name]], Supplier_master[Supplier name], Supplier_master[Category L2], 0)</f>
        <v>0</v>
      </c>
      <c r="J982" s="55"/>
      <c r="K982" s="54"/>
      <c r="L982" s="57">
        <f>IF(AP[[#This Row],[Spend category L1 - Override]] &lt;&gt; "", AP[[#This Row],[Spend category L1 - Override]], AP[[#This Row],[Spend category L1]])</f>
        <v>0</v>
      </c>
      <c r="M982" s="57">
        <f>IF(AP[[#This Row],[Spend category L2 - Override]] &lt;&gt; "", AP[[#This Row],[Spend category L2 - Override]], AP[[#This Row],[Spend category L2]])</f>
        <v>0</v>
      </c>
      <c r="N982" s="51">
        <f>Assumptions!$D$15</f>
        <v>0.1</v>
      </c>
      <c r="O982" s="45">
        <f>IF(AP[[#This Row],[GST applies?]] = "Yes", (AP[[#This Row],[Invoice value inc. GST]] / 1 + AP[[#This Row],[GST %]]) * AP[[#This Row],[GST %]], 0)</f>
        <v>0</v>
      </c>
      <c r="P982" s="31">
        <f>_xlfn.XLOOKUP(AP[[#This Row],[Supplier name]], Supplier_master[Supplier name], Supplier_master[EOM or Net], 0)</f>
        <v>0</v>
      </c>
      <c r="Q982" s="31">
        <f>_xlfn.XLOOKUP(AP[[#This Row],[Supplier name]], Supplier_master[Supplier name], Supplier_master[Terms days], 0)</f>
        <v>0</v>
      </c>
      <c r="R9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2" s="4"/>
      <c r="T982" s="46">
        <f>IF(AP[[#This Row],[Payment date - override (dd/mm/yyyy)]] &lt;&gt; "", AP[[#This Row],[Payment date - override (dd/mm/yyyy)]], AP[[#This Row],[Due date (dd/mm/yyyy)]])</f>
        <v>0</v>
      </c>
      <c r="U982" s="46">
        <f t="shared" si="15"/>
        <v>52</v>
      </c>
    </row>
    <row r="983" spans="3:21" x14ac:dyDescent="0.25">
      <c r="C983" s="28"/>
      <c r="D983" s="20"/>
      <c r="E983" s="4"/>
      <c r="F983" s="37"/>
      <c r="G983" s="24"/>
      <c r="H983" s="31">
        <f>_xlfn.XLOOKUP(AP[[#This Row],[Supplier name]], Supplier_master[Supplier name], Supplier_master[Category L1], 0)</f>
        <v>0</v>
      </c>
      <c r="I983" s="64">
        <f>_xlfn.XLOOKUP(AP[[#This Row],[Supplier name]], Supplier_master[Supplier name], Supplier_master[Category L2], 0)</f>
        <v>0</v>
      </c>
      <c r="J983" s="55"/>
      <c r="K983" s="54"/>
      <c r="L983" s="57">
        <f>IF(AP[[#This Row],[Spend category L1 - Override]] &lt;&gt; "", AP[[#This Row],[Spend category L1 - Override]], AP[[#This Row],[Spend category L1]])</f>
        <v>0</v>
      </c>
      <c r="M983" s="57">
        <f>IF(AP[[#This Row],[Spend category L2 - Override]] &lt;&gt; "", AP[[#This Row],[Spend category L2 - Override]], AP[[#This Row],[Spend category L2]])</f>
        <v>0</v>
      </c>
      <c r="N983" s="51">
        <f>Assumptions!$D$15</f>
        <v>0.1</v>
      </c>
      <c r="O983" s="45">
        <f>IF(AP[[#This Row],[GST applies?]] = "Yes", (AP[[#This Row],[Invoice value inc. GST]] / 1 + AP[[#This Row],[GST %]]) * AP[[#This Row],[GST %]], 0)</f>
        <v>0</v>
      </c>
      <c r="P983" s="31">
        <f>_xlfn.XLOOKUP(AP[[#This Row],[Supplier name]], Supplier_master[Supplier name], Supplier_master[EOM or Net], 0)</f>
        <v>0</v>
      </c>
      <c r="Q983" s="31">
        <f>_xlfn.XLOOKUP(AP[[#This Row],[Supplier name]], Supplier_master[Supplier name], Supplier_master[Terms days], 0)</f>
        <v>0</v>
      </c>
      <c r="R9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3" s="4"/>
      <c r="T983" s="46">
        <f>IF(AP[[#This Row],[Payment date - override (dd/mm/yyyy)]] &lt;&gt; "", AP[[#This Row],[Payment date - override (dd/mm/yyyy)]], AP[[#This Row],[Due date (dd/mm/yyyy)]])</f>
        <v>0</v>
      </c>
      <c r="U983" s="46">
        <f t="shared" si="15"/>
        <v>52</v>
      </c>
    </row>
    <row r="984" spans="3:21" x14ac:dyDescent="0.25">
      <c r="C984" s="28"/>
      <c r="D984" s="20"/>
      <c r="E984" s="4"/>
      <c r="F984" s="37"/>
      <c r="G984" s="24"/>
      <c r="H984" s="31">
        <f>_xlfn.XLOOKUP(AP[[#This Row],[Supplier name]], Supplier_master[Supplier name], Supplier_master[Category L1], 0)</f>
        <v>0</v>
      </c>
      <c r="I984" s="64">
        <f>_xlfn.XLOOKUP(AP[[#This Row],[Supplier name]], Supplier_master[Supplier name], Supplier_master[Category L2], 0)</f>
        <v>0</v>
      </c>
      <c r="J984" s="55"/>
      <c r="K984" s="54"/>
      <c r="L984" s="57">
        <f>IF(AP[[#This Row],[Spend category L1 - Override]] &lt;&gt; "", AP[[#This Row],[Spend category L1 - Override]], AP[[#This Row],[Spend category L1]])</f>
        <v>0</v>
      </c>
      <c r="M984" s="57">
        <f>IF(AP[[#This Row],[Spend category L2 - Override]] &lt;&gt; "", AP[[#This Row],[Spend category L2 - Override]], AP[[#This Row],[Spend category L2]])</f>
        <v>0</v>
      </c>
      <c r="N984" s="51">
        <f>Assumptions!$D$15</f>
        <v>0.1</v>
      </c>
      <c r="O984" s="45">
        <f>IF(AP[[#This Row],[GST applies?]] = "Yes", (AP[[#This Row],[Invoice value inc. GST]] / 1 + AP[[#This Row],[GST %]]) * AP[[#This Row],[GST %]], 0)</f>
        <v>0</v>
      </c>
      <c r="P984" s="31">
        <f>_xlfn.XLOOKUP(AP[[#This Row],[Supplier name]], Supplier_master[Supplier name], Supplier_master[EOM or Net], 0)</f>
        <v>0</v>
      </c>
      <c r="Q984" s="31">
        <f>_xlfn.XLOOKUP(AP[[#This Row],[Supplier name]], Supplier_master[Supplier name], Supplier_master[Terms days], 0)</f>
        <v>0</v>
      </c>
      <c r="R9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4" s="4"/>
      <c r="T984" s="46">
        <f>IF(AP[[#This Row],[Payment date - override (dd/mm/yyyy)]] &lt;&gt; "", AP[[#This Row],[Payment date - override (dd/mm/yyyy)]], AP[[#This Row],[Due date (dd/mm/yyyy)]])</f>
        <v>0</v>
      </c>
      <c r="U984" s="46">
        <f t="shared" si="15"/>
        <v>52</v>
      </c>
    </row>
    <row r="985" spans="3:21" x14ac:dyDescent="0.25">
      <c r="C985" s="28"/>
      <c r="D985" s="20"/>
      <c r="E985" s="4"/>
      <c r="F985" s="37"/>
      <c r="G985" s="24"/>
      <c r="H985" s="31">
        <f>_xlfn.XLOOKUP(AP[[#This Row],[Supplier name]], Supplier_master[Supplier name], Supplier_master[Category L1], 0)</f>
        <v>0</v>
      </c>
      <c r="I985" s="64">
        <f>_xlfn.XLOOKUP(AP[[#This Row],[Supplier name]], Supplier_master[Supplier name], Supplier_master[Category L2], 0)</f>
        <v>0</v>
      </c>
      <c r="J985" s="55"/>
      <c r="K985" s="54"/>
      <c r="L985" s="57">
        <f>IF(AP[[#This Row],[Spend category L1 - Override]] &lt;&gt; "", AP[[#This Row],[Spend category L1 - Override]], AP[[#This Row],[Spend category L1]])</f>
        <v>0</v>
      </c>
      <c r="M985" s="57">
        <f>IF(AP[[#This Row],[Spend category L2 - Override]] &lt;&gt; "", AP[[#This Row],[Spend category L2 - Override]], AP[[#This Row],[Spend category L2]])</f>
        <v>0</v>
      </c>
      <c r="N985" s="51">
        <f>Assumptions!$D$15</f>
        <v>0.1</v>
      </c>
      <c r="O985" s="45">
        <f>IF(AP[[#This Row],[GST applies?]] = "Yes", (AP[[#This Row],[Invoice value inc. GST]] / 1 + AP[[#This Row],[GST %]]) * AP[[#This Row],[GST %]], 0)</f>
        <v>0</v>
      </c>
      <c r="P985" s="31">
        <f>_xlfn.XLOOKUP(AP[[#This Row],[Supplier name]], Supplier_master[Supplier name], Supplier_master[EOM or Net], 0)</f>
        <v>0</v>
      </c>
      <c r="Q985" s="31">
        <f>_xlfn.XLOOKUP(AP[[#This Row],[Supplier name]], Supplier_master[Supplier name], Supplier_master[Terms days], 0)</f>
        <v>0</v>
      </c>
      <c r="R9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5" s="4"/>
      <c r="T985" s="46">
        <f>IF(AP[[#This Row],[Payment date - override (dd/mm/yyyy)]] &lt;&gt; "", AP[[#This Row],[Payment date - override (dd/mm/yyyy)]], AP[[#This Row],[Due date (dd/mm/yyyy)]])</f>
        <v>0</v>
      </c>
      <c r="U985" s="46">
        <f t="shared" si="15"/>
        <v>52</v>
      </c>
    </row>
    <row r="986" spans="3:21" x14ac:dyDescent="0.25">
      <c r="C986" s="28"/>
      <c r="D986" s="20"/>
      <c r="E986" s="4"/>
      <c r="F986" s="37"/>
      <c r="G986" s="24"/>
      <c r="H986" s="31">
        <f>_xlfn.XLOOKUP(AP[[#This Row],[Supplier name]], Supplier_master[Supplier name], Supplier_master[Category L1], 0)</f>
        <v>0</v>
      </c>
      <c r="I986" s="64">
        <f>_xlfn.XLOOKUP(AP[[#This Row],[Supplier name]], Supplier_master[Supplier name], Supplier_master[Category L2], 0)</f>
        <v>0</v>
      </c>
      <c r="J986" s="55"/>
      <c r="K986" s="54"/>
      <c r="L986" s="57">
        <f>IF(AP[[#This Row],[Spend category L1 - Override]] &lt;&gt; "", AP[[#This Row],[Spend category L1 - Override]], AP[[#This Row],[Spend category L1]])</f>
        <v>0</v>
      </c>
      <c r="M986" s="57">
        <f>IF(AP[[#This Row],[Spend category L2 - Override]] &lt;&gt; "", AP[[#This Row],[Spend category L2 - Override]], AP[[#This Row],[Spend category L2]])</f>
        <v>0</v>
      </c>
      <c r="N986" s="51">
        <f>Assumptions!$D$15</f>
        <v>0.1</v>
      </c>
      <c r="O986" s="45">
        <f>IF(AP[[#This Row],[GST applies?]] = "Yes", (AP[[#This Row],[Invoice value inc. GST]] / 1 + AP[[#This Row],[GST %]]) * AP[[#This Row],[GST %]], 0)</f>
        <v>0</v>
      </c>
      <c r="P986" s="31">
        <f>_xlfn.XLOOKUP(AP[[#This Row],[Supplier name]], Supplier_master[Supplier name], Supplier_master[EOM or Net], 0)</f>
        <v>0</v>
      </c>
      <c r="Q986" s="31">
        <f>_xlfn.XLOOKUP(AP[[#This Row],[Supplier name]], Supplier_master[Supplier name], Supplier_master[Terms days], 0)</f>
        <v>0</v>
      </c>
      <c r="R9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6" s="4"/>
      <c r="T986" s="46">
        <f>IF(AP[[#This Row],[Payment date - override (dd/mm/yyyy)]] &lt;&gt; "", AP[[#This Row],[Payment date - override (dd/mm/yyyy)]], AP[[#This Row],[Due date (dd/mm/yyyy)]])</f>
        <v>0</v>
      </c>
      <c r="U986" s="46">
        <f t="shared" si="15"/>
        <v>52</v>
      </c>
    </row>
    <row r="987" spans="3:21" x14ac:dyDescent="0.25">
      <c r="C987" s="28"/>
      <c r="D987" s="20"/>
      <c r="E987" s="4"/>
      <c r="F987" s="37"/>
      <c r="G987" s="24"/>
      <c r="H987" s="31">
        <f>_xlfn.XLOOKUP(AP[[#This Row],[Supplier name]], Supplier_master[Supplier name], Supplier_master[Category L1], 0)</f>
        <v>0</v>
      </c>
      <c r="I987" s="64">
        <f>_xlfn.XLOOKUP(AP[[#This Row],[Supplier name]], Supplier_master[Supplier name], Supplier_master[Category L2], 0)</f>
        <v>0</v>
      </c>
      <c r="J987" s="55"/>
      <c r="K987" s="54"/>
      <c r="L987" s="57">
        <f>IF(AP[[#This Row],[Spend category L1 - Override]] &lt;&gt; "", AP[[#This Row],[Spend category L1 - Override]], AP[[#This Row],[Spend category L1]])</f>
        <v>0</v>
      </c>
      <c r="M987" s="57">
        <f>IF(AP[[#This Row],[Spend category L2 - Override]] &lt;&gt; "", AP[[#This Row],[Spend category L2 - Override]], AP[[#This Row],[Spend category L2]])</f>
        <v>0</v>
      </c>
      <c r="N987" s="51">
        <f>Assumptions!$D$15</f>
        <v>0.1</v>
      </c>
      <c r="O987" s="45">
        <f>IF(AP[[#This Row],[GST applies?]] = "Yes", (AP[[#This Row],[Invoice value inc. GST]] / 1 + AP[[#This Row],[GST %]]) * AP[[#This Row],[GST %]], 0)</f>
        <v>0</v>
      </c>
      <c r="P987" s="31">
        <f>_xlfn.XLOOKUP(AP[[#This Row],[Supplier name]], Supplier_master[Supplier name], Supplier_master[EOM or Net], 0)</f>
        <v>0</v>
      </c>
      <c r="Q987" s="31">
        <f>_xlfn.XLOOKUP(AP[[#This Row],[Supplier name]], Supplier_master[Supplier name], Supplier_master[Terms days], 0)</f>
        <v>0</v>
      </c>
      <c r="R9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7" s="4"/>
      <c r="T987" s="46">
        <f>IF(AP[[#This Row],[Payment date - override (dd/mm/yyyy)]] &lt;&gt; "", AP[[#This Row],[Payment date - override (dd/mm/yyyy)]], AP[[#This Row],[Due date (dd/mm/yyyy)]])</f>
        <v>0</v>
      </c>
      <c r="U987" s="46">
        <f t="shared" si="15"/>
        <v>52</v>
      </c>
    </row>
    <row r="988" spans="3:21" x14ac:dyDescent="0.25">
      <c r="C988" s="28"/>
      <c r="D988" s="20"/>
      <c r="E988" s="4"/>
      <c r="F988" s="37"/>
      <c r="G988" s="24"/>
      <c r="H988" s="31">
        <f>_xlfn.XLOOKUP(AP[[#This Row],[Supplier name]], Supplier_master[Supplier name], Supplier_master[Category L1], 0)</f>
        <v>0</v>
      </c>
      <c r="I988" s="64">
        <f>_xlfn.XLOOKUP(AP[[#This Row],[Supplier name]], Supplier_master[Supplier name], Supplier_master[Category L2], 0)</f>
        <v>0</v>
      </c>
      <c r="J988" s="55"/>
      <c r="K988" s="54"/>
      <c r="L988" s="57">
        <f>IF(AP[[#This Row],[Spend category L1 - Override]] &lt;&gt; "", AP[[#This Row],[Spend category L1 - Override]], AP[[#This Row],[Spend category L1]])</f>
        <v>0</v>
      </c>
      <c r="M988" s="57">
        <f>IF(AP[[#This Row],[Spend category L2 - Override]] &lt;&gt; "", AP[[#This Row],[Spend category L2 - Override]], AP[[#This Row],[Spend category L2]])</f>
        <v>0</v>
      </c>
      <c r="N988" s="51">
        <f>Assumptions!$D$15</f>
        <v>0.1</v>
      </c>
      <c r="O988" s="45">
        <f>IF(AP[[#This Row],[GST applies?]] = "Yes", (AP[[#This Row],[Invoice value inc. GST]] / 1 + AP[[#This Row],[GST %]]) * AP[[#This Row],[GST %]], 0)</f>
        <v>0</v>
      </c>
      <c r="P988" s="31">
        <f>_xlfn.XLOOKUP(AP[[#This Row],[Supplier name]], Supplier_master[Supplier name], Supplier_master[EOM or Net], 0)</f>
        <v>0</v>
      </c>
      <c r="Q988" s="31">
        <f>_xlfn.XLOOKUP(AP[[#This Row],[Supplier name]], Supplier_master[Supplier name], Supplier_master[Terms days], 0)</f>
        <v>0</v>
      </c>
      <c r="R9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8" s="4"/>
      <c r="T988" s="46">
        <f>IF(AP[[#This Row],[Payment date - override (dd/mm/yyyy)]] &lt;&gt; "", AP[[#This Row],[Payment date - override (dd/mm/yyyy)]], AP[[#This Row],[Due date (dd/mm/yyyy)]])</f>
        <v>0</v>
      </c>
      <c r="U988" s="46">
        <f t="shared" si="15"/>
        <v>52</v>
      </c>
    </row>
    <row r="989" spans="3:21" x14ac:dyDescent="0.25">
      <c r="C989" s="28"/>
      <c r="D989" s="20"/>
      <c r="E989" s="4"/>
      <c r="F989" s="37"/>
      <c r="G989" s="24"/>
      <c r="H989" s="31">
        <f>_xlfn.XLOOKUP(AP[[#This Row],[Supplier name]], Supplier_master[Supplier name], Supplier_master[Category L1], 0)</f>
        <v>0</v>
      </c>
      <c r="I989" s="64">
        <f>_xlfn.XLOOKUP(AP[[#This Row],[Supplier name]], Supplier_master[Supplier name], Supplier_master[Category L2], 0)</f>
        <v>0</v>
      </c>
      <c r="J989" s="55"/>
      <c r="K989" s="54"/>
      <c r="L989" s="57">
        <f>IF(AP[[#This Row],[Spend category L1 - Override]] &lt;&gt; "", AP[[#This Row],[Spend category L1 - Override]], AP[[#This Row],[Spend category L1]])</f>
        <v>0</v>
      </c>
      <c r="M989" s="57">
        <f>IF(AP[[#This Row],[Spend category L2 - Override]] &lt;&gt; "", AP[[#This Row],[Spend category L2 - Override]], AP[[#This Row],[Spend category L2]])</f>
        <v>0</v>
      </c>
      <c r="N989" s="51">
        <f>Assumptions!$D$15</f>
        <v>0.1</v>
      </c>
      <c r="O989" s="45">
        <f>IF(AP[[#This Row],[GST applies?]] = "Yes", (AP[[#This Row],[Invoice value inc. GST]] / 1 + AP[[#This Row],[GST %]]) * AP[[#This Row],[GST %]], 0)</f>
        <v>0</v>
      </c>
      <c r="P989" s="31">
        <f>_xlfn.XLOOKUP(AP[[#This Row],[Supplier name]], Supplier_master[Supplier name], Supplier_master[EOM or Net], 0)</f>
        <v>0</v>
      </c>
      <c r="Q989" s="31">
        <f>_xlfn.XLOOKUP(AP[[#This Row],[Supplier name]], Supplier_master[Supplier name], Supplier_master[Terms days], 0)</f>
        <v>0</v>
      </c>
      <c r="R9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9" s="4"/>
      <c r="T989" s="46">
        <f>IF(AP[[#This Row],[Payment date - override (dd/mm/yyyy)]] &lt;&gt; "", AP[[#This Row],[Payment date - override (dd/mm/yyyy)]], AP[[#This Row],[Due date (dd/mm/yyyy)]])</f>
        <v>0</v>
      </c>
      <c r="U989" s="46">
        <f t="shared" si="15"/>
        <v>52</v>
      </c>
    </row>
    <row r="990" spans="3:21" x14ac:dyDescent="0.25">
      <c r="C990" s="28"/>
      <c r="D990" s="20"/>
      <c r="E990" s="4"/>
      <c r="F990" s="37"/>
      <c r="G990" s="24"/>
      <c r="H990" s="31">
        <f>_xlfn.XLOOKUP(AP[[#This Row],[Supplier name]], Supplier_master[Supplier name], Supplier_master[Category L1], 0)</f>
        <v>0</v>
      </c>
      <c r="I990" s="64">
        <f>_xlfn.XLOOKUP(AP[[#This Row],[Supplier name]], Supplier_master[Supplier name], Supplier_master[Category L2], 0)</f>
        <v>0</v>
      </c>
      <c r="J990" s="55"/>
      <c r="K990" s="54"/>
      <c r="L990" s="57">
        <f>IF(AP[[#This Row],[Spend category L1 - Override]] &lt;&gt; "", AP[[#This Row],[Spend category L1 - Override]], AP[[#This Row],[Spend category L1]])</f>
        <v>0</v>
      </c>
      <c r="M990" s="57">
        <f>IF(AP[[#This Row],[Spend category L2 - Override]] &lt;&gt; "", AP[[#This Row],[Spend category L2 - Override]], AP[[#This Row],[Spend category L2]])</f>
        <v>0</v>
      </c>
      <c r="N990" s="51">
        <f>Assumptions!$D$15</f>
        <v>0.1</v>
      </c>
      <c r="O990" s="45">
        <f>IF(AP[[#This Row],[GST applies?]] = "Yes", (AP[[#This Row],[Invoice value inc. GST]] / 1 + AP[[#This Row],[GST %]]) * AP[[#This Row],[GST %]], 0)</f>
        <v>0</v>
      </c>
      <c r="P990" s="31">
        <f>_xlfn.XLOOKUP(AP[[#This Row],[Supplier name]], Supplier_master[Supplier name], Supplier_master[EOM or Net], 0)</f>
        <v>0</v>
      </c>
      <c r="Q990" s="31">
        <f>_xlfn.XLOOKUP(AP[[#This Row],[Supplier name]], Supplier_master[Supplier name], Supplier_master[Terms days], 0)</f>
        <v>0</v>
      </c>
      <c r="R9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0" s="4"/>
      <c r="T990" s="46">
        <f>IF(AP[[#This Row],[Payment date - override (dd/mm/yyyy)]] &lt;&gt; "", AP[[#This Row],[Payment date - override (dd/mm/yyyy)]], AP[[#This Row],[Due date (dd/mm/yyyy)]])</f>
        <v>0</v>
      </c>
      <c r="U990" s="46">
        <f t="shared" si="15"/>
        <v>52</v>
      </c>
    </row>
    <row r="991" spans="3:21" x14ac:dyDescent="0.25">
      <c r="C991" s="28"/>
      <c r="D991" s="20"/>
      <c r="E991" s="4"/>
      <c r="F991" s="37"/>
      <c r="G991" s="24"/>
      <c r="H991" s="31">
        <f>_xlfn.XLOOKUP(AP[[#This Row],[Supplier name]], Supplier_master[Supplier name], Supplier_master[Category L1], 0)</f>
        <v>0</v>
      </c>
      <c r="I991" s="64">
        <f>_xlfn.XLOOKUP(AP[[#This Row],[Supplier name]], Supplier_master[Supplier name], Supplier_master[Category L2], 0)</f>
        <v>0</v>
      </c>
      <c r="J991" s="55"/>
      <c r="K991" s="54"/>
      <c r="L991" s="57">
        <f>IF(AP[[#This Row],[Spend category L1 - Override]] &lt;&gt; "", AP[[#This Row],[Spend category L1 - Override]], AP[[#This Row],[Spend category L1]])</f>
        <v>0</v>
      </c>
      <c r="M991" s="57">
        <f>IF(AP[[#This Row],[Spend category L2 - Override]] &lt;&gt; "", AP[[#This Row],[Spend category L2 - Override]], AP[[#This Row],[Spend category L2]])</f>
        <v>0</v>
      </c>
      <c r="N991" s="51">
        <f>Assumptions!$D$15</f>
        <v>0.1</v>
      </c>
      <c r="O991" s="45">
        <f>IF(AP[[#This Row],[GST applies?]] = "Yes", (AP[[#This Row],[Invoice value inc. GST]] / 1 + AP[[#This Row],[GST %]]) * AP[[#This Row],[GST %]], 0)</f>
        <v>0</v>
      </c>
      <c r="P991" s="31">
        <f>_xlfn.XLOOKUP(AP[[#This Row],[Supplier name]], Supplier_master[Supplier name], Supplier_master[EOM or Net], 0)</f>
        <v>0</v>
      </c>
      <c r="Q991" s="31">
        <f>_xlfn.XLOOKUP(AP[[#This Row],[Supplier name]], Supplier_master[Supplier name], Supplier_master[Terms days], 0)</f>
        <v>0</v>
      </c>
      <c r="R9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1" s="4"/>
      <c r="T991" s="46">
        <f>IF(AP[[#This Row],[Payment date - override (dd/mm/yyyy)]] &lt;&gt; "", AP[[#This Row],[Payment date - override (dd/mm/yyyy)]], AP[[#This Row],[Due date (dd/mm/yyyy)]])</f>
        <v>0</v>
      </c>
      <c r="U991" s="46">
        <f t="shared" si="15"/>
        <v>52</v>
      </c>
    </row>
    <row r="992" spans="3:21" x14ac:dyDescent="0.25">
      <c r="C992" s="28"/>
      <c r="D992" s="20"/>
      <c r="E992" s="4"/>
      <c r="F992" s="37"/>
      <c r="G992" s="24"/>
      <c r="H992" s="31">
        <f>_xlfn.XLOOKUP(AP[[#This Row],[Supplier name]], Supplier_master[Supplier name], Supplier_master[Category L1], 0)</f>
        <v>0</v>
      </c>
      <c r="I992" s="64">
        <f>_xlfn.XLOOKUP(AP[[#This Row],[Supplier name]], Supplier_master[Supplier name], Supplier_master[Category L2], 0)</f>
        <v>0</v>
      </c>
      <c r="J992" s="55"/>
      <c r="K992" s="54"/>
      <c r="L992" s="57">
        <f>IF(AP[[#This Row],[Spend category L1 - Override]] &lt;&gt; "", AP[[#This Row],[Spend category L1 - Override]], AP[[#This Row],[Spend category L1]])</f>
        <v>0</v>
      </c>
      <c r="M992" s="57">
        <f>IF(AP[[#This Row],[Spend category L2 - Override]] &lt;&gt; "", AP[[#This Row],[Spend category L2 - Override]], AP[[#This Row],[Spend category L2]])</f>
        <v>0</v>
      </c>
      <c r="N992" s="51">
        <f>Assumptions!$D$15</f>
        <v>0.1</v>
      </c>
      <c r="O992" s="45">
        <f>IF(AP[[#This Row],[GST applies?]] = "Yes", (AP[[#This Row],[Invoice value inc. GST]] / 1 + AP[[#This Row],[GST %]]) * AP[[#This Row],[GST %]], 0)</f>
        <v>0</v>
      </c>
      <c r="P992" s="31">
        <f>_xlfn.XLOOKUP(AP[[#This Row],[Supplier name]], Supplier_master[Supplier name], Supplier_master[EOM or Net], 0)</f>
        <v>0</v>
      </c>
      <c r="Q992" s="31">
        <f>_xlfn.XLOOKUP(AP[[#This Row],[Supplier name]], Supplier_master[Supplier name], Supplier_master[Terms days], 0)</f>
        <v>0</v>
      </c>
      <c r="R9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2" s="4"/>
      <c r="T992" s="46">
        <f>IF(AP[[#This Row],[Payment date - override (dd/mm/yyyy)]] &lt;&gt; "", AP[[#This Row],[Payment date - override (dd/mm/yyyy)]], AP[[#This Row],[Due date (dd/mm/yyyy)]])</f>
        <v>0</v>
      </c>
      <c r="U992" s="46">
        <f t="shared" si="15"/>
        <v>52</v>
      </c>
    </row>
    <row r="993" spans="3:21" x14ac:dyDescent="0.25">
      <c r="C993" s="28"/>
      <c r="D993" s="20"/>
      <c r="E993" s="4"/>
      <c r="F993" s="37"/>
      <c r="G993" s="24"/>
      <c r="H993" s="31">
        <f>_xlfn.XLOOKUP(AP[[#This Row],[Supplier name]], Supplier_master[Supplier name], Supplier_master[Category L1], 0)</f>
        <v>0</v>
      </c>
      <c r="I993" s="64">
        <f>_xlfn.XLOOKUP(AP[[#This Row],[Supplier name]], Supplier_master[Supplier name], Supplier_master[Category L2], 0)</f>
        <v>0</v>
      </c>
      <c r="J993" s="55"/>
      <c r="K993" s="54"/>
      <c r="L993" s="57">
        <f>IF(AP[[#This Row],[Spend category L1 - Override]] &lt;&gt; "", AP[[#This Row],[Spend category L1 - Override]], AP[[#This Row],[Spend category L1]])</f>
        <v>0</v>
      </c>
      <c r="M993" s="57">
        <f>IF(AP[[#This Row],[Spend category L2 - Override]] &lt;&gt; "", AP[[#This Row],[Spend category L2 - Override]], AP[[#This Row],[Spend category L2]])</f>
        <v>0</v>
      </c>
      <c r="N993" s="51">
        <f>Assumptions!$D$15</f>
        <v>0.1</v>
      </c>
      <c r="O993" s="45">
        <f>IF(AP[[#This Row],[GST applies?]] = "Yes", (AP[[#This Row],[Invoice value inc. GST]] / 1 + AP[[#This Row],[GST %]]) * AP[[#This Row],[GST %]], 0)</f>
        <v>0</v>
      </c>
      <c r="P993" s="31">
        <f>_xlfn.XLOOKUP(AP[[#This Row],[Supplier name]], Supplier_master[Supplier name], Supplier_master[EOM or Net], 0)</f>
        <v>0</v>
      </c>
      <c r="Q993" s="31">
        <f>_xlfn.XLOOKUP(AP[[#This Row],[Supplier name]], Supplier_master[Supplier name], Supplier_master[Terms days], 0)</f>
        <v>0</v>
      </c>
      <c r="R9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3" s="4"/>
      <c r="T993" s="46">
        <f>IF(AP[[#This Row],[Payment date - override (dd/mm/yyyy)]] &lt;&gt; "", AP[[#This Row],[Payment date - override (dd/mm/yyyy)]], AP[[#This Row],[Due date (dd/mm/yyyy)]])</f>
        <v>0</v>
      </c>
      <c r="U993" s="46">
        <f t="shared" si="15"/>
        <v>52</v>
      </c>
    </row>
    <row r="994" spans="3:21" x14ac:dyDescent="0.25">
      <c r="C994" s="28"/>
      <c r="D994" s="20"/>
      <c r="E994" s="4"/>
      <c r="F994" s="37"/>
      <c r="G994" s="24"/>
      <c r="H994" s="31">
        <f>_xlfn.XLOOKUP(AP[[#This Row],[Supplier name]], Supplier_master[Supplier name], Supplier_master[Category L1], 0)</f>
        <v>0</v>
      </c>
      <c r="I994" s="64">
        <f>_xlfn.XLOOKUP(AP[[#This Row],[Supplier name]], Supplier_master[Supplier name], Supplier_master[Category L2], 0)</f>
        <v>0</v>
      </c>
      <c r="J994" s="55"/>
      <c r="K994" s="54"/>
      <c r="L994" s="57">
        <f>IF(AP[[#This Row],[Spend category L1 - Override]] &lt;&gt; "", AP[[#This Row],[Spend category L1 - Override]], AP[[#This Row],[Spend category L1]])</f>
        <v>0</v>
      </c>
      <c r="M994" s="57">
        <f>IF(AP[[#This Row],[Spend category L2 - Override]] &lt;&gt; "", AP[[#This Row],[Spend category L2 - Override]], AP[[#This Row],[Spend category L2]])</f>
        <v>0</v>
      </c>
      <c r="N994" s="51">
        <f>Assumptions!$D$15</f>
        <v>0.1</v>
      </c>
      <c r="O994" s="45">
        <f>IF(AP[[#This Row],[GST applies?]] = "Yes", (AP[[#This Row],[Invoice value inc. GST]] / 1 + AP[[#This Row],[GST %]]) * AP[[#This Row],[GST %]], 0)</f>
        <v>0</v>
      </c>
      <c r="P994" s="31">
        <f>_xlfn.XLOOKUP(AP[[#This Row],[Supplier name]], Supplier_master[Supplier name], Supplier_master[EOM or Net], 0)</f>
        <v>0</v>
      </c>
      <c r="Q994" s="31">
        <f>_xlfn.XLOOKUP(AP[[#This Row],[Supplier name]], Supplier_master[Supplier name], Supplier_master[Terms days], 0)</f>
        <v>0</v>
      </c>
      <c r="R9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4" s="4"/>
      <c r="T994" s="46">
        <f>IF(AP[[#This Row],[Payment date - override (dd/mm/yyyy)]] &lt;&gt; "", AP[[#This Row],[Payment date - override (dd/mm/yyyy)]], AP[[#This Row],[Due date (dd/mm/yyyy)]])</f>
        <v>0</v>
      </c>
      <c r="U994" s="46">
        <f t="shared" si="15"/>
        <v>52</v>
      </c>
    </row>
    <row r="995" spans="3:21" x14ac:dyDescent="0.25">
      <c r="C995" s="28"/>
      <c r="D995" s="20"/>
      <c r="E995" s="4"/>
      <c r="F995" s="37"/>
      <c r="G995" s="24"/>
      <c r="H995" s="31">
        <f>_xlfn.XLOOKUP(AP[[#This Row],[Supplier name]], Supplier_master[Supplier name], Supplier_master[Category L1], 0)</f>
        <v>0</v>
      </c>
      <c r="I995" s="64">
        <f>_xlfn.XLOOKUP(AP[[#This Row],[Supplier name]], Supplier_master[Supplier name], Supplier_master[Category L2], 0)</f>
        <v>0</v>
      </c>
      <c r="J995" s="55"/>
      <c r="K995" s="54"/>
      <c r="L995" s="57">
        <f>IF(AP[[#This Row],[Spend category L1 - Override]] &lt;&gt; "", AP[[#This Row],[Spend category L1 - Override]], AP[[#This Row],[Spend category L1]])</f>
        <v>0</v>
      </c>
      <c r="M995" s="57">
        <f>IF(AP[[#This Row],[Spend category L2 - Override]] &lt;&gt; "", AP[[#This Row],[Spend category L2 - Override]], AP[[#This Row],[Spend category L2]])</f>
        <v>0</v>
      </c>
      <c r="N995" s="51">
        <f>Assumptions!$D$15</f>
        <v>0.1</v>
      </c>
      <c r="O995" s="45">
        <f>IF(AP[[#This Row],[GST applies?]] = "Yes", (AP[[#This Row],[Invoice value inc. GST]] / 1 + AP[[#This Row],[GST %]]) * AP[[#This Row],[GST %]], 0)</f>
        <v>0</v>
      </c>
      <c r="P995" s="31">
        <f>_xlfn.XLOOKUP(AP[[#This Row],[Supplier name]], Supplier_master[Supplier name], Supplier_master[EOM or Net], 0)</f>
        <v>0</v>
      </c>
      <c r="Q995" s="31">
        <f>_xlfn.XLOOKUP(AP[[#This Row],[Supplier name]], Supplier_master[Supplier name], Supplier_master[Terms days], 0)</f>
        <v>0</v>
      </c>
      <c r="R9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5" s="4"/>
      <c r="T995" s="46">
        <f>IF(AP[[#This Row],[Payment date - override (dd/mm/yyyy)]] &lt;&gt; "", AP[[#This Row],[Payment date - override (dd/mm/yyyy)]], AP[[#This Row],[Due date (dd/mm/yyyy)]])</f>
        <v>0</v>
      </c>
      <c r="U995" s="46">
        <f t="shared" si="15"/>
        <v>52</v>
      </c>
    </row>
    <row r="996" spans="3:21" x14ac:dyDescent="0.25">
      <c r="C996" s="28"/>
      <c r="D996" s="20"/>
      <c r="E996" s="4"/>
      <c r="F996" s="37"/>
      <c r="G996" s="24"/>
      <c r="H996" s="31">
        <f>_xlfn.XLOOKUP(AP[[#This Row],[Supplier name]], Supplier_master[Supplier name], Supplier_master[Category L1], 0)</f>
        <v>0</v>
      </c>
      <c r="I996" s="64">
        <f>_xlfn.XLOOKUP(AP[[#This Row],[Supplier name]], Supplier_master[Supplier name], Supplier_master[Category L2], 0)</f>
        <v>0</v>
      </c>
      <c r="J996" s="55"/>
      <c r="K996" s="54"/>
      <c r="L996" s="57">
        <f>IF(AP[[#This Row],[Spend category L1 - Override]] &lt;&gt; "", AP[[#This Row],[Spend category L1 - Override]], AP[[#This Row],[Spend category L1]])</f>
        <v>0</v>
      </c>
      <c r="M996" s="57">
        <f>IF(AP[[#This Row],[Spend category L2 - Override]] &lt;&gt; "", AP[[#This Row],[Spend category L2 - Override]], AP[[#This Row],[Spend category L2]])</f>
        <v>0</v>
      </c>
      <c r="N996" s="51">
        <f>Assumptions!$D$15</f>
        <v>0.1</v>
      </c>
      <c r="O996" s="45">
        <f>IF(AP[[#This Row],[GST applies?]] = "Yes", (AP[[#This Row],[Invoice value inc. GST]] / 1 + AP[[#This Row],[GST %]]) * AP[[#This Row],[GST %]], 0)</f>
        <v>0</v>
      </c>
      <c r="P996" s="31">
        <f>_xlfn.XLOOKUP(AP[[#This Row],[Supplier name]], Supplier_master[Supplier name], Supplier_master[EOM or Net], 0)</f>
        <v>0</v>
      </c>
      <c r="Q996" s="31">
        <f>_xlfn.XLOOKUP(AP[[#This Row],[Supplier name]], Supplier_master[Supplier name], Supplier_master[Terms days], 0)</f>
        <v>0</v>
      </c>
      <c r="R9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6" s="4"/>
      <c r="T996" s="46">
        <f>IF(AP[[#This Row],[Payment date - override (dd/mm/yyyy)]] &lt;&gt; "", AP[[#This Row],[Payment date - override (dd/mm/yyyy)]], AP[[#This Row],[Due date (dd/mm/yyyy)]])</f>
        <v>0</v>
      </c>
      <c r="U996" s="46">
        <f t="shared" si="15"/>
        <v>52</v>
      </c>
    </row>
    <row r="997" spans="3:21" x14ac:dyDescent="0.25">
      <c r="C997" s="28"/>
      <c r="D997" s="20"/>
      <c r="E997" s="4"/>
      <c r="F997" s="37"/>
      <c r="G997" s="24"/>
      <c r="H997" s="31">
        <f>_xlfn.XLOOKUP(AP[[#This Row],[Supplier name]], Supplier_master[Supplier name], Supplier_master[Category L1], 0)</f>
        <v>0</v>
      </c>
      <c r="I997" s="64">
        <f>_xlfn.XLOOKUP(AP[[#This Row],[Supplier name]], Supplier_master[Supplier name], Supplier_master[Category L2], 0)</f>
        <v>0</v>
      </c>
      <c r="J997" s="55"/>
      <c r="K997" s="54"/>
      <c r="L997" s="57">
        <f>IF(AP[[#This Row],[Spend category L1 - Override]] &lt;&gt; "", AP[[#This Row],[Spend category L1 - Override]], AP[[#This Row],[Spend category L1]])</f>
        <v>0</v>
      </c>
      <c r="M997" s="57">
        <f>IF(AP[[#This Row],[Spend category L2 - Override]] &lt;&gt; "", AP[[#This Row],[Spend category L2 - Override]], AP[[#This Row],[Spend category L2]])</f>
        <v>0</v>
      </c>
      <c r="N997" s="51">
        <f>Assumptions!$D$15</f>
        <v>0.1</v>
      </c>
      <c r="O997" s="45">
        <f>IF(AP[[#This Row],[GST applies?]] = "Yes", (AP[[#This Row],[Invoice value inc. GST]] / 1 + AP[[#This Row],[GST %]]) * AP[[#This Row],[GST %]], 0)</f>
        <v>0</v>
      </c>
      <c r="P997" s="31">
        <f>_xlfn.XLOOKUP(AP[[#This Row],[Supplier name]], Supplier_master[Supplier name], Supplier_master[EOM or Net], 0)</f>
        <v>0</v>
      </c>
      <c r="Q997" s="31">
        <f>_xlfn.XLOOKUP(AP[[#This Row],[Supplier name]], Supplier_master[Supplier name], Supplier_master[Terms days], 0)</f>
        <v>0</v>
      </c>
      <c r="R9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7" s="4"/>
      <c r="T997" s="46">
        <f>IF(AP[[#This Row],[Payment date - override (dd/mm/yyyy)]] &lt;&gt; "", AP[[#This Row],[Payment date - override (dd/mm/yyyy)]], AP[[#This Row],[Due date (dd/mm/yyyy)]])</f>
        <v>0</v>
      </c>
      <c r="U997" s="46">
        <f t="shared" si="15"/>
        <v>52</v>
      </c>
    </row>
    <row r="998" spans="3:21" x14ac:dyDescent="0.25">
      <c r="C998" s="28"/>
      <c r="D998" s="20"/>
      <c r="E998" s="4"/>
      <c r="F998" s="37"/>
      <c r="G998" s="24"/>
      <c r="H998" s="31">
        <f>_xlfn.XLOOKUP(AP[[#This Row],[Supplier name]], Supplier_master[Supplier name], Supplier_master[Category L1], 0)</f>
        <v>0</v>
      </c>
      <c r="I998" s="64">
        <f>_xlfn.XLOOKUP(AP[[#This Row],[Supplier name]], Supplier_master[Supplier name], Supplier_master[Category L2], 0)</f>
        <v>0</v>
      </c>
      <c r="J998" s="55"/>
      <c r="K998" s="54"/>
      <c r="L998" s="57">
        <f>IF(AP[[#This Row],[Spend category L1 - Override]] &lt;&gt; "", AP[[#This Row],[Spend category L1 - Override]], AP[[#This Row],[Spend category L1]])</f>
        <v>0</v>
      </c>
      <c r="M998" s="57">
        <f>IF(AP[[#This Row],[Spend category L2 - Override]] &lt;&gt; "", AP[[#This Row],[Spend category L2 - Override]], AP[[#This Row],[Spend category L2]])</f>
        <v>0</v>
      </c>
      <c r="N998" s="51">
        <f>Assumptions!$D$15</f>
        <v>0.1</v>
      </c>
      <c r="O998" s="45">
        <f>IF(AP[[#This Row],[GST applies?]] = "Yes", (AP[[#This Row],[Invoice value inc. GST]] / 1 + AP[[#This Row],[GST %]]) * AP[[#This Row],[GST %]], 0)</f>
        <v>0</v>
      </c>
      <c r="P998" s="31">
        <f>_xlfn.XLOOKUP(AP[[#This Row],[Supplier name]], Supplier_master[Supplier name], Supplier_master[EOM or Net], 0)</f>
        <v>0</v>
      </c>
      <c r="Q998" s="31">
        <f>_xlfn.XLOOKUP(AP[[#This Row],[Supplier name]], Supplier_master[Supplier name], Supplier_master[Terms days], 0)</f>
        <v>0</v>
      </c>
      <c r="R9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8" s="4"/>
      <c r="T998" s="46">
        <f>IF(AP[[#This Row],[Payment date - override (dd/mm/yyyy)]] &lt;&gt; "", AP[[#This Row],[Payment date - override (dd/mm/yyyy)]], AP[[#This Row],[Due date (dd/mm/yyyy)]])</f>
        <v>0</v>
      </c>
      <c r="U998" s="46">
        <f t="shared" si="15"/>
        <v>52</v>
      </c>
    </row>
    <row r="999" spans="3:21" x14ac:dyDescent="0.25">
      <c r="C999" s="28"/>
      <c r="D999" s="20"/>
      <c r="E999" s="4"/>
      <c r="F999" s="37"/>
      <c r="G999" s="24"/>
      <c r="H999" s="31">
        <f>_xlfn.XLOOKUP(AP[[#This Row],[Supplier name]], Supplier_master[Supplier name], Supplier_master[Category L1], 0)</f>
        <v>0</v>
      </c>
      <c r="I999" s="64">
        <f>_xlfn.XLOOKUP(AP[[#This Row],[Supplier name]], Supplier_master[Supplier name], Supplier_master[Category L2], 0)</f>
        <v>0</v>
      </c>
      <c r="J999" s="55"/>
      <c r="K999" s="54"/>
      <c r="L999" s="57">
        <f>IF(AP[[#This Row],[Spend category L1 - Override]] &lt;&gt; "", AP[[#This Row],[Spend category L1 - Override]], AP[[#This Row],[Spend category L1]])</f>
        <v>0</v>
      </c>
      <c r="M999" s="57">
        <f>IF(AP[[#This Row],[Spend category L2 - Override]] &lt;&gt; "", AP[[#This Row],[Spend category L2 - Override]], AP[[#This Row],[Spend category L2]])</f>
        <v>0</v>
      </c>
      <c r="N999" s="51">
        <f>Assumptions!$D$15</f>
        <v>0.1</v>
      </c>
      <c r="O999" s="45">
        <f>IF(AP[[#This Row],[GST applies?]] = "Yes", (AP[[#This Row],[Invoice value inc. GST]] / 1 + AP[[#This Row],[GST %]]) * AP[[#This Row],[GST %]], 0)</f>
        <v>0</v>
      </c>
      <c r="P999" s="31">
        <f>_xlfn.XLOOKUP(AP[[#This Row],[Supplier name]], Supplier_master[Supplier name], Supplier_master[EOM or Net], 0)</f>
        <v>0</v>
      </c>
      <c r="Q999" s="31">
        <f>_xlfn.XLOOKUP(AP[[#This Row],[Supplier name]], Supplier_master[Supplier name], Supplier_master[Terms days], 0)</f>
        <v>0</v>
      </c>
      <c r="R9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9" s="4"/>
      <c r="T999" s="46">
        <f>IF(AP[[#This Row],[Payment date - override (dd/mm/yyyy)]] &lt;&gt; "", AP[[#This Row],[Payment date - override (dd/mm/yyyy)]], AP[[#This Row],[Due date (dd/mm/yyyy)]])</f>
        <v>0</v>
      </c>
      <c r="U999" s="46">
        <f t="shared" si="15"/>
        <v>52</v>
      </c>
    </row>
    <row r="1000" spans="3:21" x14ac:dyDescent="0.25">
      <c r="C1000" s="28"/>
      <c r="D1000" s="20"/>
      <c r="E1000" s="4"/>
      <c r="F1000" s="37"/>
      <c r="G1000" s="24"/>
      <c r="H1000" s="31">
        <f>_xlfn.XLOOKUP(AP[[#This Row],[Supplier name]], Supplier_master[Supplier name], Supplier_master[Category L1], 0)</f>
        <v>0</v>
      </c>
      <c r="I1000" s="64">
        <f>_xlfn.XLOOKUP(AP[[#This Row],[Supplier name]], Supplier_master[Supplier name], Supplier_master[Category L2], 0)</f>
        <v>0</v>
      </c>
      <c r="J1000" s="55"/>
      <c r="K1000" s="54"/>
      <c r="L1000" s="57">
        <f>IF(AP[[#This Row],[Spend category L1 - Override]] &lt;&gt; "", AP[[#This Row],[Spend category L1 - Override]], AP[[#This Row],[Spend category L1]])</f>
        <v>0</v>
      </c>
      <c r="M1000" s="57">
        <f>IF(AP[[#This Row],[Spend category L2 - Override]] &lt;&gt; "", AP[[#This Row],[Spend category L2 - Override]], AP[[#This Row],[Spend category L2]])</f>
        <v>0</v>
      </c>
      <c r="N1000" s="51">
        <f>Assumptions!$D$15</f>
        <v>0.1</v>
      </c>
      <c r="O1000" s="45">
        <f>IF(AP[[#This Row],[GST applies?]] = "Yes", (AP[[#This Row],[Invoice value inc. GST]] / 1 + AP[[#This Row],[GST %]]) * AP[[#This Row],[GST %]], 0)</f>
        <v>0</v>
      </c>
      <c r="P1000" s="31">
        <f>_xlfn.XLOOKUP(AP[[#This Row],[Supplier name]], Supplier_master[Supplier name], Supplier_master[EOM or Net], 0)</f>
        <v>0</v>
      </c>
      <c r="Q1000" s="31">
        <f>_xlfn.XLOOKUP(AP[[#This Row],[Supplier name]], Supplier_master[Supplier name], Supplier_master[Terms days], 0)</f>
        <v>0</v>
      </c>
      <c r="R10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00" s="4"/>
      <c r="T1000" s="46">
        <f>IF(AP[[#This Row],[Payment date - override (dd/mm/yyyy)]] &lt;&gt; "", AP[[#This Row],[Payment date - override (dd/mm/yyyy)]], AP[[#This Row],[Due date (dd/mm/yyyy)]])</f>
        <v>0</v>
      </c>
      <c r="U1000" s="46">
        <f t="shared" si="15"/>
        <v>52</v>
      </c>
    </row>
  </sheetData>
  <phoneticPr fontId="10" type="noConversion"/>
  <dataValidations count="2">
    <dataValidation type="list" allowBlank="1" showInputMessage="1" showErrorMessage="1" sqref="G9:G1000" xr:uid="{0E3A6480-36B7-4BA8-B9AA-BD1EFE34EE3F}">
      <formula1>"Yes, No"</formula1>
    </dataValidation>
    <dataValidation type="list" allowBlank="1" showInputMessage="1" showErrorMessage="1" sqref="K9:K1000" xr:uid="{72D7A4BC-D420-4E54-9D30-179C14527409}">
      <formula1>INDIRECT(J9)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D8490A-ADC9-4149-B173-4826F80D3A5C}">
          <x14:formula1>
            <xm:f>'Supplier master data'!$C$9:$C$1000</xm:f>
          </x14:formula1>
          <xm:sqref>D9:D1000</xm:sqref>
        </x14:dataValidation>
        <x14:dataValidation type="list" allowBlank="1" showInputMessage="1" showErrorMessage="1" xr:uid="{F5C15220-6917-448D-A598-0AE6ACD6C09D}">
          <x14:formula1>
            <xm:f>'Category lookups'!$C$9:$C$14</xm:f>
          </x14:formula1>
          <xm:sqref>J9:J1000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3092-8C1D-47E4-9C70-AE24C99DE90C}">
  <sheetPr>
    <tabColor theme="9" tint="0.79998168889431442"/>
  </sheetPr>
  <dimension ref="A1:T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9.140625" style="1" bestFit="1" customWidth="1"/>
    <col min="6" max="6" width="19.5703125" style="1" customWidth="1"/>
    <col min="7" max="7" width="12.85546875" style="1" customWidth="1"/>
    <col min="8" max="8" width="9.140625" style="1" customWidth="1"/>
    <col min="9" max="9" width="10" style="1" bestFit="1" customWidth="1"/>
    <col min="10" max="10" width="20.5703125" style="1" bestFit="1" customWidth="1"/>
    <col min="11" max="11" width="15.5703125" style="1" bestFit="1" customWidth="1"/>
    <col min="12" max="12" width="18.140625" style="1" bestFit="1" customWidth="1"/>
    <col min="13" max="13" width="30.42578125" style="1" bestFit="1" customWidth="1"/>
    <col min="14" max="14" width="18.85546875" style="1" bestFit="1" customWidth="1"/>
    <col min="15" max="15" width="15.7109375" style="1" customWidth="1"/>
    <col min="16" max="16" width="1.7109375" style="1" customWidth="1"/>
    <col min="17" max="20" width="0" style="1" hidden="1" customWidth="1"/>
    <col min="21" max="16384" width="9.140625" style="1" hidden="1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2"/>
      <c r="B3" s="16" t="s">
        <v>108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spans="1:16" x14ac:dyDescent="0.25">
      <c r="C7" s="3" t="s">
        <v>33</v>
      </c>
      <c r="D7" s="3" t="s">
        <v>32</v>
      </c>
      <c r="E7" s="3" t="s">
        <v>32</v>
      </c>
      <c r="F7" s="3" t="s">
        <v>32</v>
      </c>
      <c r="G7" s="3" t="s">
        <v>32</v>
      </c>
      <c r="H7" s="3" t="s">
        <v>87</v>
      </c>
      <c r="I7" s="3" t="s">
        <v>87</v>
      </c>
      <c r="J7" s="3" t="s">
        <v>87</v>
      </c>
      <c r="K7" s="3" t="s">
        <v>87</v>
      </c>
      <c r="L7" s="3" t="s">
        <v>87</v>
      </c>
      <c r="M7" s="3" t="s">
        <v>33</v>
      </c>
      <c r="N7" s="3" t="s">
        <v>87</v>
      </c>
      <c r="O7" s="3" t="s">
        <v>87</v>
      </c>
    </row>
    <row r="8" spans="1:16" x14ac:dyDescent="0.25">
      <c r="C8" s="25" t="s">
        <v>109</v>
      </c>
      <c r="D8" s="26" t="s">
        <v>26</v>
      </c>
      <c r="E8" s="39" t="s">
        <v>110</v>
      </c>
      <c r="F8" s="39" t="s">
        <v>231</v>
      </c>
      <c r="G8" s="40" t="s">
        <v>226</v>
      </c>
      <c r="H8" s="39" t="s">
        <v>224</v>
      </c>
      <c r="I8" s="39" t="s">
        <v>227</v>
      </c>
      <c r="J8" s="32" t="s">
        <v>82</v>
      </c>
      <c r="K8" s="23" t="s">
        <v>83</v>
      </c>
      <c r="L8" s="23" t="s">
        <v>84</v>
      </c>
      <c r="M8" s="39" t="s">
        <v>85</v>
      </c>
      <c r="N8" s="39" t="s">
        <v>86</v>
      </c>
      <c r="O8" s="39" t="s">
        <v>228</v>
      </c>
    </row>
    <row r="9" spans="1:16" x14ac:dyDescent="0.25">
      <c r="C9" s="24"/>
      <c r="D9" s="20"/>
      <c r="E9" s="4"/>
      <c r="F9" s="37"/>
      <c r="G9" s="38"/>
      <c r="H9" s="44">
        <f>Assumptions!$D$15</f>
        <v>0.1</v>
      </c>
      <c r="I9" s="45">
        <f>IF(SO[[#This Row],[GST applies?]] = "Yes", (SO[[#This Row],[Value inc. GST]] / 1 + SO[[#This Row],[GST %]]) * SO[[#This Row],[GST %]], 0)</f>
        <v>0</v>
      </c>
      <c r="J9" s="31">
        <f>_xlfn.XLOOKUP(SO[[#This Row],[Customer name]], Customer_master[Customer name], Customer_master[EOM or Net], 0)</f>
        <v>0</v>
      </c>
      <c r="K9" s="31">
        <f>_xlfn.XLOOKUP(SO[[#This Row],[Customer name]], Customer_master[Customer name], Customer_master[Terms days], 0)</f>
        <v>0</v>
      </c>
      <c r="L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" s="4"/>
      <c r="N9" s="46">
        <f>IF(SO[[#This Row],[Collection date - override (dd/mm/yyyy)]] &lt;&gt; "", SO[[#This Row],[Collection date - override (dd/mm/yyyy)]], SO[[#This Row],[Due date (dd/mm/yyyy)]])</f>
        <v>0</v>
      </c>
      <c r="O9" s="46">
        <f t="shared" ref="O9:O72" si="0"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f>
        <v>52</v>
      </c>
    </row>
    <row r="10" spans="1:16" x14ac:dyDescent="0.25">
      <c r="C10" s="24"/>
      <c r="D10" s="20"/>
      <c r="E10" s="4"/>
      <c r="F10" s="37"/>
      <c r="G10" s="38"/>
      <c r="H10" s="44">
        <f>Assumptions!$D$15</f>
        <v>0.1</v>
      </c>
      <c r="I10" s="45">
        <f>IF(SO[[#This Row],[GST applies?]] = "Yes", (SO[[#This Row],[Value inc. GST]] / 1 + SO[[#This Row],[GST %]]) * SO[[#This Row],[GST %]], 0)</f>
        <v>0</v>
      </c>
      <c r="J10" s="31">
        <f>_xlfn.XLOOKUP(SO[[#This Row],[Customer name]], Customer_master[Customer name], Customer_master[EOM or Net], 0)</f>
        <v>0</v>
      </c>
      <c r="K10" s="31">
        <f>_xlfn.XLOOKUP(SO[[#This Row],[Customer name]], Customer_master[Customer name], Customer_master[Terms days], 0)</f>
        <v>0</v>
      </c>
      <c r="L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" s="4"/>
      <c r="N10" s="46">
        <f>IF(SO[[#This Row],[Collection date - override (dd/mm/yyyy)]] &lt;&gt; "", SO[[#This Row],[Collection date - override (dd/mm/yyyy)]], SO[[#This Row],[Due date (dd/mm/yyyy)]])</f>
        <v>0</v>
      </c>
      <c r="O10" s="46">
        <f t="shared" si="0"/>
        <v>52</v>
      </c>
    </row>
    <row r="11" spans="1:16" x14ac:dyDescent="0.25">
      <c r="C11" s="24"/>
      <c r="D11" s="20"/>
      <c r="E11" s="4"/>
      <c r="F11" s="37"/>
      <c r="G11" s="38"/>
      <c r="H11" s="44">
        <f>Assumptions!$D$15</f>
        <v>0.1</v>
      </c>
      <c r="I11" s="45">
        <f>IF(SO[[#This Row],[GST applies?]] = "Yes", (SO[[#This Row],[Value inc. GST]] / 1 + SO[[#This Row],[GST %]]) * SO[[#This Row],[GST %]], 0)</f>
        <v>0</v>
      </c>
      <c r="J11" s="31">
        <f>_xlfn.XLOOKUP(SO[[#This Row],[Customer name]], Customer_master[Customer name], Customer_master[EOM or Net], 0)</f>
        <v>0</v>
      </c>
      <c r="K11" s="31">
        <f>_xlfn.XLOOKUP(SO[[#This Row],[Customer name]], Customer_master[Customer name], Customer_master[Terms days], 0)</f>
        <v>0</v>
      </c>
      <c r="L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" s="4"/>
      <c r="N11" s="46">
        <f>IF(SO[[#This Row],[Collection date - override (dd/mm/yyyy)]] &lt;&gt; "", SO[[#This Row],[Collection date - override (dd/mm/yyyy)]], SO[[#This Row],[Due date (dd/mm/yyyy)]])</f>
        <v>0</v>
      </c>
      <c r="O11" s="46">
        <f t="shared" si="0"/>
        <v>52</v>
      </c>
    </row>
    <row r="12" spans="1:16" x14ac:dyDescent="0.25">
      <c r="C12" s="24"/>
      <c r="D12" s="20"/>
      <c r="E12" s="4"/>
      <c r="F12" s="37"/>
      <c r="G12" s="38"/>
      <c r="H12" s="44">
        <f>Assumptions!$D$15</f>
        <v>0.1</v>
      </c>
      <c r="I12" s="45">
        <f>IF(SO[[#This Row],[GST applies?]] = "Yes", (SO[[#This Row],[Value inc. GST]] / 1 + SO[[#This Row],[GST %]]) * SO[[#This Row],[GST %]], 0)</f>
        <v>0</v>
      </c>
      <c r="J12" s="31">
        <f>_xlfn.XLOOKUP(SO[[#This Row],[Customer name]], Customer_master[Customer name], Customer_master[EOM or Net], 0)</f>
        <v>0</v>
      </c>
      <c r="K12" s="31">
        <f>_xlfn.XLOOKUP(SO[[#This Row],[Customer name]], Customer_master[Customer name], Customer_master[Terms days], 0)</f>
        <v>0</v>
      </c>
      <c r="L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" s="4"/>
      <c r="N12" s="46">
        <f>IF(SO[[#This Row],[Collection date - override (dd/mm/yyyy)]] &lt;&gt; "", SO[[#This Row],[Collection date - override (dd/mm/yyyy)]], SO[[#This Row],[Due date (dd/mm/yyyy)]])</f>
        <v>0</v>
      </c>
      <c r="O12" s="46">
        <f t="shared" si="0"/>
        <v>52</v>
      </c>
    </row>
    <row r="13" spans="1:16" x14ac:dyDescent="0.25">
      <c r="C13" s="24"/>
      <c r="D13" s="20"/>
      <c r="E13" s="4"/>
      <c r="F13" s="37"/>
      <c r="G13" s="38"/>
      <c r="H13" s="44">
        <f>Assumptions!$D$15</f>
        <v>0.1</v>
      </c>
      <c r="I13" s="45">
        <f>IF(SO[[#This Row],[GST applies?]] = "Yes", (SO[[#This Row],[Value inc. GST]] / 1 + SO[[#This Row],[GST %]]) * SO[[#This Row],[GST %]], 0)</f>
        <v>0</v>
      </c>
      <c r="J13" s="31">
        <f>_xlfn.XLOOKUP(SO[[#This Row],[Customer name]], Customer_master[Customer name], Customer_master[EOM or Net], 0)</f>
        <v>0</v>
      </c>
      <c r="K13" s="31">
        <f>_xlfn.XLOOKUP(SO[[#This Row],[Customer name]], Customer_master[Customer name], Customer_master[Terms days], 0)</f>
        <v>0</v>
      </c>
      <c r="L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" s="4"/>
      <c r="N13" s="46">
        <f>IF(SO[[#This Row],[Collection date - override (dd/mm/yyyy)]] &lt;&gt; "", SO[[#This Row],[Collection date - override (dd/mm/yyyy)]], SO[[#This Row],[Due date (dd/mm/yyyy)]])</f>
        <v>0</v>
      </c>
      <c r="O13" s="46">
        <f t="shared" si="0"/>
        <v>52</v>
      </c>
    </row>
    <row r="14" spans="1:16" x14ac:dyDescent="0.25">
      <c r="C14" s="24"/>
      <c r="D14" s="20"/>
      <c r="E14" s="4"/>
      <c r="F14" s="37"/>
      <c r="G14" s="38"/>
      <c r="H14" s="44">
        <f>Assumptions!$D$15</f>
        <v>0.1</v>
      </c>
      <c r="I14" s="45">
        <f>IF(SO[[#This Row],[GST applies?]] = "Yes", (SO[[#This Row],[Value inc. GST]] / 1 + SO[[#This Row],[GST %]]) * SO[[#This Row],[GST %]], 0)</f>
        <v>0</v>
      </c>
      <c r="J14" s="31">
        <f>_xlfn.XLOOKUP(SO[[#This Row],[Customer name]], Customer_master[Customer name], Customer_master[EOM or Net], 0)</f>
        <v>0</v>
      </c>
      <c r="K14" s="31">
        <f>_xlfn.XLOOKUP(SO[[#This Row],[Customer name]], Customer_master[Customer name], Customer_master[Terms days], 0)</f>
        <v>0</v>
      </c>
      <c r="L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" s="4"/>
      <c r="N14" s="46">
        <f>IF(SO[[#This Row],[Collection date - override (dd/mm/yyyy)]] &lt;&gt; "", SO[[#This Row],[Collection date - override (dd/mm/yyyy)]], SO[[#This Row],[Due date (dd/mm/yyyy)]])</f>
        <v>0</v>
      </c>
      <c r="O14" s="46">
        <f t="shared" si="0"/>
        <v>52</v>
      </c>
    </row>
    <row r="15" spans="1:16" x14ac:dyDescent="0.25">
      <c r="C15" s="24"/>
      <c r="D15" s="20"/>
      <c r="E15" s="4"/>
      <c r="F15" s="37"/>
      <c r="G15" s="38"/>
      <c r="H15" s="44">
        <f>Assumptions!$D$15</f>
        <v>0.1</v>
      </c>
      <c r="I15" s="45">
        <f>IF(SO[[#This Row],[GST applies?]] = "Yes", (SO[[#This Row],[Value inc. GST]] / 1 + SO[[#This Row],[GST %]]) * SO[[#This Row],[GST %]], 0)</f>
        <v>0</v>
      </c>
      <c r="J15" s="31">
        <f>_xlfn.XLOOKUP(SO[[#This Row],[Customer name]], Customer_master[Customer name], Customer_master[EOM or Net], 0)</f>
        <v>0</v>
      </c>
      <c r="K15" s="31">
        <f>_xlfn.XLOOKUP(SO[[#This Row],[Customer name]], Customer_master[Customer name], Customer_master[Terms days], 0)</f>
        <v>0</v>
      </c>
      <c r="L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" s="4"/>
      <c r="N15" s="46">
        <f>IF(SO[[#This Row],[Collection date - override (dd/mm/yyyy)]] &lt;&gt; "", SO[[#This Row],[Collection date - override (dd/mm/yyyy)]], SO[[#This Row],[Due date (dd/mm/yyyy)]])</f>
        <v>0</v>
      </c>
      <c r="O15" s="46">
        <f t="shared" si="0"/>
        <v>52</v>
      </c>
    </row>
    <row r="16" spans="1:16" x14ac:dyDescent="0.25">
      <c r="C16" s="24"/>
      <c r="D16" s="20"/>
      <c r="E16" s="4"/>
      <c r="F16" s="37"/>
      <c r="G16" s="38"/>
      <c r="H16" s="44">
        <f>Assumptions!$D$15</f>
        <v>0.1</v>
      </c>
      <c r="I16" s="45">
        <f>IF(SO[[#This Row],[GST applies?]] = "Yes", (SO[[#This Row],[Value inc. GST]] / 1 + SO[[#This Row],[GST %]]) * SO[[#This Row],[GST %]], 0)</f>
        <v>0</v>
      </c>
      <c r="J16" s="31">
        <f>_xlfn.XLOOKUP(SO[[#This Row],[Customer name]], Customer_master[Customer name], Customer_master[EOM or Net], 0)</f>
        <v>0</v>
      </c>
      <c r="K16" s="31">
        <f>_xlfn.XLOOKUP(SO[[#This Row],[Customer name]], Customer_master[Customer name], Customer_master[Terms days], 0)</f>
        <v>0</v>
      </c>
      <c r="L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" s="4"/>
      <c r="N16" s="46">
        <f>IF(SO[[#This Row],[Collection date - override (dd/mm/yyyy)]] &lt;&gt; "", SO[[#This Row],[Collection date - override (dd/mm/yyyy)]], SO[[#This Row],[Due date (dd/mm/yyyy)]])</f>
        <v>0</v>
      </c>
      <c r="O16" s="46">
        <f t="shared" si="0"/>
        <v>52</v>
      </c>
    </row>
    <row r="17" spans="3:15" x14ac:dyDescent="0.25">
      <c r="C17" s="24"/>
      <c r="D17" s="20"/>
      <c r="E17" s="4"/>
      <c r="F17" s="37"/>
      <c r="G17" s="38"/>
      <c r="H17" s="44">
        <f>Assumptions!$D$15</f>
        <v>0.1</v>
      </c>
      <c r="I17" s="45">
        <f>IF(SO[[#This Row],[GST applies?]] = "Yes", (SO[[#This Row],[Value inc. GST]] / 1 + SO[[#This Row],[GST %]]) * SO[[#This Row],[GST %]], 0)</f>
        <v>0</v>
      </c>
      <c r="J17" s="31">
        <f>_xlfn.XLOOKUP(SO[[#This Row],[Customer name]], Customer_master[Customer name], Customer_master[EOM or Net], 0)</f>
        <v>0</v>
      </c>
      <c r="K17" s="31">
        <f>_xlfn.XLOOKUP(SO[[#This Row],[Customer name]], Customer_master[Customer name], Customer_master[Terms days], 0)</f>
        <v>0</v>
      </c>
      <c r="L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" s="4"/>
      <c r="N17" s="46">
        <f>IF(SO[[#This Row],[Collection date - override (dd/mm/yyyy)]] &lt;&gt; "", SO[[#This Row],[Collection date - override (dd/mm/yyyy)]], SO[[#This Row],[Due date (dd/mm/yyyy)]])</f>
        <v>0</v>
      </c>
      <c r="O17" s="46">
        <f t="shared" si="0"/>
        <v>52</v>
      </c>
    </row>
    <row r="18" spans="3:15" x14ac:dyDescent="0.25">
      <c r="C18" s="24"/>
      <c r="D18" s="20"/>
      <c r="E18" s="4"/>
      <c r="F18" s="37"/>
      <c r="G18" s="38"/>
      <c r="H18" s="44">
        <f>Assumptions!$D$15</f>
        <v>0.1</v>
      </c>
      <c r="I18" s="45">
        <f>IF(SO[[#This Row],[GST applies?]] = "Yes", (SO[[#This Row],[Value inc. GST]] / 1 + SO[[#This Row],[GST %]]) * SO[[#This Row],[GST %]], 0)</f>
        <v>0</v>
      </c>
      <c r="J18" s="31">
        <f>_xlfn.XLOOKUP(SO[[#This Row],[Customer name]], Customer_master[Customer name], Customer_master[EOM or Net], 0)</f>
        <v>0</v>
      </c>
      <c r="K18" s="31">
        <f>_xlfn.XLOOKUP(SO[[#This Row],[Customer name]], Customer_master[Customer name], Customer_master[Terms days], 0)</f>
        <v>0</v>
      </c>
      <c r="L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" s="4"/>
      <c r="N18" s="46">
        <f>IF(SO[[#This Row],[Collection date - override (dd/mm/yyyy)]] &lt;&gt; "", SO[[#This Row],[Collection date - override (dd/mm/yyyy)]], SO[[#This Row],[Due date (dd/mm/yyyy)]])</f>
        <v>0</v>
      </c>
      <c r="O18" s="46">
        <f t="shared" si="0"/>
        <v>52</v>
      </c>
    </row>
    <row r="19" spans="3:15" x14ac:dyDescent="0.25">
      <c r="C19" s="24"/>
      <c r="D19" s="20"/>
      <c r="E19" s="4"/>
      <c r="F19" s="37"/>
      <c r="G19" s="38"/>
      <c r="H19" s="44">
        <f>Assumptions!$D$15</f>
        <v>0.1</v>
      </c>
      <c r="I19" s="45">
        <f>IF(SO[[#This Row],[GST applies?]] = "Yes", (SO[[#This Row],[Value inc. GST]] / 1 + SO[[#This Row],[GST %]]) * SO[[#This Row],[GST %]], 0)</f>
        <v>0</v>
      </c>
      <c r="J19" s="31">
        <f>_xlfn.XLOOKUP(SO[[#This Row],[Customer name]], Customer_master[Customer name], Customer_master[EOM or Net], 0)</f>
        <v>0</v>
      </c>
      <c r="K19" s="31">
        <f>_xlfn.XLOOKUP(SO[[#This Row],[Customer name]], Customer_master[Customer name], Customer_master[Terms days], 0)</f>
        <v>0</v>
      </c>
      <c r="L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" s="4"/>
      <c r="N19" s="46">
        <f>IF(SO[[#This Row],[Collection date - override (dd/mm/yyyy)]] &lt;&gt; "", SO[[#This Row],[Collection date - override (dd/mm/yyyy)]], SO[[#This Row],[Due date (dd/mm/yyyy)]])</f>
        <v>0</v>
      </c>
      <c r="O19" s="46">
        <f t="shared" si="0"/>
        <v>52</v>
      </c>
    </row>
    <row r="20" spans="3:15" x14ac:dyDescent="0.25">
      <c r="C20" s="24"/>
      <c r="D20" s="20"/>
      <c r="E20" s="4"/>
      <c r="F20" s="37"/>
      <c r="G20" s="38"/>
      <c r="H20" s="44">
        <f>Assumptions!$D$15</f>
        <v>0.1</v>
      </c>
      <c r="I20" s="45">
        <f>IF(SO[[#This Row],[GST applies?]] = "Yes", (SO[[#This Row],[Value inc. GST]] / 1 + SO[[#This Row],[GST %]]) * SO[[#This Row],[GST %]], 0)</f>
        <v>0</v>
      </c>
      <c r="J20" s="31">
        <f>_xlfn.XLOOKUP(SO[[#This Row],[Customer name]], Customer_master[Customer name], Customer_master[EOM or Net], 0)</f>
        <v>0</v>
      </c>
      <c r="K20" s="31">
        <f>_xlfn.XLOOKUP(SO[[#This Row],[Customer name]], Customer_master[Customer name], Customer_master[Terms days], 0)</f>
        <v>0</v>
      </c>
      <c r="L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" s="4"/>
      <c r="N20" s="46">
        <f>IF(SO[[#This Row],[Collection date - override (dd/mm/yyyy)]] &lt;&gt; "", SO[[#This Row],[Collection date - override (dd/mm/yyyy)]], SO[[#This Row],[Due date (dd/mm/yyyy)]])</f>
        <v>0</v>
      </c>
      <c r="O20" s="46">
        <f t="shared" si="0"/>
        <v>52</v>
      </c>
    </row>
    <row r="21" spans="3:15" x14ac:dyDescent="0.25">
      <c r="C21" s="24"/>
      <c r="D21" s="20"/>
      <c r="E21" s="4"/>
      <c r="F21" s="37"/>
      <c r="G21" s="38"/>
      <c r="H21" s="44">
        <f>Assumptions!$D$15</f>
        <v>0.1</v>
      </c>
      <c r="I21" s="45">
        <f>IF(SO[[#This Row],[GST applies?]] = "Yes", (SO[[#This Row],[Value inc. GST]] / 1 + SO[[#This Row],[GST %]]) * SO[[#This Row],[GST %]], 0)</f>
        <v>0</v>
      </c>
      <c r="J21" s="31">
        <f>_xlfn.XLOOKUP(SO[[#This Row],[Customer name]], Customer_master[Customer name], Customer_master[EOM or Net], 0)</f>
        <v>0</v>
      </c>
      <c r="K21" s="31">
        <f>_xlfn.XLOOKUP(SO[[#This Row],[Customer name]], Customer_master[Customer name], Customer_master[Terms days], 0)</f>
        <v>0</v>
      </c>
      <c r="L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" s="4"/>
      <c r="N21" s="46">
        <f>IF(SO[[#This Row],[Collection date - override (dd/mm/yyyy)]] &lt;&gt; "", SO[[#This Row],[Collection date - override (dd/mm/yyyy)]], SO[[#This Row],[Due date (dd/mm/yyyy)]])</f>
        <v>0</v>
      </c>
      <c r="O21" s="46">
        <f t="shared" si="0"/>
        <v>52</v>
      </c>
    </row>
    <row r="22" spans="3:15" x14ac:dyDescent="0.25">
      <c r="C22" s="24"/>
      <c r="D22" s="20"/>
      <c r="E22" s="4"/>
      <c r="F22" s="37"/>
      <c r="G22" s="38"/>
      <c r="H22" s="44">
        <f>Assumptions!$D$15</f>
        <v>0.1</v>
      </c>
      <c r="I22" s="45">
        <f>IF(SO[[#This Row],[GST applies?]] = "Yes", (SO[[#This Row],[Value inc. GST]] / 1 + SO[[#This Row],[GST %]]) * SO[[#This Row],[GST %]], 0)</f>
        <v>0</v>
      </c>
      <c r="J22" s="31">
        <f>_xlfn.XLOOKUP(SO[[#This Row],[Customer name]], Customer_master[Customer name], Customer_master[EOM or Net], 0)</f>
        <v>0</v>
      </c>
      <c r="K22" s="31">
        <f>_xlfn.XLOOKUP(SO[[#This Row],[Customer name]], Customer_master[Customer name], Customer_master[Terms days], 0)</f>
        <v>0</v>
      </c>
      <c r="L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" s="4"/>
      <c r="N22" s="46">
        <f>IF(SO[[#This Row],[Collection date - override (dd/mm/yyyy)]] &lt;&gt; "", SO[[#This Row],[Collection date - override (dd/mm/yyyy)]], SO[[#This Row],[Due date (dd/mm/yyyy)]])</f>
        <v>0</v>
      </c>
      <c r="O22" s="46">
        <f t="shared" si="0"/>
        <v>52</v>
      </c>
    </row>
    <row r="23" spans="3:15" x14ac:dyDescent="0.25">
      <c r="C23" s="24"/>
      <c r="D23" s="20"/>
      <c r="E23" s="4"/>
      <c r="F23" s="37"/>
      <c r="G23" s="38"/>
      <c r="H23" s="44">
        <f>Assumptions!$D$15</f>
        <v>0.1</v>
      </c>
      <c r="I23" s="45">
        <f>IF(SO[[#This Row],[GST applies?]] = "Yes", (SO[[#This Row],[Value inc. GST]] / 1 + SO[[#This Row],[GST %]]) * SO[[#This Row],[GST %]], 0)</f>
        <v>0</v>
      </c>
      <c r="J23" s="31">
        <f>_xlfn.XLOOKUP(SO[[#This Row],[Customer name]], Customer_master[Customer name], Customer_master[EOM or Net], 0)</f>
        <v>0</v>
      </c>
      <c r="K23" s="31">
        <f>_xlfn.XLOOKUP(SO[[#This Row],[Customer name]], Customer_master[Customer name], Customer_master[Terms days], 0)</f>
        <v>0</v>
      </c>
      <c r="L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" s="4"/>
      <c r="N23" s="46">
        <f>IF(SO[[#This Row],[Collection date - override (dd/mm/yyyy)]] &lt;&gt; "", SO[[#This Row],[Collection date - override (dd/mm/yyyy)]], SO[[#This Row],[Due date (dd/mm/yyyy)]])</f>
        <v>0</v>
      </c>
      <c r="O23" s="46">
        <f t="shared" si="0"/>
        <v>52</v>
      </c>
    </row>
    <row r="24" spans="3:15" x14ac:dyDescent="0.25">
      <c r="C24" s="24"/>
      <c r="D24" s="20"/>
      <c r="E24" s="4"/>
      <c r="F24" s="37"/>
      <c r="G24" s="38"/>
      <c r="H24" s="44">
        <f>Assumptions!$D$15</f>
        <v>0.1</v>
      </c>
      <c r="I24" s="45">
        <f>IF(SO[[#This Row],[GST applies?]] = "Yes", (SO[[#This Row],[Value inc. GST]] / 1 + SO[[#This Row],[GST %]]) * SO[[#This Row],[GST %]], 0)</f>
        <v>0</v>
      </c>
      <c r="J24" s="31">
        <f>_xlfn.XLOOKUP(SO[[#This Row],[Customer name]], Customer_master[Customer name], Customer_master[EOM or Net], 0)</f>
        <v>0</v>
      </c>
      <c r="K24" s="31">
        <f>_xlfn.XLOOKUP(SO[[#This Row],[Customer name]], Customer_master[Customer name], Customer_master[Terms days], 0)</f>
        <v>0</v>
      </c>
      <c r="L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" s="4"/>
      <c r="N24" s="46">
        <f>IF(SO[[#This Row],[Collection date - override (dd/mm/yyyy)]] &lt;&gt; "", SO[[#This Row],[Collection date - override (dd/mm/yyyy)]], SO[[#This Row],[Due date (dd/mm/yyyy)]])</f>
        <v>0</v>
      </c>
      <c r="O24" s="46">
        <f t="shared" si="0"/>
        <v>52</v>
      </c>
    </row>
    <row r="25" spans="3:15" x14ac:dyDescent="0.25">
      <c r="C25" s="24"/>
      <c r="D25" s="20"/>
      <c r="E25" s="4"/>
      <c r="F25" s="37"/>
      <c r="G25" s="38"/>
      <c r="H25" s="44">
        <f>Assumptions!$D$15</f>
        <v>0.1</v>
      </c>
      <c r="I25" s="45">
        <f>IF(SO[[#This Row],[GST applies?]] = "Yes", (SO[[#This Row],[Value inc. GST]] / 1 + SO[[#This Row],[GST %]]) * SO[[#This Row],[GST %]], 0)</f>
        <v>0</v>
      </c>
      <c r="J25" s="31">
        <f>_xlfn.XLOOKUP(SO[[#This Row],[Customer name]], Customer_master[Customer name], Customer_master[EOM or Net], 0)</f>
        <v>0</v>
      </c>
      <c r="K25" s="31">
        <f>_xlfn.XLOOKUP(SO[[#This Row],[Customer name]], Customer_master[Customer name], Customer_master[Terms days], 0)</f>
        <v>0</v>
      </c>
      <c r="L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" s="4"/>
      <c r="N25" s="46">
        <f>IF(SO[[#This Row],[Collection date - override (dd/mm/yyyy)]] &lt;&gt; "", SO[[#This Row],[Collection date - override (dd/mm/yyyy)]], SO[[#This Row],[Due date (dd/mm/yyyy)]])</f>
        <v>0</v>
      </c>
      <c r="O25" s="46">
        <f t="shared" si="0"/>
        <v>52</v>
      </c>
    </row>
    <row r="26" spans="3:15" x14ac:dyDescent="0.25">
      <c r="C26" s="24"/>
      <c r="D26" s="20"/>
      <c r="E26" s="4"/>
      <c r="F26" s="37"/>
      <c r="G26" s="38"/>
      <c r="H26" s="44">
        <f>Assumptions!$D$15</f>
        <v>0.1</v>
      </c>
      <c r="I26" s="45">
        <f>IF(SO[[#This Row],[GST applies?]] = "Yes", (SO[[#This Row],[Value inc. GST]] / 1 + SO[[#This Row],[GST %]]) * SO[[#This Row],[GST %]], 0)</f>
        <v>0</v>
      </c>
      <c r="J26" s="31">
        <f>_xlfn.XLOOKUP(SO[[#This Row],[Customer name]], Customer_master[Customer name], Customer_master[EOM or Net], 0)</f>
        <v>0</v>
      </c>
      <c r="K26" s="31">
        <f>_xlfn.XLOOKUP(SO[[#This Row],[Customer name]], Customer_master[Customer name], Customer_master[Terms days], 0)</f>
        <v>0</v>
      </c>
      <c r="L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" s="4"/>
      <c r="N26" s="46">
        <f>IF(SO[[#This Row],[Collection date - override (dd/mm/yyyy)]] &lt;&gt; "", SO[[#This Row],[Collection date - override (dd/mm/yyyy)]], SO[[#This Row],[Due date (dd/mm/yyyy)]])</f>
        <v>0</v>
      </c>
      <c r="O26" s="46">
        <f t="shared" si="0"/>
        <v>52</v>
      </c>
    </row>
    <row r="27" spans="3:15" x14ac:dyDescent="0.25">
      <c r="C27" s="24"/>
      <c r="D27" s="20"/>
      <c r="E27" s="4"/>
      <c r="F27" s="37"/>
      <c r="G27" s="38"/>
      <c r="H27" s="44">
        <f>Assumptions!$D$15</f>
        <v>0.1</v>
      </c>
      <c r="I27" s="45">
        <f>IF(SO[[#This Row],[GST applies?]] = "Yes", (SO[[#This Row],[Value inc. GST]] / 1 + SO[[#This Row],[GST %]]) * SO[[#This Row],[GST %]], 0)</f>
        <v>0</v>
      </c>
      <c r="J27" s="31">
        <f>_xlfn.XLOOKUP(SO[[#This Row],[Customer name]], Customer_master[Customer name], Customer_master[EOM or Net], 0)</f>
        <v>0</v>
      </c>
      <c r="K27" s="31">
        <f>_xlfn.XLOOKUP(SO[[#This Row],[Customer name]], Customer_master[Customer name], Customer_master[Terms days], 0)</f>
        <v>0</v>
      </c>
      <c r="L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" s="4"/>
      <c r="N27" s="46">
        <f>IF(SO[[#This Row],[Collection date - override (dd/mm/yyyy)]] &lt;&gt; "", SO[[#This Row],[Collection date - override (dd/mm/yyyy)]], SO[[#This Row],[Due date (dd/mm/yyyy)]])</f>
        <v>0</v>
      </c>
      <c r="O27" s="46">
        <f t="shared" si="0"/>
        <v>52</v>
      </c>
    </row>
    <row r="28" spans="3:15" x14ac:dyDescent="0.25">
      <c r="C28" s="24"/>
      <c r="D28" s="20"/>
      <c r="E28" s="4"/>
      <c r="F28" s="37"/>
      <c r="G28" s="38"/>
      <c r="H28" s="44">
        <f>Assumptions!$D$15</f>
        <v>0.1</v>
      </c>
      <c r="I28" s="45">
        <f>IF(SO[[#This Row],[GST applies?]] = "Yes", (SO[[#This Row],[Value inc. GST]] / 1 + SO[[#This Row],[GST %]]) * SO[[#This Row],[GST %]], 0)</f>
        <v>0</v>
      </c>
      <c r="J28" s="31">
        <f>_xlfn.XLOOKUP(SO[[#This Row],[Customer name]], Customer_master[Customer name], Customer_master[EOM or Net], 0)</f>
        <v>0</v>
      </c>
      <c r="K28" s="31">
        <f>_xlfn.XLOOKUP(SO[[#This Row],[Customer name]], Customer_master[Customer name], Customer_master[Terms days], 0)</f>
        <v>0</v>
      </c>
      <c r="L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" s="4"/>
      <c r="N28" s="46">
        <f>IF(SO[[#This Row],[Collection date - override (dd/mm/yyyy)]] &lt;&gt; "", SO[[#This Row],[Collection date - override (dd/mm/yyyy)]], SO[[#This Row],[Due date (dd/mm/yyyy)]])</f>
        <v>0</v>
      </c>
      <c r="O28" s="46">
        <f t="shared" si="0"/>
        <v>52</v>
      </c>
    </row>
    <row r="29" spans="3:15" x14ac:dyDescent="0.25">
      <c r="C29" s="24"/>
      <c r="D29" s="20"/>
      <c r="E29" s="4"/>
      <c r="F29" s="37"/>
      <c r="G29" s="38"/>
      <c r="H29" s="44">
        <f>Assumptions!$D$15</f>
        <v>0.1</v>
      </c>
      <c r="I29" s="45">
        <f>IF(SO[[#This Row],[GST applies?]] = "Yes", (SO[[#This Row],[Value inc. GST]] / 1 + SO[[#This Row],[GST %]]) * SO[[#This Row],[GST %]], 0)</f>
        <v>0</v>
      </c>
      <c r="J29" s="31">
        <f>_xlfn.XLOOKUP(SO[[#This Row],[Customer name]], Customer_master[Customer name], Customer_master[EOM or Net], 0)</f>
        <v>0</v>
      </c>
      <c r="K29" s="31">
        <f>_xlfn.XLOOKUP(SO[[#This Row],[Customer name]], Customer_master[Customer name], Customer_master[Terms days], 0)</f>
        <v>0</v>
      </c>
      <c r="L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" s="4"/>
      <c r="N29" s="46">
        <f>IF(SO[[#This Row],[Collection date - override (dd/mm/yyyy)]] &lt;&gt; "", SO[[#This Row],[Collection date - override (dd/mm/yyyy)]], SO[[#This Row],[Due date (dd/mm/yyyy)]])</f>
        <v>0</v>
      </c>
      <c r="O29" s="46">
        <f t="shared" si="0"/>
        <v>52</v>
      </c>
    </row>
    <row r="30" spans="3:15" x14ac:dyDescent="0.25">
      <c r="C30" s="24"/>
      <c r="D30" s="20"/>
      <c r="E30" s="4"/>
      <c r="F30" s="37"/>
      <c r="G30" s="38"/>
      <c r="H30" s="44">
        <f>Assumptions!$D$15</f>
        <v>0.1</v>
      </c>
      <c r="I30" s="45">
        <f>IF(SO[[#This Row],[GST applies?]] = "Yes", (SO[[#This Row],[Value inc. GST]] / 1 + SO[[#This Row],[GST %]]) * SO[[#This Row],[GST %]], 0)</f>
        <v>0</v>
      </c>
      <c r="J30" s="31">
        <f>_xlfn.XLOOKUP(SO[[#This Row],[Customer name]], Customer_master[Customer name], Customer_master[EOM or Net], 0)</f>
        <v>0</v>
      </c>
      <c r="K30" s="31">
        <f>_xlfn.XLOOKUP(SO[[#This Row],[Customer name]], Customer_master[Customer name], Customer_master[Terms days], 0)</f>
        <v>0</v>
      </c>
      <c r="L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" s="4"/>
      <c r="N30" s="46">
        <f>IF(SO[[#This Row],[Collection date - override (dd/mm/yyyy)]] &lt;&gt; "", SO[[#This Row],[Collection date - override (dd/mm/yyyy)]], SO[[#This Row],[Due date (dd/mm/yyyy)]])</f>
        <v>0</v>
      </c>
      <c r="O30" s="46">
        <f t="shared" si="0"/>
        <v>52</v>
      </c>
    </row>
    <row r="31" spans="3:15" x14ac:dyDescent="0.25">
      <c r="C31" s="24"/>
      <c r="D31" s="20"/>
      <c r="E31" s="4"/>
      <c r="F31" s="37"/>
      <c r="G31" s="38"/>
      <c r="H31" s="44">
        <f>Assumptions!$D$15</f>
        <v>0.1</v>
      </c>
      <c r="I31" s="45">
        <f>IF(SO[[#This Row],[GST applies?]] = "Yes", (SO[[#This Row],[Value inc. GST]] / 1 + SO[[#This Row],[GST %]]) * SO[[#This Row],[GST %]], 0)</f>
        <v>0</v>
      </c>
      <c r="J31" s="31">
        <f>_xlfn.XLOOKUP(SO[[#This Row],[Customer name]], Customer_master[Customer name], Customer_master[EOM or Net], 0)</f>
        <v>0</v>
      </c>
      <c r="K31" s="31">
        <f>_xlfn.XLOOKUP(SO[[#This Row],[Customer name]], Customer_master[Customer name], Customer_master[Terms days], 0)</f>
        <v>0</v>
      </c>
      <c r="L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" s="4"/>
      <c r="N31" s="46">
        <f>IF(SO[[#This Row],[Collection date - override (dd/mm/yyyy)]] &lt;&gt; "", SO[[#This Row],[Collection date - override (dd/mm/yyyy)]], SO[[#This Row],[Due date (dd/mm/yyyy)]])</f>
        <v>0</v>
      </c>
      <c r="O31" s="46">
        <f t="shared" si="0"/>
        <v>52</v>
      </c>
    </row>
    <row r="32" spans="3:15" x14ac:dyDescent="0.25">
      <c r="C32" s="24"/>
      <c r="D32" s="20"/>
      <c r="E32" s="4"/>
      <c r="F32" s="37"/>
      <c r="G32" s="38"/>
      <c r="H32" s="44">
        <f>Assumptions!$D$15</f>
        <v>0.1</v>
      </c>
      <c r="I32" s="45">
        <f>IF(SO[[#This Row],[GST applies?]] = "Yes", (SO[[#This Row],[Value inc. GST]] / 1 + SO[[#This Row],[GST %]]) * SO[[#This Row],[GST %]], 0)</f>
        <v>0</v>
      </c>
      <c r="J32" s="31">
        <f>_xlfn.XLOOKUP(SO[[#This Row],[Customer name]], Customer_master[Customer name], Customer_master[EOM or Net], 0)</f>
        <v>0</v>
      </c>
      <c r="K32" s="31">
        <f>_xlfn.XLOOKUP(SO[[#This Row],[Customer name]], Customer_master[Customer name], Customer_master[Terms days], 0)</f>
        <v>0</v>
      </c>
      <c r="L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" s="4"/>
      <c r="N32" s="46">
        <f>IF(SO[[#This Row],[Collection date - override (dd/mm/yyyy)]] &lt;&gt; "", SO[[#This Row],[Collection date - override (dd/mm/yyyy)]], SO[[#This Row],[Due date (dd/mm/yyyy)]])</f>
        <v>0</v>
      </c>
      <c r="O32" s="46">
        <f t="shared" si="0"/>
        <v>52</v>
      </c>
    </row>
    <row r="33" spans="3:15" x14ac:dyDescent="0.25">
      <c r="C33" s="24"/>
      <c r="D33" s="20"/>
      <c r="E33" s="4"/>
      <c r="F33" s="37"/>
      <c r="G33" s="38"/>
      <c r="H33" s="44">
        <f>Assumptions!$D$15</f>
        <v>0.1</v>
      </c>
      <c r="I33" s="45">
        <f>IF(SO[[#This Row],[GST applies?]] = "Yes", (SO[[#This Row],[Value inc. GST]] / 1 + SO[[#This Row],[GST %]]) * SO[[#This Row],[GST %]], 0)</f>
        <v>0</v>
      </c>
      <c r="J33" s="31">
        <f>_xlfn.XLOOKUP(SO[[#This Row],[Customer name]], Customer_master[Customer name], Customer_master[EOM or Net], 0)</f>
        <v>0</v>
      </c>
      <c r="K33" s="31">
        <f>_xlfn.XLOOKUP(SO[[#This Row],[Customer name]], Customer_master[Customer name], Customer_master[Terms days], 0)</f>
        <v>0</v>
      </c>
      <c r="L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" s="4"/>
      <c r="N33" s="46">
        <f>IF(SO[[#This Row],[Collection date - override (dd/mm/yyyy)]] &lt;&gt; "", SO[[#This Row],[Collection date - override (dd/mm/yyyy)]], SO[[#This Row],[Due date (dd/mm/yyyy)]])</f>
        <v>0</v>
      </c>
      <c r="O33" s="46">
        <f t="shared" si="0"/>
        <v>52</v>
      </c>
    </row>
    <row r="34" spans="3:15" x14ac:dyDescent="0.25">
      <c r="C34" s="24"/>
      <c r="D34" s="20"/>
      <c r="E34" s="4"/>
      <c r="F34" s="37"/>
      <c r="G34" s="38"/>
      <c r="H34" s="44">
        <f>Assumptions!$D$15</f>
        <v>0.1</v>
      </c>
      <c r="I34" s="45">
        <f>IF(SO[[#This Row],[GST applies?]] = "Yes", (SO[[#This Row],[Value inc. GST]] / 1 + SO[[#This Row],[GST %]]) * SO[[#This Row],[GST %]], 0)</f>
        <v>0</v>
      </c>
      <c r="J34" s="31">
        <f>_xlfn.XLOOKUP(SO[[#This Row],[Customer name]], Customer_master[Customer name], Customer_master[EOM or Net], 0)</f>
        <v>0</v>
      </c>
      <c r="K34" s="31">
        <f>_xlfn.XLOOKUP(SO[[#This Row],[Customer name]], Customer_master[Customer name], Customer_master[Terms days], 0)</f>
        <v>0</v>
      </c>
      <c r="L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" s="4"/>
      <c r="N34" s="46">
        <f>IF(SO[[#This Row],[Collection date - override (dd/mm/yyyy)]] &lt;&gt; "", SO[[#This Row],[Collection date - override (dd/mm/yyyy)]], SO[[#This Row],[Due date (dd/mm/yyyy)]])</f>
        <v>0</v>
      </c>
      <c r="O34" s="46">
        <f t="shared" si="0"/>
        <v>52</v>
      </c>
    </row>
    <row r="35" spans="3:15" x14ac:dyDescent="0.25">
      <c r="C35" s="24"/>
      <c r="D35" s="20"/>
      <c r="E35" s="4"/>
      <c r="F35" s="37"/>
      <c r="G35" s="38"/>
      <c r="H35" s="44">
        <f>Assumptions!$D$15</f>
        <v>0.1</v>
      </c>
      <c r="I35" s="45">
        <f>IF(SO[[#This Row],[GST applies?]] = "Yes", (SO[[#This Row],[Value inc. GST]] / 1 + SO[[#This Row],[GST %]]) * SO[[#This Row],[GST %]], 0)</f>
        <v>0</v>
      </c>
      <c r="J35" s="31">
        <f>_xlfn.XLOOKUP(SO[[#This Row],[Customer name]], Customer_master[Customer name], Customer_master[EOM or Net], 0)</f>
        <v>0</v>
      </c>
      <c r="K35" s="31">
        <f>_xlfn.XLOOKUP(SO[[#This Row],[Customer name]], Customer_master[Customer name], Customer_master[Terms days], 0)</f>
        <v>0</v>
      </c>
      <c r="L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" s="4"/>
      <c r="N35" s="46">
        <f>IF(SO[[#This Row],[Collection date - override (dd/mm/yyyy)]] &lt;&gt; "", SO[[#This Row],[Collection date - override (dd/mm/yyyy)]], SO[[#This Row],[Due date (dd/mm/yyyy)]])</f>
        <v>0</v>
      </c>
      <c r="O35" s="46">
        <f t="shared" si="0"/>
        <v>52</v>
      </c>
    </row>
    <row r="36" spans="3:15" x14ac:dyDescent="0.25">
      <c r="C36" s="24"/>
      <c r="D36" s="20"/>
      <c r="E36" s="4"/>
      <c r="F36" s="37"/>
      <c r="G36" s="38"/>
      <c r="H36" s="44">
        <f>Assumptions!$D$15</f>
        <v>0.1</v>
      </c>
      <c r="I36" s="45">
        <f>IF(SO[[#This Row],[GST applies?]] = "Yes", (SO[[#This Row],[Value inc. GST]] / 1 + SO[[#This Row],[GST %]]) * SO[[#This Row],[GST %]], 0)</f>
        <v>0</v>
      </c>
      <c r="J36" s="31">
        <f>_xlfn.XLOOKUP(SO[[#This Row],[Customer name]], Customer_master[Customer name], Customer_master[EOM or Net], 0)</f>
        <v>0</v>
      </c>
      <c r="K36" s="31">
        <f>_xlfn.XLOOKUP(SO[[#This Row],[Customer name]], Customer_master[Customer name], Customer_master[Terms days], 0)</f>
        <v>0</v>
      </c>
      <c r="L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" s="4"/>
      <c r="N36" s="46">
        <f>IF(SO[[#This Row],[Collection date - override (dd/mm/yyyy)]] &lt;&gt; "", SO[[#This Row],[Collection date - override (dd/mm/yyyy)]], SO[[#This Row],[Due date (dd/mm/yyyy)]])</f>
        <v>0</v>
      </c>
      <c r="O36" s="46">
        <f t="shared" si="0"/>
        <v>52</v>
      </c>
    </row>
    <row r="37" spans="3:15" x14ac:dyDescent="0.25">
      <c r="C37" s="24"/>
      <c r="D37" s="20"/>
      <c r="E37" s="4"/>
      <c r="F37" s="37"/>
      <c r="G37" s="38"/>
      <c r="H37" s="44">
        <f>Assumptions!$D$15</f>
        <v>0.1</v>
      </c>
      <c r="I37" s="45">
        <f>IF(SO[[#This Row],[GST applies?]] = "Yes", (SO[[#This Row],[Value inc. GST]] / 1 + SO[[#This Row],[GST %]]) * SO[[#This Row],[GST %]], 0)</f>
        <v>0</v>
      </c>
      <c r="J37" s="31">
        <f>_xlfn.XLOOKUP(SO[[#This Row],[Customer name]], Customer_master[Customer name], Customer_master[EOM or Net], 0)</f>
        <v>0</v>
      </c>
      <c r="K37" s="31">
        <f>_xlfn.XLOOKUP(SO[[#This Row],[Customer name]], Customer_master[Customer name], Customer_master[Terms days], 0)</f>
        <v>0</v>
      </c>
      <c r="L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" s="4"/>
      <c r="N37" s="46">
        <f>IF(SO[[#This Row],[Collection date - override (dd/mm/yyyy)]] &lt;&gt; "", SO[[#This Row],[Collection date - override (dd/mm/yyyy)]], SO[[#This Row],[Due date (dd/mm/yyyy)]])</f>
        <v>0</v>
      </c>
      <c r="O37" s="46">
        <f t="shared" si="0"/>
        <v>52</v>
      </c>
    </row>
    <row r="38" spans="3:15" x14ac:dyDescent="0.25">
      <c r="C38" s="24"/>
      <c r="D38" s="20"/>
      <c r="E38" s="4"/>
      <c r="F38" s="37"/>
      <c r="G38" s="38"/>
      <c r="H38" s="44">
        <f>Assumptions!$D$15</f>
        <v>0.1</v>
      </c>
      <c r="I38" s="45">
        <f>IF(SO[[#This Row],[GST applies?]] = "Yes", (SO[[#This Row],[Value inc. GST]] / 1 + SO[[#This Row],[GST %]]) * SO[[#This Row],[GST %]], 0)</f>
        <v>0</v>
      </c>
      <c r="J38" s="31">
        <f>_xlfn.XLOOKUP(SO[[#This Row],[Customer name]], Customer_master[Customer name], Customer_master[EOM or Net], 0)</f>
        <v>0</v>
      </c>
      <c r="K38" s="31">
        <f>_xlfn.XLOOKUP(SO[[#This Row],[Customer name]], Customer_master[Customer name], Customer_master[Terms days], 0)</f>
        <v>0</v>
      </c>
      <c r="L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" s="4"/>
      <c r="N38" s="46">
        <f>IF(SO[[#This Row],[Collection date - override (dd/mm/yyyy)]] &lt;&gt; "", SO[[#This Row],[Collection date - override (dd/mm/yyyy)]], SO[[#This Row],[Due date (dd/mm/yyyy)]])</f>
        <v>0</v>
      </c>
      <c r="O38" s="46">
        <f t="shared" si="0"/>
        <v>52</v>
      </c>
    </row>
    <row r="39" spans="3:15" x14ac:dyDescent="0.25">
      <c r="C39" s="24"/>
      <c r="D39" s="20"/>
      <c r="E39" s="4"/>
      <c r="F39" s="37"/>
      <c r="G39" s="38"/>
      <c r="H39" s="44">
        <f>Assumptions!$D$15</f>
        <v>0.1</v>
      </c>
      <c r="I39" s="45">
        <f>IF(SO[[#This Row],[GST applies?]] = "Yes", (SO[[#This Row],[Value inc. GST]] / 1 + SO[[#This Row],[GST %]]) * SO[[#This Row],[GST %]], 0)</f>
        <v>0</v>
      </c>
      <c r="J39" s="31">
        <f>_xlfn.XLOOKUP(SO[[#This Row],[Customer name]], Customer_master[Customer name], Customer_master[EOM or Net], 0)</f>
        <v>0</v>
      </c>
      <c r="K39" s="31">
        <f>_xlfn.XLOOKUP(SO[[#This Row],[Customer name]], Customer_master[Customer name], Customer_master[Terms days], 0)</f>
        <v>0</v>
      </c>
      <c r="L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" s="4"/>
      <c r="N39" s="46">
        <f>IF(SO[[#This Row],[Collection date - override (dd/mm/yyyy)]] &lt;&gt; "", SO[[#This Row],[Collection date - override (dd/mm/yyyy)]], SO[[#This Row],[Due date (dd/mm/yyyy)]])</f>
        <v>0</v>
      </c>
      <c r="O39" s="46">
        <f t="shared" si="0"/>
        <v>52</v>
      </c>
    </row>
    <row r="40" spans="3:15" x14ac:dyDescent="0.25">
      <c r="C40" s="24"/>
      <c r="D40" s="20"/>
      <c r="E40" s="4"/>
      <c r="F40" s="37"/>
      <c r="G40" s="38"/>
      <c r="H40" s="44">
        <f>Assumptions!$D$15</f>
        <v>0.1</v>
      </c>
      <c r="I40" s="45">
        <f>IF(SO[[#This Row],[GST applies?]] = "Yes", (SO[[#This Row],[Value inc. GST]] / 1 + SO[[#This Row],[GST %]]) * SO[[#This Row],[GST %]], 0)</f>
        <v>0</v>
      </c>
      <c r="J40" s="31">
        <f>_xlfn.XLOOKUP(SO[[#This Row],[Customer name]], Customer_master[Customer name], Customer_master[EOM or Net], 0)</f>
        <v>0</v>
      </c>
      <c r="K40" s="31">
        <f>_xlfn.XLOOKUP(SO[[#This Row],[Customer name]], Customer_master[Customer name], Customer_master[Terms days], 0)</f>
        <v>0</v>
      </c>
      <c r="L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" s="4"/>
      <c r="N40" s="46">
        <f>IF(SO[[#This Row],[Collection date - override (dd/mm/yyyy)]] &lt;&gt; "", SO[[#This Row],[Collection date - override (dd/mm/yyyy)]], SO[[#This Row],[Due date (dd/mm/yyyy)]])</f>
        <v>0</v>
      </c>
      <c r="O40" s="46">
        <f t="shared" si="0"/>
        <v>52</v>
      </c>
    </row>
    <row r="41" spans="3:15" x14ac:dyDescent="0.25">
      <c r="C41" s="24"/>
      <c r="D41" s="20"/>
      <c r="E41" s="4"/>
      <c r="F41" s="37"/>
      <c r="G41" s="38"/>
      <c r="H41" s="44">
        <f>Assumptions!$D$15</f>
        <v>0.1</v>
      </c>
      <c r="I41" s="45">
        <f>IF(SO[[#This Row],[GST applies?]] = "Yes", (SO[[#This Row],[Value inc. GST]] / 1 + SO[[#This Row],[GST %]]) * SO[[#This Row],[GST %]], 0)</f>
        <v>0</v>
      </c>
      <c r="J41" s="31">
        <f>_xlfn.XLOOKUP(SO[[#This Row],[Customer name]], Customer_master[Customer name], Customer_master[EOM or Net], 0)</f>
        <v>0</v>
      </c>
      <c r="K41" s="31">
        <f>_xlfn.XLOOKUP(SO[[#This Row],[Customer name]], Customer_master[Customer name], Customer_master[Terms days], 0)</f>
        <v>0</v>
      </c>
      <c r="L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" s="4"/>
      <c r="N41" s="46">
        <f>IF(SO[[#This Row],[Collection date - override (dd/mm/yyyy)]] &lt;&gt; "", SO[[#This Row],[Collection date - override (dd/mm/yyyy)]], SO[[#This Row],[Due date (dd/mm/yyyy)]])</f>
        <v>0</v>
      </c>
      <c r="O41" s="46">
        <f t="shared" si="0"/>
        <v>52</v>
      </c>
    </row>
    <row r="42" spans="3:15" x14ac:dyDescent="0.25">
      <c r="C42" s="24"/>
      <c r="D42" s="20"/>
      <c r="E42" s="4"/>
      <c r="F42" s="37"/>
      <c r="G42" s="38"/>
      <c r="H42" s="44">
        <f>Assumptions!$D$15</f>
        <v>0.1</v>
      </c>
      <c r="I42" s="45">
        <f>IF(SO[[#This Row],[GST applies?]] = "Yes", (SO[[#This Row],[Value inc. GST]] / 1 + SO[[#This Row],[GST %]]) * SO[[#This Row],[GST %]], 0)</f>
        <v>0</v>
      </c>
      <c r="J42" s="31">
        <f>_xlfn.XLOOKUP(SO[[#This Row],[Customer name]], Customer_master[Customer name], Customer_master[EOM or Net], 0)</f>
        <v>0</v>
      </c>
      <c r="K42" s="31">
        <f>_xlfn.XLOOKUP(SO[[#This Row],[Customer name]], Customer_master[Customer name], Customer_master[Terms days], 0)</f>
        <v>0</v>
      </c>
      <c r="L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" s="4"/>
      <c r="N42" s="46">
        <f>IF(SO[[#This Row],[Collection date - override (dd/mm/yyyy)]] &lt;&gt; "", SO[[#This Row],[Collection date - override (dd/mm/yyyy)]], SO[[#This Row],[Due date (dd/mm/yyyy)]])</f>
        <v>0</v>
      </c>
      <c r="O42" s="46">
        <f t="shared" si="0"/>
        <v>52</v>
      </c>
    </row>
    <row r="43" spans="3:15" x14ac:dyDescent="0.25">
      <c r="C43" s="24"/>
      <c r="D43" s="20"/>
      <c r="E43" s="4"/>
      <c r="F43" s="37"/>
      <c r="G43" s="38"/>
      <c r="H43" s="44">
        <f>Assumptions!$D$15</f>
        <v>0.1</v>
      </c>
      <c r="I43" s="45">
        <f>IF(SO[[#This Row],[GST applies?]] = "Yes", (SO[[#This Row],[Value inc. GST]] / 1 + SO[[#This Row],[GST %]]) * SO[[#This Row],[GST %]], 0)</f>
        <v>0</v>
      </c>
      <c r="J43" s="31">
        <f>_xlfn.XLOOKUP(SO[[#This Row],[Customer name]], Customer_master[Customer name], Customer_master[EOM or Net], 0)</f>
        <v>0</v>
      </c>
      <c r="K43" s="31">
        <f>_xlfn.XLOOKUP(SO[[#This Row],[Customer name]], Customer_master[Customer name], Customer_master[Terms days], 0)</f>
        <v>0</v>
      </c>
      <c r="L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" s="4"/>
      <c r="N43" s="46">
        <f>IF(SO[[#This Row],[Collection date - override (dd/mm/yyyy)]] &lt;&gt; "", SO[[#This Row],[Collection date - override (dd/mm/yyyy)]], SO[[#This Row],[Due date (dd/mm/yyyy)]])</f>
        <v>0</v>
      </c>
      <c r="O43" s="46">
        <f t="shared" si="0"/>
        <v>52</v>
      </c>
    </row>
    <row r="44" spans="3:15" x14ac:dyDescent="0.25">
      <c r="C44" s="24"/>
      <c r="D44" s="20"/>
      <c r="E44" s="4"/>
      <c r="F44" s="37"/>
      <c r="G44" s="38"/>
      <c r="H44" s="44">
        <f>Assumptions!$D$15</f>
        <v>0.1</v>
      </c>
      <c r="I44" s="45">
        <f>IF(SO[[#This Row],[GST applies?]] = "Yes", (SO[[#This Row],[Value inc. GST]] / 1 + SO[[#This Row],[GST %]]) * SO[[#This Row],[GST %]], 0)</f>
        <v>0</v>
      </c>
      <c r="J44" s="31">
        <f>_xlfn.XLOOKUP(SO[[#This Row],[Customer name]], Customer_master[Customer name], Customer_master[EOM or Net], 0)</f>
        <v>0</v>
      </c>
      <c r="K44" s="31">
        <f>_xlfn.XLOOKUP(SO[[#This Row],[Customer name]], Customer_master[Customer name], Customer_master[Terms days], 0)</f>
        <v>0</v>
      </c>
      <c r="L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" s="4"/>
      <c r="N44" s="46">
        <f>IF(SO[[#This Row],[Collection date - override (dd/mm/yyyy)]] &lt;&gt; "", SO[[#This Row],[Collection date - override (dd/mm/yyyy)]], SO[[#This Row],[Due date (dd/mm/yyyy)]])</f>
        <v>0</v>
      </c>
      <c r="O44" s="46">
        <f t="shared" si="0"/>
        <v>52</v>
      </c>
    </row>
    <row r="45" spans="3:15" x14ac:dyDescent="0.25">
      <c r="C45" s="24"/>
      <c r="D45" s="20"/>
      <c r="E45" s="4"/>
      <c r="F45" s="37"/>
      <c r="G45" s="38"/>
      <c r="H45" s="44">
        <f>Assumptions!$D$15</f>
        <v>0.1</v>
      </c>
      <c r="I45" s="45">
        <f>IF(SO[[#This Row],[GST applies?]] = "Yes", (SO[[#This Row],[Value inc. GST]] / 1 + SO[[#This Row],[GST %]]) * SO[[#This Row],[GST %]], 0)</f>
        <v>0</v>
      </c>
      <c r="J45" s="31">
        <f>_xlfn.XLOOKUP(SO[[#This Row],[Customer name]], Customer_master[Customer name], Customer_master[EOM or Net], 0)</f>
        <v>0</v>
      </c>
      <c r="K45" s="31">
        <f>_xlfn.XLOOKUP(SO[[#This Row],[Customer name]], Customer_master[Customer name], Customer_master[Terms days], 0)</f>
        <v>0</v>
      </c>
      <c r="L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" s="4"/>
      <c r="N45" s="46">
        <f>IF(SO[[#This Row],[Collection date - override (dd/mm/yyyy)]] &lt;&gt; "", SO[[#This Row],[Collection date - override (dd/mm/yyyy)]], SO[[#This Row],[Due date (dd/mm/yyyy)]])</f>
        <v>0</v>
      </c>
      <c r="O45" s="46">
        <f t="shared" si="0"/>
        <v>52</v>
      </c>
    </row>
    <row r="46" spans="3:15" x14ac:dyDescent="0.25">
      <c r="C46" s="24"/>
      <c r="D46" s="20"/>
      <c r="E46" s="4"/>
      <c r="F46" s="37"/>
      <c r="G46" s="38"/>
      <c r="H46" s="44">
        <f>Assumptions!$D$15</f>
        <v>0.1</v>
      </c>
      <c r="I46" s="45">
        <f>IF(SO[[#This Row],[GST applies?]] = "Yes", (SO[[#This Row],[Value inc. GST]] / 1 + SO[[#This Row],[GST %]]) * SO[[#This Row],[GST %]], 0)</f>
        <v>0</v>
      </c>
      <c r="J46" s="31">
        <f>_xlfn.XLOOKUP(SO[[#This Row],[Customer name]], Customer_master[Customer name], Customer_master[EOM or Net], 0)</f>
        <v>0</v>
      </c>
      <c r="K46" s="31">
        <f>_xlfn.XLOOKUP(SO[[#This Row],[Customer name]], Customer_master[Customer name], Customer_master[Terms days], 0)</f>
        <v>0</v>
      </c>
      <c r="L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" s="4"/>
      <c r="N46" s="46">
        <f>IF(SO[[#This Row],[Collection date - override (dd/mm/yyyy)]] &lt;&gt; "", SO[[#This Row],[Collection date - override (dd/mm/yyyy)]], SO[[#This Row],[Due date (dd/mm/yyyy)]])</f>
        <v>0</v>
      </c>
      <c r="O46" s="46">
        <f t="shared" si="0"/>
        <v>52</v>
      </c>
    </row>
    <row r="47" spans="3:15" x14ac:dyDescent="0.25">
      <c r="C47" s="24"/>
      <c r="D47" s="20"/>
      <c r="E47" s="4"/>
      <c r="F47" s="37"/>
      <c r="G47" s="38"/>
      <c r="H47" s="44">
        <f>Assumptions!$D$15</f>
        <v>0.1</v>
      </c>
      <c r="I47" s="45">
        <f>IF(SO[[#This Row],[GST applies?]] = "Yes", (SO[[#This Row],[Value inc. GST]] / 1 + SO[[#This Row],[GST %]]) * SO[[#This Row],[GST %]], 0)</f>
        <v>0</v>
      </c>
      <c r="J47" s="31">
        <f>_xlfn.XLOOKUP(SO[[#This Row],[Customer name]], Customer_master[Customer name], Customer_master[EOM or Net], 0)</f>
        <v>0</v>
      </c>
      <c r="K47" s="31">
        <f>_xlfn.XLOOKUP(SO[[#This Row],[Customer name]], Customer_master[Customer name], Customer_master[Terms days], 0)</f>
        <v>0</v>
      </c>
      <c r="L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" s="4"/>
      <c r="N47" s="46">
        <f>IF(SO[[#This Row],[Collection date - override (dd/mm/yyyy)]] &lt;&gt; "", SO[[#This Row],[Collection date - override (dd/mm/yyyy)]], SO[[#This Row],[Due date (dd/mm/yyyy)]])</f>
        <v>0</v>
      </c>
      <c r="O47" s="46">
        <f t="shared" si="0"/>
        <v>52</v>
      </c>
    </row>
    <row r="48" spans="3:15" x14ac:dyDescent="0.25">
      <c r="C48" s="24"/>
      <c r="D48" s="20"/>
      <c r="E48" s="4"/>
      <c r="F48" s="37"/>
      <c r="G48" s="38"/>
      <c r="H48" s="44">
        <f>Assumptions!$D$15</f>
        <v>0.1</v>
      </c>
      <c r="I48" s="45">
        <f>IF(SO[[#This Row],[GST applies?]] = "Yes", (SO[[#This Row],[Value inc. GST]] / 1 + SO[[#This Row],[GST %]]) * SO[[#This Row],[GST %]], 0)</f>
        <v>0</v>
      </c>
      <c r="J48" s="31">
        <f>_xlfn.XLOOKUP(SO[[#This Row],[Customer name]], Customer_master[Customer name], Customer_master[EOM or Net], 0)</f>
        <v>0</v>
      </c>
      <c r="K48" s="31">
        <f>_xlfn.XLOOKUP(SO[[#This Row],[Customer name]], Customer_master[Customer name], Customer_master[Terms days], 0)</f>
        <v>0</v>
      </c>
      <c r="L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" s="4"/>
      <c r="N48" s="46">
        <f>IF(SO[[#This Row],[Collection date - override (dd/mm/yyyy)]] &lt;&gt; "", SO[[#This Row],[Collection date - override (dd/mm/yyyy)]], SO[[#This Row],[Due date (dd/mm/yyyy)]])</f>
        <v>0</v>
      </c>
      <c r="O48" s="46">
        <f t="shared" si="0"/>
        <v>52</v>
      </c>
    </row>
    <row r="49" spans="3:15" x14ac:dyDescent="0.25">
      <c r="C49" s="24"/>
      <c r="D49" s="20"/>
      <c r="E49" s="4"/>
      <c r="F49" s="37"/>
      <c r="G49" s="38"/>
      <c r="H49" s="44">
        <f>Assumptions!$D$15</f>
        <v>0.1</v>
      </c>
      <c r="I49" s="45">
        <f>IF(SO[[#This Row],[GST applies?]] = "Yes", (SO[[#This Row],[Value inc. GST]] / 1 + SO[[#This Row],[GST %]]) * SO[[#This Row],[GST %]], 0)</f>
        <v>0</v>
      </c>
      <c r="J49" s="31">
        <f>_xlfn.XLOOKUP(SO[[#This Row],[Customer name]], Customer_master[Customer name], Customer_master[EOM or Net], 0)</f>
        <v>0</v>
      </c>
      <c r="K49" s="31">
        <f>_xlfn.XLOOKUP(SO[[#This Row],[Customer name]], Customer_master[Customer name], Customer_master[Terms days], 0)</f>
        <v>0</v>
      </c>
      <c r="L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" s="4"/>
      <c r="N49" s="46">
        <f>IF(SO[[#This Row],[Collection date - override (dd/mm/yyyy)]] &lt;&gt; "", SO[[#This Row],[Collection date - override (dd/mm/yyyy)]], SO[[#This Row],[Due date (dd/mm/yyyy)]])</f>
        <v>0</v>
      </c>
      <c r="O49" s="46">
        <f t="shared" si="0"/>
        <v>52</v>
      </c>
    </row>
    <row r="50" spans="3:15" x14ac:dyDescent="0.25">
      <c r="C50" s="24"/>
      <c r="D50" s="20"/>
      <c r="E50" s="4"/>
      <c r="F50" s="37"/>
      <c r="G50" s="38"/>
      <c r="H50" s="44">
        <f>Assumptions!$D$15</f>
        <v>0.1</v>
      </c>
      <c r="I50" s="45">
        <f>IF(SO[[#This Row],[GST applies?]] = "Yes", (SO[[#This Row],[Value inc. GST]] / 1 + SO[[#This Row],[GST %]]) * SO[[#This Row],[GST %]], 0)</f>
        <v>0</v>
      </c>
      <c r="J50" s="31">
        <f>_xlfn.XLOOKUP(SO[[#This Row],[Customer name]], Customer_master[Customer name], Customer_master[EOM or Net], 0)</f>
        <v>0</v>
      </c>
      <c r="K50" s="31">
        <f>_xlfn.XLOOKUP(SO[[#This Row],[Customer name]], Customer_master[Customer name], Customer_master[Terms days], 0)</f>
        <v>0</v>
      </c>
      <c r="L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" s="4"/>
      <c r="N50" s="46">
        <f>IF(SO[[#This Row],[Collection date - override (dd/mm/yyyy)]] &lt;&gt; "", SO[[#This Row],[Collection date - override (dd/mm/yyyy)]], SO[[#This Row],[Due date (dd/mm/yyyy)]])</f>
        <v>0</v>
      </c>
      <c r="O50" s="46">
        <f t="shared" si="0"/>
        <v>52</v>
      </c>
    </row>
    <row r="51" spans="3:15" x14ac:dyDescent="0.25">
      <c r="C51" s="24"/>
      <c r="D51" s="20"/>
      <c r="E51" s="4"/>
      <c r="F51" s="37"/>
      <c r="G51" s="38"/>
      <c r="H51" s="44">
        <f>Assumptions!$D$15</f>
        <v>0.1</v>
      </c>
      <c r="I51" s="45">
        <f>IF(SO[[#This Row],[GST applies?]] = "Yes", (SO[[#This Row],[Value inc. GST]] / 1 + SO[[#This Row],[GST %]]) * SO[[#This Row],[GST %]], 0)</f>
        <v>0</v>
      </c>
      <c r="J51" s="31">
        <f>_xlfn.XLOOKUP(SO[[#This Row],[Customer name]], Customer_master[Customer name], Customer_master[EOM or Net], 0)</f>
        <v>0</v>
      </c>
      <c r="K51" s="31">
        <f>_xlfn.XLOOKUP(SO[[#This Row],[Customer name]], Customer_master[Customer name], Customer_master[Terms days], 0)</f>
        <v>0</v>
      </c>
      <c r="L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" s="4"/>
      <c r="N51" s="46">
        <f>IF(SO[[#This Row],[Collection date - override (dd/mm/yyyy)]] &lt;&gt; "", SO[[#This Row],[Collection date - override (dd/mm/yyyy)]], SO[[#This Row],[Due date (dd/mm/yyyy)]])</f>
        <v>0</v>
      </c>
      <c r="O51" s="46">
        <f t="shared" si="0"/>
        <v>52</v>
      </c>
    </row>
    <row r="52" spans="3:15" x14ac:dyDescent="0.25">
      <c r="C52" s="24"/>
      <c r="D52" s="20"/>
      <c r="E52" s="4"/>
      <c r="F52" s="37"/>
      <c r="G52" s="38"/>
      <c r="H52" s="44">
        <f>Assumptions!$D$15</f>
        <v>0.1</v>
      </c>
      <c r="I52" s="45">
        <f>IF(SO[[#This Row],[GST applies?]] = "Yes", (SO[[#This Row],[Value inc. GST]] / 1 + SO[[#This Row],[GST %]]) * SO[[#This Row],[GST %]], 0)</f>
        <v>0</v>
      </c>
      <c r="J52" s="31">
        <f>_xlfn.XLOOKUP(SO[[#This Row],[Customer name]], Customer_master[Customer name], Customer_master[EOM or Net], 0)</f>
        <v>0</v>
      </c>
      <c r="K52" s="31">
        <f>_xlfn.XLOOKUP(SO[[#This Row],[Customer name]], Customer_master[Customer name], Customer_master[Terms days], 0)</f>
        <v>0</v>
      </c>
      <c r="L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" s="4"/>
      <c r="N52" s="46">
        <f>IF(SO[[#This Row],[Collection date - override (dd/mm/yyyy)]] &lt;&gt; "", SO[[#This Row],[Collection date - override (dd/mm/yyyy)]], SO[[#This Row],[Due date (dd/mm/yyyy)]])</f>
        <v>0</v>
      </c>
      <c r="O52" s="46">
        <f t="shared" si="0"/>
        <v>52</v>
      </c>
    </row>
    <row r="53" spans="3:15" x14ac:dyDescent="0.25">
      <c r="C53" s="24"/>
      <c r="D53" s="20"/>
      <c r="E53" s="4"/>
      <c r="F53" s="37"/>
      <c r="G53" s="38"/>
      <c r="H53" s="44">
        <f>Assumptions!$D$15</f>
        <v>0.1</v>
      </c>
      <c r="I53" s="45">
        <f>IF(SO[[#This Row],[GST applies?]] = "Yes", (SO[[#This Row],[Value inc. GST]] / 1 + SO[[#This Row],[GST %]]) * SO[[#This Row],[GST %]], 0)</f>
        <v>0</v>
      </c>
      <c r="J53" s="31">
        <f>_xlfn.XLOOKUP(SO[[#This Row],[Customer name]], Customer_master[Customer name], Customer_master[EOM or Net], 0)</f>
        <v>0</v>
      </c>
      <c r="K53" s="31">
        <f>_xlfn.XLOOKUP(SO[[#This Row],[Customer name]], Customer_master[Customer name], Customer_master[Terms days], 0)</f>
        <v>0</v>
      </c>
      <c r="L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" s="4"/>
      <c r="N53" s="46">
        <f>IF(SO[[#This Row],[Collection date - override (dd/mm/yyyy)]] &lt;&gt; "", SO[[#This Row],[Collection date - override (dd/mm/yyyy)]], SO[[#This Row],[Due date (dd/mm/yyyy)]])</f>
        <v>0</v>
      </c>
      <c r="O53" s="46">
        <f t="shared" si="0"/>
        <v>52</v>
      </c>
    </row>
    <row r="54" spans="3:15" x14ac:dyDescent="0.25">
      <c r="C54" s="24"/>
      <c r="D54" s="20"/>
      <c r="E54" s="4"/>
      <c r="F54" s="37"/>
      <c r="G54" s="38"/>
      <c r="H54" s="44">
        <f>Assumptions!$D$15</f>
        <v>0.1</v>
      </c>
      <c r="I54" s="45">
        <f>IF(SO[[#This Row],[GST applies?]] = "Yes", (SO[[#This Row],[Value inc. GST]] / 1 + SO[[#This Row],[GST %]]) * SO[[#This Row],[GST %]], 0)</f>
        <v>0</v>
      </c>
      <c r="J54" s="31">
        <f>_xlfn.XLOOKUP(SO[[#This Row],[Customer name]], Customer_master[Customer name], Customer_master[EOM or Net], 0)</f>
        <v>0</v>
      </c>
      <c r="K54" s="31">
        <f>_xlfn.XLOOKUP(SO[[#This Row],[Customer name]], Customer_master[Customer name], Customer_master[Terms days], 0)</f>
        <v>0</v>
      </c>
      <c r="L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" s="4"/>
      <c r="N54" s="46">
        <f>IF(SO[[#This Row],[Collection date - override (dd/mm/yyyy)]] &lt;&gt; "", SO[[#This Row],[Collection date - override (dd/mm/yyyy)]], SO[[#This Row],[Due date (dd/mm/yyyy)]])</f>
        <v>0</v>
      </c>
      <c r="O54" s="46">
        <f t="shared" si="0"/>
        <v>52</v>
      </c>
    </row>
    <row r="55" spans="3:15" x14ac:dyDescent="0.25">
      <c r="C55" s="24"/>
      <c r="D55" s="20"/>
      <c r="E55" s="4"/>
      <c r="F55" s="37"/>
      <c r="G55" s="38"/>
      <c r="H55" s="44">
        <f>Assumptions!$D$15</f>
        <v>0.1</v>
      </c>
      <c r="I55" s="45">
        <f>IF(SO[[#This Row],[GST applies?]] = "Yes", (SO[[#This Row],[Value inc. GST]] / 1 + SO[[#This Row],[GST %]]) * SO[[#This Row],[GST %]], 0)</f>
        <v>0</v>
      </c>
      <c r="J55" s="31">
        <f>_xlfn.XLOOKUP(SO[[#This Row],[Customer name]], Customer_master[Customer name], Customer_master[EOM or Net], 0)</f>
        <v>0</v>
      </c>
      <c r="K55" s="31">
        <f>_xlfn.XLOOKUP(SO[[#This Row],[Customer name]], Customer_master[Customer name], Customer_master[Terms days], 0)</f>
        <v>0</v>
      </c>
      <c r="L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" s="4"/>
      <c r="N55" s="46">
        <f>IF(SO[[#This Row],[Collection date - override (dd/mm/yyyy)]] &lt;&gt; "", SO[[#This Row],[Collection date - override (dd/mm/yyyy)]], SO[[#This Row],[Due date (dd/mm/yyyy)]])</f>
        <v>0</v>
      </c>
      <c r="O55" s="46">
        <f t="shared" si="0"/>
        <v>52</v>
      </c>
    </row>
    <row r="56" spans="3:15" x14ac:dyDescent="0.25">
      <c r="C56" s="24"/>
      <c r="D56" s="20"/>
      <c r="E56" s="4"/>
      <c r="F56" s="37"/>
      <c r="G56" s="38"/>
      <c r="H56" s="44">
        <f>Assumptions!$D$15</f>
        <v>0.1</v>
      </c>
      <c r="I56" s="45">
        <f>IF(SO[[#This Row],[GST applies?]] = "Yes", (SO[[#This Row],[Value inc. GST]] / 1 + SO[[#This Row],[GST %]]) * SO[[#This Row],[GST %]], 0)</f>
        <v>0</v>
      </c>
      <c r="J56" s="31">
        <f>_xlfn.XLOOKUP(SO[[#This Row],[Customer name]], Customer_master[Customer name], Customer_master[EOM or Net], 0)</f>
        <v>0</v>
      </c>
      <c r="K56" s="31">
        <f>_xlfn.XLOOKUP(SO[[#This Row],[Customer name]], Customer_master[Customer name], Customer_master[Terms days], 0)</f>
        <v>0</v>
      </c>
      <c r="L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" s="4"/>
      <c r="N56" s="46">
        <f>IF(SO[[#This Row],[Collection date - override (dd/mm/yyyy)]] &lt;&gt; "", SO[[#This Row],[Collection date - override (dd/mm/yyyy)]], SO[[#This Row],[Due date (dd/mm/yyyy)]])</f>
        <v>0</v>
      </c>
      <c r="O56" s="46">
        <f t="shared" si="0"/>
        <v>52</v>
      </c>
    </row>
    <row r="57" spans="3:15" x14ac:dyDescent="0.25">
      <c r="C57" s="24"/>
      <c r="D57" s="20"/>
      <c r="E57" s="4"/>
      <c r="F57" s="37"/>
      <c r="G57" s="38"/>
      <c r="H57" s="44">
        <f>Assumptions!$D$15</f>
        <v>0.1</v>
      </c>
      <c r="I57" s="45">
        <f>IF(SO[[#This Row],[GST applies?]] = "Yes", (SO[[#This Row],[Value inc. GST]] / 1 + SO[[#This Row],[GST %]]) * SO[[#This Row],[GST %]], 0)</f>
        <v>0</v>
      </c>
      <c r="J57" s="31">
        <f>_xlfn.XLOOKUP(SO[[#This Row],[Customer name]], Customer_master[Customer name], Customer_master[EOM or Net], 0)</f>
        <v>0</v>
      </c>
      <c r="K57" s="31">
        <f>_xlfn.XLOOKUP(SO[[#This Row],[Customer name]], Customer_master[Customer name], Customer_master[Terms days], 0)</f>
        <v>0</v>
      </c>
      <c r="L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" s="4"/>
      <c r="N57" s="46">
        <f>IF(SO[[#This Row],[Collection date - override (dd/mm/yyyy)]] &lt;&gt; "", SO[[#This Row],[Collection date - override (dd/mm/yyyy)]], SO[[#This Row],[Due date (dd/mm/yyyy)]])</f>
        <v>0</v>
      </c>
      <c r="O57" s="46">
        <f t="shared" si="0"/>
        <v>52</v>
      </c>
    </row>
    <row r="58" spans="3:15" x14ac:dyDescent="0.25">
      <c r="C58" s="24"/>
      <c r="D58" s="29"/>
      <c r="E58" s="41"/>
      <c r="F58" s="42"/>
      <c r="G58" s="43"/>
      <c r="H58" s="44">
        <f>Assumptions!$D$15</f>
        <v>0.1</v>
      </c>
      <c r="I58" s="45">
        <f>IF(SO[[#This Row],[GST applies?]] = "Yes", (SO[[#This Row],[Value inc. GST]] / 1 + SO[[#This Row],[GST %]]) * SO[[#This Row],[GST %]], 0)</f>
        <v>0</v>
      </c>
      <c r="J58" s="31">
        <f>_xlfn.XLOOKUP(SO[[#This Row],[Customer name]], Customer_master[Customer name], Customer_master[EOM or Net], 0)</f>
        <v>0</v>
      </c>
      <c r="K58" s="31">
        <f>_xlfn.XLOOKUP(SO[[#This Row],[Customer name]], Customer_master[Customer name], Customer_master[Terms days], 0)</f>
        <v>0</v>
      </c>
      <c r="L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" s="4"/>
      <c r="N58" s="46">
        <f>IF(SO[[#This Row],[Collection date - override (dd/mm/yyyy)]] &lt;&gt; "", SO[[#This Row],[Collection date - override (dd/mm/yyyy)]], SO[[#This Row],[Due date (dd/mm/yyyy)]])</f>
        <v>0</v>
      </c>
      <c r="O58" s="46">
        <f t="shared" si="0"/>
        <v>52</v>
      </c>
    </row>
    <row r="59" spans="3:15" x14ac:dyDescent="0.25">
      <c r="C59" s="24"/>
      <c r="D59" s="20"/>
      <c r="E59" s="4"/>
      <c r="F59" s="37"/>
      <c r="G59" s="24"/>
      <c r="H59" s="51">
        <f>Assumptions!$D$15</f>
        <v>0.1</v>
      </c>
      <c r="I59" s="45">
        <f>IF(SO[[#This Row],[GST applies?]] = "Yes", (SO[[#This Row],[Value inc. GST]] / 1 + SO[[#This Row],[GST %]]) * SO[[#This Row],[GST %]], 0)</f>
        <v>0</v>
      </c>
      <c r="J59" s="31">
        <f>_xlfn.XLOOKUP(SO[[#This Row],[Customer name]], Customer_master[Customer name], Customer_master[EOM or Net], 0)</f>
        <v>0</v>
      </c>
      <c r="K59" s="31">
        <f>_xlfn.XLOOKUP(SO[[#This Row],[Customer name]], Customer_master[Customer name], Customer_master[Terms days], 0)</f>
        <v>0</v>
      </c>
      <c r="L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" s="4"/>
      <c r="N59" s="46">
        <f>IF(SO[[#This Row],[Collection date - override (dd/mm/yyyy)]] &lt;&gt; "", SO[[#This Row],[Collection date - override (dd/mm/yyyy)]], SO[[#This Row],[Due date (dd/mm/yyyy)]])</f>
        <v>0</v>
      </c>
      <c r="O59" s="46">
        <f t="shared" si="0"/>
        <v>52</v>
      </c>
    </row>
    <row r="60" spans="3:15" x14ac:dyDescent="0.25">
      <c r="C60" s="24"/>
      <c r="D60" s="20"/>
      <c r="E60" s="4"/>
      <c r="F60" s="37"/>
      <c r="G60" s="24"/>
      <c r="H60" s="51">
        <f>Assumptions!$D$15</f>
        <v>0.1</v>
      </c>
      <c r="I60" s="45">
        <f>IF(SO[[#This Row],[GST applies?]] = "Yes", (SO[[#This Row],[Value inc. GST]] / 1 + SO[[#This Row],[GST %]]) * SO[[#This Row],[GST %]], 0)</f>
        <v>0</v>
      </c>
      <c r="J60" s="31">
        <f>_xlfn.XLOOKUP(SO[[#This Row],[Customer name]], Customer_master[Customer name], Customer_master[EOM or Net], 0)</f>
        <v>0</v>
      </c>
      <c r="K60" s="31">
        <f>_xlfn.XLOOKUP(SO[[#This Row],[Customer name]], Customer_master[Customer name], Customer_master[Terms days], 0)</f>
        <v>0</v>
      </c>
      <c r="L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" s="4"/>
      <c r="N60" s="46">
        <f>IF(SO[[#This Row],[Collection date - override (dd/mm/yyyy)]] &lt;&gt; "", SO[[#This Row],[Collection date - override (dd/mm/yyyy)]], SO[[#This Row],[Due date (dd/mm/yyyy)]])</f>
        <v>0</v>
      </c>
      <c r="O60" s="46">
        <f t="shared" si="0"/>
        <v>52</v>
      </c>
    </row>
    <row r="61" spans="3:15" x14ac:dyDescent="0.25">
      <c r="C61" s="24"/>
      <c r="D61" s="20"/>
      <c r="E61" s="4"/>
      <c r="F61" s="37"/>
      <c r="G61" s="24"/>
      <c r="H61" s="51">
        <f>Assumptions!$D$15</f>
        <v>0.1</v>
      </c>
      <c r="I61" s="45">
        <f>IF(SO[[#This Row],[GST applies?]] = "Yes", (SO[[#This Row],[Value inc. GST]] / 1 + SO[[#This Row],[GST %]]) * SO[[#This Row],[GST %]], 0)</f>
        <v>0</v>
      </c>
      <c r="J61" s="31">
        <f>_xlfn.XLOOKUP(SO[[#This Row],[Customer name]], Customer_master[Customer name], Customer_master[EOM or Net], 0)</f>
        <v>0</v>
      </c>
      <c r="K61" s="31">
        <f>_xlfn.XLOOKUP(SO[[#This Row],[Customer name]], Customer_master[Customer name], Customer_master[Terms days], 0)</f>
        <v>0</v>
      </c>
      <c r="L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" s="4"/>
      <c r="N61" s="46">
        <f>IF(SO[[#This Row],[Collection date - override (dd/mm/yyyy)]] &lt;&gt; "", SO[[#This Row],[Collection date - override (dd/mm/yyyy)]], SO[[#This Row],[Due date (dd/mm/yyyy)]])</f>
        <v>0</v>
      </c>
      <c r="O61" s="46">
        <f t="shared" si="0"/>
        <v>52</v>
      </c>
    </row>
    <row r="62" spans="3:15" x14ac:dyDescent="0.25">
      <c r="C62" s="24"/>
      <c r="D62" s="20"/>
      <c r="E62" s="4"/>
      <c r="F62" s="37"/>
      <c r="G62" s="24"/>
      <c r="H62" s="51">
        <f>Assumptions!$D$15</f>
        <v>0.1</v>
      </c>
      <c r="I62" s="45">
        <f>IF(SO[[#This Row],[GST applies?]] = "Yes", (SO[[#This Row],[Value inc. GST]] / 1 + SO[[#This Row],[GST %]]) * SO[[#This Row],[GST %]], 0)</f>
        <v>0</v>
      </c>
      <c r="J62" s="31">
        <f>_xlfn.XLOOKUP(SO[[#This Row],[Customer name]], Customer_master[Customer name], Customer_master[EOM or Net], 0)</f>
        <v>0</v>
      </c>
      <c r="K62" s="31">
        <f>_xlfn.XLOOKUP(SO[[#This Row],[Customer name]], Customer_master[Customer name], Customer_master[Terms days], 0)</f>
        <v>0</v>
      </c>
      <c r="L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" s="4"/>
      <c r="N62" s="46">
        <f>IF(SO[[#This Row],[Collection date - override (dd/mm/yyyy)]] &lt;&gt; "", SO[[#This Row],[Collection date - override (dd/mm/yyyy)]], SO[[#This Row],[Due date (dd/mm/yyyy)]])</f>
        <v>0</v>
      </c>
      <c r="O62" s="46">
        <f t="shared" si="0"/>
        <v>52</v>
      </c>
    </row>
    <row r="63" spans="3:15" x14ac:dyDescent="0.25">
      <c r="C63" s="24"/>
      <c r="D63" s="20"/>
      <c r="E63" s="4"/>
      <c r="F63" s="37"/>
      <c r="G63" s="24"/>
      <c r="H63" s="51">
        <f>Assumptions!$D$15</f>
        <v>0.1</v>
      </c>
      <c r="I63" s="45">
        <f>IF(SO[[#This Row],[GST applies?]] = "Yes", (SO[[#This Row],[Value inc. GST]] / 1 + SO[[#This Row],[GST %]]) * SO[[#This Row],[GST %]], 0)</f>
        <v>0</v>
      </c>
      <c r="J63" s="31">
        <f>_xlfn.XLOOKUP(SO[[#This Row],[Customer name]], Customer_master[Customer name], Customer_master[EOM or Net], 0)</f>
        <v>0</v>
      </c>
      <c r="K63" s="31">
        <f>_xlfn.XLOOKUP(SO[[#This Row],[Customer name]], Customer_master[Customer name], Customer_master[Terms days], 0)</f>
        <v>0</v>
      </c>
      <c r="L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" s="4"/>
      <c r="N63" s="46">
        <f>IF(SO[[#This Row],[Collection date - override (dd/mm/yyyy)]] &lt;&gt; "", SO[[#This Row],[Collection date - override (dd/mm/yyyy)]], SO[[#This Row],[Due date (dd/mm/yyyy)]])</f>
        <v>0</v>
      </c>
      <c r="O63" s="46">
        <f t="shared" si="0"/>
        <v>52</v>
      </c>
    </row>
    <row r="64" spans="3:15" x14ac:dyDescent="0.25">
      <c r="C64" s="24"/>
      <c r="D64" s="20"/>
      <c r="E64" s="4"/>
      <c r="F64" s="37"/>
      <c r="G64" s="24"/>
      <c r="H64" s="51">
        <f>Assumptions!$D$15</f>
        <v>0.1</v>
      </c>
      <c r="I64" s="45">
        <f>IF(SO[[#This Row],[GST applies?]] = "Yes", (SO[[#This Row],[Value inc. GST]] / 1 + SO[[#This Row],[GST %]]) * SO[[#This Row],[GST %]], 0)</f>
        <v>0</v>
      </c>
      <c r="J64" s="31">
        <f>_xlfn.XLOOKUP(SO[[#This Row],[Customer name]], Customer_master[Customer name], Customer_master[EOM or Net], 0)</f>
        <v>0</v>
      </c>
      <c r="K64" s="31">
        <f>_xlfn.XLOOKUP(SO[[#This Row],[Customer name]], Customer_master[Customer name], Customer_master[Terms days], 0)</f>
        <v>0</v>
      </c>
      <c r="L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" s="4"/>
      <c r="N64" s="46">
        <f>IF(SO[[#This Row],[Collection date - override (dd/mm/yyyy)]] &lt;&gt; "", SO[[#This Row],[Collection date - override (dd/mm/yyyy)]], SO[[#This Row],[Due date (dd/mm/yyyy)]])</f>
        <v>0</v>
      </c>
      <c r="O64" s="46">
        <f t="shared" si="0"/>
        <v>52</v>
      </c>
    </row>
    <row r="65" spans="3:15" x14ac:dyDescent="0.25">
      <c r="C65" s="24"/>
      <c r="D65" s="20"/>
      <c r="E65" s="4"/>
      <c r="F65" s="37"/>
      <c r="G65" s="24"/>
      <c r="H65" s="51">
        <f>Assumptions!$D$15</f>
        <v>0.1</v>
      </c>
      <c r="I65" s="45">
        <f>IF(SO[[#This Row],[GST applies?]] = "Yes", (SO[[#This Row],[Value inc. GST]] / 1 + SO[[#This Row],[GST %]]) * SO[[#This Row],[GST %]], 0)</f>
        <v>0</v>
      </c>
      <c r="J65" s="31">
        <f>_xlfn.XLOOKUP(SO[[#This Row],[Customer name]], Customer_master[Customer name], Customer_master[EOM or Net], 0)</f>
        <v>0</v>
      </c>
      <c r="K65" s="31">
        <f>_xlfn.XLOOKUP(SO[[#This Row],[Customer name]], Customer_master[Customer name], Customer_master[Terms days], 0)</f>
        <v>0</v>
      </c>
      <c r="L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" s="4"/>
      <c r="N65" s="46">
        <f>IF(SO[[#This Row],[Collection date - override (dd/mm/yyyy)]] &lt;&gt; "", SO[[#This Row],[Collection date - override (dd/mm/yyyy)]], SO[[#This Row],[Due date (dd/mm/yyyy)]])</f>
        <v>0</v>
      </c>
      <c r="O65" s="46">
        <f t="shared" si="0"/>
        <v>52</v>
      </c>
    </row>
    <row r="66" spans="3:15" x14ac:dyDescent="0.25">
      <c r="C66" s="24"/>
      <c r="D66" s="20"/>
      <c r="E66" s="4"/>
      <c r="F66" s="37"/>
      <c r="G66" s="24"/>
      <c r="H66" s="51">
        <f>Assumptions!$D$15</f>
        <v>0.1</v>
      </c>
      <c r="I66" s="45">
        <f>IF(SO[[#This Row],[GST applies?]] = "Yes", (SO[[#This Row],[Value inc. GST]] / 1 + SO[[#This Row],[GST %]]) * SO[[#This Row],[GST %]], 0)</f>
        <v>0</v>
      </c>
      <c r="J66" s="31">
        <f>_xlfn.XLOOKUP(SO[[#This Row],[Customer name]], Customer_master[Customer name], Customer_master[EOM or Net], 0)</f>
        <v>0</v>
      </c>
      <c r="K66" s="31">
        <f>_xlfn.XLOOKUP(SO[[#This Row],[Customer name]], Customer_master[Customer name], Customer_master[Terms days], 0)</f>
        <v>0</v>
      </c>
      <c r="L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" s="4"/>
      <c r="N66" s="46">
        <f>IF(SO[[#This Row],[Collection date - override (dd/mm/yyyy)]] &lt;&gt; "", SO[[#This Row],[Collection date - override (dd/mm/yyyy)]], SO[[#This Row],[Due date (dd/mm/yyyy)]])</f>
        <v>0</v>
      </c>
      <c r="O66" s="46">
        <f t="shared" si="0"/>
        <v>52</v>
      </c>
    </row>
    <row r="67" spans="3:15" x14ac:dyDescent="0.25">
      <c r="C67" s="24"/>
      <c r="D67" s="20"/>
      <c r="E67" s="4"/>
      <c r="F67" s="37"/>
      <c r="G67" s="24"/>
      <c r="H67" s="51">
        <f>Assumptions!$D$15</f>
        <v>0.1</v>
      </c>
      <c r="I67" s="45">
        <f>IF(SO[[#This Row],[GST applies?]] = "Yes", (SO[[#This Row],[Value inc. GST]] / 1 + SO[[#This Row],[GST %]]) * SO[[#This Row],[GST %]], 0)</f>
        <v>0</v>
      </c>
      <c r="J67" s="31">
        <f>_xlfn.XLOOKUP(SO[[#This Row],[Customer name]], Customer_master[Customer name], Customer_master[EOM or Net], 0)</f>
        <v>0</v>
      </c>
      <c r="K67" s="31">
        <f>_xlfn.XLOOKUP(SO[[#This Row],[Customer name]], Customer_master[Customer name], Customer_master[Terms days], 0)</f>
        <v>0</v>
      </c>
      <c r="L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" s="4"/>
      <c r="N67" s="46">
        <f>IF(SO[[#This Row],[Collection date - override (dd/mm/yyyy)]] &lt;&gt; "", SO[[#This Row],[Collection date - override (dd/mm/yyyy)]], SO[[#This Row],[Due date (dd/mm/yyyy)]])</f>
        <v>0</v>
      </c>
      <c r="O67" s="46">
        <f t="shared" si="0"/>
        <v>52</v>
      </c>
    </row>
    <row r="68" spans="3:15" x14ac:dyDescent="0.25">
      <c r="C68" s="24"/>
      <c r="D68" s="20"/>
      <c r="E68" s="4"/>
      <c r="F68" s="37"/>
      <c r="G68" s="24"/>
      <c r="H68" s="51">
        <f>Assumptions!$D$15</f>
        <v>0.1</v>
      </c>
      <c r="I68" s="45">
        <f>IF(SO[[#This Row],[GST applies?]] = "Yes", (SO[[#This Row],[Value inc. GST]] / 1 + SO[[#This Row],[GST %]]) * SO[[#This Row],[GST %]], 0)</f>
        <v>0</v>
      </c>
      <c r="J68" s="31">
        <f>_xlfn.XLOOKUP(SO[[#This Row],[Customer name]], Customer_master[Customer name], Customer_master[EOM or Net], 0)</f>
        <v>0</v>
      </c>
      <c r="K68" s="31">
        <f>_xlfn.XLOOKUP(SO[[#This Row],[Customer name]], Customer_master[Customer name], Customer_master[Terms days], 0)</f>
        <v>0</v>
      </c>
      <c r="L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" s="4"/>
      <c r="N68" s="46">
        <f>IF(SO[[#This Row],[Collection date - override (dd/mm/yyyy)]] &lt;&gt; "", SO[[#This Row],[Collection date - override (dd/mm/yyyy)]], SO[[#This Row],[Due date (dd/mm/yyyy)]])</f>
        <v>0</v>
      </c>
      <c r="O68" s="46">
        <f t="shared" si="0"/>
        <v>52</v>
      </c>
    </row>
    <row r="69" spans="3:15" x14ac:dyDescent="0.25">
      <c r="C69" s="24"/>
      <c r="D69" s="20"/>
      <c r="E69" s="4"/>
      <c r="F69" s="37"/>
      <c r="G69" s="24"/>
      <c r="H69" s="51">
        <f>Assumptions!$D$15</f>
        <v>0.1</v>
      </c>
      <c r="I69" s="45">
        <f>IF(SO[[#This Row],[GST applies?]] = "Yes", (SO[[#This Row],[Value inc. GST]] / 1 + SO[[#This Row],[GST %]]) * SO[[#This Row],[GST %]], 0)</f>
        <v>0</v>
      </c>
      <c r="J69" s="31">
        <f>_xlfn.XLOOKUP(SO[[#This Row],[Customer name]], Customer_master[Customer name], Customer_master[EOM or Net], 0)</f>
        <v>0</v>
      </c>
      <c r="K69" s="31">
        <f>_xlfn.XLOOKUP(SO[[#This Row],[Customer name]], Customer_master[Customer name], Customer_master[Terms days], 0)</f>
        <v>0</v>
      </c>
      <c r="L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" s="4"/>
      <c r="N69" s="46">
        <f>IF(SO[[#This Row],[Collection date - override (dd/mm/yyyy)]] &lt;&gt; "", SO[[#This Row],[Collection date - override (dd/mm/yyyy)]], SO[[#This Row],[Due date (dd/mm/yyyy)]])</f>
        <v>0</v>
      </c>
      <c r="O69" s="46">
        <f t="shared" si="0"/>
        <v>52</v>
      </c>
    </row>
    <row r="70" spans="3:15" x14ac:dyDescent="0.25">
      <c r="C70" s="24"/>
      <c r="D70" s="20"/>
      <c r="E70" s="4"/>
      <c r="F70" s="37"/>
      <c r="G70" s="24"/>
      <c r="H70" s="51">
        <f>Assumptions!$D$15</f>
        <v>0.1</v>
      </c>
      <c r="I70" s="45">
        <f>IF(SO[[#This Row],[GST applies?]] = "Yes", (SO[[#This Row],[Value inc. GST]] / 1 + SO[[#This Row],[GST %]]) * SO[[#This Row],[GST %]], 0)</f>
        <v>0</v>
      </c>
      <c r="J70" s="31">
        <f>_xlfn.XLOOKUP(SO[[#This Row],[Customer name]], Customer_master[Customer name], Customer_master[EOM or Net], 0)</f>
        <v>0</v>
      </c>
      <c r="K70" s="31">
        <f>_xlfn.XLOOKUP(SO[[#This Row],[Customer name]], Customer_master[Customer name], Customer_master[Terms days], 0)</f>
        <v>0</v>
      </c>
      <c r="L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" s="4"/>
      <c r="N70" s="46">
        <f>IF(SO[[#This Row],[Collection date - override (dd/mm/yyyy)]] &lt;&gt; "", SO[[#This Row],[Collection date - override (dd/mm/yyyy)]], SO[[#This Row],[Due date (dd/mm/yyyy)]])</f>
        <v>0</v>
      </c>
      <c r="O70" s="46">
        <f t="shared" si="0"/>
        <v>52</v>
      </c>
    </row>
    <row r="71" spans="3:15" x14ac:dyDescent="0.25">
      <c r="C71" s="24"/>
      <c r="D71" s="20"/>
      <c r="E71" s="4"/>
      <c r="F71" s="37"/>
      <c r="G71" s="24"/>
      <c r="H71" s="51">
        <f>Assumptions!$D$15</f>
        <v>0.1</v>
      </c>
      <c r="I71" s="45">
        <f>IF(SO[[#This Row],[GST applies?]] = "Yes", (SO[[#This Row],[Value inc. GST]] / 1 + SO[[#This Row],[GST %]]) * SO[[#This Row],[GST %]], 0)</f>
        <v>0</v>
      </c>
      <c r="J71" s="31">
        <f>_xlfn.XLOOKUP(SO[[#This Row],[Customer name]], Customer_master[Customer name], Customer_master[EOM or Net], 0)</f>
        <v>0</v>
      </c>
      <c r="K71" s="31">
        <f>_xlfn.XLOOKUP(SO[[#This Row],[Customer name]], Customer_master[Customer name], Customer_master[Terms days], 0)</f>
        <v>0</v>
      </c>
      <c r="L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" s="4"/>
      <c r="N71" s="46">
        <f>IF(SO[[#This Row],[Collection date - override (dd/mm/yyyy)]] &lt;&gt; "", SO[[#This Row],[Collection date - override (dd/mm/yyyy)]], SO[[#This Row],[Due date (dd/mm/yyyy)]])</f>
        <v>0</v>
      </c>
      <c r="O71" s="46">
        <f t="shared" si="0"/>
        <v>52</v>
      </c>
    </row>
    <row r="72" spans="3:15" x14ac:dyDescent="0.25">
      <c r="C72" s="24"/>
      <c r="D72" s="20"/>
      <c r="E72" s="4"/>
      <c r="F72" s="37"/>
      <c r="G72" s="24"/>
      <c r="H72" s="51">
        <f>Assumptions!$D$15</f>
        <v>0.1</v>
      </c>
      <c r="I72" s="45">
        <f>IF(SO[[#This Row],[GST applies?]] = "Yes", (SO[[#This Row],[Value inc. GST]] / 1 + SO[[#This Row],[GST %]]) * SO[[#This Row],[GST %]], 0)</f>
        <v>0</v>
      </c>
      <c r="J72" s="31">
        <f>_xlfn.XLOOKUP(SO[[#This Row],[Customer name]], Customer_master[Customer name], Customer_master[EOM or Net], 0)</f>
        <v>0</v>
      </c>
      <c r="K72" s="31">
        <f>_xlfn.XLOOKUP(SO[[#This Row],[Customer name]], Customer_master[Customer name], Customer_master[Terms days], 0)</f>
        <v>0</v>
      </c>
      <c r="L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" s="4"/>
      <c r="N72" s="46">
        <f>IF(SO[[#This Row],[Collection date - override (dd/mm/yyyy)]] &lt;&gt; "", SO[[#This Row],[Collection date - override (dd/mm/yyyy)]], SO[[#This Row],[Due date (dd/mm/yyyy)]])</f>
        <v>0</v>
      </c>
      <c r="O72" s="46">
        <f t="shared" si="0"/>
        <v>52</v>
      </c>
    </row>
    <row r="73" spans="3:15" x14ac:dyDescent="0.25">
      <c r="C73" s="24"/>
      <c r="D73" s="20"/>
      <c r="E73" s="4"/>
      <c r="F73" s="37"/>
      <c r="G73" s="24"/>
      <c r="H73" s="51">
        <f>Assumptions!$D$15</f>
        <v>0.1</v>
      </c>
      <c r="I73" s="45">
        <f>IF(SO[[#This Row],[GST applies?]] = "Yes", (SO[[#This Row],[Value inc. GST]] / 1 + SO[[#This Row],[GST %]]) * SO[[#This Row],[GST %]], 0)</f>
        <v>0</v>
      </c>
      <c r="J73" s="31">
        <f>_xlfn.XLOOKUP(SO[[#This Row],[Customer name]], Customer_master[Customer name], Customer_master[EOM or Net], 0)</f>
        <v>0</v>
      </c>
      <c r="K73" s="31">
        <f>_xlfn.XLOOKUP(SO[[#This Row],[Customer name]], Customer_master[Customer name], Customer_master[Terms days], 0)</f>
        <v>0</v>
      </c>
      <c r="L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" s="4"/>
      <c r="N73" s="46">
        <f>IF(SO[[#This Row],[Collection date - override (dd/mm/yyyy)]] &lt;&gt; "", SO[[#This Row],[Collection date - override (dd/mm/yyyy)]], SO[[#This Row],[Due date (dd/mm/yyyy)]])</f>
        <v>0</v>
      </c>
      <c r="O73" s="46">
        <f t="shared" ref="O73:O136" si="1">IF(GST_Freq="Monthly",
    DATE(YEAR(E73), MONTH(E73) + 1, 21),
    IF(GST_Freq="Quarterly",
        IF(MOD(MONTH(E73) + 2 - MOD(MOD(MONTH(E73) - GST_First_Month, 12), 3), 12) = 0,
            DATE(YEAR(E73), MONTH(E73) + 4 - MOD(MOD(MONTH(E73) - GST_First_Month, 12), 3), 28),
            DATE(YEAR(E73), MONTH(E73) + 3 - MOD(MOD(MONTH(E73) - GST_First_Month, 12), 3), 28)
        ),
        "Invalid frequency"
    )
)</f>
        <v>52</v>
      </c>
    </row>
    <row r="74" spans="3:15" x14ac:dyDescent="0.25">
      <c r="C74" s="24"/>
      <c r="D74" s="20"/>
      <c r="E74" s="4"/>
      <c r="F74" s="37"/>
      <c r="G74" s="24"/>
      <c r="H74" s="51">
        <f>Assumptions!$D$15</f>
        <v>0.1</v>
      </c>
      <c r="I74" s="45">
        <f>IF(SO[[#This Row],[GST applies?]] = "Yes", (SO[[#This Row],[Value inc. GST]] / 1 + SO[[#This Row],[GST %]]) * SO[[#This Row],[GST %]], 0)</f>
        <v>0</v>
      </c>
      <c r="J74" s="31">
        <f>_xlfn.XLOOKUP(SO[[#This Row],[Customer name]], Customer_master[Customer name], Customer_master[EOM or Net], 0)</f>
        <v>0</v>
      </c>
      <c r="K74" s="31">
        <f>_xlfn.XLOOKUP(SO[[#This Row],[Customer name]], Customer_master[Customer name], Customer_master[Terms days], 0)</f>
        <v>0</v>
      </c>
      <c r="L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" s="4"/>
      <c r="N74" s="46">
        <f>IF(SO[[#This Row],[Collection date - override (dd/mm/yyyy)]] &lt;&gt; "", SO[[#This Row],[Collection date - override (dd/mm/yyyy)]], SO[[#This Row],[Due date (dd/mm/yyyy)]])</f>
        <v>0</v>
      </c>
      <c r="O74" s="46">
        <f t="shared" si="1"/>
        <v>52</v>
      </c>
    </row>
    <row r="75" spans="3:15" x14ac:dyDescent="0.25">
      <c r="C75" s="24"/>
      <c r="D75" s="20"/>
      <c r="E75" s="4"/>
      <c r="F75" s="37"/>
      <c r="G75" s="24"/>
      <c r="H75" s="51">
        <f>Assumptions!$D$15</f>
        <v>0.1</v>
      </c>
      <c r="I75" s="45">
        <f>IF(SO[[#This Row],[GST applies?]] = "Yes", (SO[[#This Row],[Value inc. GST]] / 1 + SO[[#This Row],[GST %]]) * SO[[#This Row],[GST %]], 0)</f>
        <v>0</v>
      </c>
      <c r="J75" s="31">
        <f>_xlfn.XLOOKUP(SO[[#This Row],[Customer name]], Customer_master[Customer name], Customer_master[EOM or Net], 0)</f>
        <v>0</v>
      </c>
      <c r="K75" s="31">
        <f>_xlfn.XLOOKUP(SO[[#This Row],[Customer name]], Customer_master[Customer name], Customer_master[Terms days], 0)</f>
        <v>0</v>
      </c>
      <c r="L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" s="4"/>
      <c r="N75" s="46">
        <f>IF(SO[[#This Row],[Collection date - override (dd/mm/yyyy)]] &lt;&gt; "", SO[[#This Row],[Collection date - override (dd/mm/yyyy)]], SO[[#This Row],[Due date (dd/mm/yyyy)]])</f>
        <v>0</v>
      </c>
      <c r="O75" s="46">
        <f t="shared" si="1"/>
        <v>52</v>
      </c>
    </row>
    <row r="76" spans="3:15" x14ac:dyDescent="0.25">
      <c r="C76" s="24"/>
      <c r="D76" s="20"/>
      <c r="E76" s="4"/>
      <c r="F76" s="37"/>
      <c r="G76" s="24"/>
      <c r="H76" s="51">
        <f>Assumptions!$D$15</f>
        <v>0.1</v>
      </c>
      <c r="I76" s="45">
        <f>IF(SO[[#This Row],[GST applies?]] = "Yes", (SO[[#This Row],[Value inc. GST]] / 1 + SO[[#This Row],[GST %]]) * SO[[#This Row],[GST %]], 0)</f>
        <v>0</v>
      </c>
      <c r="J76" s="31">
        <f>_xlfn.XLOOKUP(SO[[#This Row],[Customer name]], Customer_master[Customer name], Customer_master[EOM or Net], 0)</f>
        <v>0</v>
      </c>
      <c r="K76" s="31">
        <f>_xlfn.XLOOKUP(SO[[#This Row],[Customer name]], Customer_master[Customer name], Customer_master[Terms days], 0)</f>
        <v>0</v>
      </c>
      <c r="L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" s="4"/>
      <c r="N76" s="46">
        <f>IF(SO[[#This Row],[Collection date - override (dd/mm/yyyy)]] &lt;&gt; "", SO[[#This Row],[Collection date - override (dd/mm/yyyy)]], SO[[#This Row],[Due date (dd/mm/yyyy)]])</f>
        <v>0</v>
      </c>
      <c r="O76" s="46">
        <f t="shared" si="1"/>
        <v>52</v>
      </c>
    </row>
    <row r="77" spans="3:15" x14ac:dyDescent="0.25">
      <c r="C77" s="24"/>
      <c r="D77" s="20"/>
      <c r="E77" s="4"/>
      <c r="F77" s="37"/>
      <c r="G77" s="24"/>
      <c r="H77" s="51">
        <f>Assumptions!$D$15</f>
        <v>0.1</v>
      </c>
      <c r="I77" s="45">
        <f>IF(SO[[#This Row],[GST applies?]] = "Yes", (SO[[#This Row],[Value inc. GST]] / 1 + SO[[#This Row],[GST %]]) * SO[[#This Row],[GST %]], 0)</f>
        <v>0</v>
      </c>
      <c r="J77" s="31">
        <f>_xlfn.XLOOKUP(SO[[#This Row],[Customer name]], Customer_master[Customer name], Customer_master[EOM or Net], 0)</f>
        <v>0</v>
      </c>
      <c r="K77" s="31">
        <f>_xlfn.XLOOKUP(SO[[#This Row],[Customer name]], Customer_master[Customer name], Customer_master[Terms days], 0)</f>
        <v>0</v>
      </c>
      <c r="L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" s="4"/>
      <c r="N77" s="46">
        <f>IF(SO[[#This Row],[Collection date - override (dd/mm/yyyy)]] &lt;&gt; "", SO[[#This Row],[Collection date - override (dd/mm/yyyy)]], SO[[#This Row],[Due date (dd/mm/yyyy)]])</f>
        <v>0</v>
      </c>
      <c r="O77" s="46">
        <f t="shared" si="1"/>
        <v>52</v>
      </c>
    </row>
    <row r="78" spans="3:15" x14ac:dyDescent="0.25">
      <c r="C78" s="24"/>
      <c r="D78" s="20"/>
      <c r="E78" s="4"/>
      <c r="F78" s="37"/>
      <c r="G78" s="24"/>
      <c r="H78" s="51">
        <f>Assumptions!$D$15</f>
        <v>0.1</v>
      </c>
      <c r="I78" s="45">
        <f>IF(SO[[#This Row],[GST applies?]] = "Yes", (SO[[#This Row],[Value inc. GST]] / 1 + SO[[#This Row],[GST %]]) * SO[[#This Row],[GST %]], 0)</f>
        <v>0</v>
      </c>
      <c r="J78" s="31">
        <f>_xlfn.XLOOKUP(SO[[#This Row],[Customer name]], Customer_master[Customer name], Customer_master[EOM or Net], 0)</f>
        <v>0</v>
      </c>
      <c r="K78" s="31">
        <f>_xlfn.XLOOKUP(SO[[#This Row],[Customer name]], Customer_master[Customer name], Customer_master[Terms days], 0)</f>
        <v>0</v>
      </c>
      <c r="L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" s="4"/>
      <c r="N78" s="46">
        <f>IF(SO[[#This Row],[Collection date - override (dd/mm/yyyy)]] &lt;&gt; "", SO[[#This Row],[Collection date - override (dd/mm/yyyy)]], SO[[#This Row],[Due date (dd/mm/yyyy)]])</f>
        <v>0</v>
      </c>
      <c r="O78" s="46">
        <f t="shared" si="1"/>
        <v>52</v>
      </c>
    </row>
    <row r="79" spans="3:15" x14ac:dyDescent="0.25">
      <c r="C79" s="24"/>
      <c r="D79" s="20"/>
      <c r="E79" s="4"/>
      <c r="F79" s="37"/>
      <c r="G79" s="24"/>
      <c r="H79" s="51">
        <f>Assumptions!$D$15</f>
        <v>0.1</v>
      </c>
      <c r="I79" s="45">
        <f>IF(SO[[#This Row],[GST applies?]] = "Yes", (SO[[#This Row],[Value inc. GST]] / 1 + SO[[#This Row],[GST %]]) * SO[[#This Row],[GST %]], 0)</f>
        <v>0</v>
      </c>
      <c r="J79" s="31">
        <f>_xlfn.XLOOKUP(SO[[#This Row],[Customer name]], Customer_master[Customer name], Customer_master[EOM or Net], 0)</f>
        <v>0</v>
      </c>
      <c r="K79" s="31">
        <f>_xlfn.XLOOKUP(SO[[#This Row],[Customer name]], Customer_master[Customer name], Customer_master[Terms days], 0)</f>
        <v>0</v>
      </c>
      <c r="L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" s="4"/>
      <c r="N79" s="46">
        <f>IF(SO[[#This Row],[Collection date - override (dd/mm/yyyy)]] &lt;&gt; "", SO[[#This Row],[Collection date - override (dd/mm/yyyy)]], SO[[#This Row],[Due date (dd/mm/yyyy)]])</f>
        <v>0</v>
      </c>
      <c r="O79" s="46">
        <f t="shared" si="1"/>
        <v>52</v>
      </c>
    </row>
    <row r="80" spans="3:15" x14ac:dyDescent="0.25">
      <c r="C80" s="24"/>
      <c r="D80" s="20"/>
      <c r="E80" s="4"/>
      <c r="F80" s="37"/>
      <c r="G80" s="24"/>
      <c r="H80" s="51">
        <f>Assumptions!$D$15</f>
        <v>0.1</v>
      </c>
      <c r="I80" s="45">
        <f>IF(SO[[#This Row],[GST applies?]] = "Yes", (SO[[#This Row],[Value inc. GST]] / 1 + SO[[#This Row],[GST %]]) * SO[[#This Row],[GST %]], 0)</f>
        <v>0</v>
      </c>
      <c r="J80" s="31">
        <f>_xlfn.XLOOKUP(SO[[#This Row],[Customer name]], Customer_master[Customer name], Customer_master[EOM or Net], 0)</f>
        <v>0</v>
      </c>
      <c r="K80" s="31">
        <f>_xlfn.XLOOKUP(SO[[#This Row],[Customer name]], Customer_master[Customer name], Customer_master[Terms days], 0)</f>
        <v>0</v>
      </c>
      <c r="L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" s="4"/>
      <c r="N80" s="46">
        <f>IF(SO[[#This Row],[Collection date - override (dd/mm/yyyy)]] &lt;&gt; "", SO[[#This Row],[Collection date - override (dd/mm/yyyy)]], SO[[#This Row],[Due date (dd/mm/yyyy)]])</f>
        <v>0</v>
      </c>
      <c r="O80" s="46">
        <f t="shared" si="1"/>
        <v>52</v>
      </c>
    </row>
    <row r="81" spans="3:15" x14ac:dyDescent="0.25">
      <c r="C81" s="24"/>
      <c r="D81" s="20"/>
      <c r="E81" s="4"/>
      <c r="F81" s="37"/>
      <c r="G81" s="24"/>
      <c r="H81" s="51">
        <f>Assumptions!$D$15</f>
        <v>0.1</v>
      </c>
      <c r="I81" s="45">
        <f>IF(SO[[#This Row],[GST applies?]] = "Yes", (SO[[#This Row],[Value inc. GST]] / 1 + SO[[#This Row],[GST %]]) * SO[[#This Row],[GST %]], 0)</f>
        <v>0</v>
      </c>
      <c r="J81" s="31">
        <f>_xlfn.XLOOKUP(SO[[#This Row],[Customer name]], Customer_master[Customer name], Customer_master[EOM or Net], 0)</f>
        <v>0</v>
      </c>
      <c r="K81" s="31">
        <f>_xlfn.XLOOKUP(SO[[#This Row],[Customer name]], Customer_master[Customer name], Customer_master[Terms days], 0)</f>
        <v>0</v>
      </c>
      <c r="L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" s="4"/>
      <c r="N81" s="46">
        <f>IF(SO[[#This Row],[Collection date - override (dd/mm/yyyy)]] &lt;&gt; "", SO[[#This Row],[Collection date - override (dd/mm/yyyy)]], SO[[#This Row],[Due date (dd/mm/yyyy)]])</f>
        <v>0</v>
      </c>
      <c r="O81" s="46">
        <f t="shared" si="1"/>
        <v>52</v>
      </c>
    </row>
    <row r="82" spans="3:15" x14ac:dyDescent="0.25">
      <c r="C82" s="24"/>
      <c r="D82" s="20"/>
      <c r="E82" s="4"/>
      <c r="F82" s="37"/>
      <c r="G82" s="24"/>
      <c r="H82" s="51">
        <f>Assumptions!$D$15</f>
        <v>0.1</v>
      </c>
      <c r="I82" s="45">
        <f>IF(SO[[#This Row],[GST applies?]] = "Yes", (SO[[#This Row],[Value inc. GST]] / 1 + SO[[#This Row],[GST %]]) * SO[[#This Row],[GST %]], 0)</f>
        <v>0</v>
      </c>
      <c r="J82" s="31">
        <f>_xlfn.XLOOKUP(SO[[#This Row],[Customer name]], Customer_master[Customer name], Customer_master[EOM or Net], 0)</f>
        <v>0</v>
      </c>
      <c r="K82" s="31">
        <f>_xlfn.XLOOKUP(SO[[#This Row],[Customer name]], Customer_master[Customer name], Customer_master[Terms days], 0)</f>
        <v>0</v>
      </c>
      <c r="L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" s="4"/>
      <c r="N82" s="46">
        <f>IF(SO[[#This Row],[Collection date - override (dd/mm/yyyy)]] &lt;&gt; "", SO[[#This Row],[Collection date - override (dd/mm/yyyy)]], SO[[#This Row],[Due date (dd/mm/yyyy)]])</f>
        <v>0</v>
      </c>
      <c r="O82" s="46">
        <f t="shared" si="1"/>
        <v>52</v>
      </c>
    </row>
    <row r="83" spans="3:15" x14ac:dyDescent="0.25">
      <c r="C83" s="24"/>
      <c r="D83" s="20"/>
      <c r="E83" s="4"/>
      <c r="F83" s="37"/>
      <c r="G83" s="24"/>
      <c r="H83" s="51">
        <f>Assumptions!$D$15</f>
        <v>0.1</v>
      </c>
      <c r="I83" s="45">
        <f>IF(SO[[#This Row],[GST applies?]] = "Yes", (SO[[#This Row],[Value inc. GST]] / 1 + SO[[#This Row],[GST %]]) * SO[[#This Row],[GST %]], 0)</f>
        <v>0</v>
      </c>
      <c r="J83" s="31">
        <f>_xlfn.XLOOKUP(SO[[#This Row],[Customer name]], Customer_master[Customer name], Customer_master[EOM or Net], 0)</f>
        <v>0</v>
      </c>
      <c r="K83" s="31">
        <f>_xlfn.XLOOKUP(SO[[#This Row],[Customer name]], Customer_master[Customer name], Customer_master[Terms days], 0)</f>
        <v>0</v>
      </c>
      <c r="L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" s="4"/>
      <c r="N83" s="46">
        <f>IF(SO[[#This Row],[Collection date - override (dd/mm/yyyy)]] &lt;&gt; "", SO[[#This Row],[Collection date - override (dd/mm/yyyy)]], SO[[#This Row],[Due date (dd/mm/yyyy)]])</f>
        <v>0</v>
      </c>
      <c r="O83" s="46">
        <f t="shared" si="1"/>
        <v>52</v>
      </c>
    </row>
    <row r="84" spans="3:15" x14ac:dyDescent="0.25">
      <c r="C84" s="24"/>
      <c r="D84" s="20"/>
      <c r="E84" s="4"/>
      <c r="F84" s="37"/>
      <c r="G84" s="24"/>
      <c r="H84" s="51">
        <f>Assumptions!$D$15</f>
        <v>0.1</v>
      </c>
      <c r="I84" s="45">
        <f>IF(SO[[#This Row],[GST applies?]] = "Yes", (SO[[#This Row],[Value inc. GST]] / 1 + SO[[#This Row],[GST %]]) * SO[[#This Row],[GST %]], 0)</f>
        <v>0</v>
      </c>
      <c r="J84" s="31">
        <f>_xlfn.XLOOKUP(SO[[#This Row],[Customer name]], Customer_master[Customer name], Customer_master[EOM or Net], 0)</f>
        <v>0</v>
      </c>
      <c r="K84" s="31">
        <f>_xlfn.XLOOKUP(SO[[#This Row],[Customer name]], Customer_master[Customer name], Customer_master[Terms days], 0)</f>
        <v>0</v>
      </c>
      <c r="L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" s="4"/>
      <c r="N84" s="46">
        <f>IF(SO[[#This Row],[Collection date - override (dd/mm/yyyy)]] &lt;&gt; "", SO[[#This Row],[Collection date - override (dd/mm/yyyy)]], SO[[#This Row],[Due date (dd/mm/yyyy)]])</f>
        <v>0</v>
      </c>
      <c r="O84" s="46">
        <f t="shared" si="1"/>
        <v>52</v>
      </c>
    </row>
    <row r="85" spans="3:15" x14ac:dyDescent="0.25">
      <c r="C85" s="24"/>
      <c r="D85" s="20"/>
      <c r="E85" s="4"/>
      <c r="F85" s="37"/>
      <c r="G85" s="24"/>
      <c r="H85" s="51">
        <f>Assumptions!$D$15</f>
        <v>0.1</v>
      </c>
      <c r="I85" s="45">
        <f>IF(SO[[#This Row],[GST applies?]] = "Yes", (SO[[#This Row],[Value inc. GST]] / 1 + SO[[#This Row],[GST %]]) * SO[[#This Row],[GST %]], 0)</f>
        <v>0</v>
      </c>
      <c r="J85" s="31">
        <f>_xlfn.XLOOKUP(SO[[#This Row],[Customer name]], Customer_master[Customer name], Customer_master[EOM or Net], 0)</f>
        <v>0</v>
      </c>
      <c r="K85" s="31">
        <f>_xlfn.XLOOKUP(SO[[#This Row],[Customer name]], Customer_master[Customer name], Customer_master[Terms days], 0)</f>
        <v>0</v>
      </c>
      <c r="L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" s="4"/>
      <c r="N85" s="46">
        <f>IF(SO[[#This Row],[Collection date - override (dd/mm/yyyy)]] &lt;&gt; "", SO[[#This Row],[Collection date - override (dd/mm/yyyy)]], SO[[#This Row],[Due date (dd/mm/yyyy)]])</f>
        <v>0</v>
      </c>
      <c r="O85" s="46">
        <f t="shared" si="1"/>
        <v>52</v>
      </c>
    </row>
    <row r="86" spans="3:15" x14ac:dyDescent="0.25">
      <c r="C86" s="24"/>
      <c r="D86" s="20"/>
      <c r="E86" s="4"/>
      <c r="F86" s="37"/>
      <c r="G86" s="24"/>
      <c r="H86" s="51">
        <f>Assumptions!$D$15</f>
        <v>0.1</v>
      </c>
      <c r="I86" s="45">
        <f>IF(SO[[#This Row],[GST applies?]] = "Yes", (SO[[#This Row],[Value inc. GST]] / 1 + SO[[#This Row],[GST %]]) * SO[[#This Row],[GST %]], 0)</f>
        <v>0</v>
      </c>
      <c r="J86" s="31">
        <f>_xlfn.XLOOKUP(SO[[#This Row],[Customer name]], Customer_master[Customer name], Customer_master[EOM or Net], 0)</f>
        <v>0</v>
      </c>
      <c r="K86" s="31">
        <f>_xlfn.XLOOKUP(SO[[#This Row],[Customer name]], Customer_master[Customer name], Customer_master[Terms days], 0)</f>
        <v>0</v>
      </c>
      <c r="L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" s="4"/>
      <c r="N86" s="46">
        <f>IF(SO[[#This Row],[Collection date - override (dd/mm/yyyy)]] &lt;&gt; "", SO[[#This Row],[Collection date - override (dd/mm/yyyy)]], SO[[#This Row],[Due date (dd/mm/yyyy)]])</f>
        <v>0</v>
      </c>
      <c r="O86" s="46">
        <f t="shared" si="1"/>
        <v>52</v>
      </c>
    </row>
    <row r="87" spans="3:15" x14ac:dyDescent="0.25">
      <c r="C87" s="24"/>
      <c r="D87" s="20"/>
      <c r="E87" s="4"/>
      <c r="F87" s="37"/>
      <c r="G87" s="24"/>
      <c r="H87" s="51">
        <f>Assumptions!$D$15</f>
        <v>0.1</v>
      </c>
      <c r="I87" s="45">
        <f>IF(SO[[#This Row],[GST applies?]] = "Yes", (SO[[#This Row],[Value inc. GST]] / 1 + SO[[#This Row],[GST %]]) * SO[[#This Row],[GST %]], 0)</f>
        <v>0</v>
      </c>
      <c r="J87" s="31">
        <f>_xlfn.XLOOKUP(SO[[#This Row],[Customer name]], Customer_master[Customer name], Customer_master[EOM or Net], 0)</f>
        <v>0</v>
      </c>
      <c r="K87" s="31">
        <f>_xlfn.XLOOKUP(SO[[#This Row],[Customer name]], Customer_master[Customer name], Customer_master[Terms days], 0)</f>
        <v>0</v>
      </c>
      <c r="L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" s="4"/>
      <c r="N87" s="46">
        <f>IF(SO[[#This Row],[Collection date - override (dd/mm/yyyy)]] &lt;&gt; "", SO[[#This Row],[Collection date - override (dd/mm/yyyy)]], SO[[#This Row],[Due date (dd/mm/yyyy)]])</f>
        <v>0</v>
      </c>
      <c r="O87" s="46">
        <f t="shared" si="1"/>
        <v>52</v>
      </c>
    </row>
    <row r="88" spans="3:15" x14ac:dyDescent="0.25">
      <c r="C88" s="24"/>
      <c r="D88" s="20"/>
      <c r="E88" s="4"/>
      <c r="F88" s="37"/>
      <c r="G88" s="24"/>
      <c r="H88" s="51">
        <f>Assumptions!$D$15</f>
        <v>0.1</v>
      </c>
      <c r="I88" s="45">
        <f>IF(SO[[#This Row],[GST applies?]] = "Yes", (SO[[#This Row],[Value inc. GST]] / 1 + SO[[#This Row],[GST %]]) * SO[[#This Row],[GST %]], 0)</f>
        <v>0</v>
      </c>
      <c r="J88" s="31">
        <f>_xlfn.XLOOKUP(SO[[#This Row],[Customer name]], Customer_master[Customer name], Customer_master[EOM or Net], 0)</f>
        <v>0</v>
      </c>
      <c r="K88" s="31">
        <f>_xlfn.XLOOKUP(SO[[#This Row],[Customer name]], Customer_master[Customer name], Customer_master[Terms days], 0)</f>
        <v>0</v>
      </c>
      <c r="L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" s="4"/>
      <c r="N88" s="46">
        <f>IF(SO[[#This Row],[Collection date - override (dd/mm/yyyy)]] &lt;&gt; "", SO[[#This Row],[Collection date - override (dd/mm/yyyy)]], SO[[#This Row],[Due date (dd/mm/yyyy)]])</f>
        <v>0</v>
      </c>
      <c r="O88" s="46">
        <f t="shared" si="1"/>
        <v>52</v>
      </c>
    </row>
    <row r="89" spans="3:15" x14ac:dyDescent="0.25">
      <c r="C89" s="24"/>
      <c r="D89" s="20"/>
      <c r="E89" s="4"/>
      <c r="F89" s="37"/>
      <c r="G89" s="24"/>
      <c r="H89" s="51">
        <f>Assumptions!$D$15</f>
        <v>0.1</v>
      </c>
      <c r="I89" s="45">
        <f>IF(SO[[#This Row],[GST applies?]] = "Yes", (SO[[#This Row],[Value inc. GST]] / 1 + SO[[#This Row],[GST %]]) * SO[[#This Row],[GST %]], 0)</f>
        <v>0</v>
      </c>
      <c r="J89" s="31">
        <f>_xlfn.XLOOKUP(SO[[#This Row],[Customer name]], Customer_master[Customer name], Customer_master[EOM or Net], 0)</f>
        <v>0</v>
      </c>
      <c r="K89" s="31">
        <f>_xlfn.XLOOKUP(SO[[#This Row],[Customer name]], Customer_master[Customer name], Customer_master[Terms days], 0)</f>
        <v>0</v>
      </c>
      <c r="L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" s="4"/>
      <c r="N89" s="46">
        <f>IF(SO[[#This Row],[Collection date - override (dd/mm/yyyy)]] &lt;&gt; "", SO[[#This Row],[Collection date - override (dd/mm/yyyy)]], SO[[#This Row],[Due date (dd/mm/yyyy)]])</f>
        <v>0</v>
      </c>
      <c r="O89" s="46">
        <f t="shared" si="1"/>
        <v>52</v>
      </c>
    </row>
    <row r="90" spans="3:15" x14ac:dyDescent="0.25">
      <c r="C90" s="24"/>
      <c r="D90" s="20"/>
      <c r="E90" s="4"/>
      <c r="F90" s="37"/>
      <c r="G90" s="24"/>
      <c r="H90" s="51">
        <f>Assumptions!$D$15</f>
        <v>0.1</v>
      </c>
      <c r="I90" s="45">
        <f>IF(SO[[#This Row],[GST applies?]] = "Yes", (SO[[#This Row],[Value inc. GST]] / 1 + SO[[#This Row],[GST %]]) * SO[[#This Row],[GST %]], 0)</f>
        <v>0</v>
      </c>
      <c r="J90" s="31">
        <f>_xlfn.XLOOKUP(SO[[#This Row],[Customer name]], Customer_master[Customer name], Customer_master[EOM or Net], 0)</f>
        <v>0</v>
      </c>
      <c r="K90" s="31">
        <f>_xlfn.XLOOKUP(SO[[#This Row],[Customer name]], Customer_master[Customer name], Customer_master[Terms days], 0)</f>
        <v>0</v>
      </c>
      <c r="L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" s="4"/>
      <c r="N90" s="46">
        <f>IF(SO[[#This Row],[Collection date - override (dd/mm/yyyy)]] &lt;&gt; "", SO[[#This Row],[Collection date - override (dd/mm/yyyy)]], SO[[#This Row],[Due date (dd/mm/yyyy)]])</f>
        <v>0</v>
      </c>
      <c r="O90" s="46">
        <f t="shared" si="1"/>
        <v>52</v>
      </c>
    </row>
    <row r="91" spans="3:15" x14ac:dyDescent="0.25">
      <c r="C91" s="24"/>
      <c r="D91" s="20"/>
      <c r="E91" s="4"/>
      <c r="F91" s="37"/>
      <c r="G91" s="24"/>
      <c r="H91" s="51">
        <f>Assumptions!$D$15</f>
        <v>0.1</v>
      </c>
      <c r="I91" s="45">
        <f>IF(SO[[#This Row],[GST applies?]] = "Yes", (SO[[#This Row],[Value inc. GST]] / 1 + SO[[#This Row],[GST %]]) * SO[[#This Row],[GST %]], 0)</f>
        <v>0</v>
      </c>
      <c r="J91" s="31">
        <f>_xlfn.XLOOKUP(SO[[#This Row],[Customer name]], Customer_master[Customer name], Customer_master[EOM or Net], 0)</f>
        <v>0</v>
      </c>
      <c r="K91" s="31">
        <f>_xlfn.XLOOKUP(SO[[#This Row],[Customer name]], Customer_master[Customer name], Customer_master[Terms days], 0)</f>
        <v>0</v>
      </c>
      <c r="L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" s="4"/>
      <c r="N91" s="46">
        <f>IF(SO[[#This Row],[Collection date - override (dd/mm/yyyy)]] &lt;&gt; "", SO[[#This Row],[Collection date - override (dd/mm/yyyy)]], SO[[#This Row],[Due date (dd/mm/yyyy)]])</f>
        <v>0</v>
      </c>
      <c r="O91" s="46">
        <f t="shared" si="1"/>
        <v>52</v>
      </c>
    </row>
    <row r="92" spans="3:15" x14ac:dyDescent="0.25">
      <c r="C92" s="24"/>
      <c r="D92" s="20"/>
      <c r="E92" s="4"/>
      <c r="F92" s="37"/>
      <c r="G92" s="24"/>
      <c r="H92" s="51">
        <f>Assumptions!$D$15</f>
        <v>0.1</v>
      </c>
      <c r="I92" s="45">
        <f>IF(SO[[#This Row],[GST applies?]] = "Yes", (SO[[#This Row],[Value inc. GST]] / 1 + SO[[#This Row],[GST %]]) * SO[[#This Row],[GST %]], 0)</f>
        <v>0</v>
      </c>
      <c r="J92" s="31">
        <f>_xlfn.XLOOKUP(SO[[#This Row],[Customer name]], Customer_master[Customer name], Customer_master[EOM or Net], 0)</f>
        <v>0</v>
      </c>
      <c r="K92" s="31">
        <f>_xlfn.XLOOKUP(SO[[#This Row],[Customer name]], Customer_master[Customer name], Customer_master[Terms days], 0)</f>
        <v>0</v>
      </c>
      <c r="L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" s="4"/>
      <c r="N92" s="46">
        <f>IF(SO[[#This Row],[Collection date - override (dd/mm/yyyy)]] &lt;&gt; "", SO[[#This Row],[Collection date - override (dd/mm/yyyy)]], SO[[#This Row],[Due date (dd/mm/yyyy)]])</f>
        <v>0</v>
      </c>
      <c r="O92" s="46">
        <f t="shared" si="1"/>
        <v>52</v>
      </c>
    </row>
    <row r="93" spans="3:15" x14ac:dyDescent="0.25">
      <c r="C93" s="24"/>
      <c r="D93" s="20"/>
      <c r="E93" s="4"/>
      <c r="F93" s="37"/>
      <c r="G93" s="24"/>
      <c r="H93" s="51">
        <f>Assumptions!$D$15</f>
        <v>0.1</v>
      </c>
      <c r="I93" s="45">
        <f>IF(SO[[#This Row],[GST applies?]] = "Yes", (SO[[#This Row],[Value inc. GST]] / 1 + SO[[#This Row],[GST %]]) * SO[[#This Row],[GST %]], 0)</f>
        <v>0</v>
      </c>
      <c r="J93" s="31">
        <f>_xlfn.XLOOKUP(SO[[#This Row],[Customer name]], Customer_master[Customer name], Customer_master[EOM or Net], 0)</f>
        <v>0</v>
      </c>
      <c r="K93" s="31">
        <f>_xlfn.XLOOKUP(SO[[#This Row],[Customer name]], Customer_master[Customer name], Customer_master[Terms days], 0)</f>
        <v>0</v>
      </c>
      <c r="L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" s="4"/>
      <c r="N93" s="46">
        <f>IF(SO[[#This Row],[Collection date - override (dd/mm/yyyy)]] &lt;&gt; "", SO[[#This Row],[Collection date - override (dd/mm/yyyy)]], SO[[#This Row],[Due date (dd/mm/yyyy)]])</f>
        <v>0</v>
      </c>
      <c r="O93" s="46">
        <f t="shared" si="1"/>
        <v>52</v>
      </c>
    </row>
    <row r="94" spans="3:15" x14ac:dyDescent="0.25">
      <c r="C94" s="24"/>
      <c r="D94" s="20"/>
      <c r="E94" s="4"/>
      <c r="F94" s="37"/>
      <c r="G94" s="24"/>
      <c r="H94" s="51">
        <f>Assumptions!$D$15</f>
        <v>0.1</v>
      </c>
      <c r="I94" s="45">
        <f>IF(SO[[#This Row],[GST applies?]] = "Yes", (SO[[#This Row],[Value inc. GST]] / 1 + SO[[#This Row],[GST %]]) * SO[[#This Row],[GST %]], 0)</f>
        <v>0</v>
      </c>
      <c r="J94" s="31">
        <f>_xlfn.XLOOKUP(SO[[#This Row],[Customer name]], Customer_master[Customer name], Customer_master[EOM or Net], 0)</f>
        <v>0</v>
      </c>
      <c r="K94" s="31">
        <f>_xlfn.XLOOKUP(SO[[#This Row],[Customer name]], Customer_master[Customer name], Customer_master[Terms days], 0)</f>
        <v>0</v>
      </c>
      <c r="L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" s="4"/>
      <c r="N94" s="46">
        <f>IF(SO[[#This Row],[Collection date - override (dd/mm/yyyy)]] &lt;&gt; "", SO[[#This Row],[Collection date - override (dd/mm/yyyy)]], SO[[#This Row],[Due date (dd/mm/yyyy)]])</f>
        <v>0</v>
      </c>
      <c r="O94" s="46">
        <f t="shared" si="1"/>
        <v>52</v>
      </c>
    </row>
    <row r="95" spans="3:15" x14ac:dyDescent="0.25">
      <c r="C95" s="24"/>
      <c r="D95" s="20"/>
      <c r="E95" s="4"/>
      <c r="F95" s="37"/>
      <c r="G95" s="24"/>
      <c r="H95" s="51">
        <f>Assumptions!$D$15</f>
        <v>0.1</v>
      </c>
      <c r="I95" s="45">
        <f>IF(SO[[#This Row],[GST applies?]] = "Yes", (SO[[#This Row],[Value inc. GST]] / 1 + SO[[#This Row],[GST %]]) * SO[[#This Row],[GST %]], 0)</f>
        <v>0</v>
      </c>
      <c r="J95" s="31">
        <f>_xlfn.XLOOKUP(SO[[#This Row],[Customer name]], Customer_master[Customer name], Customer_master[EOM or Net], 0)</f>
        <v>0</v>
      </c>
      <c r="K95" s="31">
        <f>_xlfn.XLOOKUP(SO[[#This Row],[Customer name]], Customer_master[Customer name], Customer_master[Terms days], 0)</f>
        <v>0</v>
      </c>
      <c r="L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" s="4"/>
      <c r="N95" s="46">
        <f>IF(SO[[#This Row],[Collection date - override (dd/mm/yyyy)]] &lt;&gt; "", SO[[#This Row],[Collection date - override (dd/mm/yyyy)]], SO[[#This Row],[Due date (dd/mm/yyyy)]])</f>
        <v>0</v>
      </c>
      <c r="O95" s="46">
        <f t="shared" si="1"/>
        <v>52</v>
      </c>
    </row>
    <row r="96" spans="3:15" x14ac:dyDescent="0.25">
      <c r="C96" s="24"/>
      <c r="D96" s="20"/>
      <c r="E96" s="4"/>
      <c r="F96" s="37"/>
      <c r="G96" s="24"/>
      <c r="H96" s="51">
        <f>Assumptions!$D$15</f>
        <v>0.1</v>
      </c>
      <c r="I96" s="45">
        <f>IF(SO[[#This Row],[GST applies?]] = "Yes", (SO[[#This Row],[Value inc. GST]] / 1 + SO[[#This Row],[GST %]]) * SO[[#This Row],[GST %]], 0)</f>
        <v>0</v>
      </c>
      <c r="J96" s="31">
        <f>_xlfn.XLOOKUP(SO[[#This Row],[Customer name]], Customer_master[Customer name], Customer_master[EOM or Net], 0)</f>
        <v>0</v>
      </c>
      <c r="K96" s="31">
        <f>_xlfn.XLOOKUP(SO[[#This Row],[Customer name]], Customer_master[Customer name], Customer_master[Terms days], 0)</f>
        <v>0</v>
      </c>
      <c r="L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" s="4"/>
      <c r="N96" s="46">
        <f>IF(SO[[#This Row],[Collection date - override (dd/mm/yyyy)]] &lt;&gt; "", SO[[#This Row],[Collection date - override (dd/mm/yyyy)]], SO[[#This Row],[Due date (dd/mm/yyyy)]])</f>
        <v>0</v>
      </c>
      <c r="O96" s="46">
        <f t="shared" si="1"/>
        <v>52</v>
      </c>
    </row>
    <row r="97" spans="3:15" x14ac:dyDescent="0.25">
      <c r="C97" s="24"/>
      <c r="D97" s="20"/>
      <c r="E97" s="4"/>
      <c r="F97" s="37"/>
      <c r="G97" s="24"/>
      <c r="H97" s="51">
        <f>Assumptions!$D$15</f>
        <v>0.1</v>
      </c>
      <c r="I97" s="45">
        <f>IF(SO[[#This Row],[GST applies?]] = "Yes", (SO[[#This Row],[Value inc. GST]] / 1 + SO[[#This Row],[GST %]]) * SO[[#This Row],[GST %]], 0)</f>
        <v>0</v>
      </c>
      <c r="J97" s="31">
        <f>_xlfn.XLOOKUP(SO[[#This Row],[Customer name]], Customer_master[Customer name], Customer_master[EOM or Net], 0)</f>
        <v>0</v>
      </c>
      <c r="K97" s="31">
        <f>_xlfn.XLOOKUP(SO[[#This Row],[Customer name]], Customer_master[Customer name], Customer_master[Terms days], 0)</f>
        <v>0</v>
      </c>
      <c r="L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" s="4"/>
      <c r="N97" s="46">
        <f>IF(SO[[#This Row],[Collection date - override (dd/mm/yyyy)]] &lt;&gt; "", SO[[#This Row],[Collection date - override (dd/mm/yyyy)]], SO[[#This Row],[Due date (dd/mm/yyyy)]])</f>
        <v>0</v>
      </c>
      <c r="O97" s="46">
        <f t="shared" si="1"/>
        <v>52</v>
      </c>
    </row>
    <row r="98" spans="3:15" x14ac:dyDescent="0.25">
      <c r="C98" s="24"/>
      <c r="D98" s="20"/>
      <c r="E98" s="4"/>
      <c r="F98" s="37"/>
      <c r="G98" s="24"/>
      <c r="H98" s="51">
        <f>Assumptions!$D$15</f>
        <v>0.1</v>
      </c>
      <c r="I98" s="45">
        <f>IF(SO[[#This Row],[GST applies?]] = "Yes", (SO[[#This Row],[Value inc. GST]] / 1 + SO[[#This Row],[GST %]]) * SO[[#This Row],[GST %]], 0)</f>
        <v>0</v>
      </c>
      <c r="J98" s="31">
        <f>_xlfn.XLOOKUP(SO[[#This Row],[Customer name]], Customer_master[Customer name], Customer_master[EOM or Net], 0)</f>
        <v>0</v>
      </c>
      <c r="K98" s="31">
        <f>_xlfn.XLOOKUP(SO[[#This Row],[Customer name]], Customer_master[Customer name], Customer_master[Terms days], 0)</f>
        <v>0</v>
      </c>
      <c r="L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" s="4"/>
      <c r="N98" s="46">
        <f>IF(SO[[#This Row],[Collection date - override (dd/mm/yyyy)]] &lt;&gt; "", SO[[#This Row],[Collection date - override (dd/mm/yyyy)]], SO[[#This Row],[Due date (dd/mm/yyyy)]])</f>
        <v>0</v>
      </c>
      <c r="O98" s="46">
        <f t="shared" si="1"/>
        <v>52</v>
      </c>
    </row>
    <row r="99" spans="3:15" x14ac:dyDescent="0.25">
      <c r="C99" s="24"/>
      <c r="D99" s="20"/>
      <c r="E99" s="4"/>
      <c r="F99" s="37"/>
      <c r="G99" s="24"/>
      <c r="H99" s="51">
        <f>Assumptions!$D$15</f>
        <v>0.1</v>
      </c>
      <c r="I99" s="45">
        <f>IF(SO[[#This Row],[GST applies?]] = "Yes", (SO[[#This Row],[Value inc. GST]] / 1 + SO[[#This Row],[GST %]]) * SO[[#This Row],[GST %]], 0)</f>
        <v>0</v>
      </c>
      <c r="J99" s="31">
        <f>_xlfn.XLOOKUP(SO[[#This Row],[Customer name]], Customer_master[Customer name], Customer_master[EOM or Net], 0)</f>
        <v>0</v>
      </c>
      <c r="K99" s="31">
        <f>_xlfn.XLOOKUP(SO[[#This Row],[Customer name]], Customer_master[Customer name], Customer_master[Terms days], 0)</f>
        <v>0</v>
      </c>
      <c r="L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" s="4"/>
      <c r="N99" s="46">
        <f>IF(SO[[#This Row],[Collection date - override (dd/mm/yyyy)]] &lt;&gt; "", SO[[#This Row],[Collection date - override (dd/mm/yyyy)]], SO[[#This Row],[Due date (dd/mm/yyyy)]])</f>
        <v>0</v>
      </c>
      <c r="O99" s="46">
        <f t="shared" si="1"/>
        <v>52</v>
      </c>
    </row>
    <row r="100" spans="3:15" x14ac:dyDescent="0.25">
      <c r="C100" s="24"/>
      <c r="D100" s="20"/>
      <c r="E100" s="4"/>
      <c r="F100" s="37"/>
      <c r="G100" s="24"/>
      <c r="H100" s="51">
        <f>Assumptions!$D$15</f>
        <v>0.1</v>
      </c>
      <c r="I100" s="45">
        <f>IF(SO[[#This Row],[GST applies?]] = "Yes", (SO[[#This Row],[Value inc. GST]] / 1 + SO[[#This Row],[GST %]]) * SO[[#This Row],[GST %]], 0)</f>
        <v>0</v>
      </c>
      <c r="J100" s="31">
        <f>_xlfn.XLOOKUP(SO[[#This Row],[Customer name]], Customer_master[Customer name], Customer_master[EOM or Net], 0)</f>
        <v>0</v>
      </c>
      <c r="K100" s="31">
        <f>_xlfn.XLOOKUP(SO[[#This Row],[Customer name]], Customer_master[Customer name], Customer_master[Terms days], 0)</f>
        <v>0</v>
      </c>
      <c r="L1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0" s="4"/>
      <c r="N100" s="46">
        <f>IF(SO[[#This Row],[Collection date - override (dd/mm/yyyy)]] &lt;&gt; "", SO[[#This Row],[Collection date - override (dd/mm/yyyy)]], SO[[#This Row],[Due date (dd/mm/yyyy)]])</f>
        <v>0</v>
      </c>
      <c r="O100" s="46">
        <f t="shared" si="1"/>
        <v>52</v>
      </c>
    </row>
    <row r="101" spans="3:15" x14ac:dyDescent="0.25">
      <c r="C101" s="24"/>
      <c r="D101" s="20"/>
      <c r="E101" s="4"/>
      <c r="F101" s="37"/>
      <c r="G101" s="24"/>
      <c r="H101" s="51">
        <f>Assumptions!$D$15</f>
        <v>0.1</v>
      </c>
      <c r="I101" s="45">
        <f>IF(SO[[#This Row],[GST applies?]] = "Yes", (SO[[#This Row],[Value inc. GST]] / 1 + SO[[#This Row],[GST %]]) * SO[[#This Row],[GST %]], 0)</f>
        <v>0</v>
      </c>
      <c r="J101" s="31">
        <f>_xlfn.XLOOKUP(SO[[#This Row],[Customer name]], Customer_master[Customer name], Customer_master[EOM or Net], 0)</f>
        <v>0</v>
      </c>
      <c r="K101" s="31">
        <f>_xlfn.XLOOKUP(SO[[#This Row],[Customer name]], Customer_master[Customer name], Customer_master[Terms days], 0)</f>
        <v>0</v>
      </c>
      <c r="L1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1" s="4"/>
      <c r="N101" s="46">
        <f>IF(SO[[#This Row],[Collection date - override (dd/mm/yyyy)]] &lt;&gt; "", SO[[#This Row],[Collection date - override (dd/mm/yyyy)]], SO[[#This Row],[Due date (dd/mm/yyyy)]])</f>
        <v>0</v>
      </c>
      <c r="O101" s="46">
        <f t="shared" si="1"/>
        <v>52</v>
      </c>
    </row>
    <row r="102" spans="3:15" x14ac:dyDescent="0.25">
      <c r="C102" s="24"/>
      <c r="D102" s="20"/>
      <c r="E102" s="4"/>
      <c r="F102" s="37"/>
      <c r="G102" s="24"/>
      <c r="H102" s="51">
        <f>Assumptions!$D$15</f>
        <v>0.1</v>
      </c>
      <c r="I102" s="45">
        <f>IF(SO[[#This Row],[GST applies?]] = "Yes", (SO[[#This Row],[Value inc. GST]] / 1 + SO[[#This Row],[GST %]]) * SO[[#This Row],[GST %]], 0)</f>
        <v>0</v>
      </c>
      <c r="J102" s="31">
        <f>_xlfn.XLOOKUP(SO[[#This Row],[Customer name]], Customer_master[Customer name], Customer_master[EOM or Net], 0)</f>
        <v>0</v>
      </c>
      <c r="K102" s="31">
        <f>_xlfn.XLOOKUP(SO[[#This Row],[Customer name]], Customer_master[Customer name], Customer_master[Terms days], 0)</f>
        <v>0</v>
      </c>
      <c r="L1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2" s="4"/>
      <c r="N102" s="46">
        <f>IF(SO[[#This Row],[Collection date - override (dd/mm/yyyy)]] &lt;&gt; "", SO[[#This Row],[Collection date - override (dd/mm/yyyy)]], SO[[#This Row],[Due date (dd/mm/yyyy)]])</f>
        <v>0</v>
      </c>
      <c r="O102" s="46">
        <f t="shared" si="1"/>
        <v>52</v>
      </c>
    </row>
    <row r="103" spans="3:15" x14ac:dyDescent="0.25">
      <c r="C103" s="24"/>
      <c r="D103" s="20"/>
      <c r="E103" s="4"/>
      <c r="F103" s="37"/>
      <c r="G103" s="24"/>
      <c r="H103" s="51">
        <f>Assumptions!$D$15</f>
        <v>0.1</v>
      </c>
      <c r="I103" s="45">
        <f>IF(SO[[#This Row],[GST applies?]] = "Yes", (SO[[#This Row],[Value inc. GST]] / 1 + SO[[#This Row],[GST %]]) * SO[[#This Row],[GST %]], 0)</f>
        <v>0</v>
      </c>
      <c r="J103" s="31">
        <f>_xlfn.XLOOKUP(SO[[#This Row],[Customer name]], Customer_master[Customer name], Customer_master[EOM or Net], 0)</f>
        <v>0</v>
      </c>
      <c r="K103" s="31">
        <f>_xlfn.XLOOKUP(SO[[#This Row],[Customer name]], Customer_master[Customer name], Customer_master[Terms days], 0)</f>
        <v>0</v>
      </c>
      <c r="L1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3" s="4"/>
      <c r="N103" s="46">
        <f>IF(SO[[#This Row],[Collection date - override (dd/mm/yyyy)]] &lt;&gt; "", SO[[#This Row],[Collection date - override (dd/mm/yyyy)]], SO[[#This Row],[Due date (dd/mm/yyyy)]])</f>
        <v>0</v>
      </c>
      <c r="O103" s="46">
        <f t="shared" si="1"/>
        <v>52</v>
      </c>
    </row>
    <row r="104" spans="3:15" x14ac:dyDescent="0.25">
      <c r="C104" s="24"/>
      <c r="D104" s="20"/>
      <c r="E104" s="4"/>
      <c r="F104" s="37"/>
      <c r="G104" s="24"/>
      <c r="H104" s="51">
        <f>Assumptions!$D$15</f>
        <v>0.1</v>
      </c>
      <c r="I104" s="45">
        <f>IF(SO[[#This Row],[GST applies?]] = "Yes", (SO[[#This Row],[Value inc. GST]] / 1 + SO[[#This Row],[GST %]]) * SO[[#This Row],[GST %]], 0)</f>
        <v>0</v>
      </c>
      <c r="J104" s="31">
        <f>_xlfn.XLOOKUP(SO[[#This Row],[Customer name]], Customer_master[Customer name], Customer_master[EOM or Net], 0)</f>
        <v>0</v>
      </c>
      <c r="K104" s="31">
        <f>_xlfn.XLOOKUP(SO[[#This Row],[Customer name]], Customer_master[Customer name], Customer_master[Terms days], 0)</f>
        <v>0</v>
      </c>
      <c r="L1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4" s="4"/>
      <c r="N104" s="46">
        <f>IF(SO[[#This Row],[Collection date - override (dd/mm/yyyy)]] &lt;&gt; "", SO[[#This Row],[Collection date - override (dd/mm/yyyy)]], SO[[#This Row],[Due date (dd/mm/yyyy)]])</f>
        <v>0</v>
      </c>
      <c r="O104" s="46">
        <f t="shared" si="1"/>
        <v>52</v>
      </c>
    </row>
    <row r="105" spans="3:15" x14ac:dyDescent="0.25">
      <c r="C105" s="24"/>
      <c r="D105" s="20"/>
      <c r="E105" s="4"/>
      <c r="F105" s="37"/>
      <c r="G105" s="24"/>
      <c r="H105" s="51">
        <f>Assumptions!$D$15</f>
        <v>0.1</v>
      </c>
      <c r="I105" s="45">
        <f>IF(SO[[#This Row],[GST applies?]] = "Yes", (SO[[#This Row],[Value inc. GST]] / 1 + SO[[#This Row],[GST %]]) * SO[[#This Row],[GST %]], 0)</f>
        <v>0</v>
      </c>
      <c r="J105" s="31">
        <f>_xlfn.XLOOKUP(SO[[#This Row],[Customer name]], Customer_master[Customer name], Customer_master[EOM or Net], 0)</f>
        <v>0</v>
      </c>
      <c r="K105" s="31">
        <f>_xlfn.XLOOKUP(SO[[#This Row],[Customer name]], Customer_master[Customer name], Customer_master[Terms days], 0)</f>
        <v>0</v>
      </c>
      <c r="L1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5" s="4"/>
      <c r="N105" s="46">
        <f>IF(SO[[#This Row],[Collection date - override (dd/mm/yyyy)]] &lt;&gt; "", SO[[#This Row],[Collection date - override (dd/mm/yyyy)]], SO[[#This Row],[Due date (dd/mm/yyyy)]])</f>
        <v>0</v>
      </c>
      <c r="O105" s="46">
        <f t="shared" si="1"/>
        <v>52</v>
      </c>
    </row>
    <row r="106" spans="3:15" x14ac:dyDescent="0.25">
      <c r="C106" s="24"/>
      <c r="D106" s="20"/>
      <c r="E106" s="4"/>
      <c r="F106" s="37"/>
      <c r="G106" s="24"/>
      <c r="H106" s="51">
        <f>Assumptions!$D$15</f>
        <v>0.1</v>
      </c>
      <c r="I106" s="45">
        <f>IF(SO[[#This Row],[GST applies?]] = "Yes", (SO[[#This Row],[Value inc. GST]] / 1 + SO[[#This Row],[GST %]]) * SO[[#This Row],[GST %]], 0)</f>
        <v>0</v>
      </c>
      <c r="J106" s="31">
        <f>_xlfn.XLOOKUP(SO[[#This Row],[Customer name]], Customer_master[Customer name], Customer_master[EOM or Net], 0)</f>
        <v>0</v>
      </c>
      <c r="K106" s="31">
        <f>_xlfn.XLOOKUP(SO[[#This Row],[Customer name]], Customer_master[Customer name], Customer_master[Terms days], 0)</f>
        <v>0</v>
      </c>
      <c r="L1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6" s="4"/>
      <c r="N106" s="46">
        <f>IF(SO[[#This Row],[Collection date - override (dd/mm/yyyy)]] &lt;&gt; "", SO[[#This Row],[Collection date - override (dd/mm/yyyy)]], SO[[#This Row],[Due date (dd/mm/yyyy)]])</f>
        <v>0</v>
      </c>
      <c r="O106" s="46">
        <f t="shared" si="1"/>
        <v>52</v>
      </c>
    </row>
    <row r="107" spans="3:15" x14ac:dyDescent="0.25">
      <c r="C107" s="24"/>
      <c r="D107" s="20"/>
      <c r="E107" s="4"/>
      <c r="F107" s="37"/>
      <c r="G107" s="24"/>
      <c r="H107" s="51">
        <f>Assumptions!$D$15</f>
        <v>0.1</v>
      </c>
      <c r="I107" s="45">
        <f>IF(SO[[#This Row],[GST applies?]] = "Yes", (SO[[#This Row],[Value inc. GST]] / 1 + SO[[#This Row],[GST %]]) * SO[[#This Row],[GST %]], 0)</f>
        <v>0</v>
      </c>
      <c r="J107" s="31">
        <f>_xlfn.XLOOKUP(SO[[#This Row],[Customer name]], Customer_master[Customer name], Customer_master[EOM or Net], 0)</f>
        <v>0</v>
      </c>
      <c r="K107" s="31">
        <f>_xlfn.XLOOKUP(SO[[#This Row],[Customer name]], Customer_master[Customer name], Customer_master[Terms days], 0)</f>
        <v>0</v>
      </c>
      <c r="L1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7" s="4"/>
      <c r="N107" s="46">
        <f>IF(SO[[#This Row],[Collection date - override (dd/mm/yyyy)]] &lt;&gt; "", SO[[#This Row],[Collection date - override (dd/mm/yyyy)]], SO[[#This Row],[Due date (dd/mm/yyyy)]])</f>
        <v>0</v>
      </c>
      <c r="O107" s="46">
        <f t="shared" si="1"/>
        <v>52</v>
      </c>
    </row>
    <row r="108" spans="3:15" x14ac:dyDescent="0.25">
      <c r="C108" s="24"/>
      <c r="D108" s="20"/>
      <c r="E108" s="4"/>
      <c r="F108" s="37"/>
      <c r="G108" s="24"/>
      <c r="H108" s="51">
        <f>Assumptions!$D$15</f>
        <v>0.1</v>
      </c>
      <c r="I108" s="45">
        <f>IF(SO[[#This Row],[GST applies?]] = "Yes", (SO[[#This Row],[Value inc. GST]] / 1 + SO[[#This Row],[GST %]]) * SO[[#This Row],[GST %]], 0)</f>
        <v>0</v>
      </c>
      <c r="J108" s="31">
        <f>_xlfn.XLOOKUP(SO[[#This Row],[Customer name]], Customer_master[Customer name], Customer_master[EOM or Net], 0)</f>
        <v>0</v>
      </c>
      <c r="K108" s="31">
        <f>_xlfn.XLOOKUP(SO[[#This Row],[Customer name]], Customer_master[Customer name], Customer_master[Terms days], 0)</f>
        <v>0</v>
      </c>
      <c r="L1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8" s="4"/>
      <c r="N108" s="46">
        <f>IF(SO[[#This Row],[Collection date - override (dd/mm/yyyy)]] &lt;&gt; "", SO[[#This Row],[Collection date - override (dd/mm/yyyy)]], SO[[#This Row],[Due date (dd/mm/yyyy)]])</f>
        <v>0</v>
      </c>
      <c r="O108" s="46">
        <f t="shared" si="1"/>
        <v>52</v>
      </c>
    </row>
    <row r="109" spans="3:15" x14ac:dyDescent="0.25">
      <c r="C109" s="24"/>
      <c r="D109" s="20"/>
      <c r="E109" s="4"/>
      <c r="F109" s="37"/>
      <c r="G109" s="24"/>
      <c r="H109" s="51">
        <f>Assumptions!$D$15</f>
        <v>0.1</v>
      </c>
      <c r="I109" s="45">
        <f>IF(SO[[#This Row],[GST applies?]] = "Yes", (SO[[#This Row],[Value inc. GST]] / 1 + SO[[#This Row],[GST %]]) * SO[[#This Row],[GST %]], 0)</f>
        <v>0</v>
      </c>
      <c r="J109" s="31">
        <f>_xlfn.XLOOKUP(SO[[#This Row],[Customer name]], Customer_master[Customer name], Customer_master[EOM or Net], 0)</f>
        <v>0</v>
      </c>
      <c r="K109" s="31">
        <f>_xlfn.XLOOKUP(SO[[#This Row],[Customer name]], Customer_master[Customer name], Customer_master[Terms days], 0)</f>
        <v>0</v>
      </c>
      <c r="L1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9" s="4"/>
      <c r="N109" s="46">
        <f>IF(SO[[#This Row],[Collection date - override (dd/mm/yyyy)]] &lt;&gt; "", SO[[#This Row],[Collection date - override (dd/mm/yyyy)]], SO[[#This Row],[Due date (dd/mm/yyyy)]])</f>
        <v>0</v>
      </c>
      <c r="O109" s="46">
        <f t="shared" si="1"/>
        <v>52</v>
      </c>
    </row>
    <row r="110" spans="3:15" x14ac:dyDescent="0.25">
      <c r="C110" s="24"/>
      <c r="D110" s="20"/>
      <c r="E110" s="4"/>
      <c r="F110" s="37"/>
      <c r="G110" s="24"/>
      <c r="H110" s="51">
        <f>Assumptions!$D$15</f>
        <v>0.1</v>
      </c>
      <c r="I110" s="45">
        <f>IF(SO[[#This Row],[GST applies?]] = "Yes", (SO[[#This Row],[Value inc. GST]] / 1 + SO[[#This Row],[GST %]]) * SO[[#This Row],[GST %]], 0)</f>
        <v>0</v>
      </c>
      <c r="J110" s="31">
        <f>_xlfn.XLOOKUP(SO[[#This Row],[Customer name]], Customer_master[Customer name], Customer_master[EOM or Net], 0)</f>
        <v>0</v>
      </c>
      <c r="K110" s="31">
        <f>_xlfn.XLOOKUP(SO[[#This Row],[Customer name]], Customer_master[Customer name], Customer_master[Terms days], 0)</f>
        <v>0</v>
      </c>
      <c r="L1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0" s="4"/>
      <c r="N110" s="46">
        <f>IF(SO[[#This Row],[Collection date - override (dd/mm/yyyy)]] &lt;&gt; "", SO[[#This Row],[Collection date - override (dd/mm/yyyy)]], SO[[#This Row],[Due date (dd/mm/yyyy)]])</f>
        <v>0</v>
      </c>
      <c r="O110" s="46">
        <f t="shared" si="1"/>
        <v>52</v>
      </c>
    </row>
    <row r="111" spans="3:15" x14ac:dyDescent="0.25">
      <c r="C111" s="24"/>
      <c r="D111" s="20"/>
      <c r="E111" s="4"/>
      <c r="F111" s="37"/>
      <c r="G111" s="24"/>
      <c r="H111" s="51">
        <f>Assumptions!$D$15</f>
        <v>0.1</v>
      </c>
      <c r="I111" s="45">
        <f>IF(SO[[#This Row],[GST applies?]] = "Yes", (SO[[#This Row],[Value inc. GST]] / 1 + SO[[#This Row],[GST %]]) * SO[[#This Row],[GST %]], 0)</f>
        <v>0</v>
      </c>
      <c r="J111" s="31">
        <f>_xlfn.XLOOKUP(SO[[#This Row],[Customer name]], Customer_master[Customer name], Customer_master[EOM or Net], 0)</f>
        <v>0</v>
      </c>
      <c r="K111" s="31">
        <f>_xlfn.XLOOKUP(SO[[#This Row],[Customer name]], Customer_master[Customer name], Customer_master[Terms days], 0)</f>
        <v>0</v>
      </c>
      <c r="L1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1" s="4"/>
      <c r="N111" s="46">
        <f>IF(SO[[#This Row],[Collection date - override (dd/mm/yyyy)]] &lt;&gt; "", SO[[#This Row],[Collection date - override (dd/mm/yyyy)]], SO[[#This Row],[Due date (dd/mm/yyyy)]])</f>
        <v>0</v>
      </c>
      <c r="O111" s="46">
        <f t="shared" si="1"/>
        <v>52</v>
      </c>
    </row>
    <row r="112" spans="3:15" x14ac:dyDescent="0.25">
      <c r="C112" s="24"/>
      <c r="D112" s="20"/>
      <c r="E112" s="4"/>
      <c r="F112" s="37"/>
      <c r="G112" s="24"/>
      <c r="H112" s="51">
        <f>Assumptions!$D$15</f>
        <v>0.1</v>
      </c>
      <c r="I112" s="45">
        <f>IF(SO[[#This Row],[GST applies?]] = "Yes", (SO[[#This Row],[Value inc. GST]] / 1 + SO[[#This Row],[GST %]]) * SO[[#This Row],[GST %]], 0)</f>
        <v>0</v>
      </c>
      <c r="J112" s="31">
        <f>_xlfn.XLOOKUP(SO[[#This Row],[Customer name]], Customer_master[Customer name], Customer_master[EOM or Net], 0)</f>
        <v>0</v>
      </c>
      <c r="K112" s="31">
        <f>_xlfn.XLOOKUP(SO[[#This Row],[Customer name]], Customer_master[Customer name], Customer_master[Terms days], 0)</f>
        <v>0</v>
      </c>
      <c r="L1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2" s="4"/>
      <c r="N112" s="46">
        <f>IF(SO[[#This Row],[Collection date - override (dd/mm/yyyy)]] &lt;&gt; "", SO[[#This Row],[Collection date - override (dd/mm/yyyy)]], SO[[#This Row],[Due date (dd/mm/yyyy)]])</f>
        <v>0</v>
      </c>
      <c r="O112" s="46">
        <f t="shared" si="1"/>
        <v>52</v>
      </c>
    </row>
    <row r="113" spans="3:15" x14ac:dyDescent="0.25">
      <c r="C113" s="24"/>
      <c r="D113" s="20"/>
      <c r="E113" s="4"/>
      <c r="F113" s="37"/>
      <c r="G113" s="24"/>
      <c r="H113" s="51">
        <f>Assumptions!$D$15</f>
        <v>0.1</v>
      </c>
      <c r="I113" s="45">
        <f>IF(SO[[#This Row],[GST applies?]] = "Yes", (SO[[#This Row],[Value inc. GST]] / 1 + SO[[#This Row],[GST %]]) * SO[[#This Row],[GST %]], 0)</f>
        <v>0</v>
      </c>
      <c r="J113" s="31">
        <f>_xlfn.XLOOKUP(SO[[#This Row],[Customer name]], Customer_master[Customer name], Customer_master[EOM or Net], 0)</f>
        <v>0</v>
      </c>
      <c r="K113" s="31">
        <f>_xlfn.XLOOKUP(SO[[#This Row],[Customer name]], Customer_master[Customer name], Customer_master[Terms days], 0)</f>
        <v>0</v>
      </c>
      <c r="L1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3" s="4"/>
      <c r="N113" s="46">
        <f>IF(SO[[#This Row],[Collection date - override (dd/mm/yyyy)]] &lt;&gt; "", SO[[#This Row],[Collection date - override (dd/mm/yyyy)]], SO[[#This Row],[Due date (dd/mm/yyyy)]])</f>
        <v>0</v>
      </c>
      <c r="O113" s="46">
        <f t="shared" si="1"/>
        <v>52</v>
      </c>
    </row>
    <row r="114" spans="3:15" x14ac:dyDescent="0.25">
      <c r="C114" s="24"/>
      <c r="D114" s="20"/>
      <c r="E114" s="4"/>
      <c r="F114" s="37"/>
      <c r="G114" s="24"/>
      <c r="H114" s="51">
        <f>Assumptions!$D$15</f>
        <v>0.1</v>
      </c>
      <c r="I114" s="45">
        <f>IF(SO[[#This Row],[GST applies?]] = "Yes", (SO[[#This Row],[Value inc. GST]] / 1 + SO[[#This Row],[GST %]]) * SO[[#This Row],[GST %]], 0)</f>
        <v>0</v>
      </c>
      <c r="J114" s="31">
        <f>_xlfn.XLOOKUP(SO[[#This Row],[Customer name]], Customer_master[Customer name], Customer_master[EOM or Net], 0)</f>
        <v>0</v>
      </c>
      <c r="K114" s="31">
        <f>_xlfn.XLOOKUP(SO[[#This Row],[Customer name]], Customer_master[Customer name], Customer_master[Terms days], 0)</f>
        <v>0</v>
      </c>
      <c r="L1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4" s="4"/>
      <c r="N114" s="46">
        <f>IF(SO[[#This Row],[Collection date - override (dd/mm/yyyy)]] &lt;&gt; "", SO[[#This Row],[Collection date - override (dd/mm/yyyy)]], SO[[#This Row],[Due date (dd/mm/yyyy)]])</f>
        <v>0</v>
      </c>
      <c r="O114" s="46">
        <f t="shared" si="1"/>
        <v>52</v>
      </c>
    </row>
    <row r="115" spans="3:15" x14ac:dyDescent="0.25">
      <c r="C115" s="24"/>
      <c r="D115" s="20"/>
      <c r="E115" s="4"/>
      <c r="F115" s="37"/>
      <c r="G115" s="24"/>
      <c r="H115" s="51">
        <f>Assumptions!$D$15</f>
        <v>0.1</v>
      </c>
      <c r="I115" s="45">
        <f>IF(SO[[#This Row],[GST applies?]] = "Yes", (SO[[#This Row],[Value inc. GST]] / 1 + SO[[#This Row],[GST %]]) * SO[[#This Row],[GST %]], 0)</f>
        <v>0</v>
      </c>
      <c r="J115" s="31">
        <f>_xlfn.XLOOKUP(SO[[#This Row],[Customer name]], Customer_master[Customer name], Customer_master[EOM or Net], 0)</f>
        <v>0</v>
      </c>
      <c r="K115" s="31">
        <f>_xlfn.XLOOKUP(SO[[#This Row],[Customer name]], Customer_master[Customer name], Customer_master[Terms days], 0)</f>
        <v>0</v>
      </c>
      <c r="L1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5" s="4"/>
      <c r="N115" s="46">
        <f>IF(SO[[#This Row],[Collection date - override (dd/mm/yyyy)]] &lt;&gt; "", SO[[#This Row],[Collection date - override (dd/mm/yyyy)]], SO[[#This Row],[Due date (dd/mm/yyyy)]])</f>
        <v>0</v>
      </c>
      <c r="O115" s="46">
        <f t="shared" si="1"/>
        <v>52</v>
      </c>
    </row>
    <row r="116" spans="3:15" x14ac:dyDescent="0.25">
      <c r="C116" s="24"/>
      <c r="D116" s="20"/>
      <c r="E116" s="4"/>
      <c r="F116" s="37"/>
      <c r="G116" s="24"/>
      <c r="H116" s="51">
        <f>Assumptions!$D$15</f>
        <v>0.1</v>
      </c>
      <c r="I116" s="45">
        <f>IF(SO[[#This Row],[GST applies?]] = "Yes", (SO[[#This Row],[Value inc. GST]] / 1 + SO[[#This Row],[GST %]]) * SO[[#This Row],[GST %]], 0)</f>
        <v>0</v>
      </c>
      <c r="J116" s="31">
        <f>_xlfn.XLOOKUP(SO[[#This Row],[Customer name]], Customer_master[Customer name], Customer_master[EOM or Net], 0)</f>
        <v>0</v>
      </c>
      <c r="K116" s="31">
        <f>_xlfn.XLOOKUP(SO[[#This Row],[Customer name]], Customer_master[Customer name], Customer_master[Terms days], 0)</f>
        <v>0</v>
      </c>
      <c r="L1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6" s="4"/>
      <c r="N116" s="46">
        <f>IF(SO[[#This Row],[Collection date - override (dd/mm/yyyy)]] &lt;&gt; "", SO[[#This Row],[Collection date - override (dd/mm/yyyy)]], SO[[#This Row],[Due date (dd/mm/yyyy)]])</f>
        <v>0</v>
      </c>
      <c r="O116" s="46">
        <f t="shared" si="1"/>
        <v>52</v>
      </c>
    </row>
    <row r="117" spans="3:15" x14ac:dyDescent="0.25">
      <c r="C117" s="24"/>
      <c r="D117" s="20"/>
      <c r="E117" s="4"/>
      <c r="F117" s="37"/>
      <c r="G117" s="24"/>
      <c r="H117" s="51">
        <f>Assumptions!$D$15</f>
        <v>0.1</v>
      </c>
      <c r="I117" s="45">
        <f>IF(SO[[#This Row],[GST applies?]] = "Yes", (SO[[#This Row],[Value inc. GST]] / 1 + SO[[#This Row],[GST %]]) * SO[[#This Row],[GST %]], 0)</f>
        <v>0</v>
      </c>
      <c r="J117" s="31">
        <f>_xlfn.XLOOKUP(SO[[#This Row],[Customer name]], Customer_master[Customer name], Customer_master[EOM or Net], 0)</f>
        <v>0</v>
      </c>
      <c r="K117" s="31">
        <f>_xlfn.XLOOKUP(SO[[#This Row],[Customer name]], Customer_master[Customer name], Customer_master[Terms days], 0)</f>
        <v>0</v>
      </c>
      <c r="L1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7" s="4"/>
      <c r="N117" s="46">
        <f>IF(SO[[#This Row],[Collection date - override (dd/mm/yyyy)]] &lt;&gt; "", SO[[#This Row],[Collection date - override (dd/mm/yyyy)]], SO[[#This Row],[Due date (dd/mm/yyyy)]])</f>
        <v>0</v>
      </c>
      <c r="O117" s="46">
        <f t="shared" si="1"/>
        <v>52</v>
      </c>
    </row>
    <row r="118" spans="3:15" x14ac:dyDescent="0.25">
      <c r="C118" s="24"/>
      <c r="D118" s="20"/>
      <c r="E118" s="4"/>
      <c r="F118" s="37"/>
      <c r="G118" s="24"/>
      <c r="H118" s="51">
        <f>Assumptions!$D$15</f>
        <v>0.1</v>
      </c>
      <c r="I118" s="45">
        <f>IF(SO[[#This Row],[GST applies?]] = "Yes", (SO[[#This Row],[Value inc. GST]] / 1 + SO[[#This Row],[GST %]]) * SO[[#This Row],[GST %]], 0)</f>
        <v>0</v>
      </c>
      <c r="J118" s="31">
        <f>_xlfn.XLOOKUP(SO[[#This Row],[Customer name]], Customer_master[Customer name], Customer_master[EOM or Net], 0)</f>
        <v>0</v>
      </c>
      <c r="K118" s="31">
        <f>_xlfn.XLOOKUP(SO[[#This Row],[Customer name]], Customer_master[Customer name], Customer_master[Terms days], 0)</f>
        <v>0</v>
      </c>
      <c r="L1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8" s="4"/>
      <c r="N118" s="46">
        <f>IF(SO[[#This Row],[Collection date - override (dd/mm/yyyy)]] &lt;&gt; "", SO[[#This Row],[Collection date - override (dd/mm/yyyy)]], SO[[#This Row],[Due date (dd/mm/yyyy)]])</f>
        <v>0</v>
      </c>
      <c r="O118" s="46">
        <f t="shared" si="1"/>
        <v>52</v>
      </c>
    </row>
    <row r="119" spans="3:15" x14ac:dyDescent="0.25">
      <c r="C119" s="24"/>
      <c r="D119" s="20"/>
      <c r="E119" s="4"/>
      <c r="F119" s="37"/>
      <c r="G119" s="24"/>
      <c r="H119" s="51">
        <f>Assumptions!$D$15</f>
        <v>0.1</v>
      </c>
      <c r="I119" s="45">
        <f>IF(SO[[#This Row],[GST applies?]] = "Yes", (SO[[#This Row],[Value inc. GST]] / 1 + SO[[#This Row],[GST %]]) * SO[[#This Row],[GST %]], 0)</f>
        <v>0</v>
      </c>
      <c r="J119" s="31">
        <f>_xlfn.XLOOKUP(SO[[#This Row],[Customer name]], Customer_master[Customer name], Customer_master[EOM or Net], 0)</f>
        <v>0</v>
      </c>
      <c r="K119" s="31">
        <f>_xlfn.XLOOKUP(SO[[#This Row],[Customer name]], Customer_master[Customer name], Customer_master[Terms days], 0)</f>
        <v>0</v>
      </c>
      <c r="L1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9" s="4"/>
      <c r="N119" s="46">
        <f>IF(SO[[#This Row],[Collection date - override (dd/mm/yyyy)]] &lt;&gt; "", SO[[#This Row],[Collection date - override (dd/mm/yyyy)]], SO[[#This Row],[Due date (dd/mm/yyyy)]])</f>
        <v>0</v>
      </c>
      <c r="O119" s="46">
        <f t="shared" si="1"/>
        <v>52</v>
      </c>
    </row>
    <row r="120" spans="3:15" x14ac:dyDescent="0.25">
      <c r="C120" s="24"/>
      <c r="D120" s="20"/>
      <c r="E120" s="4"/>
      <c r="F120" s="37"/>
      <c r="G120" s="24"/>
      <c r="H120" s="51">
        <f>Assumptions!$D$15</f>
        <v>0.1</v>
      </c>
      <c r="I120" s="45">
        <f>IF(SO[[#This Row],[GST applies?]] = "Yes", (SO[[#This Row],[Value inc. GST]] / 1 + SO[[#This Row],[GST %]]) * SO[[#This Row],[GST %]], 0)</f>
        <v>0</v>
      </c>
      <c r="J120" s="31">
        <f>_xlfn.XLOOKUP(SO[[#This Row],[Customer name]], Customer_master[Customer name], Customer_master[EOM or Net], 0)</f>
        <v>0</v>
      </c>
      <c r="K120" s="31">
        <f>_xlfn.XLOOKUP(SO[[#This Row],[Customer name]], Customer_master[Customer name], Customer_master[Terms days], 0)</f>
        <v>0</v>
      </c>
      <c r="L1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0" s="4"/>
      <c r="N120" s="46">
        <f>IF(SO[[#This Row],[Collection date - override (dd/mm/yyyy)]] &lt;&gt; "", SO[[#This Row],[Collection date - override (dd/mm/yyyy)]], SO[[#This Row],[Due date (dd/mm/yyyy)]])</f>
        <v>0</v>
      </c>
      <c r="O120" s="46">
        <f t="shared" si="1"/>
        <v>52</v>
      </c>
    </row>
    <row r="121" spans="3:15" x14ac:dyDescent="0.25">
      <c r="C121" s="24"/>
      <c r="D121" s="20"/>
      <c r="E121" s="4"/>
      <c r="F121" s="37"/>
      <c r="G121" s="24"/>
      <c r="H121" s="51">
        <f>Assumptions!$D$15</f>
        <v>0.1</v>
      </c>
      <c r="I121" s="45">
        <f>IF(SO[[#This Row],[GST applies?]] = "Yes", (SO[[#This Row],[Value inc. GST]] / 1 + SO[[#This Row],[GST %]]) * SO[[#This Row],[GST %]], 0)</f>
        <v>0</v>
      </c>
      <c r="J121" s="31">
        <f>_xlfn.XLOOKUP(SO[[#This Row],[Customer name]], Customer_master[Customer name], Customer_master[EOM or Net], 0)</f>
        <v>0</v>
      </c>
      <c r="K121" s="31">
        <f>_xlfn.XLOOKUP(SO[[#This Row],[Customer name]], Customer_master[Customer name], Customer_master[Terms days], 0)</f>
        <v>0</v>
      </c>
      <c r="L1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1" s="4"/>
      <c r="N121" s="46">
        <f>IF(SO[[#This Row],[Collection date - override (dd/mm/yyyy)]] &lt;&gt; "", SO[[#This Row],[Collection date - override (dd/mm/yyyy)]], SO[[#This Row],[Due date (dd/mm/yyyy)]])</f>
        <v>0</v>
      </c>
      <c r="O121" s="46">
        <f t="shared" si="1"/>
        <v>52</v>
      </c>
    </row>
    <row r="122" spans="3:15" x14ac:dyDescent="0.25">
      <c r="C122" s="24"/>
      <c r="D122" s="20"/>
      <c r="E122" s="4"/>
      <c r="F122" s="37"/>
      <c r="G122" s="24"/>
      <c r="H122" s="51">
        <f>Assumptions!$D$15</f>
        <v>0.1</v>
      </c>
      <c r="I122" s="45">
        <f>IF(SO[[#This Row],[GST applies?]] = "Yes", (SO[[#This Row],[Value inc. GST]] / 1 + SO[[#This Row],[GST %]]) * SO[[#This Row],[GST %]], 0)</f>
        <v>0</v>
      </c>
      <c r="J122" s="31">
        <f>_xlfn.XLOOKUP(SO[[#This Row],[Customer name]], Customer_master[Customer name], Customer_master[EOM or Net], 0)</f>
        <v>0</v>
      </c>
      <c r="K122" s="31">
        <f>_xlfn.XLOOKUP(SO[[#This Row],[Customer name]], Customer_master[Customer name], Customer_master[Terms days], 0)</f>
        <v>0</v>
      </c>
      <c r="L1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2" s="4"/>
      <c r="N122" s="46">
        <f>IF(SO[[#This Row],[Collection date - override (dd/mm/yyyy)]] &lt;&gt; "", SO[[#This Row],[Collection date - override (dd/mm/yyyy)]], SO[[#This Row],[Due date (dd/mm/yyyy)]])</f>
        <v>0</v>
      </c>
      <c r="O122" s="46">
        <f t="shared" si="1"/>
        <v>52</v>
      </c>
    </row>
    <row r="123" spans="3:15" x14ac:dyDescent="0.25">
      <c r="C123" s="24"/>
      <c r="D123" s="20"/>
      <c r="E123" s="4"/>
      <c r="F123" s="37"/>
      <c r="G123" s="24"/>
      <c r="H123" s="51">
        <f>Assumptions!$D$15</f>
        <v>0.1</v>
      </c>
      <c r="I123" s="45">
        <f>IF(SO[[#This Row],[GST applies?]] = "Yes", (SO[[#This Row],[Value inc. GST]] / 1 + SO[[#This Row],[GST %]]) * SO[[#This Row],[GST %]], 0)</f>
        <v>0</v>
      </c>
      <c r="J123" s="31">
        <f>_xlfn.XLOOKUP(SO[[#This Row],[Customer name]], Customer_master[Customer name], Customer_master[EOM or Net], 0)</f>
        <v>0</v>
      </c>
      <c r="K123" s="31">
        <f>_xlfn.XLOOKUP(SO[[#This Row],[Customer name]], Customer_master[Customer name], Customer_master[Terms days], 0)</f>
        <v>0</v>
      </c>
      <c r="L1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3" s="4"/>
      <c r="N123" s="46">
        <f>IF(SO[[#This Row],[Collection date - override (dd/mm/yyyy)]] &lt;&gt; "", SO[[#This Row],[Collection date - override (dd/mm/yyyy)]], SO[[#This Row],[Due date (dd/mm/yyyy)]])</f>
        <v>0</v>
      </c>
      <c r="O123" s="46">
        <f t="shared" si="1"/>
        <v>52</v>
      </c>
    </row>
    <row r="124" spans="3:15" x14ac:dyDescent="0.25">
      <c r="C124" s="24"/>
      <c r="D124" s="20"/>
      <c r="E124" s="4"/>
      <c r="F124" s="37"/>
      <c r="G124" s="24"/>
      <c r="H124" s="51">
        <f>Assumptions!$D$15</f>
        <v>0.1</v>
      </c>
      <c r="I124" s="45">
        <f>IF(SO[[#This Row],[GST applies?]] = "Yes", (SO[[#This Row],[Value inc. GST]] / 1 + SO[[#This Row],[GST %]]) * SO[[#This Row],[GST %]], 0)</f>
        <v>0</v>
      </c>
      <c r="J124" s="31">
        <f>_xlfn.XLOOKUP(SO[[#This Row],[Customer name]], Customer_master[Customer name], Customer_master[EOM or Net], 0)</f>
        <v>0</v>
      </c>
      <c r="K124" s="31">
        <f>_xlfn.XLOOKUP(SO[[#This Row],[Customer name]], Customer_master[Customer name], Customer_master[Terms days], 0)</f>
        <v>0</v>
      </c>
      <c r="L1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4" s="4"/>
      <c r="N124" s="46">
        <f>IF(SO[[#This Row],[Collection date - override (dd/mm/yyyy)]] &lt;&gt; "", SO[[#This Row],[Collection date - override (dd/mm/yyyy)]], SO[[#This Row],[Due date (dd/mm/yyyy)]])</f>
        <v>0</v>
      </c>
      <c r="O124" s="46">
        <f t="shared" si="1"/>
        <v>52</v>
      </c>
    </row>
    <row r="125" spans="3:15" x14ac:dyDescent="0.25">
      <c r="C125" s="24"/>
      <c r="D125" s="20"/>
      <c r="E125" s="4"/>
      <c r="F125" s="37"/>
      <c r="G125" s="24"/>
      <c r="H125" s="51">
        <f>Assumptions!$D$15</f>
        <v>0.1</v>
      </c>
      <c r="I125" s="45">
        <f>IF(SO[[#This Row],[GST applies?]] = "Yes", (SO[[#This Row],[Value inc. GST]] / 1 + SO[[#This Row],[GST %]]) * SO[[#This Row],[GST %]], 0)</f>
        <v>0</v>
      </c>
      <c r="J125" s="31">
        <f>_xlfn.XLOOKUP(SO[[#This Row],[Customer name]], Customer_master[Customer name], Customer_master[EOM or Net], 0)</f>
        <v>0</v>
      </c>
      <c r="K125" s="31">
        <f>_xlfn.XLOOKUP(SO[[#This Row],[Customer name]], Customer_master[Customer name], Customer_master[Terms days], 0)</f>
        <v>0</v>
      </c>
      <c r="L1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5" s="4"/>
      <c r="N125" s="46">
        <f>IF(SO[[#This Row],[Collection date - override (dd/mm/yyyy)]] &lt;&gt; "", SO[[#This Row],[Collection date - override (dd/mm/yyyy)]], SO[[#This Row],[Due date (dd/mm/yyyy)]])</f>
        <v>0</v>
      </c>
      <c r="O125" s="46">
        <f t="shared" si="1"/>
        <v>52</v>
      </c>
    </row>
    <row r="126" spans="3:15" x14ac:dyDescent="0.25">
      <c r="C126" s="24"/>
      <c r="D126" s="20"/>
      <c r="E126" s="4"/>
      <c r="F126" s="37"/>
      <c r="G126" s="24"/>
      <c r="H126" s="51">
        <f>Assumptions!$D$15</f>
        <v>0.1</v>
      </c>
      <c r="I126" s="45">
        <f>IF(SO[[#This Row],[GST applies?]] = "Yes", (SO[[#This Row],[Value inc. GST]] / 1 + SO[[#This Row],[GST %]]) * SO[[#This Row],[GST %]], 0)</f>
        <v>0</v>
      </c>
      <c r="J126" s="31">
        <f>_xlfn.XLOOKUP(SO[[#This Row],[Customer name]], Customer_master[Customer name], Customer_master[EOM or Net], 0)</f>
        <v>0</v>
      </c>
      <c r="K126" s="31">
        <f>_xlfn.XLOOKUP(SO[[#This Row],[Customer name]], Customer_master[Customer name], Customer_master[Terms days], 0)</f>
        <v>0</v>
      </c>
      <c r="L1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6" s="4"/>
      <c r="N126" s="46">
        <f>IF(SO[[#This Row],[Collection date - override (dd/mm/yyyy)]] &lt;&gt; "", SO[[#This Row],[Collection date - override (dd/mm/yyyy)]], SO[[#This Row],[Due date (dd/mm/yyyy)]])</f>
        <v>0</v>
      </c>
      <c r="O126" s="46">
        <f t="shared" si="1"/>
        <v>52</v>
      </c>
    </row>
    <row r="127" spans="3:15" x14ac:dyDescent="0.25">
      <c r="C127" s="24"/>
      <c r="D127" s="20"/>
      <c r="E127" s="4"/>
      <c r="F127" s="37"/>
      <c r="G127" s="24"/>
      <c r="H127" s="51">
        <f>Assumptions!$D$15</f>
        <v>0.1</v>
      </c>
      <c r="I127" s="45">
        <f>IF(SO[[#This Row],[GST applies?]] = "Yes", (SO[[#This Row],[Value inc. GST]] / 1 + SO[[#This Row],[GST %]]) * SO[[#This Row],[GST %]], 0)</f>
        <v>0</v>
      </c>
      <c r="J127" s="31">
        <f>_xlfn.XLOOKUP(SO[[#This Row],[Customer name]], Customer_master[Customer name], Customer_master[EOM or Net], 0)</f>
        <v>0</v>
      </c>
      <c r="K127" s="31">
        <f>_xlfn.XLOOKUP(SO[[#This Row],[Customer name]], Customer_master[Customer name], Customer_master[Terms days], 0)</f>
        <v>0</v>
      </c>
      <c r="L1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7" s="4"/>
      <c r="N127" s="46">
        <f>IF(SO[[#This Row],[Collection date - override (dd/mm/yyyy)]] &lt;&gt; "", SO[[#This Row],[Collection date - override (dd/mm/yyyy)]], SO[[#This Row],[Due date (dd/mm/yyyy)]])</f>
        <v>0</v>
      </c>
      <c r="O127" s="46">
        <f t="shared" si="1"/>
        <v>52</v>
      </c>
    </row>
    <row r="128" spans="3:15" x14ac:dyDescent="0.25">
      <c r="C128" s="24"/>
      <c r="D128" s="20"/>
      <c r="E128" s="4"/>
      <c r="F128" s="37"/>
      <c r="G128" s="24"/>
      <c r="H128" s="51">
        <f>Assumptions!$D$15</f>
        <v>0.1</v>
      </c>
      <c r="I128" s="45">
        <f>IF(SO[[#This Row],[GST applies?]] = "Yes", (SO[[#This Row],[Value inc. GST]] / 1 + SO[[#This Row],[GST %]]) * SO[[#This Row],[GST %]], 0)</f>
        <v>0</v>
      </c>
      <c r="J128" s="31">
        <f>_xlfn.XLOOKUP(SO[[#This Row],[Customer name]], Customer_master[Customer name], Customer_master[EOM or Net], 0)</f>
        <v>0</v>
      </c>
      <c r="K128" s="31">
        <f>_xlfn.XLOOKUP(SO[[#This Row],[Customer name]], Customer_master[Customer name], Customer_master[Terms days], 0)</f>
        <v>0</v>
      </c>
      <c r="L1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8" s="4"/>
      <c r="N128" s="46">
        <f>IF(SO[[#This Row],[Collection date - override (dd/mm/yyyy)]] &lt;&gt; "", SO[[#This Row],[Collection date - override (dd/mm/yyyy)]], SO[[#This Row],[Due date (dd/mm/yyyy)]])</f>
        <v>0</v>
      </c>
      <c r="O128" s="46">
        <f t="shared" si="1"/>
        <v>52</v>
      </c>
    </row>
    <row r="129" spans="3:15" x14ac:dyDescent="0.25">
      <c r="C129" s="24"/>
      <c r="D129" s="20"/>
      <c r="E129" s="4"/>
      <c r="F129" s="37"/>
      <c r="G129" s="24"/>
      <c r="H129" s="51">
        <f>Assumptions!$D$15</f>
        <v>0.1</v>
      </c>
      <c r="I129" s="45">
        <f>IF(SO[[#This Row],[GST applies?]] = "Yes", (SO[[#This Row],[Value inc. GST]] / 1 + SO[[#This Row],[GST %]]) * SO[[#This Row],[GST %]], 0)</f>
        <v>0</v>
      </c>
      <c r="J129" s="31">
        <f>_xlfn.XLOOKUP(SO[[#This Row],[Customer name]], Customer_master[Customer name], Customer_master[EOM or Net], 0)</f>
        <v>0</v>
      </c>
      <c r="K129" s="31">
        <f>_xlfn.XLOOKUP(SO[[#This Row],[Customer name]], Customer_master[Customer name], Customer_master[Terms days], 0)</f>
        <v>0</v>
      </c>
      <c r="L1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9" s="4"/>
      <c r="N129" s="46">
        <f>IF(SO[[#This Row],[Collection date - override (dd/mm/yyyy)]] &lt;&gt; "", SO[[#This Row],[Collection date - override (dd/mm/yyyy)]], SO[[#This Row],[Due date (dd/mm/yyyy)]])</f>
        <v>0</v>
      </c>
      <c r="O129" s="46">
        <f t="shared" si="1"/>
        <v>52</v>
      </c>
    </row>
    <row r="130" spans="3:15" x14ac:dyDescent="0.25">
      <c r="C130" s="24"/>
      <c r="D130" s="20"/>
      <c r="E130" s="4"/>
      <c r="F130" s="37"/>
      <c r="G130" s="24"/>
      <c r="H130" s="51">
        <f>Assumptions!$D$15</f>
        <v>0.1</v>
      </c>
      <c r="I130" s="45">
        <f>IF(SO[[#This Row],[GST applies?]] = "Yes", (SO[[#This Row],[Value inc. GST]] / 1 + SO[[#This Row],[GST %]]) * SO[[#This Row],[GST %]], 0)</f>
        <v>0</v>
      </c>
      <c r="J130" s="31">
        <f>_xlfn.XLOOKUP(SO[[#This Row],[Customer name]], Customer_master[Customer name], Customer_master[EOM or Net], 0)</f>
        <v>0</v>
      </c>
      <c r="K130" s="31">
        <f>_xlfn.XLOOKUP(SO[[#This Row],[Customer name]], Customer_master[Customer name], Customer_master[Terms days], 0)</f>
        <v>0</v>
      </c>
      <c r="L1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0" s="4"/>
      <c r="N130" s="46">
        <f>IF(SO[[#This Row],[Collection date - override (dd/mm/yyyy)]] &lt;&gt; "", SO[[#This Row],[Collection date - override (dd/mm/yyyy)]], SO[[#This Row],[Due date (dd/mm/yyyy)]])</f>
        <v>0</v>
      </c>
      <c r="O130" s="46">
        <f t="shared" si="1"/>
        <v>52</v>
      </c>
    </row>
    <row r="131" spans="3:15" x14ac:dyDescent="0.25">
      <c r="C131" s="24"/>
      <c r="D131" s="20"/>
      <c r="E131" s="4"/>
      <c r="F131" s="37"/>
      <c r="G131" s="24"/>
      <c r="H131" s="51">
        <f>Assumptions!$D$15</f>
        <v>0.1</v>
      </c>
      <c r="I131" s="45">
        <f>IF(SO[[#This Row],[GST applies?]] = "Yes", (SO[[#This Row],[Value inc. GST]] / 1 + SO[[#This Row],[GST %]]) * SO[[#This Row],[GST %]], 0)</f>
        <v>0</v>
      </c>
      <c r="J131" s="31">
        <f>_xlfn.XLOOKUP(SO[[#This Row],[Customer name]], Customer_master[Customer name], Customer_master[EOM or Net], 0)</f>
        <v>0</v>
      </c>
      <c r="K131" s="31">
        <f>_xlfn.XLOOKUP(SO[[#This Row],[Customer name]], Customer_master[Customer name], Customer_master[Terms days], 0)</f>
        <v>0</v>
      </c>
      <c r="L1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1" s="4"/>
      <c r="N131" s="46">
        <f>IF(SO[[#This Row],[Collection date - override (dd/mm/yyyy)]] &lt;&gt; "", SO[[#This Row],[Collection date - override (dd/mm/yyyy)]], SO[[#This Row],[Due date (dd/mm/yyyy)]])</f>
        <v>0</v>
      </c>
      <c r="O131" s="46">
        <f t="shared" si="1"/>
        <v>52</v>
      </c>
    </row>
    <row r="132" spans="3:15" x14ac:dyDescent="0.25">
      <c r="C132" s="24"/>
      <c r="D132" s="20"/>
      <c r="E132" s="4"/>
      <c r="F132" s="37"/>
      <c r="G132" s="24"/>
      <c r="H132" s="51">
        <f>Assumptions!$D$15</f>
        <v>0.1</v>
      </c>
      <c r="I132" s="45">
        <f>IF(SO[[#This Row],[GST applies?]] = "Yes", (SO[[#This Row],[Value inc. GST]] / 1 + SO[[#This Row],[GST %]]) * SO[[#This Row],[GST %]], 0)</f>
        <v>0</v>
      </c>
      <c r="J132" s="31">
        <f>_xlfn.XLOOKUP(SO[[#This Row],[Customer name]], Customer_master[Customer name], Customer_master[EOM or Net], 0)</f>
        <v>0</v>
      </c>
      <c r="K132" s="31">
        <f>_xlfn.XLOOKUP(SO[[#This Row],[Customer name]], Customer_master[Customer name], Customer_master[Terms days], 0)</f>
        <v>0</v>
      </c>
      <c r="L1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2" s="4"/>
      <c r="N132" s="46">
        <f>IF(SO[[#This Row],[Collection date - override (dd/mm/yyyy)]] &lt;&gt; "", SO[[#This Row],[Collection date - override (dd/mm/yyyy)]], SO[[#This Row],[Due date (dd/mm/yyyy)]])</f>
        <v>0</v>
      </c>
      <c r="O132" s="46">
        <f t="shared" si="1"/>
        <v>52</v>
      </c>
    </row>
    <row r="133" spans="3:15" x14ac:dyDescent="0.25">
      <c r="C133" s="24"/>
      <c r="D133" s="20"/>
      <c r="E133" s="4"/>
      <c r="F133" s="37"/>
      <c r="G133" s="24"/>
      <c r="H133" s="51">
        <f>Assumptions!$D$15</f>
        <v>0.1</v>
      </c>
      <c r="I133" s="45">
        <f>IF(SO[[#This Row],[GST applies?]] = "Yes", (SO[[#This Row],[Value inc. GST]] / 1 + SO[[#This Row],[GST %]]) * SO[[#This Row],[GST %]], 0)</f>
        <v>0</v>
      </c>
      <c r="J133" s="31">
        <f>_xlfn.XLOOKUP(SO[[#This Row],[Customer name]], Customer_master[Customer name], Customer_master[EOM or Net], 0)</f>
        <v>0</v>
      </c>
      <c r="K133" s="31">
        <f>_xlfn.XLOOKUP(SO[[#This Row],[Customer name]], Customer_master[Customer name], Customer_master[Terms days], 0)</f>
        <v>0</v>
      </c>
      <c r="L1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3" s="4"/>
      <c r="N133" s="46">
        <f>IF(SO[[#This Row],[Collection date - override (dd/mm/yyyy)]] &lt;&gt; "", SO[[#This Row],[Collection date - override (dd/mm/yyyy)]], SO[[#This Row],[Due date (dd/mm/yyyy)]])</f>
        <v>0</v>
      </c>
      <c r="O133" s="46">
        <f t="shared" si="1"/>
        <v>52</v>
      </c>
    </row>
    <row r="134" spans="3:15" x14ac:dyDescent="0.25">
      <c r="C134" s="24"/>
      <c r="D134" s="20"/>
      <c r="E134" s="4"/>
      <c r="F134" s="37"/>
      <c r="G134" s="24"/>
      <c r="H134" s="51">
        <f>Assumptions!$D$15</f>
        <v>0.1</v>
      </c>
      <c r="I134" s="45">
        <f>IF(SO[[#This Row],[GST applies?]] = "Yes", (SO[[#This Row],[Value inc. GST]] / 1 + SO[[#This Row],[GST %]]) * SO[[#This Row],[GST %]], 0)</f>
        <v>0</v>
      </c>
      <c r="J134" s="31">
        <f>_xlfn.XLOOKUP(SO[[#This Row],[Customer name]], Customer_master[Customer name], Customer_master[EOM or Net], 0)</f>
        <v>0</v>
      </c>
      <c r="K134" s="31">
        <f>_xlfn.XLOOKUP(SO[[#This Row],[Customer name]], Customer_master[Customer name], Customer_master[Terms days], 0)</f>
        <v>0</v>
      </c>
      <c r="L1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4" s="4"/>
      <c r="N134" s="46">
        <f>IF(SO[[#This Row],[Collection date - override (dd/mm/yyyy)]] &lt;&gt; "", SO[[#This Row],[Collection date - override (dd/mm/yyyy)]], SO[[#This Row],[Due date (dd/mm/yyyy)]])</f>
        <v>0</v>
      </c>
      <c r="O134" s="46">
        <f t="shared" si="1"/>
        <v>52</v>
      </c>
    </row>
    <row r="135" spans="3:15" x14ac:dyDescent="0.25">
      <c r="C135" s="24"/>
      <c r="D135" s="20"/>
      <c r="E135" s="4"/>
      <c r="F135" s="37"/>
      <c r="G135" s="24"/>
      <c r="H135" s="51">
        <f>Assumptions!$D$15</f>
        <v>0.1</v>
      </c>
      <c r="I135" s="45">
        <f>IF(SO[[#This Row],[GST applies?]] = "Yes", (SO[[#This Row],[Value inc. GST]] / 1 + SO[[#This Row],[GST %]]) * SO[[#This Row],[GST %]], 0)</f>
        <v>0</v>
      </c>
      <c r="J135" s="31">
        <f>_xlfn.XLOOKUP(SO[[#This Row],[Customer name]], Customer_master[Customer name], Customer_master[EOM or Net], 0)</f>
        <v>0</v>
      </c>
      <c r="K135" s="31">
        <f>_xlfn.XLOOKUP(SO[[#This Row],[Customer name]], Customer_master[Customer name], Customer_master[Terms days], 0)</f>
        <v>0</v>
      </c>
      <c r="L1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5" s="4"/>
      <c r="N135" s="46">
        <f>IF(SO[[#This Row],[Collection date - override (dd/mm/yyyy)]] &lt;&gt; "", SO[[#This Row],[Collection date - override (dd/mm/yyyy)]], SO[[#This Row],[Due date (dd/mm/yyyy)]])</f>
        <v>0</v>
      </c>
      <c r="O135" s="46">
        <f t="shared" si="1"/>
        <v>52</v>
      </c>
    </row>
    <row r="136" spans="3:15" x14ac:dyDescent="0.25">
      <c r="C136" s="24"/>
      <c r="D136" s="20"/>
      <c r="E136" s="4"/>
      <c r="F136" s="37"/>
      <c r="G136" s="24"/>
      <c r="H136" s="51">
        <f>Assumptions!$D$15</f>
        <v>0.1</v>
      </c>
      <c r="I136" s="45">
        <f>IF(SO[[#This Row],[GST applies?]] = "Yes", (SO[[#This Row],[Value inc. GST]] / 1 + SO[[#This Row],[GST %]]) * SO[[#This Row],[GST %]], 0)</f>
        <v>0</v>
      </c>
      <c r="J136" s="31">
        <f>_xlfn.XLOOKUP(SO[[#This Row],[Customer name]], Customer_master[Customer name], Customer_master[EOM or Net], 0)</f>
        <v>0</v>
      </c>
      <c r="K136" s="31">
        <f>_xlfn.XLOOKUP(SO[[#This Row],[Customer name]], Customer_master[Customer name], Customer_master[Terms days], 0)</f>
        <v>0</v>
      </c>
      <c r="L1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6" s="4"/>
      <c r="N136" s="46">
        <f>IF(SO[[#This Row],[Collection date - override (dd/mm/yyyy)]] &lt;&gt; "", SO[[#This Row],[Collection date - override (dd/mm/yyyy)]], SO[[#This Row],[Due date (dd/mm/yyyy)]])</f>
        <v>0</v>
      </c>
      <c r="O136" s="46">
        <f t="shared" si="1"/>
        <v>52</v>
      </c>
    </row>
    <row r="137" spans="3:15" x14ac:dyDescent="0.25">
      <c r="C137" s="24"/>
      <c r="D137" s="20"/>
      <c r="E137" s="4"/>
      <c r="F137" s="37"/>
      <c r="G137" s="24"/>
      <c r="H137" s="51">
        <f>Assumptions!$D$15</f>
        <v>0.1</v>
      </c>
      <c r="I137" s="45">
        <f>IF(SO[[#This Row],[GST applies?]] = "Yes", (SO[[#This Row],[Value inc. GST]] / 1 + SO[[#This Row],[GST %]]) * SO[[#This Row],[GST %]], 0)</f>
        <v>0</v>
      </c>
      <c r="J137" s="31">
        <f>_xlfn.XLOOKUP(SO[[#This Row],[Customer name]], Customer_master[Customer name], Customer_master[EOM or Net], 0)</f>
        <v>0</v>
      </c>
      <c r="K137" s="31">
        <f>_xlfn.XLOOKUP(SO[[#This Row],[Customer name]], Customer_master[Customer name], Customer_master[Terms days], 0)</f>
        <v>0</v>
      </c>
      <c r="L1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7" s="4"/>
      <c r="N137" s="46">
        <f>IF(SO[[#This Row],[Collection date - override (dd/mm/yyyy)]] &lt;&gt; "", SO[[#This Row],[Collection date - override (dd/mm/yyyy)]], SO[[#This Row],[Due date (dd/mm/yyyy)]])</f>
        <v>0</v>
      </c>
      <c r="O137" s="46">
        <f t="shared" ref="O137:O200" si="2">IF(GST_Freq="Monthly",
    DATE(YEAR(E137), MONTH(E137) + 1, 21),
    IF(GST_Freq="Quarterly",
        IF(MOD(MONTH(E137) + 2 - MOD(MOD(MONTH(E137) - GST_First_Month, 12), 3), 12) = 0,
            DATE(YEAR(E137), MONTH(E137) + 4 - MOD(MOD(MONTH(E137) - GST_First_Month, 12), 3), 28),
            DATE(YEAR(E137), MONTH(E137) + 3 - MOD(MOD(MONTH(E137) - GST_First_Month, 12), 3), 28)
        ),
        "Invalid frequency"
    )
)</f>
        <v>52</v>
      </c>
    </row>
    <row r="138" spans="3:15" x14ac:dyDescent="0.25">
      <c r="C138" s="24"/>
      <c r="D138" s="20"/>
      <c r="E138" s="4"/>
      <c r="F138" s="37"/>
      <c r="G138" s="24"/>
      <c r="H138" s="51">
        <f>Assumptions!$D$15</f>
        <v>0.1</v>
      </c>
      <c r="I138" s="45">
        <f>IF(SO[[#This Row],[GST applies?]] = "Yes", (SO[[#This Row],[Value inc. GST]] / 1 + SO[[#This Row],[GST %]]) * SO[[#This Row],[GST %]], 0)</f>
        <v>0</v>
      </c>
      <c r="J138" s="31">
        <f>_xlfn.XLOOKUP(SO[[#This Row],[Customer name]], Customer_master[Customer name], Customer_master[EOM or Net], 0)</f>
        <v>0</v>
      </c>
      <c r="K138" s="31">
        <f>_xlfn.XLOOKUP(SO[[#This Row],[Customer name]], Customer_master[Customer name], Customer_master[Terms days], 0)</f>
        <v>0</v>
      </c>
      <c r="L1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8" s="4"/>
      <c r="N138" s="46">
        <f>IF(SO[[#This Row],[Collection date - override (dd/mm/yyyy)]] &lt;&gt; "", SO[[#This Row],[Collection date - override (dd/mm/yyyy)]], SO[[#This Row],[Due date (dd/mm/yyyy)]])</f>
        <v>0</v>
      </c>
      <c r="O138" s="46">
        <f t="shared" si="2"/>
        <v>52</v>
      </c>
    </row>
    <row r="139" spans="3:15" x14ac:dyDescent="0.25">
      <c r="C139" s="24"/>
      <c r="D139" s="20"/>
      <c r="E139" s="4"/>
      <c r="F139" s="37"/>
      <c r="G139" s="24"/>
      <c r="H139" s="51">
        <f>Assumptions!$D$15</f>
        <v>0.1</v>
      </c>
      <c r="I139" s="45">
        <f>IF(SO[[#This Row],[GST applies?]] = "Yes", (SO[[#This Row],[Value inc. GST]] / 1 + SO[[#This Row],[GST %]]) * SO[[#This Row],[GST %]], 0)</f>
        <v>0</v>
      </c>
      <c r="J139" s="31">
        <f>_xlfn.XLOOKUP(SO[[#This Row],[Customer name]], Customer_master[Customer name], Customer_master[EOM or Net], 0)</f>
        <v>0</v>
      </c>
      <c r="K139" s="31">
        <f>_xlfn.XLOOKUP(SO[[#This Row],[Customer name]], Customer_master[Customer name], Customer_master[Terms days], 0)</f>
        <v>0</v>
      </c>
      <c r="L1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9" s="4"/>
      <c r="N139" s="46">
        <f>IF(SO[[#This Row],[Collection date - override (dd/mm/yyyy)]] &lt;&gt; "", SO[[#This Row],[Collection date - override (dd/mm/yyyy)]], SO[[#This Row],[Due date (dd/mm/yyyy)]])</f>
        <v>0</v>
      </c>
      <c r="O139" s="46">
        <f t="shared" si="2"/>
        <v>52</v>
      </c>
    </row>
    <row r="140" spans="3:15" x14ac:dyDescent="0.25">
      <c r="C140" s="24"/>
      <c r="D140" s="20"/>
      <c r="E140" s="4"/>
      <c r="F140" s="37"/>
      <c r="G140" s="24"/>
      <c r="H140" s="51">
        <f>Assumptions!$D$15</f>
        <v>0.1</v>
      </c>
      <c r="I140" s="45">
        <f>IF(SO[[#This Row],[GST applies?]] = "Yes", (SO[[#This Row],[Value inc. GST]] / 1 + SO[[#This Row],[GST %]]) * SO[[#This Row],[GST %]], 0)</f>
        <v>0</v>
      </c>
      <c r="J140" s="31">
        <f>_xlfn.XLOOKUP(SO[[#This Row],[Customer name]], Customer_master[Customer name], Customer_master[EOM or Net], 0)</f>
        <v>0</v>
      </c>
      <c r="K140" s="31">
        <f>_xlfn.XLOOKUP(SO[[#This Row],[Customer name]], Customer_master[Customer name], Customer_master[Terms days], 0)</f>
        <v>0</v>
      </c>
      <c r="L1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0" s="4"/>
      <c r="N140" s="46">
        <f>IF(SO[[#This Row],[Collection date - override (dd/mm/yyyy)]] &lt;&gt; "", SO[[#This Row],[Collection date - override (dd/mm/yyyy)]], SO[[#This Row],[Due date (dd/mm/yyyy)]])</f>
        <v>0</v>
      </c>
      <c r="O140" s="46">
        <f t="shared" si="2"/>
        <v>52</v>
      </c>
    </row>
    <row r="141" spans="3:15" x14ac:dyDescent="0.25">
      <c r="C141" s="24"/>
      <c r="D141" s="20"/>
      <c r="E141" s="4"/>
      <c r="F141" s="37"/>
      <c r="G141" s="24"/>
      <c r="H141" s="51">
        <f>Assumptions!$D$15</f>
        <v>0.1</v>
      </c>
      <c r="I141" s="45">
        <f>IF(SO[[#This Row],[GST applies?]] = "Yes", (SO[[#This Row],[Value inc. GST]] / 1 + SO[[#This Row],[GST %]]) * SO[[#This Row],[GST %]], 0)</f>
        <v>0</v>
      </c>
      <c r="J141" s="31">
        <f>_xlfn.XLOOKUP(SO[[#This Row],[Customer name]], Customer_master[Customer name], Customer_master[EOM or Net], 0)</f>
        <v>0</v>
      </c>
      <c r="K141" s="31">
        <f>_xlfn.XLOOKUP(SO[[#This Row],[Customer name]], Customer_master[Customer name], Customer_master[Terms days], 0)</f>
        <v>0</v>
      </c>
      <c r="L1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1" s="4"/>
      <c r="N141" s="46">
        <f>IF(SO[[#This Row],[Collection date - override (dd/mm/yyyy)]] &lt;&gt; "", SO[[#This Row],[Collection date - override (dd/mm/yyyy)]], SO[[#This Row],[Due date (dd/mm/yyyy)]])</f>
        <v>0</v>
      </c>
      <c r="O141" s="46">
        <f t="shared" si="2"/>
        <v>52</v>
      </c>
    </row>
    <row r="142" spans="3:15" x14ac:dyDescent="0.25">
      <c r="C142" s="24"/>
      <c r="D142" s="20"/>
      <c r="E142" s="4"/>
      <c r="F142" s="37"/>
      <c r="G142" s="24"/>
      <c r="H142" s="51">
        <f>Assumptions!$D$15</f>
        <v>0.1</v>
      </c>
      <c r="I142" s="45">
        <f>IF(SO[[#This Row],[GST applies?]] = "Yes", (SO[[#This Row],[Value inc. GST]] / 1 + SO[[#This Row],[GST %]]) * SO[[#This Row],[GST %]], 0)</f>
        <v>0</v>
      </c>
      <c r="J142" s="31">
        <f>_xlfn.XLOOKUP(SO[[#This Row],[Customer name]], Customer_master[Customer name], Customer_master[EOM or Net], 0)</f>
        <v>0</v>
      </c>
      <c r="K142" s="31">
        <f>_xlfn.XLOOKUP(SO[[#This Row],[Customer name]], Customer_master[Customer name], Customer_master[Terms days], 0)</f>
        <v>0</v>
      </c>
      <c r="L1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2" s="4"/>
      <c r="N142" s="46">
        <f>IF(SO[[#This Row],[Collection date - override (dd/mm/yyyy)]] &lt;&gt; "", SO[[#This Row],[Collection date - override (dd/mm/yyyy)]], SO[[#This Row],[Due date (dd/mm/yyyy)]])</f>
        <v>0</v>
      </c>
      <c r="O142" s="46">
        <f t="shared" si="2"/>
        <v>52</v>
      </c>
    </row>
    <row r="143" spans="3:15" x14ac:dyDescent="0.25">
      <c r="C143" s="24"/>
      <c r="D143" s="20"/>
      <c r="E143" s="4"/>
      <c r="F143" s="37"/>
      <c r="G143" s="24"/>
      <c r="H143" s="51">
        <f>Assumptions!$D$15</f>
        <v>0.1</v>
      </c>
      <c r="I143" s="45">
        <f>IF(SO[[#This Row],[GST applies?]] = "Yes", (SO[[#This Row],[Value inc. GST]] / 1 + SO[[#This Row],[GST %]]) * SO[[#This Row],[GST %]], 0)</f>
        <v>0</v>
      </c>
      <c r="J143" s="31">
        <f>_xlfn.XLOOKUP(SO[[#This Row],[Customer name]], Customer_master[Customer name], Customer_master[EOM or Net], 0)</f>
        <v>0</v>
      </c>
      <c r="K143" s="31">
        <f>_xlfn.XLOOKUP(SO[[#This Row],[Customer name]], Customer_master[Customer name], Customer_master[Terms days], 0)</f>
        <v>0</v>
      </c>
      <c r="L1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3" s="4"/>
      <c r="N143" s="46">
        <f>IF(SO[[#This Row],[Collection date - override (dd/mm/yyyy)]] &lt;&gt; "", SO[[#This Row],[Collection date - override (dd/mm/yyyy)]], SO[[#This Row],[Due date (dd/mm/yyyy)]])</f>
        <v>0</v>
      </c>
      <c r="O143" s="46">
        <f t="shared" si="2"/>
        <v>52</v>
      </c>
    </row>
    <row r="144" spans="3:15" x14ac:dyDescent="0.25">
      <c r="C144" s="24"/>
      <c r="D144" s="20"/>
      <c r="E144" s="4"/>
      <c r="F144" s="37"/>
      <c r="G144" s="24"/>
      <c r="H144" s="51">
        <f>Assumptions!$D$15</f>
        <v>0.1</v>
      </c>
      <c r="I144" s="45">
        <f>IF(SO[[#This Row],[GST applies?]] = "Yes", (SO[[#This Row],[Value inc. GST]] / 1 + SO[[#This Row],[GST %]]) * SO[[#This Row],[GST %]], 0)</f>
        <v>0</v>
      </c>
      <c r="J144" s="31">
        <f>_xlfn.XLOOKUP(SO[[#This Row],[Customer name]], Customer_master[Customer name], Customer_master[EOM or Net], 0)</f>
        <v>0</v>
      </c>
      <c r="K144" s="31">
        <f>_xlfn.XLOOKUP(SO[[#This Row],[Customer name]], Customer_master[Customer name], Customer_master[Terms days], 0)</f>
        <v>0</v>
      </c>
      <c r="L1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4" s="4"/>
      <c r="N144" s="46">
        <f>IF(SO[[#This Row],[Collection date - override (dd/mm/yyyy)]] &lt;&gt; "", SO[[#This Row],[Collection date - override (dd/mm/yyyy)]], SO[[#This Row],[Due date (dd/mm/yyyy)]])</f>
        <v>0</v>
      </c>
      <c r="O144" s="46">
        <f t="shared" si="2"/>
        <v>52</v>
      </c>
    </row>
    <row r="145" spans="3:15" x14ac:dyDescent="0.25">
      <c r="C145" s="24"/>
      <c r="D145" s="20"/>
      <c r="E145" s="4"/>
      <c r="F145" s="37"/>
      <c r="G145" s="24"/>
      <c r="H145" s="51">
        <f>Assumptions!$D$15</f>
        <v>0.1</v>
      </c>
      <c r="I145" s="45">
        <f>IF(SO[[#This Row],[GST applies?]] = "Yes", (SO[[#This Row],[Value inc. GST]] / 1 + SO[[#This Row],[GST %]]) * SO[[#This Row],[GST %]], 0)</f>
        <v>0</v>
      </c>
      <c r="J145" s="31">
        <f>_xlfn.XLOOKUP(SO[[#This Row],[Customer name]], Customer_master[Customer name], Customer_master[EOM or Net], 0)</f>
        <v>0</v>
      </c>
      <c r="K145" s="31">
        <f>_xlfn.XLOOKUP(SO[[#This Row],[Customer name]], Customer_master[Customer name], Customer_master[Terms days], 0)</f>
        <v>0</v>
      </c>
      <c r="L1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5" s="4"/>
      <c r="N145" s="46">
        <f>IF(SO[[#This Row],[Collection date - override (dd/mm/yyyy)]] &lt;&gt; "", SO[[#This Row],[Collection date - override (dd/mm/yyyy)]], SO[[#This Row],[Due date (dd/mm/yyyy)]])</f>
        <v>0</v>
      </c>
      <c r="O145" s="46">
        <f t="shared" si="2"/>
        <v>52</v>
      </c>
    </row>
    <row r="146" spans="3:15" x14ac:dyDescent="0.25">
      <c r="C146" s="24"/>
      <c r="D146" s="20"/>
      <c r="E146" s="4"/>
      <c r="F146" s="37"/>
      <c r="G146" s="24"/>
      <c r="H146" s="51">
        <f>Assumptions!$D$15</f>
        <v>0.1</v>
      </c>
      <c r="I146" s="45">
        <f>IF(SO[[#This Row],[GST applies?]] = "Yes", (SO[[#This Row],[Value inc. GST]] / 1 + SO[[#This Row],[GST %]]) * SO[[#This Row],[GST %]], 0)</f>
        <v>0</v>
      </c>
      <c r="J146" s="31">
        <f>_xlfn.XLOOKUP(SO[[#This Row],[Customer name]], Customer_master[Customer name], Customer_master[EOM or Net], 0)</f>
        <v>0</v>
      </c>
      <c r="K146" s="31">
        <f>_xlfn.XLOOKUP(SO[[#This Row],[Customer name]], Customer_master[Customer name], Customer_master[Terms days], 0)</f>
        <v>0</v>
      </c>
      <c r="L1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6" s="4"/>
      <c r="N146" s="46">
        <f>IF(SO[[#This Row],[Collection date - override (dd/mm/yyyy)]] &lt;&gt; "", SO[[#This Row],[Collection date - override (dd/mm/yyyy)]], SO[[#This Row],[Due date (dd/mm/yyyy)]])</f>
        <v>0</v>
      </c>
      <c r="O146" s="46">
        <f t="shared" si="2"/>
        <v>52</v>
      </c>
    </row>
    <row r="147" spans="3:15" x14ac:dyDescent="0.25">
      <c r="C147" s="24"/>
      <c r="D147" s="20"/>
      <c r="E147" s="4"/>
      <c r="F147" s="37"/>
      <c r="G147" s="24"/>
      <c r="H147" s="51">
        <f>Assumptions!$D$15</f>
        <v>0.1</v>
      </c>
      <c r="I147" s="45">
        <f>IF(SO[[#This Row],[GST applies?]] = "Yes", (SO[[#This Row],[Value inc. GST]] / 1 + SO[[#This Row],[GST %]]) * SO[[#This Row],[GST %]], 0)</f>
        <v>0</v>
      </c>
      <c r="J147" s="31">
        <f>_xlfn.XLOOKUP(SO[[#This Row],[Customer name]], Customer_master[Customer name], Customer_master[EOM or Net], 0)</f>
        <v>0</v>
      </c>
      <c r="K147" s="31">
        <f>_xlfn.XLOOKUP(SO[[#This Row],[Customer name]], Customer_master[Customer name], Customer_master[Terms days], 0)</f>
        <v>0</v>
      </c>
      <c r="L1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7" s="4"/>
      <c r="N147" s="46">
        <f>IF(SO[[#This Row],[Collection date - override (dd/mm/yyyy)]] &lt;&gt; "", SO[[#This Row],[Collection date - override (dd/mm/yyyy)]], SO[[#This Row],[Due date (dd/mm/yyyy)]])</f>
        <v>0</v>
      </c>
      <c r="O147" s="46">
        <f t="shared" si="2"/>
        <v>52</v>
      </c>
    </row>
    <row r="148" spans="3:15" x14ac:dyDescent="0.25">
      <c r="C148" s="24"/>
      <c r="D148" s="20"/>
      <c r="E148" s="4"/>
      <c r="F148" s="37"/>
      <c r="G148" s="24"/>
      <c r="H148" s="51">
        <f>Assumptions!$D$15</f>
        <v>0.1</v>
      </c>
      <c r="I148" s="45">
        <f>IF(SO[[#This Row],[GST applies?]] = "Yes", (SO[[#This Row],[Value inc. GST]] / 1 + SO[[#This Row],[GST %]]) * SO[[#This Row],[GST %]], 0)</f>
        <v>0</v>
      </c>
      <c r="J148" s="31">
        <f>_xlfn.XLOOKUP(SO[[#This Row],[Customer name]], Customer_master[Customer name], Customer_master[EOM or Net], 0)</f>
        <v>0</v>
      </c>
      <c r="K148" s="31">
        <f>_xlfn.XLOOKUP(SO[[#This Row],[Customer name]], Customer_master[Customer name], Customer_master[Terms days], 0)</f>
        <v>0</v>
      </c>
      <c r="L1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8" s="4"/>
      <c r="N148" s="46">
        <f>IF(SO[[#This Row],[Collection date - override (dd/mm/yyyy)]] &lt;&gt; "", SO[[#This Row],[Collection date - override (dd/mm/yyyy)]], SO[[#This Row],[Due date (dd/mm/yyyy)]])</f>
        <v>0</v>
      </c>
      <c r="O148" s="46">
        <f t="shared" si="2"/>
        <v>52</v>
      </c>
    </row>
    <row r="149" spans="3:15" x14ac:dyDescent="0.25">
      <c r="C149" s="24"/>
      <c r="D149" s="20"/>
      <c r="E149" s="4"/>
      <c r="F149" s="37"/>
      <c r="G149" s="24"/>
      <c r="H149" s="51">
        <f>Assumptions!$D$15</f>
        <v>0.1</v>
      </c>
      <c r="I149" s="45">
        <f>IF(SO[[#This Row],[GST applies?]] = "Yes", (SO[[#This Row],[Value inc. GST]] / 1 + SO[[#This Row],[GST %]]) * SO[[#This Row],[GST %]], 0)</f>
        <v>0</v>
      </c>
      <c r="J149" s="31">
        <f>_xlfn.XLOOKUP(SO[[#This Row],[Customer name]], Customer_master[Customer name], Customer_master[EOM or Net], 0)</f>
        <v>0</v>
      </c>
      <c r="K149" s="31">
        <f>_xlfn.XLOOKUP(SO[[#This Row],[Customer name]], Customer_master[Customer name], Customer_master[Terms days], 0)</f>
        <v>0</v>
      </c>
      <c r="L1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9" s="4"/>
      <c r="N149" s="46">
        <f>IF(SO[[#This Row],[Collection date - override (dd/mm/yyyy)]] &lt;&gt; "", SO[[#This Row],[Collection date - override (dd/mm/yyyy)]], SO[[#This Row],[Due date (dd/mm/yyyy)]])</f>
        <v>0</v>
      </c>
      <c r="O149" s="46">
        <f t="shared" si="2"/>
        <v>52</v>
      </c>
    </row>
    <row r="150" spans="3:15" x14ac:dyDescent="0.25">
      <c r="C150" s="24"/>
      <c r="D150" s="20"/>
      <c r="E150" s="4"/>
      <c r="F150" s="37"/>
      <c r="G150" s="24"/>
      <c r="H150" s="51">
        <f>Assumptions!$D$15</f>
        <v>0.1</v>
      </c>
      <c r="I150" s="45">
        <f>IF(SO[[#This Row],[GST applies?]] = "Yes", (SO[[#This Row],[Value inc. GST]] / 1 + SO[[#This Row],[GST %]]) * SO[[#This Row],[GST %]], 0)</f>
        <v>0</v>
      </c>
      <c r="J150" s="31">
        <f>_xlfn.XLOOKUP(SO[[#This Row],[Customer name]], Customer_master[Customer name], Customer_master[EOM or Net], 0)</f>
        <v>0</v>
      </c>
      <c r="K150" s="31">
        <f>_xlfn.XLOOKUP(SO[[#This Row],[Customer name]], Customer_master[Customer name], Customer_master[Terms days], 0)</f>
        <v>0</v>
      </c>
      <c r="L1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0" s="4"/>
      <c r="N150" s="46">
        <f>IF(SO[[#This Row],[Collection date - override (dd/mm/yyyy)]] &lt;&gt; "", SO[[#This Row],[Collection date - override (dd/mm/yyyy)]], SO[[#This Row],[Due date (dd/mm/yyyy)]])</f>
        <v>0</v>
      </c>
      <c r="O150" s="46">
        <f t="shared" si="2"/>
        <v>52</v>
      </c>
    </row>
    <row r="151" spans="3:15" x14ac:dyDescent="0.25">
      <c r="C151" s="24"/>
      <c r="D151" s="20"/>
      <c r="E151" s="4"/>
      <c r="F151" s="37"/>
      <c r="G151" s="24"/>
      <c r="H151" s="51">
        <f>Assumptions!$D$15</f>
        <v>0.1</v>
      </c>
      <c r="I151" s="45">
        <f>IF(SO[[#This Row],[GST applies?]] = "Yes", (SO[[#This Row],[Value inc. GST]] / 1 + SO[[#This Row],[GST %]]) * SO[[#This Row],[GST %]], 0)</f>
        <v>0</v>
      </c>
      <c r="J151" s="31">
        <f>_xlfn.XLOOKUP(SO[[#This Row],[Customer name]], Customer_master[Customer name], Customer_master[EOM or Net], 0)</f>
        <v>0</v>
      </c>
      <c r="K151" s="31">
        <f>_xlfn.XLOOKUP(SO[[#This Row],[Customer name]], Customer_master[Customer name], Customer_master[Terms days], 0)</f>
        <v>0</v>
      </c>
      <c r="L1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1" s="4"/>
      <c r="N151" s="46">
        <f>IF(SO[[#This Row],[Collection date - override (dd/mm/yyyy)]] &lt;&gt; "", SO[[#This Row],[Collection date - override (dd/mm/yyyy)]], SO[[#This Row],[Due date (dd/mm/yyyy)]])</f>
        <v>0</v>
      </c>
      <c r="O151" s="46">
        <f t="shared" si="2"/>
        <v>52</v>
      </c>
    </row>
    <row r="152" spans="3:15" x14ac:dyDescent="0.25">
      <c r="C152" s="24"/>
      <c r="D152" s="20"/>
      <c r="E152" s="4"/>
      <c r="F152" s="37"/>
      <c r="G152" s="24"/>
      <c r="H152" s="51">
        <f>Assumptions!$D$15</f>
        <v>0.1</v>
      </c>
      <c r="I152" s="45">
        <f>IF(SO[[#This Row],[GST applies?]] = "Yes", (SO[[#This Row],[Value inc. GST]] / 1 + SO[[#This Row],[GST %]]) * SO[[#This Row],[GST %]], 0)</f>
        <v>0</v>
      </c>
      <c r="J152" s="31">
        <f>_xlfn.XLOOKUP(SO[[#This Row],[Customer name]], Customer_master[Customer name], Customer_master[EOM or Net], 0)</f>
        <v>0</v>
      </c>
      <c r="K152" s="31">
        <f>_xlfn.XLOOKUP(SO[[#This Row],[Customer name]], Customer_master[Customer name], Customer_master[Terms days], 0)</f>
        <v>0</v>
      </c>
      <c r="L1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2" s="4"/>
      <c r="N152" s="46">
        <f>IF(SO[[#This Row],[Collection date - override (dd/mm/yyyy)]] &lt;&gt; "", SO[[#This Row],[Collection date - override (dd/mm/yyyy)]], SO[[#This Row],[Due date (dd/mm/yyyy)]])</f>
        <v>0</v>
      </c>
      <c r="O152" s="46">
        <f t="shared" si="2"/>
        <v>52</v>
      </c>
    </row>
    <row r="153" spans="3:15" x14ac:dyDescent="0.25">
      <c r="C153" s="24"/>
      <c r="D153" s="20"/>
      <c r="E153" s="4"/>
      <c r="F153" s="37"/>
      <c r="G153" s="24"/>
      <c r="H153" s="51">
        <f>Assumptions!$D$15</f>
        <v>0.1</v>
      </c>
      <c r="I153" s="45">
        <f>IF(SO[[#This Row],[GST applies?]] = "Yes", (SO[[#This Row],[Value inc. GST]] / 1 + SO[[#This Row],[GST %]]) * SO[[#This Row],[GST %]], 0)</f>
        <v>0</v>
      </c>
      <c r="J153" s="31">
        <f>_xlfn.XLOOKUP(SO[[#This Row],[Customer name]], Customer_master[Customer name], Customer_master[EOM or Net], 0)</f>
        <v>0</v>
      </c>
      <c r="K153" s="31">
        <f>_xlfn.XLOOKUP(SO[[#This Row],[Customer name]], Customer_master[Customer name], Customer_master[Terms days], 0)</f>
        <v>0</v>
      </c>
      <c r="L1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3" s="4"/>
      <c r="N153" s="46">
        <f>IF(SO[[#This Row],[Collection date - override (dd/mm/yyyy)]] &lt;&gt; "", SO[[#This Row],[Collection date - override (dd/mm/yyyy)]], SO[[#This Row],[Due date (dd/mm/yyyy)]])</f>
        <v>0</v>
      </c>
      <c r="O153" s="46">
        <f t="shared" si="2"/>
        <v>52</v>
      </c>
    </row>
    <row r="154" spans="3:15" x14ac:dyDescent="0.25">
      <c r="C154" s="24"/>
      <c r="D154" s="20"/>
      <c r="E154" s="4"/>
      <c r="F154" s="37"/>
      <c r="G154" s="24"/>
      <c r="H154" s="51">
        <f>Assumptions!$D$15</f>
        <v>0.1</v>
      </c>
      <c r="I154" s="45">
        <f>IF(SO[[#This Row],[GST applies?]] = "Yes", (SO[[#This Row],[Value inc. GST]] / 1 + SO[[#This Row],[GST %]]) * SO[[#This Row],[GST %]], 0)</f>
        <v>0</v>
      </c>
      <c r="J154" s="31">
        <f>_xlfn.XLOOKUP(SO[[#This Row],[Customer name]], Customer_master[Customer name], Customer_master[EOM or Net], 0)</f>
        <v>0</v>
      </c>
      <c r="K154" s="31">
        <f>_xlfn.XLOOKUP(SO[[#This Row],[Customer name]], Customer_master[Customer name], Customer_master[Terms days], 0)</f>
        <v>0</v>
      </c>
      <c r="L1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4" s="4"/>
      <c r="N154" s="46">
        <f>IF(SO[[#This Row],[Collection date - override (dd/mm/yyyy)]] &lt;&gt; "", SO[[#This Row],[Collection date - override (dd/mm/yyyy)]], SO[[#This Row],[Due date (dd/mm/yyyy)]])</f>
        <v>0</v>
      </c>
      <c r="O154" s="46">
        <f t="shared" si="2"/>
        <v>52</v>
      </c>
    </row>
    <row r="155" spans="3:15" x14ac:dyDescent="0.25">
      <c r="C155" s="24"/>
      <c r="D155" s="20"/>
      <c r="E155" s="4"/>
      <c r="F155" s="37"/>
      <c r="G155" s="24"/>
      <c r="H155" s="51">
        <f>Assumptions!$D$15</f>
        <v>0.1</v>
      </c>
      <c r="I155" s="45">
        <f>IF(SO[[#This Row],[GST applies?]] = "Yes", (SO[[#This Row],[Value inc. GST]] / 1 + SO[[#This Row],[GST %]]) * SO[[#This Row],[GST %]], 0)</f>
        <v>0</v>
      </c>
      <c r="J155" s="31">
        <f>_xlfn.XLOOKUP(SO[[#This Row],[Customer name]], Customer_master[Customer name], Customer_master[EOM or Net], 0)</f>
        <v>0</v>
      </c>
      <c r="K155" s="31">
        <f>_xlfn.XLOOKUP(SO[[#This Row],[Customer name]], Customer_master[Customer name], Customer_master[Terms days], 0)</f>
        <v>0</v>
      </c>
      <c r="L1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5" s="4"/>
      <c r="N155" s="46">
        <f>IF(SO[[#This Row],[Collection date - override (dd/mm/yyyy)]] &lt;&gt; "", SO[[#This Row],[Collection date - override (dd/mm/yyyy)]], SO[[#This Row],[Due date (dd/mm/yyyy)]])</f>
        <v>0</v>
      </c>
      <c r="O155" s="46">
        <f t="shared" si="2"/>
        <v>52</v>
      </c>
    </row>
    <row r="156" spans="3:15" x14ac:dyDescent="0.25">
      <c r="C156" s="24"/>
      <c r="D156" s="20"/>
      <c r="E156" s="4"/>
      <c r="F156" s="37"/>
      <c r="G156" s="24"/>
      <c r="H156" s="51">
        <f>Assumptions!$D$15</f>
        <v>0.1</v>
      </c>
      <c r="I156" s="45">
        <f>IF(SO[[#This Row],[GST applies?]] = "Yes", (SO[[#This Row],[Value inc. GST]] / 1 + SO[[#This Row],[GST %]]) * SO[[#This Row],[GST %]], 0)</f>
        <v>0</v>
      </c>
      <c r="J156" s="31">
        <f>_xlfn.XLOOKUP(SO[[#This Row],[Customer name]], Customer_master[Customer name], Customer_master[EOM or Net], 0)</f>
        <v>0</v>
      </c>
      <c r="K156" s="31">
        <f>_xlfn.XLOOKUP(SO[[#This Row],[Customer name]], Customer_master[Customer name], Customer_master[Terms days], 0)</f>
        <v>0</v>
      </c>
      <c r="L1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6" s="4"/>
      <c r="N156" s="46">
        <f>IF(SO[[#This Row],[Collection date - override (dd/mm/yyyy)]] &lt;&gt; "", SO[[#This Row],[Collection date - override (dd/mm/yyyy)]], SO[[#This Row],[Due date (dd/mm/yyyy)]])</f>
        <v>0</v>
      </c>
      <c r="O156" s="46">
        <f t="shared" si="2"/>
        <v>52</v>
      </c>
    </row>
    <row r="157" spans="3:15" x14ac:dyDescent="0.25">
      <c r="C157" s="24"/>
      <c r="D157" s="20"/>
      <c r="E157" s="4"/>
      <c r="F157" s="37"/>
      <c r="G157" s="24"/>
      <c r="H157" s="51">
        <f>Assumptions!$D$15</f>
        <v>0.1</v>
      </c>
      <c r="I157" s="45">
        <f>IF(SO[[#This Row],[GST applies?]] = "Yes", (SO[[#This Row],[Value inc. GST]] / 1 + SO[[#This Row],[GST %]]) * SO[[#This Row],[GST %]], 0)</f>
        <v>0</v>
      </c>
      <c r="J157" s="31">
        <f>_xlfn.XLOOKUP(SO[[#This Row],[Customer name]], Customer_master[Customer name], Customer_master[EOM or Net], 0)</f>
        <v>0</v>
      </c>
      <c r="K157" s="31">
        <f>_xlfn.XLOOKUP(SO[[#This Row],[Customer name]], Customer_master[Customer name], Customer_master[Terms days], 0)</f>
        <v>0</v>
      </c>
      <c r="L1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7" s="4"/>
      <c r="N157" s="46">
        <f>IF(SO[[#This Row],[Collection date - override (dd/mm/yyyy)]] &lt;&gt; "", SO[[#This Row],[Collection date - override (dd/mm/yyyy)]], SO[[#This Row],[Due date (dd/mm/yyyy)]])</f>
        <v>0</v>
      </c>
      <c r="O157" s="46">
        <f t="shared" si="2"/>
        <v>52</v>
      </c>
    </row>
    <row r="158" spans="3:15" x14ac:dyDescent="0.25">
      <c r="C158" s="24"/>
      <c r="D158" s="20"/>
      <c r="E158" s="4"/>
      <c r="F158" s="37"/>
      <c r="G158" s="24"/>
      <c r="H158" s="51">
        <f>Assumptions!$D$15</f>
        <v>0.1</v>
      </c>
      <c r="I158" s="45">
        <f>IF(SO[[#This Row],[GST applies?]] = "Yes", (SO[[#This Row],[Value inc. GST]] / 1 + SO[[#This Row],[GST %]]) * SO[[#This Row],[GST %]], 0)</f>
        <v>0</v>
      </c>
      <c r="J158" s="31">
        <f>_xlfn.XLOOKUP(SO[[#This Row],[Customer name]], Customer_master[Customer name], Customer_master[EOM or Net], 0)</f>
        <v>0</v>
      </c>
      <c r="K158" s="31">
        <f>_xlfn.XLOOKUP(SO[[#This Row],[Customer name]], Customer_master[Customer name], Customer_master[Terms days], 0)</f>
        <v>0</v>
      </c>
      <c r="L1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8" s="4"/>
      <c r="N158" s="46">
        <f>IF(SO[[#This Row],[Collection date - override (dd/mm/yyyy)]] &lt;&gt; "", SO[[#This Row],[Collection date - override (dd/mm/yyyy)]], SO[[#This Row],[Due date (dd/mm/yyyy)]])</f>
        <v>0</v>
      </c>
      <c r="O158" s="46">
        <f t="shared" si="2"/>
        <v>52</v>
      </c>
    </row>
    <row r="159" spans="3:15" x14ac:dyDescent="0.25">
      <c r="C159" s="24"/>
      <c r="D159" s="20"/>
      <c r="E159" s="4"/>
      <c r="F159" s="37"/>
      <c r="G159" s="24"/>
      <c r="H159" s="51">
        <f>Assumptions!$D$15</f>
        <v>0.1</v>
      </c>
      <c r="I159" s="45">
        <f>IF(SO[[#This Row],[GST applies?]] = "Yes", (SO[[#This Row],[Value inc. GST]] / 1 + SO[[#This Row],[GST %]]) * SO[[#This Row],[GST %]], 0)</f>
        <v>0</v>
      </c>
      <c r="J159" s="31">
        <f>_xlfn.XLOOKUP(SO[[#This Row],[Customer name]], Customer_master[Customer name], Customer_master[EOM or Net], 0)</f>
        <v>0</v>
      </c>
      <c r="K159" s="31">
        <f>_xlfn.XLOOKUP(SO[[#This Row],[Customer name]], Customer_master[Customer name], Customer_master[Terms days], 0)</f>
        <v>0</v>
      </c>
      <c r="L1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9" s="4"/>
      <c r="N159" s="46">
        <f>IF(SO[[#This Row],[Collection date - override (dd/mm/yyyy)]] &lt;&gt; "", SO[[#This Row],[Collection date - override (dd/mm/yyyy)]], SO[[#This Row],[Due date (dd/mm/yyyy)]])</f>
        <v>0</v>
      </c>
      <c r="O159" s="46">
        <f t="shared" si="2"/>
        <v>52</v>
      </c>
    </row>
    <row r="160" spans="3:15" x14ac:dyDescent="0.25">
      <c r="C160" s="24"/>
      <c r="D160" s="20"/>
      <c r="E160" s="4"/>
      <c r="F160" s="37"/>
      <c r="G160" s="24"/>
      <c r="H160" s="51">
        <f>Assumptions!$D$15</f>
        <v>0.1</v>
      </c>
      <c r="I160" s="45">
        <f>IF(SO[[#This Row],[GST applies?]] = "Yes", (SO[[#This Row],[Value inc. GST]] / 1 + SO[[#This Row],[GST %]]) * SO[[#This Row],[GST %]], 0)</f>
        <v>0</v>
      </c>
      <c r="J160" s="31">
        <f>_xlfn.XLOOKUP(SO[[#This Row],[Customer name]], Customer_master[Customer name], Customer_master[EOM or Net], 0)</f>
        <v>0</v>
      </c>
      <c r="K160" s="31">
        <f>_xlfn.XLOOKUP(SO[[#This Row],[Customer name]], Customer_master[Customer name], Customer_master[Terms days], 0)</f>
        <v>0</v>
      </c>
      <c r="L1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0" s="4"/>
      <c r="N160" s="46">
        <f>IF(SO[[#This Row],[Collection date - override (dd/mm/yyyy)]] &lt;&gt; "", SO[[#This Row],[Collection date - override (dd/mm/yyyy)]], SO[[#This Row],[Due date (dd/mm/yyyy)]])</f>
        <v>0</v>
      </c>
      <c r="O160" s="46">
        <f t="shared" si="2"/>
        <v>52</v>
      </c>
    </row>
    <row r="161" spans="3:15" x14ac:dyDescent="0.25">
      <c r="C161" s="24"/>
      <c r="D161" s="20"/>
      <c r="E161" s="4"/>
      <c r="F161" s="37"/>
      <c r="G161" s="24"/>
      <c r="H161" s="51">
        <f>Assumptions!$D$15</f>
        <v>0.1</v>
      </c>
      <c r="I161" s="45">
        <f>IF(SO[[#This Row],[GST applies?]] = "Yes", (SO[[#This Row],[Value inc. GST]] / 1 + SO[[#This Row],[GST %]]) * SO[[#This Row],[GST %]], 0)</f>
        <v>0</v>
      </c>
      <c r="J161" s="31">
        <f>_xlfn.XLOOKUP(SO[[#This Row],[Customer name]], Customer_master[Customer name], Customer_master[EOM or Net], 0)</f>
        <v>0</v>
      </c>
      <c r="K161" s="31">
        <f>_xlfn.XLOOKUP(SO[[#This Row],[Customer name]], Customer_master[Customer name], Customer_master[Terms days], 0)</f>
        <v>0</v>
      </c>
      <c r="L1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1" s="4"/>
      <c r="N161" s="46">
        <f>IF(SO[[#This Row],[Collection date - override (dd/mm/yyyy)]] &lt;&gt; "", SO[[#This Row],[Collection date - override (dd/mm/yyyy)]], SO[[#This Row],[Due date (dd/mm/yyyy)]])</f>
        <v>0</v>
      </c>
      <c r="O161" s="46">
        <f t="shared" si="2"/>
        <v>52</v>
      </c>
    </row>
    <row r="162" spans="3:15" x14ac:dyDescent="0.25">
      <c r="C162" s="24"/>
      <c r="D162" s="20"/>
      <c r="E162" s="4"/>
      <c r="F162" s="37"/>
      <c r="G162" s="24"/>
      <c r="H162" s="51">
        <f>Assumptions!$D$15</f>
        <v>0.1</v>
      </c>
      <c r="I162" s="45">
        <f>IF(SO[[#This Row],[GST applies?]] = "Yes", (SO[[#This Row],[Value inc. GST]] / 1 + SO[[#This Row],[GST %]]) * SO[[#This Row],[GST %]], 0)</f>
        <v>0</v>
      </c>
      <c r="J162" s="31">
        <f>_xlfn.XLOOKUP(SO[[#This Row],[Customer name]], Customer_master[Customer name], Customer_master[EOM or Net], 0)</f>
        <v>0</v>
      </c>
      <c r="K162" s="31">
        <f>_xlfn.XLOOKUP(SO[[#This Row],[Customer name]], Customer_master[Customer name], Customer_master[Terms days], 0)</f>
        <v>0</v>
      </c>
      <c r="L1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2" s="4"/>
      <c r="N162" s="46">
        <f>IF(SO[[#This Row],[Collection date - override (dd/mm/yyyy)]] &lt;&gt; "", SO[[#This Row],[Collection date - override (dd/mm/yyyy)]], SO[[#This Row],[Due date (dd/mm/yyyy)]])</f>
        <v>0</v>
      </c>
      <c r="O162" s="46">
        <f t="shared" si="2"/>
        <v>52</v>
      </c>
    </row>
    <row r="163" spans="3:15" x14ac:dyDescent="0.25">
      <c r="C163" s="24"/>
      <c r="D163" s="20"/>
      <c r="E163" s="4"/>
      <c r="F163" s="37"/>
      <c r="G163" s="24"/>
      <c r="H163" s="51">
        <f>Assumptions!$D$15</f>
        <v>0.1</v>
      </c>
      <c r="I163" s="45">
        <f>IF(SO[[#This Row],[GST applies?]] = "Yes", (SO[[#This Row],[Value inc. GST]] / 1 + SO[[#This Row],[GST %]]) * SO[[#This Row],[GST %]], 0)</f>
        <v>0</v>
      </c>
      <c r="J163" s="31">
        <f>_xlfn.XLOOKUP(SO[[#This Row],[Customer name]], Customer_master[Customer name], Customer_master[EOM or Net], 0)</f>
        <v>0</v>
      </c>
      <c r="K163" s="31">
        <f>_xlfn.XLOOKUP(SO[[#This Row],[Customer name]], Customer_master[Customer name], Customer_master[Terms days], 0)</f>
        <v>0</v>
      </c>
      <c r="L1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3" s="4"/>
      <c r="N163" s="46">
        <f>IF(SO[[#This Row],[Collection date - override (dd/mm/yyyy)]] &lt;&gt; "", SO[[#This Row],[Collection date - override (dd/mm/yyyy)]], SO[[#This Row],[Due date (dd/mm/yyyy)]])</f>
        <v>0</v>
      </c>
      <c r="O163" s="46">
        <f t="shared" si="2"/>
        <v>52</v>
      </c>
    </row>
    <row r="164" spans="3:15" x14ac:dyDescent="0.25">
      <c r="C164" s="24"/>
      <c r="D164" s="20"/>
      <c r="E164" s="4"/>
      <c r="F164" s="37"/>
      <c r="G164" s="24"/>
      <c r="H164" s="51">
        <f>Assumptions!$D$15</f>
        <v>0.1</v>
      </c>
      <c r="I164" s="45">
        <f>IF(SO[[#This Row],[GST applies?]] = "Yes", (SO[[#This Row],[Value inc. GST]] / 1 + SO[[#This Row],[GST %]]) * SO[[#This Row],[GST %]], 0)</f>
        <v>0</v>
      </c>
      <c r="J164" s="31">
        <f>_xlfn.XLOOKUP(SO[[#This Row],[Customer name]], Customer_master[Customer name], Customer_master[EOM or Net], 0)</f>
        <v>0</v>
      </c>
      <c r="K164" s="31">
        <f>_xlfn.XLOOKUP(SO[[#This Row],[Customer name]], Customer_master[Customer name], Customer_master[Terms days], 0)</f>
        <v>0</v>
      </c>
      <c r="L1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4" s="4"/>
      <c r="N164" s="46">
        <f>IF(SO[[#This Row],[Collection date - override (dd/mm/yyyy)]] &lt;&gt; "", SO[[#This Row],[Collection date - override (dd/mm/yyyy)]], SO[[#This Row],[Due date (dd/mm/yyyy)]])</f>
        <v>0</v>
      </c>
      <c r="O164" s="46">
        <f t="shared" si="2"/>
        <v>52</v>
      </c>
    </row>
    <row r="165" spans="3:15" x14ac:dyDescent="0.25">
      <c r="C165" s="24"/>
      <c r="D165" s="20"/>
      <c r="E165" s="4"/>
      <c r="F165" s="37"/>
      <c r="G165" s="24"/>
      <c r="H165" s="51">
        <f>Assumptions!$D$15</f>
        <v>0.1</v>
      </c>
      <c r="I165" s="45">
        <f>IF(SO[[#This Row],[GST applies?]] = "Yes", (SO[[#This Row],[Value inc. GST]] / 1 + SO[[#This Row],[GST %]]) * SO[[#This Row],[GST %]], 0)</f>
        <v>0</v>
      </c>
      <c r="J165" s="31">
        <f>_xlfn.XLOOKUP(SO[[#This Row],[Customer name]], Customer_master[Customer name], Customer_master[EOM or Net], 0)</f>
        <v>0</v>
      </c>
      <c r="K165" s="31">
        <f>_xlfn.XLOOKUP(SO[[#This Row],[Customer name]], Customer_master[Customer name], Customer_master[Terms days], 0)</f>
        <v>0</v>
      </c>
      <c r="L1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5" s="4"/>
      <c r="N165" s="46">
        <f>IF(SO[[#This Row],[Collection date - override (dd/mm/yyyy)]] &lt;&gt; "", SO[[#This Row],[Collection date - override (dd/mm/yyyy)]], SO[[#This Row],[Due date (dd/mm/yyyy)]])</f>
        <v>0</v>
      </c>
      <c r="O165" s="46">
        <f t="shared" si="2"/>
        <v>52</v>
      </c>
    </row>
    <row r="166" spans="3:15" x14ac:dyDescent="0.25">
      <c r="C166" s="24"/>
      <c r="D166" s="20"/>
      <c r="E166" s="4"/>
      <c r="F166" s="37"/>
      <c r="G166" s="24"/>
      <c r="H166" s="51">
        <f>Assumptions!$D$15</f>
        <v>0.1</v>
      </c>
      <c r="I166" s="45">
        <f>IF(SO[[#This Row],[GST applies?]] = "Yes", (SO[[#This Row],[Value inc. GST]] / 1 + SO[[#This Row],[GST %]]) * SO[[#This Row],[GST %]], 0)</f>
        <v>0</v>
      </c>
      <c r="J166" s="31">
        <f>_xlfn.XLOOKUP(SO[[#This Row],[Customer name]], Customer_master[Customer name], Customer_master[EOM or Net], 0)</f>
        <v>0</v>
      </c>
      <c r="K166" s="31">
        <f>_xlfn.XLOOKUP(SO[[#This Row],[Customer name]], Customer_master[Customer name], Customer_master[Terms days], 0)</f>
        <v>0</v>
      </c>
      <c r="L1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6" s="4"/>
      <c r="N166" s="46">
        <f>IF(SO[[#This Row],[Collection date - override (dd/mm/yyyy)]] &lt;&gt; "", SO[[#This Row],[Collection date - override (dd/mm/yyyy)]], SO[[#This Row],[Due date (dd/mm/yyyy)]])</f>
        <v>0</v>
      </c>
      <c r="O166" s="46">
        <f t="shared" si="2"/>
        <v>52</v>
      </c>
    </row>
    <row r="167" spans="3:15" x14ac:dyDescent="0.25">
      <c r="C167" s="24"/>
      <c r="D167" s="20"/>
      <c r="E167" s="4"/>
      <c r="F167" s="37"/>
      <c r="G167" s="24"/>
      <c r="H167" s="51">
        <f>Assumptions!$D$15</f>
        <v>0.1</v>
      </c>
      <c r="I167" s="45">
        <f>IF(SO[[#This Row],[GST applies?]] = "Yes", (SO[[#This Row],[Value inc. GST]] / 1 + SO[[#This Row],[GST %]]) * SO[[#This Row],[GST %]], 0)</f>
        <v>0</v>
      </c>
      <c r="J167" s="31">
        <f>_xlfn.XLOOKUP(SO[[#This Row],[Customer name]], Customer_master[Customer name], Customer_master[EOM or Net], 0)</f>
        <v>0</v>
      </c>
      <c r="K167" s="31">
        <f>_xlfn.XLOOKUP(SO[[#This Row],[Customer name]], Customer_master[Customer name], Customer_master[Terms days], 0)</f>
        <v>0</v>
      </c>
      <c r="L1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7" s="4"/>
      <c r="N167" s="46">
        <f>IF(SO[[#This Row],[Collection date - override (dd/mm/yyyy)]] &lt;&gt; "", SO[[#This Row],[Collection date - override (dd/mm/yyyy)]], SO[[#This Row],[Due date (dd/mm/yyyy)]])</f>
        <v>0</v>
      </c>
      <c r="O167" s="46">
        <f t="shared" si="2"/>
        <v>52</v>
      </c>
    </row>
    <row r="168" spans="3:15" x14ac:dyDescent="0.25">
      <c r="C168" s="24"/>
      <c r="D168" s="20"/>
      <c r="E168" s="4"/>
      <c r="F168" s="37"/>
      <c r="G168" s="24"/>
      <c r="H168" s="51">
        <f>Assumptions!$D$15</f>
        <v>0.1</v>
      </c>
      <c r="I168" s="45">
        <f>IF(SO[[#This Row],[GST applies?]] = "Yes", (SO[[#This Row],[Value inc. GST]] / 1 + SO[[#This Row],[GST %]]) * SO[[#This Row],[GST %]], 0)</f>
        <v>0</v>
      </c>
      <c r="J168" s="31">
        <f>_xlfn.XLOOKUP(SO[[#This Row],[Customer name]], Customer_master[Customer name], Customer_master[EOM or Net], 0)</f>
        <v>0</v>
      </c>
      <c r="K168" s="31">
        <f>_xlfn.XLOOKUP(SO[[#This Row],[Customer name]], Customer_master[Customer name], Customer_master[Terms days], 0)</f>
        <v>0</v>
      </c>
      <c r="L1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8" s="4"/>
      <c r="N168" s="46">
        <f>IF(SO[[#This Row],[Collection date - override (dd/mm/yyyy)]] &lt;&gt; "", SO[[#This Row],[Collection date - override (dd/mm/yyyy)]], SO[[#This Row],[Due date (dd/mm/yyyy)]])</f>
        <v>0</v>
      </c>
      <c r="O168" s="46">
        <f t="shared" si="2"/>
        <v>52</v>
      </c>
    </row>
    <row r="169" spans="3:15" x14ac:dyDescent="0.25">
      <c r="C169" s="24"/>
      <c r="D169" s="20"/>
      <c r="E169" s="4"/>
      <c r="F169" s="37"/>
      <c r="G169" s="24"/>
      <c r="H169" s="51">
        <f>Assumptions!$D$15</f>
        <v>0.1</v>
      </c>
      <c r="I169" s="45">
        <f>IF(SO[[#This Row],[GST applies?]] = "Yes", (SO[[#This Row],[Value inc. GST]] / 1 + SO[[#This Row],[GST %]]) * SO[[#This Row],[GST %]], 0)</f>
        <v>0</v>
      </c>
      <c r="J169" s="31">
        <f>_xlfn.XLOOKUP(SO[[#This Row],[Customer name]], Customer_master[Customer name], Customer_master[EOM or Net], 0)</f>
        <v>0</v>
      </c>
      <c r="K169" s="31">
        <f>_xlfn.XLOOKUP(SO[[#This Row],[Customer name]], Customer_master[Customer name], Customer_master[Terms days], 0)</f>
        <v>0</v>
      </c>
      <c r="L1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9" s="4"/>
      <c r="N169" s="46">
        <f>IF(SO[[#This Row],[Collection date - override (dd/mm/yyyy)]] &lt;&gt; "", SO[[#This Row],[Collection date - override (dd/mm/yyyy)]], SO[[#This Row],[Due date (dd/mm/yyyy)]])</f>
        <v>0</v>
      </c>
      <c r="O169" s="46">
        <f t="shared" si="2"/>
        <v>52</v>
      </c>
    </row>
    <row r="170" spans="3:15" x14ac:dyDescent="0.25">
      <c r="C170" s="24"/>
      <c r="D170" s="20"/>
      <c r="E170" s="4"/>
      <c r="F170" s="37"/>
      <c r="G170" s="24"/>
      <c r="H170" s="51">
        <f>Assumptions!$D$15</f>
        <v>0.1</v>
      </c>
      <c r="I170" s="45">
        <f>IF(SO[[#This Row],[GST applies?]] = "Yes", (SO[[#This Row],[Value inc. GST]] / 1 + SO[[#This Row],[GST %]]) * SO[[#This Row],[GST %]], 0)</f>
        <v>0</v>
      </c>
      <c r="J170" s="31">
        <f>_xlfn.XLOOKUP(SO[[#This Row],[Customer name]], Customer_master[Customer name], Customer_master[EOM or Net], 0)</f>
        <v>0</v>
      </c>
      <c r="K170" s="31">
        <f>_xlfn.XLOOKUP(SO[[#This Row],[Customer name]], Customer_master[Customer name], Customer_master[Terms days], 0)</f>
        <v>0</v>
      </c>
      <c r="L1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0" s="4"/>
      <c r="N170" s="46">
        <f>IF(SO[[#This Row],[Collection date - override (dd/mm/yyyy)]] &lt;&gt; "", SO[[#This Row],[Collection date - override (dd/mm/yyyy)]], SO[[#This Row],[Due date (dd/mm/yyyy)]])</f>
        <v>0</v>
      </c>
      <c r="O170" s="46">
        <f t="shared" si="2"/>
        <v>52</v>
      </c>
    </row>
    <row r="171" spans="3:15" x14ac:dyDescent="0.25">
      <c r="C171" s="24"/>
      <c r="D171" s="20"/>
      <c r="E171" s="4"/>
      <c r="F171" s="37"/>
      <c r="G171" s="24"/>
      <c r="H171" s="51">
        <f>Assumptions!$D$15</f>
        <v>0.1</v>
      </c>
      <c r="I171" s="45">
        <f>IF(SO[[#This Row],[GST applies?]] = "Yes", (SO[[#This Row],[Value inc. GST]] / 1 + SO[[#This Row],[GST %]]) * SO[[#This Row],[GST %]], 0)</f>
        <v>0</v>
      </c>
      <c r="J171" s="31">
        <f>_xlfn.XLOOKUP(SO[[#This Row],[Customer name]], Customer_master[Customer name], Customer_master[EOM or Net], 0)</f>
        <v>0</v>
      </c>
      <c r="K171" s="31">
        <f>_xlfn.XLOOKUP(SO[[#This Row],[Customer name]], Customer_master[Customer name], Customer_master[Terms days], 0)</f>
        <v>0</v>
      </c>
      <c r="L1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1" s="4"/>
      <c r="N171" s="46">
        <f>IF(SO[[#This Row],[Collection date - override (dd/mm/yyyy)]] &lt;&gt; "", SO[[#This Row],[Collection date - override (dd/mm/yyyy)]], SO[[#This Row],[Due date (dd/mm/yyyy)]])</f>
        <v>0</v>
      </c>
      <c r="O171" s="46">
        <f t="shared" si="2"/>
        <v>52</v>
      </c>
    </row>
    <row r="172" spans="3:15" x14ac:dyDescent="0.25">
      <c r="C172" s="24"/>
      <c r="D172" s="20"/>
      <c r="E172" s="4"/>
      <c r="F172" s="37"/>
      <c r="G172" s="24"/>
      <c r="H172" s="51">
        <f>Assumptions!$D$15</f>
        <v>0.1</v>
      </c>
      <c r="I172" s="45">
        <f>IF(SO[[#This Row],[GST applies?]] = "Yes", (SO[[#This Row],[Value inc. GST]] / 1 + SO[[#This Row],[GST %]]) * SO[[#This Row],[GST %]], 0)</f>
        <v>0</v>
      </c>
      <c r="J172" s="31">
        <f>_xlfn.XLOOKUP(SO[[#This Row],[Customer name]], Customer_master[Customer name], Customer_master[EOM or Net], 0)</f>
        <v>0</v>
      </c>
      <c r="K172" s="31">
        <f>_xlfn.XLOOKUP(SO[[#This Row],[Customer name]], Customer_master[Customer name], Customer_master[Terms days], 0)</f>
        <v>0</v>
      </c>
      <c r="L1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2" s="4"/>
      <c r="N172" s="46">
        <f>IF(SO[[#This Row],[Collection date - override (dd/mm/yyyy)]] &lt;&gt; "", SO[[#This Row],[Collection date - override (dd/mm/yyyy)]], SO[[#This Row],[Due date (dd/mm/yyyy)]])</f>
        <v>0</v>
      </c>
      <c r="O172" s="46">
        <f t="shared" si="2"/>
        <v>52</v>
      </c>
    </row>
    <row r="173" spans="3:15" x14ac:dyDescent="0.25">
      <c r="C173" s="24"/>
      <c r="D173" s="20"/>
      <c r="E173" s="4"/>
      <c r="F173" s="37"/>
      <c r="G173" s="24"/>
      <c r="H173" s="51">
        <f>Assumptions!$D$15</f>
        <v>0.1</v>
      </c>
      <c r="I173" s="45">
        <f>IF(SO[[#This Row],[GST applies?]] = "Yes", (SO[[#This Row],[Value inc. GST]] / 1 + SO[[#This Row],[GST %]]) * SO[[#This Row],[GST %]], 0)</f>
        <v>0</v>
      </c>
      <c r="J173" s="31">
        <f>_xlfn.XLOOKUP(SO[[#This Row],[Customer name]], Customer_master[Customer name], Customer_master[EOM or Net], 0)</f>
        <v>0</v>
      </c>
      <c r="K173" s="31">
        <f>_xlfn.XLOOKUP(SO[[#This Row],[Customer name]], Customer_master[Customer name], Customer_master[Terms days], 0)</f>
        <v>0</v>
      </c>
      <c r="L1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3" s="4"/>
      <c r="N173" s="46">
        <f>IF(SO[[#This Row],[Collection date - override (dd/mm/yyyy)]] &lt;&gt; "", SO[[#This Row],[Collection date - override (dd/mm/yyyy)]], SO[[#This Row],[Due date (dd/mm/yyyy)]])</f>
        <v>0</v>
      </c>
      <c r="O173" s="46">
        <f t="shared" si="2"/>
        <v>52</v>
      </c>
    </row>
    <row r="174" spans="3:15" x14ac:dyDescent="0.25">
      <c r="C174" s="24"/>
      <c r="D174" s="20"/>
      <c r="E174" s="4"/>
      <c r="F174" s="37"/>
      <c r="G174" s="24"/>
      <c r="H174" s="51">
        <f>Assumptions!$D$15</f>
        <v>0.1</v>
      </c>
      <c r="I174" s="45">
        <f>IF(SO[[#This Row],[GST applies?]] = "Yes", (SO[[#This Row],[Value inc. GST]] / 1 + SO[[#This Row],[GST %]]) * SO[[#This Row],[GST %]], 0)</f>
        <v>0</v>
      </c>
      <c r="J174" s="31">
        <f>_xlfn.XLOOKUP(SO[[#This Row],[Customer name]], Customer_master[Customer name], Customer_master[EOM or Net], 0)</f>
        <v>0</v>
      </c>
      <c r="K174" s="31">
        <f>_xlfn.XLOOKUP(SO[[#This Row],[Customer name]], Customer_master[Customer name], Customer_master[Terms days], 0)</f>
        <v>0</v>
      </c>
      <c r="L1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4" s="4"/>
      <c r="N174" s="46">
        <f>IF(SO[[#This Row],[Collection date - override (dd/mm/yyyy)]] &lt;&gt; "", SO[[#This Row],[Collection date - override (dd/mm/yyyy)]], SO[[#This Row],[Due date (dd/mm/yyyy)]])</f>
        <v>0</v>
      </c>
      <c r="O174" s="46">
        <f t="shared" si="2"/>
        <v>52</v>
      </c>
    </row>
    <row r="175" spans="3:15" x14ac:dyDescent="0.25">
      <c r="C175" s="24"/>
      <c r="D175" s="20"/>
      <c r="E175" s="4"/>
      <c r="F175" s="37"/>
      <c r="G175" s="24"/>
      <c r="H175" s="51">
        <f>Assumptions!$D$15</f>
        <v>0.1</v>
      </c>
      <c r="I175" s="45">
        <f>IF(SO[[#This Row],[GST applies?]] = "Yes", (SO[[#This Row],[Value inc. GST]] / 1 + SO[[#This Row],[GST %]]) * SO[[#This Row],[GST %]], 0)</f>
        <v>0</v>
      </c>
      <c r="J175" s="31">
        <f>_xlfn.XLOOKUP(SO[[#This Row],[Customer name]], Customer_master[Customer name], Customer_master[EOM or Net], 0)</f>
        <v>0</v>
      </c>
      <c r="K175" s="31">
        <f>_xlfn.XLOOKUP(SO[[#This Row],[Customer name]], Customer_master[Customer name], Customer_master[Terms days], 0)</f>
        <v>0</v>
      </c>
      <c r="L1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5" s="4"/>
      <c r="N175" s="46">
        <f>IF(SO[[#This Row],[Collection date - override (dd/mm/yyyy)]] &lt;&gt; "", SO[[#This Row],[Collection date - override (dd/mm/yyyy)]], SO[[#This Row],[Due date (dd/mm/yyyy)]])</f>
        <v>0</v>
      </c>
      <c r="O175" s="46">
        <f t="shared" si="2"/>
        <v>52</v>
      </c>
    </row>
    <row r="176" spans="3:15" x14ac:dyDescent="0.25">
      <c r="C176" s="24"/>
      <c r="D176" s="20"/>
      <c r="E176" s="4"/>
      <c r="F176" s="37"/>
      <c r="G176" s="24"/>
      <c r="H176" s="51">
        <f>Assumptions!$D$15</f>
        <v>0.1</v>
      </c>
      <c r="I176" s="45">
        <f>IF(SO[[#This Row],[GST applies?]] = "Yes", (SO[[#This Row],[Value inc. GST]] / 1 + SO[[#This Row],[GST %]]) * SO[[#This Row],[GST %]], 0)</f>
        <v>0</v>
      </c>
      <c r="J176" s="31">
        <f>_xlfn.XLOOKUP(SO[[#This Row],[Customer name]], Customer_master[Customer name], Customer_master[EOM or Net], 0)</f>
        <v>0</v>
      </c>
      <c r="K176" s="31">
        <f>_xlfn.XLOOKUP(SO[[#This Row],[Customer name]], Customer_master[Customer name], Customer_master[Terms days], 0)</f>
        <v>0</v>
      </c>
      <c r="L1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6" s="4"/>
      <c r="N176" s="46">
        <f>IF(SO[[#This Row],[Collection date - override (dd/mm/yyyy)]] &lt;&gt; "", SO[[#This Row],[Collection date - override (dd/mm/yyyy)]], SO[[#This Row],[Due date (dd/mm/yyyy)]])</f>
        <v>0</v>
      </c>
      <c r="O176" s="46">
        <f t="shared" si="2"/>
        <v>52</v>
      </c>
    </row>
    <row r="177" spans="3:15" x14ac:dyDescent="0.25">
      <c r="C177" s="24"/>
      <c r="D177" s="20"/>
      <c r="E177" s="4"/>
      <c r="F177" s="37"/>
      <c r="G177" s="24"/>
      <c r="H177" s="51">
        <f>Assumptions!$D$15</f>
        <v>0.1</v>
      </c>
      <c r="I177" s="45">
        <f>IF(SO[[#This Row],[GST applies?]] = "Yes", (SO[[#This Row],[Value inc. GST]] / 1 + SO[[#This Row],[GST %]]) * SO[[#This Row],[GST %]], 0)</f>
        <v>0</v>
      </c>
      <c r="J177" s="31">
        <f>_xlfn.XLOOKUP(SO[[#This Row],[Customer name]], Customer_master[Customer name], Customer_master[EOM or Net], 0)</f>
        <v>0</v>
      </c>
      <c r="K177" s="31">
        <f>_xlfn.XLOOKUP(SO[[#This Row],[Customer name]], Customer_master[Customer name], Customer_master[Terms days], 0)</f>
        <v>0</v>
      </c>
      <c r="L1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7" s="4"/>
      <c r="N177" s="46">
        <f>IF(SO[[#This Row],[Collection date - override (dd/mm/yyyy)]] &lt;&gt; "", SO[[#This Row],[Collection date - override (dd/mm/yyyy)]], SO[[#This Row],[Due date (dd/mm/yyyy)]])</f>
        <v>0</v>
      </c>
      <c r="O177" s="46">
        <f t="shared" si="2"/>
        <v>52</v>
      </c>
    </row>
    <row r="178" spans="3:15" x14ac:dyDescent="0.25">
      <c r="C178" s="24"/>
      <c r="D178" s="20"/>
      <c r="E178" s="4"/>
      <c r="F178" s="37"/>
      <c r="G178" s="24"/>
      <c r="H178" s="51">
        <f>Assumptions!$D$15</f>
        <v>0.1</v>
      </c>
      <c r="I178" s="45">
        <f>IF(SO[[#This Row],[GST applies?]] = "Yes", (SO[[#This Row],[Value inc. GST]] / 1 + SO[[#This Row],[GST %]]) * SO[[#This Row],[GST %]], 0)</f>
        <v>0</v>
      </c>
      <c r="J178" s="31">
        <f>_xlfn.XLOOKUP(SO[[#This Row],[Customer name]], Customer_master[Customer name], Customer_master[EOM or Net], 0)</f>
        <v>0</v>
      </c>
      <c r="K178" s="31">
        <f>_xlfn.XLOOKUP(SO[[#This Row],[Customer name]], Customer_master[Customer name], Customer_master[Terms days], 0)</f>
        <v>0</v>
      </c>
      <c r="L1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8" s="4"/>
      <c r="N178" s="46">
        <f>IF(SO[[#This Row],[Collection date - override (dd/mm/yyyy)]] &lt;&gt; "", SO[[#This Row],[Collection date - override (dd/mm/yyyy)]], SO[[#This Row],[Due date (dd/mm/yyyy)]])</f>
        <v>0</v>
      </c>
      <c r="O178" s="46">
        <f t="shared" si="2"/>
        <v>52</v>
      </c>
    </row>
    <row r="179" spans="3:15" x14ac:dyDescent="0.25">
      <c r="C179" s="24"/>
      <c r="D179" s="20"/>
      <c r="E179" s="4"/>
      <c r="F179" s="37"/>
      <c r="G179" s="24"/>
      <c r="H179" s="51">
        <f>Assumptions!$D$15</f>
        <v>0.1</v>
      </c>
      <c r="I179" s="45">
        <f>IF(SO[[#This Row],[GST applies?]] = "Yes", (SO[[#This Row],[Value inc. GST]] / 1 + SO[[#This Row],[GST %]]) * SO[[#This Row],[GST %]], 0)</f>
        <v>0</v>
      </c>
      <c r="J179" s="31">
        <f>_xlfn.XLOOKUP(SO[[#This Row],[Customer name]], Customer_master[Customer name], Customer_master[EOM or Net], 0)</f>
        <v>0</v>
      </c>
      <c r="K179" s="31">
        <f>_xlfn.XLOOKUP(SO[[#This Row],[Customer name]], Customer_master[Customer name], Customer_master[Terms days], 0)</f>
        <v>0</v>
      </c>
      <c r="L1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9" s="4"/>
      <c r="N179" s="46">
        <f>IF(SO[[#This Row],[Collection date - override (dd/mm/yyyy)]] &lt;&gt; "", SO[[#This Row],[Collection date - override (dd/mm/yyyy)]], SO[[#This Row],[Due date (dd/mm/yyyy)]])</f>
        <v>0</v>
      </c>
      <c r="O179" s="46">
        <f t="shared" si="2"/>
        <v>52</v>
      </c>
    </row>
    <row r="180" spans="3:15" x14ac:dyDescent="0.25">
      <c r="C180" s="24"/>
      <c r="D180" s="20"/>
      <c r="E180" s="4"/>
      <c r="F180" s="37"/>
      <c r="G180" s="24"/>
      <c r="H180" s="51">
        <f>Assumptions!$D$15</f>
        <v>0.1</v>
      </c>
      <c r="I180" s="45">
        <f>IF(SO[[#This Row],[GST applies?]] = "Yes", (SO[[#This Row],[Value inc. GST]] / 1 + SO[[#This Row],[GST %]]) * SO[[#This Row],[GST %]], 0)</f>
        <v>0</v>
      </c>
      <c r="J180" s="31">
        <f>_xlfn.XLOOKUP(SO[[#This Row],[Customer name]], Customer_master[Customer name], Customer_master[EOM or Net], 0)</f>
        <v>0</v>
      </c>
      <c r="K180" s="31">
        <f>_xlfn.XLOOKUP(SO[[#This Row],[Customer name]], Customer_master[Customer name], Customer_master[Terms days], 0)</f>
        <v>0</v>
      </c>
      <c r="L1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0" s="4"/>
      <c r="N180" s="46">
        <f>IF(SO[[#This Row],[Collection date - override (dd/mm/yyyy)]] &lt;&gt; "", SO[[#This Row],[Collection date - override (dd/mm/yyyy)]], SO[[#This Row],[Due date (dd/mm/yyyy)]])</f>
        <v>0</v>
      </c>
      <c r="O180" s="46">
        <f t="shared" si="2"/>
        <v>52</v>
      </c>
    </row>
    <row r="181" spans="3:15" x14ac:dyDescent="0.25">
      <c r="C181" s="24"/>
      <c r="D181" s="20"/>
      <c r="E181" s="4"/>
      <c r="F181" s="37"/>
      <c r="G181" s="24"/>
      <c r="H181" s="51">
        <f>Assumptions!$D$15</f>
        <v>0.1</v>
      </c>
      <c r="I181" s="45">
        <f>IF(SO[[#This Row],[GST applies?]] = "Yes", (SO[[#This Row],[Value inc. GST]] / 1 + SO[[#This Row],[GST %]]) * SO[[#This Row],[GST %]], 0)</f>
        <v>0</v>
      </c>
      <c r="J181" s="31">
        <f>_xlfn.XLOOKUP(SO[[#This Row],[Customer name]], Customer_master[Customer name], Customer_master[EOM or Net], 0)</f>
        <v>0</v>
      </c>
      <c r="K181" s="31">
        <f>_xlfn.XLOOKUP(SO[[#This Row],[Customer name]], Customer_master[Customer name], Customer_master[Terms days], 0)</f>
        <v>0</v>
      </c>
      <c r="L1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1" s="4"/>
      <c r="N181" s="46">
        <f>IF(SO[[#This Row],[Collection date - override (dd/mm/yyyy)]] &lt;&gt; "", SO[[#This Row],[Collection date - override (dd/mm/yyyy)]], SO[[#This Row],[Due date (dd/mm/yyyy)]])</f>
        <v>0</v>
      </c>
      <c r="O181" s="46">
        <f t="shared" si="2"/>
        <v>52</v>
      </c>
    </row>
    <row r="182" spans="3:15" x14ac:dyDescent="0.25">
      <c r="C182" s="24"/>
      <c r="D182" s="20"/>
      <c r="E182" s="4"/>
      <c r="F182" s="37"/>
      <c r="G182" s="24"/>
      <c r="H182" s="51">
        <f>Assumptions!$D$15</f>
        <v>0.1</v>
      </c>
      <c r="I182" s="45">
        <f>IF(SO[[#This Row],[GST applies?]] = "Yes", (SO[[#This Row],[Value inc. GST]] / 1 + SO[[#This Row],[GST %]]) * SO[[#This Row],[GST %]], 0)</f>
        <v>0</v>
      </c>
      <c r="J182" s="31">
        <f>_xlfn.XLOOKUP(SO[[#This Row],[Customer name]], Customer_master[Customer name], Customer_master[EOM or Net], 0)</f>
        <v>0</v>
      </c>
      <c r="K182" s="31">
        <f>_xlfn.XLOOKUP(SO[[#This Row],[Customer name]], Customer_master[Customer name], Customer_master[Terms days], 0)</f>
        <v>0</v>
      </c>
      <c r="L1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2" s="4"/>
      <c r="N182" s="46">
        <f>IF(SO[[#This Row],[Collection date - override (dd/mm/yyyy)]] &lt;&gt; "", SO[[#This Row],[Collection date - override (dd/mm/yyyy)]], SO[[#This Row],[Due date (dd/mm/yyyy)]])</f>
        <v>0</v>
      </c>
      <c r="O182" s="46">
        <f t="shared" si="2"/>
        <v>52</v>
      </c>
    </row>
    <row r="183" spans="3:15" x14ac:dyDescent="0.25">
      <c r="C183" s="24"/>
      <c r="D183" s="20"/>
      <c r="E183" s="4"/>
      <c r="F183" s="37"/>
      <c r="G183" s="24"/>
      <c r="H183" s="51">
        <f>Assumptions!$D$15</f>
        <v>0.1</v>
      </c>
      <c r="I183" s="45">
        <f>IF(SO[[#This Row],[GST applies?]] = "Yes", (SO[[#This Row],[Value inc. GST]] / 1 + SO[[#This Row],[GST %]]) * SO[[#This Row],[GST %]], 0)</f>
        <v>0</v>
      </c>
      <c r="J183" s="31">
        <f>_xlfn.XLOOKUP(SO[[#This Row],[Customer name]], Customer_master[Customer name], Customer_master[EOM or Net], 0)</f>
        <v>0</v>
      </c>
      <c r="K183" s="31">
        <f>_xlfn.XLOOKUP(SO[[#This Row],[Customer name]], Customer_master[Customer name], Customer_master[Terms days], 0)</f>
        <v>0</v>
      </c>
      <c r="L1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3" s="4"/>
      <c r="N183" s="46">
        <f>IF(SO[[#This Row],[Collection date - override (dd/mm/yyyy)]] &lt;&gt; "", SO[[#This Row],[Collection date - override (dd/mm/yyyy)]], SO[[#This Row],[Due date (dd/mm/yyyy)]])</f>
        <v>0</v>
      </c>
      <c r="O183" s="46">
        <f t="shared" si="2"/>
        <v>52</v>
      </c>
    </row>
    <row r="184" spans="3:15" x14ac:dyDescent="0.25">
      <c r="C184" s="24"/>
      <c r="D184" s="20"/>
      <c r="E184" s="4"/>
      <c r="F184" s="37"/>
      <c r="G184" s="24"/>
      <c r="H184" s="51">
        <f>Assumptions!$D$15</f>
        <v>0.1</v>
      </c>
      <c r="I184" s="45">
        <f>IF(SO[[#This Row],[GST applies?]] = "Yes", (SO[[#This Row],[Value inc. GST]] / 1 + SO[[#This Row],[GST %]]) * SO[[#This Row],[GST %]], 0)</f>
        <v>0</v>
      </c>
      <c r="J184" s="31">
        <f>_xlfn.XLOOKUP(SO[[#This Row],[Customer name]], Customer_master[Customer name], Customer_master[EOM or Net], 0)</f>
        <v>0</v>
      </c>
      <c r="K184" s="31">
        <f>_xlfn.XLOOKUP(SO[[#This Row],[Customer name]], Customer_master[Customer name], Customer_master[Terms days], 0)</f>
        <v>0</v>
      </c>
      <c r="L1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4" s="4"/>
      <c r="N184" s="46">
        <f>IF(SO[[#This Row],[Collection date - override (dd/mm/yyyy)]] &lt;&gt; "", SO[[#This Row],[Collection date - override (dd/mm/yyyy)]], SO[[#This Row],[Due date (dd/mm/yyyy)]])</f>
        <v>0</v>
      </c>
      <c r="O184" s="46">
        <f t="shared" si="2"/>
        <v>52</v>
      </c>
    </row>
    <row r="185" spans="3:15" x14ac:dyDescent="0.25">
      <c r="C185" s="24"/>
      <c r="D185" s="20"/>
      <c r="E185" s="4"/>
      <c r="F185" s="37"/>
      <c r="G185" s="24"/>
      <c r="H185" s="51">
        <f>Assumptions!$D$15</f>
        <v>0.1</v>
      </c>
      <c r="I185" s="45">
        <f>IF(SO[[#This Row],[GST applies?]] = "Yes", (SO[[#This Row],[Value inc. GST]] / 1 + SO[[#This Row],[GST %]]) * SO[[#This Row],[GST %]], 0)</f>
        <v>0</v>
      </c>
      <c r="J185" s="31">
        <f>_xlfn.XLOOKUP(SO[[#This Row],[Customer name]], Customer_master[Customer name], Customer_master[EOM or Net], 0)</f>
        <v>0</v>
      </c>
      <c r="K185" s="31">
        <f>_xlfn.XLOOKUP(SO[[#This Row],[Customer name]], Customer_master[Customer name], Customer_master[Terms days], 0)</f>
        <v>0</v>
      </c>
      <c r="L1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5" s="4"/>
      <c r="N185" s="46">
        <f>IF(SO[[#This Row],[Collection date - override (dd/mm/yyyy)]] &lt;&gt; "", SO[[#This Row],[Collection date - override (dd/mm/yyyy)]], SO[[#This Row],[Due date (dd/mm/yyyy)]])</f>
        <v>0</v>
      </c>
      <c r="O185" s="46">
        <f t="shared" si="2"/>
        <v>52</v>
      </c>
    </row>
    <row r="186" spans="3:15" x14ac:dyDescent="0.25">
      <c r="C186" s="24"/>
      <c r="D186" s="20"/>
      <c r="E186" s="4"/>
      <c r="F186" s="37"/>
      <c r="G186" s="24"/>
      <c r="H186" s="51">
        <f>Assumptions!$D$15</f>
        <v>0.1</v>
      </c>
      <c r="I186" s="45">
        <f>IF(SO[[#This Row],[GST applies?]] = "Yes", (SO[[#This Row],[Value inc. GST]] / 1 + SO[[#This Row],[GST %]]) * SO[[#This Row],[GST %]], 0)</f>
        <v>0</v>
      </c>
      <c r="J186" s="31">
        <f>_xlfn.XLOOKUP(SO[[#This Row],[Customer name]], Customer_master[Customer name], Customer_master[EOM or Net], 0)</f>
        <v>0</v>
      </c>
      <c r="K186" s="31">
        <f>_xlfn.XLOOKUP(SO[[#This Row],[Customer name]], Customer_master[Customer name], Customer_master[Terms days], 0)</f>
        <v>0</v>
      </c>
      <c r="L1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6" s="4"/>
      <c r="N186" s="46">
        <f>IF(SO[[#This Row],[Collection date - override (dd/mm/yyyy)]] &lt;&gt; "", SO[[#This Row],[Collection date - override (dd/mm/yyyy)]], SO[[#This Row],[Due date (dd/mm/yyyy)]])</f>
        <v>0</v>
      </c>
      <c r="O186" s="46">
        <f t="shared" si="2"/>
        <v>52</v>
      </c>
    </row>
    <row r="187" spans="3:15" x14ac:dyDescent="0.25">
      <c r="C187" s="24"/>
      <c r="D187" s="20"/>
      <c r="E187" s="4"/>
      <c r="F187" s="37"/>
      <c r="G187" s="24"/>
      <c r="H187" s="51">
        <f>Assumptions!$D$15</f>
        <v>0.1</v>
      </c>
      <c r="I187" s="45">
        <f>IF(SO[[#This Row],[GST applies?]] = "Yes", (SO[[#This Row],[Value inc. GST]] / 1 + SO[[#This Row],[GST %]]) * SO[[#This Row],[GST %]], 0)</f>
        <v>0</v>
      </c>
      <c r="J187" s="31">
        <f>_xlfn.XLOOKUP(SO[[#This Row],[Customer name]], Customer_master[Customer name], Customer_master[EOM or Net], 0)</f>
        <v>0</v>
      </c>
      <c r="K187" s="31">
        <f>_xlfn.XLOOKUP(SO[[#This Row],[Customer name]], Customer_master[Customer name], Customer_master[Terms days], 0)</f>
        <v>0</v>
      </c>
      <c r="L1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7" s="4"/>
      <c r="N187" s="46">
        <f>IF(SO[[#This Row],[Collection date - override (dd/mm/yyyy)]] &lt;&gt; "", SO[[#This Row],[Collection date - override (dd/mm/yyyy)]], SO[[#This Row],[Due date (dd/mm/yyyy)]])</f>
        <v>0</v>
      </c>
      <c r="O187" s="46">
        <f t="shared" si="2"/>
        <v>52</v>
      </c>
    </row>
    <row r="188" spans="3:15" x14ac:dyDescent="0.25">
      <c r="C188" s="24"/>
      <c r="D188" s="20"/>
      <c r="E188" s="4"/>
      <c r="F188" s="37"/>
      <c r="G188" s="24"/>
      <c r="H188" s="51">
        <f>Assumptions!$D$15</f>
        <v>0.1</v>
      </c>
      <c r="I188" s="45">
        <f>IF(SO[[#This Row],[GST applies?]] = "Yes", (SO[[#This Row],[Value inc. GST]] / 1 + SO[[#This Row],[GST %]]) * SO[[#This Row],[GST %]], 0)</f>
        <v>0</v>
      </c>
      <c r="J188" s="31">
        <f>_xlfn.XLOOKUP(SO[[#This Row],[Customer name]], Customer_master[Customer name], Customer_master[EOM or Net], 0)</f>
        <v>0</v>
      </c>
      <c r="K188" s="31">
        <f>_xlfn.XLOOKUP(SO[[#This Row],[Customer name]], Customer_master[Customer name], Customer_master[Terms days], 0)</f>
        <v>0</v>
      </c>
      <c r="L1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8" s="4"/>
      <c r="N188" s="46">
        <f>IF(SO[[#This Row],[Collection date - override (dd/mm/yyyy)]] &lt;&gt; "", SO[[#This Row],[Collection date - override (dd/mm/yyyy)]], SO[[#This Row],[Due date (dd/mm/yyyy)]])</f>
        <v>0</v>
      </c>
      <c r="O188" s="46">
        <f t="shared" si="2"/>
        <v>52</v>
      </c>
    </row>
    <row r="189" spans="3:15" x14ac:dyDescent="0.25">
      <c r="C189" s="24"/>
      <c r="D189" s="20"/>
      <c r="E189" s="4"/>
      <c r="F189" s="37"/>
      <c r="G189" s="24"/>
      <c r="H189" s="51">
        <f>Assumptions!$D$15</f>
        <v>0.1</v>
      </c>
      <c r="I189" s="45">
        <f>IF(SO[[#This Row],[GST applies?]] = "Yes", (SO[[#This Row],[Value inc. GST]] / 1 + SO[[#This Row],[GST %]]) * SO[[#This Row],[GST %]], 0)</f>
        <v>0</v>
      </c>
      <c r="J189" s="31">
        <f>_xlfn.XLOOKUP(SO[[#This Row],[Customer name]], Customer_master[Customer name], Customer_master[EOM or Net], 0)</f>
        <v>0</v>
      </c>
      <c r="K189" s="31">
        <f>_xlfn.XLOOKUP(SO[[#This Row],[Customer name]], Customer_master[Customer name], Customer_master[Terms days], 0)</f>
        <v>0</v>
      </c>
      <c r="L1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9" s="4"/>
      <c r="N189" s="46">
        <f>IF(SO[[#This Row],[Collection date - override (dd/mm/yyyy)]] &lt;&gt; "", SO[[#This Row],[Collection date - override (dd/mm/yyyy)]], SO[[#This Row],[Due date (dd/mm/yyyy)]])</f>
        <v>0</v>
      </c>
      <c r="O189" s="46">
        <f t="shared" si="2"/>
        <v>52</v>
      </c>
    </row>
    <row r="190" spans="3:15" x14ac:dyDescent="0.25">
      <c r="C190" s="24"/>
      <c r="D190" s="20"/>
      <c r="E190" s="4"/>
      <c r="F190" s="37"/>
      <c r="G190" s="24"/>
      <c r="H190" s="51">
        <f>Assumptions!$D$15</f>
        <v>0.1</v>
      </c>
      <c r="I190" s="45">
        <f>IF(SO[[#This Row],[GST applies?]] = "Yes", (SO[[#This Row],[Value inc. GST]] / 1 + SO[[#This Row],[GST %]]) * SO[[#This Row],[GST %]], 0)</f>
        <v>0</v>
      </c>
      <c r="J190" s="31">
        <f>_xlfn.XLOOKUP(SO[[#This Row],[Customer name]], Customer_master[Customer name], Customer_master[EOM or Net], 0)</f>
        <v>0</v>
      </c>
      <c r="K190" s="31">
        <f>_xlfn.XLOOKUP(SO[[#This Row],[Customer name]], Customer_master[Customer name], Customer_master[Terms days], 0)</f>
        <v>0</v>
      </c>
      <c r="L1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0" s="4"/>
      <c r="N190" s="46">
        <f>IF(SO[[#This Row],[Collection date - override (dd/mm/yyyy)]] &lt;&gt; "", SO[[#This Row],[Collection date - override (dd/mm/yyyy)]], SO[[#This Row],[Due date (dd/mm/yyyy)]])</f>
        <v>0</v>
      </c>
      <c r="O190" s="46">
        <f t="shared" si="2"/>
        <v>52</v>
      </c>
    </row>
    <row r="191" spans="3:15" x14ac:dyDescent="0.25">
      <c r="C191" s="24"/>
      <c r="D191" s="20"/>
      <c r="E191" s="4"/>
      <c r="F191" s="37"/>
      <c r="G191" s="24"/>
      <c r="H191" s="51">
        <f>Assumptions!$D$15</f>
        <v>0.1</v>
      </c>
      <c r="I191" s="45">
        <f>IF(SO[[#This Row],[GST applies?]] = "Yes", (SO[[#This Row],[Value inc. GST]] / 1 + SO[[#This Row],[GST %]]) * SO[[#This Row],[GST %]], 0)</f>
        <v>0</v>
      </c>
      <c r="J191" s="31">
        <f>_xlfn.XLOOKUP(SO[[#This Row],[Customer name]], Customer_master[Customer name], Customer_master[EOM or Net], 0)</f>
        <v>0</v>
      </c>
      <c r="K191" s="31">
        <f>_xlfn.XLOOKUP(SO[[#This Row],[Customer name]], Customer_master[Customer name], Customer_master[Terms days], 0)</f>
        <v>0</v>
      </c>
      <c r="L1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1" s="4"/>
      <c r="N191" s="46">
        <f>IF(SO[[#This Row],[Collection date - override (dd/mm/yyyy)]] &lt;&gt; "", SO[[#This Row],[Collection date - override (dd/mm/yyyy)]], SO[[#This Row],[Due date (dd/mm/yyyy)]])</f>
        <v>0</v>
      </c>
      <c r="O191" s="46">
        <f t="shared" si="2"/>
        <v>52</v>
      </c>
    </row>
    <row r="192" spans="3:15" x14ac:dyDescent="0.25">
      <c r="C192" s="24"/>
      <c r="D192" s="20"/>
      <c r="E192" s="4"/>
      <c r="F192" s="37"/>
      <c r="G192" s="24"/>
      <c r="H192" s="51">
        <f>Assumptions!$D$15</f>
        <v>0.1</v>
      </c>
      <c r="I192" s="45">
        <f>IF(SO[[#This Row],[GST applies?]] = "Yes", (SO[[#This Row],[Value inc. GST]] / 1 + SO[[#This Row],[GST %]]) * SO[[#This Row],[GST %]], 0)</f>
        <v>0</v>
      </c>
      <c r="J192" s="31">
        <f>_xlfn.XLOOKUP(SO[[#This Row],[Customer name]], Customer_master[Customer name], Customer_master[EOM or Net], 0)</f>
        <v>0</v>
      </c>
      <c r="K192" s="31">
        <f>_xlfn.XLOOKUP(SO[[#This Row],[Customer name]], Customer_master[Customer name], Customer_master[Terms days], 0)</f>
        <v>0</v>
      </c>
      <c r="L1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2" s="4"/>
      <c r="N192" s="46">
        <f>IF(SO[[#This Row],[Collection date - override (dd/mm/yyyy)]] &lt;&gt; "", SO[[#This Row],[Collection date - override (dd/mm/yyyy)]], SO[[#This Row],[Due date (dd/mm/yyyy)]])</f>
        <v>0</v>
      </c>
      <c r="O192" s="46">
        <f t="shared" si="2"/>
        <v>52</v>
      </c>
    </row>
    <row r="193" spans="3:15" x14ac:dyDescent="0.25">
      <c r="C193" s="24"/>
      <c r="D193" s="20"/>
      <c r="E193" s="4"/>
      <c r="F193" s="37"/>
      <c r="G193" s="24"/>
      <c r="H193" s="51">
        <f>Assumptions!$D$15</f>
        <v>0.1</v>
      </c>
      <c r="I193" s="45">
        <f>IF(SO[[#This Row],[GST applies?]] = "Yes", (SO[[#This Row],[Value inc. GST]] / 1 + SO[[#This Row],[GST %]]) * SO[[#This Row],[GST %]], 0)</f>
        <v>0</v>
      </c>
      <c r="J193" s="31">
        <f>_xlfn.XLOOKUP(SO[[#This Row],[Customer name]], Customer_master[Customer name], Customer_master[EOM or Net], 0)</f>
        <v>0</v>
      </c>
      <c r="K193" s="31">
        <f>_xlfn.XLOOKUP(SO[[#This Row],[Customer name]], Customer_master[Customer name], Customer_master[Terms days], 0)</f>
        <v>0</v>
      </c>
      <c r="L1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3" s="4"/>
      <c r="N193" s="46">
        <f>IF(SO[[#This Row],[Collection date - override (dd/mm/yyyy)]] &lt;&gt; "", SO[[#This Row],[Collection date - override (dd/mm/yyyy)]], SO[[#This Row],[Due date (dd/mm/yyyy)]])</f>
        <v>0</v>
      </c>
      <c r="O193" s="46">
        <f t="shared" si="2"/>
        <v>52</v>
      </c>
    </row>
    <row r="194" spans="3:15" x14ac:dyDescent="0.25">
      <c r="C194" s="24"/>
      <c r="D194" s="20"/>
      <c r="E194" s="4"/>
      <c r="F194" s="37"/>
      <c r="G194" s="24"/>
      <c r="H194" s="51">
        <f>Assumptions!$D$15</f>
        <v>0.1</v>
      </c>
      <c r="I194" s="45">
        <f>IF(SO[[#This Row],[GST applies?]] = "Yes", (SO[[#This Row],[Value inc. GST]] / 1 + SO[[#This Row],[GST %]]) * SO[[#This Row],[GST %]], 0)</f>
        <v>0</v>
      </c>
      <c r="J194" s="31">
        <f>_xlfn.XLOOKUP(SO[[#This Row],[Customer name]], Customer_master[Customer name], Customer_master[EOM or Net], 0)</f>
        <v>0</v>
      </c>
      <c r="K194" s="31">
        <f>_xlfn.XLOOKUP(SO[[#This Row],[Customer name]], Customer_master[Customer name], Customer_master[Terms days], 0)</f>
        <v>0</v>
      </c>
      <c r="L1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4" s="4"/>
      <c r="N194" s="46">
        <f>IF(SO[[#This Row],[Collection date - override (dd/mm/yyyy)]] &lt;&gt; "", SO[[#This Row],[Collection date - override (dd/mm/yyyy)]], SO[[#This Row],[Due date (dd/mm/yyyy)]])</f>
        <v>0</v>
      </c>
      <c r="O194" s="46">
        <f t="shared" si="2"/>
        <v>52</v>
      </c>
    </row>
    <row r="195" spans="3:15" x14ac:dyDescent="0.25">
      <c r="C195" s="24"/>
      <c r="D195" s="20"/>
      <c r="E195" s="4"/>
      <c r="F195" s="37"/>
      <c r="G195" s="24"/>
      <c r="H195" s="51">
        <f>Assumptions!$D$15</f>
        <v>0.1</v>
      </c>
      <c r="I195" s="45">
        <f>IF(SO[[#This Row],[GST applies?]] = "Yes", (SO[[#This Row],[Value inc. GST]] / 1 + SO[[#This Row],[GST %]]) * SO[[#This Row],[GST %]], 0)</f>
        <v>0</v>
      </c>
      <c r="J195" s="31">
        <f>_xlfn.XLOOKUP(SO[[#This Row],[Customer name]], Customer_master[Customer name], Customer_master[EOM or Net], 0)</f>
        <v>0</v>
      </c>
      <c r="K195" s="31">
        <f>_xlfn.XLOOKUP(SO[[#This Row],[Customer name]], Customer_master[Customer name], Customer_master[Terms days], 0)</f>
        <v>0</v>
      </c>
      <c r="L1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5" s="4"/>
      <c r="N195" s="46">
        <f>IF(SO[[#This Row],[Collection date - override (dd/mm/yyyy)]] &lt;&gt; "", SO[[#This Row],[Collection date - override (dd/mm/yyyy)]], SO[[#This Row],[Due date (dd/mm/yyyy)]])</f>
        <v>0</v>
      </c>
      <c r="O195" s="46">
        <f t="shared" si="2"/>
        <v>52</v>
      </c>
    </row>
    <row r="196" spans="3:15" x14ac:dyDescent="0.25">
      <c r="C196" s="24"/>
      <c r="D196" s="20"/>
      <c r="E196" s="4"/>
      <c r="F196" s="37"/>
      <c r="G196" s="24"/>
      <c r="H196" s="51">
        <f>Assumptions!$D$15</f>
        <v>0.1</v>
      </c>
      <c r="I196" s="45">
        <f>IF(SO[[#This Row],[GST applies?]] = "Yes", (SO[[#This Row],[Value inc. GST]] / 1 + SO[[#This Row],[GST %]]) * SO[[#This Row],[GST %]], 0)</f>
        <v>0</v>
      </c>
      <c r="J196" s="31">
        <f>_xlfn.XLOOKUP(SO[[#This Row],[Customer name]], Customer_master[Customer name], Customer_master[EOM or Net], 0)</f>
        <v>0</v>
      </c>
      <c r="K196" s="31">
        <f>_xlfn.XLOOKUP(SO[[#This Row],[Customer name]], Customer_master[Customer name], Customer_master[Terms days], 0)</f>
        <v>0</v>
      </c>
      <c r="L1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6" s="4"/>
      <c r="N196" s="46">
        <f>IF(SO[[#This Row],[Collection date - override (dd/mm/yyyy)]] &lt;&gt; "", SO[[#This Row],[Collection date - override (dd/mm/yyyy)]], SO[[#This Row],[Due date (dd/mm/yyyy)]])</f>
        <v>0</v>
      </c>
      <c r="O196" s="46">
        <f t="shared" si="2"/>
        <v>52</v>
      </c>
    </row>
    <row r="197" spans="3:15" x14ac:dyDescent="0.25">
      <c r="C197" s="24"/>
      <c r="D197" s="20"/>
      <c r="E197" s="4"/>
      <c r="F197" s="37"/>
      <c r="G197" s="24"/>
      <c r="H197" s="51">
        <f>Assumptions!$D$15</f>
        <v>0.1</v>
      </c>
      <c r="I197" s="45">
        <f>IF(SO[[#This Row],[GST applies?]] = "Yes", (SO[[#This Row],[Value inc. GST]] / 1 + SO[[#This Row],[GST %]]) * SO[[#This Row],[GST %]], 0)</f>
        <v>0</v>
      </c>
      <c r="J197" s="31">
        <f>_xlfn.XLOOKUP(SO[[#This Row],[Customer name]], Customer_master[Customer name], Customer_master[EOM or Net], 0)</f>
        <v>0</v>
      </c>
      <c r="K197" s="31">
        <f>_xlfn.XLOOKUP(SO[[#This Row],[Customer name]], Customer_master[Customer name], Customer_master[Terms days], 0)</f>
        <v>0</v>
      </c>
      <c r="L1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7" s="4"/>
      <c r="N197" s="46">
        <f>IF(SO[[#This Row],[Collection date - override (dd/mm/yyyy)]] &lt;&gt; "", SO[[#This Row],[Collection date - override (dd/mm/yyyy)]], SO[[#This Row],[Due date (dd/mm/yyyy)]])</f>
        <v>0</v>
      </c>
      <c r="O197" s="46">
        <f t="shared" si="2"/>
        <v>52</v>
      </c>
    </row>
    <row r="198" spans="3:15" x14ac:dyDescent="0.25">
      <c r="C198" s="24"/>
      <c r="D198" s="20"/>
      <c r="E198" s="4"/>
      <c r="F198" s="37"/>
      <c r="G198" s="24"/>
      <c r="H198" s="51">
        <f>Assumptions!$D$15</f>
        <v>0.1</v>
      </c>
      <c r="I198" s="45">
        <f>IF(SO[[#This Row],[GST applies?]] = "Yes", (SO[[#This Row],[Value inc. GST]] / 1 + SO[[#This Row],[GST %]]) * SO[[#This Row],[GST %]], 0)</f>
        <v>0</v>
      </c>
      <c r="J198" s="31">
        <f>_xlfn.XLOOKUP(SO[[#This Row],[Customer name]], Customer_master[Customer name], Customer_master[EOM or Net], 0)</f>
        <v>0</v>
      </c>
      <c r="K198" s="31">
        <f>_xlfn.XLOOKUP(SO[[#This Row],[Customer name]], Customer_master[Customer name], Customer_master[Terms days], 0)</f>
        <v>0</v>
      </c>
      <c r="L1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8" s="4"/>
      <c r="N198" s="46">
        <f>IF(SO[[#This Row],[Collection date - override (dd/mm/yyyy)]] &lt;&gt; "", SO[[#This Row],[Collection date - override (dd/mm/yyyy)]], SO[[#This Row],[Due date (dd/mm/yyyy)]])</f>
        <v>0</v>
      </c>
      <c r="O198" s="46">
        <f t="shared" si="2"/>
        <v>52</v>
      </c>
    </row>
    <row r="199" spans="3:15" x14ac:dyDescent="0.25">
      <c r="C199" s="24"/>
      <c r="D199" s="20"/>
      <c r="E199" s="4"/>
      <c r="F199" s="37"/>
      <c r="G199" s="24"/>
      <c r="H199" s="51">
        <f>Assumptions!$D$15</f>
        <v>0.1</v>
      </c>
      <c r="I199" s="45">
        <f>IF(SO[[#This Row],[GST applies?]] = "Yes", (SO[[#This Row],[Value inc. GST]] / 1 + SO[[#This Row],[GST %]]) * SO[[#This Row],[GST %]], 0)</f>
        <v>0</v>
      </c>
      <c r="J199" s="31">
        <f>_xlfn.XLOOKUP(SO[[#This Row],[Customer name]], Customer_master[Customer name], Customer_master[EOM or Net], 0)</f>
        <v>0</v>
      </c>
      <c r="K199" s="31">
        <f>_xlfn.XLOOKUP(SO[[#This Row],[Customer name]], Customer_master[Customer name], Customer_master[Terms days], 0)</f>
        <v>0</v>
      </c>
      <c r="L1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9" s="4"/>
      <c r="N199" s="46">
        <f>IF(SO[[#This Row],[Collection date - override (dd/mm/yyyy)]] &lt;&gt; "", SO[[#This Row],[Collection date - override (dd/mm/yyyy)]], SO[[#This Row],[Due date (dd/mm/yyyy)]])</f>
        <v>0</v>
      </c>
      <c r="O199" s="46">
        <f t="shared" si="2"/>
        <v>52</v>
      </c>
    </row>
    <row r="200" spans="3:15" x14ac:dyDescent="0.25">
      <c r="C200" s="24"/>
      <c r="D200" s="20"/>
      <c r="E200" s="4"/>
      <c r="F200" s="37"/>
      <c r="G200" s="24"/>
      <c r="H200" s="51">
        <f>Assumptions!$D$15</f>
        <v>0.1</v>
      </c>
      <c r="I200" s="45">
        <f>IF(SO[[#This Row],[GST applies?]] = "Yes", (SO[[#This Row],[Value inc. GST]] / 1 + SO[[#This Row],[GST %]]) * SO[[#This Row],[GST %]], 0)</f>
        <v>0</v>
      </c>
      <c r="J200" s="31">
        <f>_xlfn.XLOOKUP(SO[[#This Row],[Customer name]], Customer_master[Customer name], Customer_master[EOM or Net], 0)</f>
        <v>0</v>
      </c>
      <c r="K200" s="31">
        <f>_xlfn.XLOOKUP(SO[[#This Row],[Customer name]], Customer_master[Customer name], Customer_master[Terms days], 0)</f>
        <v>0</v>
      </c>
      <c r="L2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0" s="4"/>
      <c r="N200" s="46">
        <f>IF(SO[[#This Row],[Collection date - override (dd/mm/yyyy)]] &lt;&gt; "", SO[[#This Row],[Collection date - override (dd/mm/yyyy)]], SO[[#This Row],[Due date (dd/mm/yyyy)]])</f>
        <v>0</v>
      </c>
      <c r="O200" s="46">
        <f t="shared" si="2"/>
        <v>52</v>
      </c>
    </row>
    <row r="201" spans="3:15" x14ac:dyDescent="0.25">
      <c r="C201" s="24"/>
      <c r="D201" s="20"/>
      <c r="E201" s="4"/>
      <c r="F201" s="37"/>
      <c r="G201" s="24"/>
      <c r="H201" s="51">
        <f>Assumptions!$D$15</f>
        <v>0.1</v>
      </c>
      <c r="I201" s="45">
        <f>IF(SO[[#This Row],[GST applies?]] = "Yes", (SO[[#This Row],[Value inc. GST]] / 1 + SO[[#This Row],[GST %]]) * SO[[#This Row],[GST %]], 0)</f>
        <v>0</v>
      </c>
      <c r="J201" s="31">
        <f>_xlfn.XLOOKUP(SO[[#This Row],[Customer name]], Customer_master[Customer name], Customer_master[EOM or Net], 0)</f>
        <v>0</v>
      </c>
      <c r="K201" s="31">
        <f>_xlfn.XLOOKUP(SO[[#This Row],[Customer name]], Customer_master[Customer name], Customer_master[Terms days], 0)</f>
        <v>0</v>
      </c>
      <c r="L2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1" s="4"/>
      <c r="N201" s="46">
        <f>IF(SO[[#This Row],[Collection date - override (dd/mm/yyyy)]] &lt;&gt; "", SO[[#This Row],[Collection date - override (dd/mm/yyyy)]], SO[[#This Row],[Due date (dd/mm/yyyy)]])</f>
        <v>0</v>
      </c>
      <c r="O201" s="46">
        <f t="shared" ref="O201:O264" si="3">IF(GST_Freq="Monthly",
    DATE(YEAR(E201), MONTH(E201) + 1, 21),
    IF(GST_Freq="Quarterly",
        IF(MOD(MONTH(E201) + 2 - MOD(MOD(MONTH(E201) - GST_First_Month, 12), 3), 12) = 0,
            DATE(YEAR(E201), MONTH(E201) + 4 - MOD(MOD(MONTH(E201) - GST_First_Month, 12), 3), 28),
            DATE(YEAR(E201), MONTH(E201) + 3 - MOD(MOD(MONTH(E201) - GST_First_Month, 12), 3), 28)
        ),
        "Invalid frequency"
    )
)</f>
        <v>52</v>
      </c>
    </row>
    <row r="202" spans="3:15" x14ac:dyDescent="0.25">
      <c r="C202" s="24"/>
      <c r="D202" s="20"/>
      <c r="E202" s="4"/>
      <c r="F202" s="37"/>
      <c r="G202" s="24"/>
      <c r="H202" s="51">
        <f>Assumptions!$D$15</f>
        <v>0.1</v>
      </c>
      <c r="I202" s="45">
        <f>IF(SO[[#This Row],[GST applies?]] = "Yes", (SO[[#This Row],[Value inc. GST]] / 1 + SO[[#This Row],[GST %]]) * SO[[#This Row],[GST %]], 0)</f>
        <v>0</v>
      </c>
      <c r="J202" s="31">
        <f>_xlfn.XLOOKUP(SO[[#This Row],[Customer name]], Customer_master[Customer name], Customer_master[EOM or Net], 0)</f>
        <v>0</v>
      </c>
      <c r="K202" s="31">
        <f>_xlfn.XLOOKUP(SO[[#This Row],[Customer name]], Customer_master[Customer name], Customer_master[Terms days], 0)</f>
        <v>0</v>
      </c>
      <c r="L2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2" s="4"/>
      <c r="N202" s="46">
        <f>IF(SO[[#This Row],[Collection date - override (dd/mm/yyyy)]] &lt;&gt; "", SO[[#This Row],[Collection date - override (dd/mm/yyyy)]], SO[[#This Row],[Due date (dd/mm/yyyy)]])</f>
        <v>0</v>
      </c>
      <c r="O202" s="46">
        <f t="shared" si="3"/>
        <v>52</v>
      </c>
    </row>
    <row r="203" spans="3:15" x14ac:dyDescent="0.25">
      <c r="C203" s="24"/>
      <c r="D203" s="20"/>
      <c r="E203" s="4"/>
      <c r="F203" s="37"/>
      <c r="G203" s="24"/>
      <c r="H203" s="51">
        <f>Assumptions!$D$15</f>
        <v>0.1</v>
      </c>
      <c r="I203" s="45">
        <f>IF(SO[[#This Row],[GST applies?]] = "Yes", (SO[[#This Row],[Value inc. GST]] / 1 + SO[[#This Row],[GST %]]) * SO[[#This Row],[GST %]], 0)</f>
        <v>0</v>
      </c>
      <c r="J203" s="31">
        <f>_xlfn.XLOOKUP(SO[[#This Row],[Customer name]], Customer_master[Customer name], Customer_master[EOM or Net], 0)</f>
        <v>0</v>
      </c>
      <c r="K203" s="31">
        <f>_xlfn.XLOOKUP(SO[[#This Row],[Customer name]], Customer_master[Customer name], Customer_master[Terms days], 0)</f>
        <v>0</v>
      </c>
      <c r="L2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3" s="4"/>
      <c r="N203" s="46">
        <f>IF(SO[[#This Row],[Collection date - override (dd/mm/yyyy)]] &lt;&gt; "", SO[[#This Row],[Collection date - override (dd/mm/yyyy)]], SO[[#This Row],[Due date (dd/mm/yyyy)]])</f>
        <v>0</v>
      </c>
      <c r="O203" s="46">
        <f t="shared" si="3"/>
        <v>52</v>
      </c>
    </row>
    <row r="204" spans="3:15" x14ac:dyDescent="0.25">
      <c r="C204" s="24"/>
      <c r="D204" s="20"/>
      <c r="E204" s="4"/>
      <c r="F204" s="37"/>
      <c r="G204" s="24"/>
      <c r="H204" s="51">
        <f>Assumptions!$D$15</f>
        <v>0.1</v>
      </c>
      <c r="I204" s="45">
        <f>IF(SO[[#This Row],[GST applies?]] = "Yes", (SO[[#This Row],[Value inc. GST]] / 1 + SO[[#This Row],[GST %]]) * SO[[#This Row],[GST %]], 0)</f>
        <v>0</v>
      </c>
      <c r="J204" s="31">
        <f>_xlfn.XLOOKUP(SO[[#This Row],[Customer name]], Customer_master[Customer name], Customer_master[EOM or Net], 0)</f>
        <v>0</v>
      </c>
      <c r="K204" s="31">
        <f>_xlfn.XLOOKUP(SO[[#This Row],[Customer name]], Customer_master[Customer name], Customer_master[Terms days], 0)</f>
        <v>0</v>
      </c>
      <c r="L2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4" s="4"/>
      <c r="N204" s="46">
        <f>IF(SO[[#This Row],[Collection date - override (dd/mm/yyyy)]] &lt;&gt; "", SO[[#This Row],[Collection date - override (dd/mm/yyyy)]], SO[[#This Row],[Due date (dd/mm/yyyy)]])</f>
        <v>0</v>
      </c>
      <c r="O204" s="46">
        <f t="shared" si="3"/>
        <v>52</v>
      </c>
    </row>
    <row r="205" spans="3:15" x14ac:dyDescent="0.25">
      <c r="C205" s="24"/>
      <c r="D205" s="20"/>
      <c r="E205" s="4"/>
      <c r="F205" s="37"/>
      <c r="G205" s="24"/>
      <c r="H205" s="51">
        <f>Assumptions!$D$15</f>
        <v>0.1</v>
      </c>
      <c r="I205" s="45">
        <f>IF(SO[[#This Row],[GST applies?]] = "Yes", (SO[[#This Row],[Value inc. GST]] / 1 + SO[[#This Row],[GST %]]) * SO[[#This Row],[GST %]], 0)</f>
        <v>0</v>
      </c>
      <c r="J205" s="31">
        <f>_xlfn.XLOOKUP(SO[[#This Row],[Customer name]], Customer_master[Customer name], Customer_master[EOM or Net], 0)</f>
        <v>0</v>
      </c>
      <c r="K205" s="31">
        <f>_xlfn.XLOOKUP(SO[[#This Row],[Customer name]], Customer_master[Customer name], Customer_master[Terms days], 0)</f>
        <v>0</v>
      </c>
      <c r="L2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5" s="4"/>
      <c r="N205" s="46">
        <f>IF(SO[[#This Row],[Collection date - override (dd/mm/yyyy)]] &lt;&gt; "", SO[[#This Row],[Collection date - override (dd/mm/yyyy)]], SO[[#This Row],[Due date (dd/mm/yyyy)]])</f>
        <v>0</v>
      </c>
      <c r="O205" s="46">
        <f t="shared" si="3"/>
        <v>52</v>
      </c>
    </row>
    <row r="206" spans="3:15" x14ac:dyDescent="0.25">
      <c r="C206" s="24"/>
      <c r="D206" s="20"/>
      <c r="E206" s="4"/>
      <c r="F206" s="37"/>
      <c r="G206" s="24"/>
      <c r="H206" s="51">
        <f>Assumptions!$D$15</f>
        <v>0.1</v>
      </c>
      <c r="I206" s="45">
        <f>IF(SO[[#This Row],[GST applies?]] = "Yes", (SO[[#This Row],[Value inc. GST]] / 1 + SO[[#This Row],[GST %]]) * SO[[#This Row],[GST %]], 0)</f>
        <v>0</v>
      </c>
      <c r="J206" s="31">
        <f>_xlfn.XLOOKUP(SO[[#This Row],[Customer name]], Customer_master[Customer name], Customer_master[EOM or Net], 0)</f>
        <v>0</v>
      </c>
      <c r="K206" s="31">
        <f>_xlfn.XLOOKUP(SO[[#This Row],[Customer name]], Customer_master[Customer name], Customer_master[Terms days], 0)</f>
        <v>0</v>
      </c>
      <c r="L2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6" s="4"/>
      <c r="N206" s="46">
        <f>IF(SO[[#This Row],[Collection date - override (dd/mm/yyyy)]] &lt;&gt; "", SO[[#This Row],[Collection date - override (dd/mm/yyyy)]], SO[[#This Row],[Due date (dd/mm/yyyy)]])</f>
        <v>0</v>
      </c>
      <c r="O206" s="46">
        <f t="shared" si="3"/>
        <v>52</v>
      </c>
    </row>
    <row r="207" spans="3:15" x14ac:dyDescent="0.25">
      <c r="C207" s="24"/>
      <c r="D207" s="20"/>
      <c r="E207" s="4"/>
      <c r="F207" s="37"/>
      <c r="G207" s="24"/>
      <c r="H207" s="51">
        <f>Assumptions!$D$15</f>
        <v>0.1</v>
      </c>
      <c r="I207" s="45">
        <f>IF(SO[[#This Row],[GST applies?]] = "Yes", (SO[[#This Row],[Value inc. GST]] / 1 + SO[[#This Row],[GST %]]) * SO[[#This Row],[GST %]], 0)</f>
        <v>0</v>
      </c>
      <c r="J207" s="31">
        <f>_xlfn.XLOOKUP(SO[[#This Row],[Customer name]], Customer_master[Customer name], Customer_master[EOM or Net], 0)</f>
        <v>0</v>
      </c>
      <c r="K207" s="31">
        <f>_xlfn.XLOOKUP(SO[[#This Row],[Customer name]], Customer_master[Customer name], Customer_master[Terms days], 0)</f>
        <v>0</v>
      </c>
      <c r="L2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7" s="4"/>
      <c r="N207" s="46">
        <f>IF(SO[[#This Row],[Collection date - override (dd/mm/yyyy)]] &lt;&gt; "", SO[[#This Row],[Collection date - override (dd/mm/yyyy)]], SO[[#This Row],[Due date (dd/mm/yyyy)]])</f>
        <v>0</v>
      </c>
      <c r="O207" s="46">
        <f t="shared" si="3"/>
        <v>52</v>
      </c>
    </row>
    <row r="208" spans="3:15" x14ac:dyDescent="0.25">
      <c r="C208" s="24"/>
      <c r="D208" s="20"/>
      <c r="E208" s="4"/>
      <c r="F208" s="37"/>
      <c r="G208" s="24"/>
      <c r="H208" s="51">
        <f>Assumptions!$D$15</f>
        <v>0.1</v>
      </c>
      <c r="I208" s="45">
        <f>IF(SO[[#This Row],[GST applies?]] = "Yes", (SO[[#This Row],[Value inc. GST]] / 1 + SO[[#This Row],[GST %]]) * SO[[#This Row],[GST %]], 0)</f>
        <v>0</v>
      </c>
      <c r="J208" s="31">
        <f>_xlfn.XLOOKUP(SO[[#This Row],[Customer name]], Customer_master[Customer name], Customer_master[EOM or Net], 0)</f>
        <v>0</v>
      </c>
      <c r="K208" s="31">
        <f>_xlfn.XLOOKUP(SO[[#This Row],[Customer name]], Customer_master[Customer name], Customer_master[Terms days], 0)</f>
        <v>0</v>
      </c>
      <c r="L2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8" s="4"/>
      <c r="N208" s="46">
        <f>IF(SO[[#This Row],[Collection date - override (dd/mm/yyyy)]] &lt;&gt; "", SO[[#This Row],[Collection date - override (dd/mm/yyyy)]], SO[[#This Row],[Due date (dd/mm/yyyy)]])</f>
        <v>0</v>
      </c>
      <c r="O208" s="46">
        <f t="shared" si="3"/>
        <v>52</v>
      </c>
    </row>
    <row r="209" spans="3:15" x14ac:dyDescent="0.25">
      <c r="C209" s="24"/>
      <c r="D209" s="20"/>
      <c r="E209" s="4"/>
      <c r="F209" s="37"/>
      <c r="G209" s="24"/>
      <c r="H209" s="51">
        <f>Assumptions!$D$15</f>
        <v>0.1</v>
      </c>
      <c r="I209" s="45">
        <f>IF(SO[[#This Row],[GST applies?]] = "Yes", (SO[[#This Row],[Value inc. GST]] / 1 + SO[[#This Row],[GST %]]) * SO[[#This Row],[GST %]], 0)</f>
        <v>0</v>
      </c>
      <c r="J209" s="31">
        <f>_xlfn.XLOOKUP(SO[[#This Row],[Customer name]], Customer_master[Customer name], Customer_master[EOM or Net], 0)</f>
        <v>0</v>
      </c>
      <c r="K209" s="31">
        <f>_xlfn.XLOOKUP(SO[[#This Row],[Customer name]], Customer_master[Customer name], Customer_master[Terms days], 0)</f>
        <v>0</v>
      </c>
      <c r="L2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9" s="4"/>
      <c r="N209" s="46">
        <f>IF(SO[[#This Row],[Collection date - override (dd/mm/yyyy)]] &lt;&gt; "", SO[[#This Row],[Collection date - override (dd/mm/yyyy)]], SO[[#This Row],[Due date (dd/mm/yyyy)]])</f>
        <v>0</v>
      </c>
      <c r="O209" s="46">
        <f t="shared" si="3"/>
        <v>52</v>
      </c>
    </row>
    <row r="210" spans="3:15" x14ac:dyDescent="0.25">
      <c r="C210" s="24"/>
      <c r="D210" s="20"/>
      <c r="E210" s="4"/>
      <c r="F210" s="37"/>
      <c r="G210" s="24"/>
      <c r="H210" s="51">
        <f>Assumptions!$D$15</f>
        <v>0.1</v>
      </c>
      <c r="I210" s="45">
        <f>IF(SO[[#This Row],[GST applies?]] = "Yes", (SO[[#This Row],[Value inc. GST]] / 1 + SO[[#This Row],[GST %]]) * SO[[#This Row],[GST %]], 0)</f>
        <v>0</v>
      </c>
      <c r="J210" s="31">
        <f>_xlfn.XLOOKUP(SO[[#This Row],[Customer name]], Customer_master[Customer name], Customer_master[EOM or Net], 0)</f>
        <v>0</v>
      </c>
      <c r="K210" s="31">
        <f>_xlfn.XLOOKUP(SO[[#This Row],[Customer name]], Customer_master[Customer name], Customer_master[Terms days], 0)</f>
        <v>0</v>
      </c>
      <c r="L2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0" s="4"/>
      <c r="N210" s="46">
        <f>IF(SO[[#This Row],[Collection date - override (dd/mm/yyyy)]] &lt;&gt; "", SO[[#This Row],[Collection date - override (dd/mm/yyyy)]], SO[[#This Row],[Due date (dd/mm/yyyy)]])</f>
        <v>0</v>
      </c>
      <c r="O210" s="46">
        <f t="shared" si="3"/>
        <v>52</v>
      </c>
    </row>
    <row r="211" spans="3:15" x14ac:dyDescent="0.25">
      <c r="C211" s="24"/>
      <c r="D211" s="20"/>
      <c r="E211" s="4"/>
      <c r="F211" s="37"/>
      <c r="G211" s="24"/>
      <c r="H211" s="51">
        <f>Assumptions!$D$15</f>
        <v>0.1</v>
      </c>
      <c r="I211" s="45">
        <f>IF(SO[[#This Row],[GST applies?]] = "Yes", (SO[[#This Row],[Value inc. GST]] / 1 + SO[[#This Row],[GST %]]) * SO[[#This Row],[GST %]], 0)</f>
        <v>0</v>
      </c>
      <c r="J211" s="31">
        <f>_xlfn.XLOOKUP(SO[[#This Row],[Customer name]], Customer_master[Customer name], Customer_master[EOM or Net], 0)</f>
        <v>0</v>
      </c>
      <c r="K211" s="31">
        <f>_xlfn.XLOOKUP(SO[[#This Row],[Customer name]], Customer_master[Customer name], Customer_master[Terms days], 0)</f>
        <v>0</v>
      </c>
      <c r="L2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1" s="4"/>
      <c r="N211" s="46">
        <f>IF(SO[[#This Row],[Collection date - override (dd/mm/yyyy)]] &lt;&gt; "", SO[[#This Row],[Collection date - override (dd/mm/yyyy)]], SO[[#This Row],[Due date (dd/mm/yyyy)]])</f>
        <v>0</v>
      </c>
      <c r="O211" s="46">
        <f t="shared" si="3"/>
        <v>52</v>
      </c>
    </row>
    <row r="212" spans="3:15" x14ac:dyDescent="0.25">
      <c r="C212" s="24"/>
      <c r="D212" s="20"/>
      <c r="E212" s="4"/>
      <c r="F212" s="37"/>
      <c r="G212" s="24"/>
      <c r="H212" s="51">
        <f>Assumptions!$D$15</f>
        <v>0.1</v>
      </c>
      <c r="I212" s="45">
        <f>IF(SO[[#This Row],[GST applies?]] = "Yes", (SO[[#This Row],[Value inc. GST]] / 1 + SO[[#This Row],[GST %]]) * SO[[#This Row],[GST %]], 0)</f>
        <v>0</v>
      </c>
      <c r="J212" s="31">
        <f>_xlfn.XLOOKUP(SO[[#This Row],[Customer name]], Customer_master[Customer name], Customer_master[EOM or Net], 0)</f>
        <v>0</v>
      </c>
      <c r="K212" s="31">
        <f>_xlfn.XLOOKUP(SO[[#This Row],[Customer name]], Customer_master[Customer name], Customer_master[Terms days], 0)</f>
        <v>0</v>
      </c>
      <c r="L2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2" s="4"/>
      <c r="N212" s="46">
        <f>IF(SO[[#This Row],[Collection date - override (dd/mm/yyyy)]] &lt;&gt; "", SO[[#This Row],[Collection date - override (dd/mm/yyyy)]], SO[[#This Row],[Due date (dd/mm/yyyy)]])</f>
        <v>0</v>
      </c>
      <c r="O212" s="46">
        <f t="shared" si="3"/>
        <v>52</v>
      </c>
    </row>
    <row r="213" spans="3:15" x14ac:dyDescent="0.25">
      <c r="C213" s="24"/>
      <c r="D213" s="20"/>
      <c r="E213" s="4"/>
      <c r="F213" s="37"/>
      <c r="G213" s="24"/>
      <c r="H213" s="51">
        <f>Assumptions!$D$15</f>
        <v>0.1</v>
      </c>
      <c r="I213" s="45">
        <f>IF(SO[[#This Row],[GST applies?]] = "Yes", (SO[[#This Row],[Value inc. GST]] / 1 + SO[[#This Row],[GST %]]) * SO[[#This Row],[GST %]], 0)</f>
        <v>0</v>
      </c>
      <c r="J213" s="31">
        <f>_xlfn.XLOOKUP(SO[[#This Row],[Customer name]], Customer_master[Customer name], Customer_master[EOM or Net], 0)</f>
        <v>0</v>
      </c>
      <c r="K213" s="31">
        <f>_xlfn.XLOOKUP(SO[[#This Row],[Customer name]], Customer_master[Customer name], Customer_master[Terms days], 0)</f>
        <v>0</v>
      </c>
      <c r="L2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3" s="4"/>
      <c r="N213" s="46">
        <f>IF(SO[[#This Row],[Collection date - override (dd/mm/yyyy)]] &lt;&gt; "", SO[[#This Row],[Collection date - override (dd/mm/yyyy)]], SO[[#This Row],[Due date (dd/mm/yyyy)]])</f>
        <v>0</v>
      </c>
      <c r="O213" s="46">
        <f t="shared" si="3"/>
        <v>52</v>
      </c>
    </row>
    <row r="214" spans="3:15" x14ac:dyDescent="0.25">
      <c r="C214" s="24"/>
      <c r="D214" s="20"/>
      <c r="E214" s="4"/>
      <c r="F214" s="37"/>
      <c r="G214" s="24"/>
      <c r="H214" s="51">
        <f>Assumptions!$D$15</f>
        <v>0.1</v>
      </c>
      <c r="I214" s="45">
        <f>IF(SO[[#This Row],[GST applies?]] = "Yes", (SO[[#This Row],[Value inc. GST]] / 1 + SO[[#This Row],[GST %]]) * SO[[#This Row],[GST %]], 0)</f>
        <v>0</v>
      </c>
      <c r="J214" s="31">
        <f>_xlfn.XLOOKUP(SO[[#This Row],[Customer name]], Customer_master[Customer name], Customer_master[EOM or Net], 0)</f>
        <v>0</v>
      </c>
      <c r="K214" s="31">
        <f>_xlfn.XLOOKUP(SO[[#This Row],[Customer name]], Customer_master[Customer name], Customer_master[Terms days], 0)</f>
        <v>0</v>
      </c>
      <c r="L2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4" s="4"/>
      <c r="N214" s="46">
        <f>IF(SO[[#This Row],[Collection date - override (dd/mm/yyyy)]] &lt;&gt; "", SO[[#This Row],[Collection date - override (dd/mm/yyyy)]], SO[[#This Row],[Due date (dd/mm/yyyy)]])</f>
        <v>0</v>
      </c>
      <c r="O214" s="46">
        <f t="shared" si="3"/>
        <v>52</v>
      </c>
    </row>
    <row r="215" spans="3:15" x14ac:dyDescent="0.25">
      <c r="C215" s="24"/>
      <c r="D215" s="20"/>
      <c r="E215" s="4"/>
      <c r="F215" s="37"/>
      <c r="G215" s="24"/>
      <c r="H215" s="51">
        <f>Assumptions!$D$15</f>
        <v>0.1</v>
      </c>
      <c r="I215" s="45">
        <f>IF(SO[[#This Row],[GST applies?]] = "Yes", (SO[[#This Row],[Value inc. GST]] / 1 + SO[[#This Row],[GST %]]) * SO[[#This Row],[GST %]], 0)</f>
        <v>0</v>
      </c>
      <c r="J215" s="31">
        <f>_xlfn.XLOOKUP(SO[[#This Row],[Customer name]], Customer_master[Customer name], Customer_master[EOM or Net], 0)</f>
        <v>0</v>
      </c>
      <c r="K215" s="31">
        <f>_xlfn.XLOOKUP(SO[[#This Row],[Customer name]], Customer_master[Customer name], Customer_master[Terms days], 0)</f>
        <v>0</v>
      </c>
      <c r="L2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5" s="4"/>
      <c r="N215" s="46">
        <f>IF(SO[[#This Row],[Collection date - override (dd/mm/yyyy)]] &lt;&gt; "", SO[[#This Row],[Collection date - override (dd/mm/yyyy)]], SO[[#This Row],[Due date (dd/mm/yyyy)]])</f>
        <v>0</v>
      </c>
      <c r="O215" s="46">
        <f t="shared" si="3"/>
        <v>52</v>
      </c>
    </row>
    <row r="216" spans="3:15" x14ac:dyDescent="0.25">
      <c r="C216" s="24"/>
      <c r="D216" s="20"/>
      <c r="E216" s="4"/>
      <c r="F216" s="37"/>
      <c r="G216" s="24"/>
      <c r="H216" s="51">
        <f>Assumptions!$D$15</f>
        <v>0.1</v>
      </c>
      <c r="I216" s="45">
        <f>IF(SO[[#This Row],[GST applies?]] = "Yes", (SO[[#This Row],[Value inc. GST]] / 1 + SO[[#This Row],[GST %]]) * SO[[#This Row],[GST %]], 0)</f>
        <v>0</v>
      </c>
      <c r="J216" s="31">
        <f>_xlfn.XLOOKUP(SO[[#This Row],[Customer name]], Customer_master[Customer name], Customer_master[EOM or Net], 0)</f>
        <v>0</v>
      </c>
      <c r="K216" s="31">
        <f>_xlfn.XLOOKUP(SO[[#This Row],[Customer name]], Customer_master[Customer name], Customer_master[Terms days], 0)</f>
        <v>0</v>
      </c>
      <c r="L2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6" s="4"/>
      <c r="N216" s="46">
        <f>IF(SO[[#This Row],[Collection date - override (dd/mm/yyyy)]] &lt;&gt; "", SO[[#This Row],[Collection date - override (dd/mm/yyyy)]], SO[[#This Row],[Due date (dd/mm/yyyy)]])</f>
        <v>0</v>
      </c>
      <c r="O216" s="46">
        <f t="shared" si="3"/>
        <v>52</v>
      </c>
    </row>
    <row r="217" spans="3:15" x14ac:dyDescent="0.25">
      <c r="C217" s="24"/>
      <c r="D217" s="20"/>
      <c r="E217" s="4"/>
      <c r="F217" s="37"/>
      <c r="G217" s="24"/>
      <c r="H217" s="51">
        <f>Assumptions!$D$15</f>
        <v>0.1</v>
      </c>
      <c r="I217" s="45">
        <f>IF(SO[[#This Row],[GST applies?]] = "Yes", (SO[[#This Row],[Value inc. GST]] / 1 + SO[[#This Row],[GST %]]) * SO[[#This Row],[GST %]], 0)</f>
        <v>0</v>
      </c>
      <c r="J217" s="31">
        <f>_xlfn.XLOOKUP(SO[[#This Row],[Customer name]], Customer_master[Customer name], Customer_master[EOM or Net], 0)</f>
        <v>0</v>
      </c>
      <c r="K217" s="31">
        <f>_xlfn.XLOOKUP(SO[[#This Row],[Customer name]], Customer_master[Customer name], Customer_master[Terms days], 0)</f>
        <v>0</v>
      </c>
      <c r="L2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7" s="4"/>
      <c r="N217" s="46">
        <f>IF(SO[[#This Row],[Collection date - override (dd/mm/yyyy)]] &lt;&gt; "", SO[[#This Row],[Collection date - override (dd/mm/yyyy)]], SO[[#This Row],[Due date (dd/mm/yyyy)]])</f>
        <v>0</v>
      </c>
      <c r="O217" s="46">
        <f t="shared" si="3"/>
        <v>52</v>
      </c>
    </row>
    <row r="218" spans="3:15" x14ac:dyDescent="0.25">
      <c r="C218" s="24"/>
      <c r="D218" s="20"/>
      <c r="E218" s="4"/>
      <c r="F218" s="37"/>
      <c r="G218" s="24"/>
      <c r="H218" s="51">
        <f>Assumptions!$D$15</f>
        <v>0.1</v>
      </c>
      <c r="I218" s="45">
        <f>IF(SO[[#This Row],[GST applies?]] = "Yes", (SO[[#This Row],[Value inc. GST]] / 1 + SO[[#This Row],[GST %]]) * SO[[#This Row],[GST %]], 0)</f>
        <v>0</v>
      </c>
      <c r="J218" s="31">
        <f>_xlfn.XLOOKUP(SO[[#This Row],[Customer name]], Customer_master[Customer name], Customer_master[EOM or Net], 0)</f>
        <v>0</v>
      </c>
      <c r="K218" s="31">
        <f>_xlfn.XLOOKUP(SO[[#This Row],[Customer name]], Customer_master[Customer name], Customer_master[Terms days], 0)</f>
        <v>0</v>
      </c>
      <c r="L2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8" s="4"/>
      <c r="N218" s="46">
        <f>IF(SO[[#This Row],[Collection date - override (dd/mm/yyyy)]] &lt;&gt; "", SO[[#This Row],[Collection date - override (dd/mm/yyyy)]], SO[[#This Row],[Due date (dd/mm/yyyy)]])</f>
        <v>0</v>
      </c>
      <c r="O218" s="46">
        <f t="shared" si="3"/>
        <v>52</v>
      </c>
    </row>
    <row r="219" spans="3:15" x14ac:dyDescent="0.25">
      <c r="C219" s="24"/>
      <c r="D219" s="20"/>
      <c r="E219" s="4"/>
      <c r="F219" s="37"/>
      <c r="G219" s="24"/>
      <c r="H219" s="51">
        <f>Assumptions!$D$15</f>
        <v>0.1</v>
      </c>
      <c r="I219" s="45">
        <f>IF(SO[[#This Row],[GST applies?]] = "Yes", (SO[[#This Row],[Value inc. GST]] / 1 + SO[[#This Row],[GST %]]) * SO[[#This Row],[GST %]], 0)</f>
        <v>0</v>
      </c>
      <c r="J219" s="31">
        <f>_xlfn.XLOOKUP(SO[[#This Row],[Customer name]], Customer_master[Customer name], Customer_master[EOM or Net], 0)</f>
        <v>0</v>
      </c>
      <c r="K219" s="31">
        <f>_xlfn.XLOOKUP(SO[[#This Row],[Customer name]], Customer_master[Customer name], Customer_master[Terms days], 0)</f>
        <v>0</v>
      </c>
      <c r="L2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9" s="4"/>
      <c r="N219" s="46">
        <f>IF(SO[[#This Row],[Collection date - override (dd/mm/yyyy)]] &lt;&gt; "", SO[[#This Row],[Collection date - override (dd/mm/yyyy)]], SO[[#This Row],[Due date (dd/mm/yyyy)]])</f>
        <v>0</v>
      </c>
      <c r="O219" s="46">
        <f t="shared" si="3"/>
        <v>52</v>
      </c>
    </row>
    <row r="220" spans="3:15" x14ac:dyDescent="0.25">
      <c r="C220" s="24"/>
      <c r="D220" s="20"/>
      <c r="E220" s="4"/>
      <c r="F220" s="37"/>
      <c r="G220" s="24"/>
      <c r="H220" s="51">
        <f>Assumptions!$D$15</f>
        <v>0.1</v>
      </c>
      <c r="I220" s="45">
        <f>IF(SO[[#This Row],[GST applies?]] = "Yes", (SO[[#This Row],[Value inc. GST]] / 1 + SO[[#This Row],[GST %]]) * SO[[#This Row],[GST %]], 0)</f>
        <v>0</v>
      </c>
      <c r="J220" s="31">
        <f>_xlfn.XLOOKUP(SO[[#This Row],[Customer name]], Customer_master[Customer name], Customer_master[EOM or Net], 0)</f>
        <v>0</v>
      </c>
      <c r="K220" s="31">
        <f>_xlfn.XLOOKUP(SO[[#This Row],[Customer name]], Customer_master[Customer name], Customer_master[Terms days], 0)</f>
        <v>0</v>
      </c>
      <c r="L2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0" s="4"/>
      <c r="N220" s="46">
        <f>IF(SO[[#This Row],[Collection date - override (dd/mm/yyyy)]] &lt;&gt; "", SO[[#This Row],[Collection date - override (dd/mm/yyyy)]], SO[[#This Row],[Due date (dd/mm/yyyy)]])</f>
        <v>0</v>
      </c>
      <c r="O220" s="46">
        <f t="shared" si="3"/>
        <v>52</v>
      </c>
    </row>
    <row r="221" spans="3:15" x14ac:dyDescent="0.25">
      <c r="C221" s="24"/>
      <c r="D221" s="20"/>
      <c r="E221" s="4"/>
      <c r="F221" s="37"/>
      <c r="G221" s="24"/>
      <c r="H221" s="51">
        <f>Assumptions!$D$15</f>
        <v>0.1</v>
      </c>
      <c r="I221" s="45">
        <f>IF(SO[[#This Row],[GST applies?]] = "Yes", (SO[[#This Row],[Value inc. GST]] / 1 + SO[[#This Row],[GST %]]) * SO[[#This Row],[GST %]], 0)</f>
        <v>0</v>
      </c>
      <c r="J221" s="31">
        <f>_xlfn.XLOOKUP(SO[[#This Row],[Customer name]], Customer_master[Customer name], Customer_master[EOM or Net], 0)</f>
        <v>0</v>
      </c>
      <c r="K221" s="31">
        <f>_xlfn.XLOOKUP(SO[[#This Row],[Customer name]], Customer_master[Customer name], Customer_master[Terms days], 0)</f>
        <v>0</v>
      </c>
      <c r="L2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1" s="4"/>
      <c r="N221" s="46">
        <f>IF(SO[[#This Row],[Collection date - override (dd/mm/yyyy)]] &lt;&gt; "", SO[[#This Row],[Collection date - override (dd/mm/yyyy)]], SO[[#This Row],[Due date (dd/mm/yyyy)]])</f>
        <v>0</v>
      </c>
      <c r="O221" s="46">
        <f t="shared" si="3"/>
        <v>52</v>
      </c>
    </row>
    <row r="222" spans="3:15" x14ac:dyDescent="0.25">
      <c r="C222" s="24"/>
      <c r="D222" s="20"/>
      <c r="E222" s="4"/>
      <c r="F222" s="37"/>
      <c r="G222" s="24"/>
      <c r="H222" s="51">
        <f>Assumptions!$D$15</f>
        <v>0.1</v>
      </c>
      <c r="I222" s="45">
        <f>IF(SO[[#This Row],[GST applies?]] = "Yes", (SO[[#This Row],[Value inc. GST]] / 1 + SO[[#This Row],[GST %]]) * SO[[#This Row],[GST %]], 0)</f>
        <v>0</v>
      </c>
      <c r="J222" s="31">
        <f>_xlfn.XLOOKUP(SO[[#This Row],[Customer name]], Customer_master[Customer name], Customer_master[EOM or Net], 0)</f>
        <v>0</v>
      </c>
      <c r="K222" s="31">
        <f>_xlfn.XLOOKUP(SO[[#This Row],[Customer name]], Customer_master[Customer name], Customer_master[Terms days], 0)</f>
        <v>0</v>
      </c>
      <c r="L2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2" s="4"/>
      <c r="N222" s="46">
        <f>IF(SO[[#This Row],[Collection date - override (dd/mm/yyyy)]] &lt;&gt; "", SO[[#This Row],[Collection date - override (dd/mm/yyyy)]], SO[[#This Row],[Due date (dd/mm/yyyy)]])</f>
        <v>0</v>
      </c>
      <c r="O222" s="46">
        <f t="shared" si="3"/>
        <v>52</v>
      </c>
    </row>
    <row r="223" spans="3:15" x14ac:dyDescent="0.25">
      <c r="C223" s="24"/>
      <c r="D223" s="20"/>
      <c r="E223" s="4"/>
      <c r="F223" s="37"/>
      <c r="G223" s="24"/>
      <c r="H223" s="51">
        <f>Assumptions!$D$15</f>
        <v>0.1</v>
      </c>
      <c r="I223" s="45">
        <f>IF(SO[[#This Row],[GST applies?]] = "Yes", (SO[[#This Row],[Value inc. GST]] / 1 + SO[[#This Row],[GST %]]) * SO[[#This Row],[GST %]], 0)</f>
        <v>0</v>
      </c>
      <c r="J223" s="31">
        <f>_xlfn.XLOOKUP(SO[[#This Row],[Customer name]], Customer_master[Customer name], Customer_master[EOM or Net], 0)</f>
        <v>0</v>
      </c>
      <c r="K223" s="31">
        <f>_xlfn.XLOOKUP(SO[[#This Row],[Customer name]], Customer_master[Customer name], Customer_master[Terms days], 0)</f>
        <v>0</v>
      </c>
      <c r="L2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3" s="4"/>
      <c r="N223" s="46">
        <f>IF(SO[[#This Row],[Collection date - override (dd/mm/yyyy)]] &lt;&gt; "", SO[[#This Row],[Collection date - override (dd/mm/yyyy)]], SO[[#This Row],[Due date (dd/mm/yyyy)]])</f>
        <v>0</v>
      </c>
      <c r="O223" s="46">
        <f t="shared" si="3"/>
        <v>52</v>
      </c>
    </row>
    <row r="224" spans="3:15" x14ac:dyDescent="0.25">
      <c r="C224" s="24"/>
      <c r="D224" s="20"/>
      <c r="E224" s="4"/>
      <c r="F224" s="37"/>
      <c r="G224" s="24"/>
      <c r="H224" s="51">
        <f>Assumptions!$D$15</f>
        <v>0.1</v>
      </c>
      <c r="I224" s="45">
        <f>IF(SO[[#This Row],[GST applies?]] = "Yes", (SO[[#This Row],[Value inc. GST]] / 1 + SO[[#This Row],[GST %]]) * SO[[#This Row],[GST %]], 0)</f>
        <v>0</v>
      </c>
      <c r="J224" s="31">
        <f>_xlfn.XLOOKUP(SO[[#This Row],[Customer name]], Customer_master[Customer name], Customer_master[EOM or Net], 0)</f>
        <v>0</v>
      </c>
      <c r="K224" s="31">
        <f>_xlfn.XLOOKUP(SO[[#This Row],[Customer name]], Customer_master[Customer name], Customer_master[Terms days], 0)</f>
        <v>0</v>
      </c>
      <c r="L2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4" s="4"/>
      <c r="N224" s="46">
        <f>IF(SO[[#This Row],[Collection date - override (dd/mm/yyyy)]] &lt;&gt; "", SO[[#This Row],[Collection date - override (dd/mm/yyyy)]], SO[[#This Row],[Due date (dd/mm/yyyy)]])</f>
        <v>0</v>
      </c>
      <c r="O224" s="46">
        <f t="shared" si="3"/>
        <v>52</v>
      </c>
    </row>
    <row r="225" spans="3:15" x14ac:dyDescent="0.25">
      <c r="C225" s="24"/>
      <c r="D225" s="20"/>
      <c r="E225" s="4"/>
      <c r="F225" s="37"/>
      <c r="G225" s="24"/>
      <c r="H225" s="51">
        <f>Assumptions!$D$15</f>
        <v>0.1</v>
      </c>
      <c r="I225" s="45">
        <f>IF(SO[[#This Row],[GST applies?]] = "Yes", (SO[[#This Row],[Value inc. GST]] / 1 + SO[[#This Row],[GST %]]) * SO[[#This Row],[GST %]], 0)</f>
        <v>0</v>
      </c>
      <c r="J225" s="31">
        <f>_xlfn.XLOOKUP(SO[[#This Row],[Customer name]], Customer_master[Customer name], Customer_master[EOM or Net], 0)</f>
        <v>0</v>
      </c>
      <c r="K225" s="31">
        <f>_xlfn.XLOOKUP(SO[[#This Row],[Customer name]], Customer_master[Customer name], Customer_master[Terms days], 0)</f>
        <v>0</v>
      </c>
      <c r="L2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5" s="4"/>
      <c r="N225" s="46">
        <f>IF(SO[[#This Row],[Collection date - override (dd/mm/yyyy)]] &lt;&gt; "", SO[[#This Row],[Collection date - override (dd/mm/yyyy)]], SO[[#This Row],[Due date (dd/mm/yyyy)]])</f>
        <v>0</v>
      </c>
      <c r="O225" s="46">
        <f t="shared" si="3"/>
        <v>52</v>
      </c>
    </row>
    <row r="226" spans="3:15" x14ac:dyDescent="0.25">
      <c r="C226" s="24"/>
      <c r="D226" s="20"/>
      <c r="E226" s="4"/>
      <c r="F226" s="37"/>
      <c r="G226" s="24"/>
      <c r="H226" s="51">
        <f>Assumptions!$D$15</f>
        <v>0.1</v>
      </c>
      <c r="I226" s="45">
        <f>IF(SO[[#This Row],[GST applies?]] = "Yes", (SO[[#This Row],[Value inc. GST]] / 1 + SO[[#This Row],[GST %]]) * SO[[#This Row],[GST %]], 0)</f>
        <v>0</v>
      </c>
      <c r="J226" s="31">
        <f>_xlfn.XLOOKUP(SO[[#This Row],[Customer name]], Customer_master[Customer name], Customer_master[EOM or Net], 0)</f>
        <v>0</v>
      </c>
      <c r="K226" s="31">
        <f>_xlfn.XLOOKUP(SO[[#This Row],[Customer name]], Customer_master[Customer name], Customer_master[Terms days], 0)</f>
        <v>0</v>
      </c>
      <c r="L2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6" s="4"/>
      <c r="N226" s="46">
        <f>IF(SO[[#This Row],[Collection date - override (dd/mm/yyyy)]] &lt;&gt; "", SO[[#This Row],[Collection date - override (dd/mm/yyyy)]], SO[[#This Row],[Due date (dd/mm/yyyy)]])</f>
        <v>0</v>
      </c>
      <c r="O226" s="46">
        <f t="shared" si="3"/>
        <v>52</v>
      </c>
    </row>
    <row r="227" spans="3:15" x14ac:dyDescent="0.25">
      <c r="C227" s="24"/>
      <c r="D227" s="20"/>
      <c r="E227" s="4"/>
      <c r="F227" s="37"/>
      <c r="G227" s="24"/>
      <c r="H227" s="51">
        <f>Assumptions!$D$15</f>
        <v>0.1</v>
      </c>
      <c r="I227" s="45">
        <f>IF(SO[[#This Row],[GST applies?]] = "Yes", (SO[[#This Row],[Value inc. GST]] / 1 + SO[[#This Row],[GST %]]) * SO[[#This Row],[GST %]], 0)</f>
        <v>0</v>
      </c>
      <c r="J227" s="31">
        <f>_xlfn.XLOOKUP(SO[[#This Row],[Customer name]], Customer_master[Customer name], Customer_master[EOM or Net], 0)</f>
        <v>0</v>
      </c>
      <c r="K227" s="31">
        <f>_xlfn.XLOOKUP(SO[[#This Row],[Customer name]], Customer_master[Customer name], Customer_master[Terms days], 0)</f>
        <v>0</v>
      </c>
      <c r="L2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7" s="4"/>
      <c r="N227" s="46">
        <f>IF(SO[[#This Row],[Collection date - override (dd/mm/yyyy)]] &lt;&gt; "", SO[[#This Row],[Collection date - override (dd/mm/yyyy)]], SO[[#This Row],[Due date (dd/mm/yyyy)]])</f>
        <v>0</v>
      </c>
      <c r="O227" s="46">
        <f t="shared" si="3"/>
        <v>52</v>
      </c>
    </row>
    <row r="228" spans="3:15" x14ac:dyDescent="0.25">
      <c r="C228" s="24"/>
      <c r="D228" s="20"/>
      <c r="E228" s="4"/>
      <c r="F228" s="37"/>
      <c r="G228" s="24"/>
      <c r="H228" s="51">
        <f>Assumptions!$D$15</f>
        <v>0.1</v>
      </c>
      <c r="I228" s="45">
        <f>IF(SO[[#This Row],[GST applies?]] = "Yes", (SO[[#This Row],[Value inc. GST]] / 1 + SO[[#This Row],[GST %]]) * SO[[#This Row],[GST %]], 0)</f>
        <v>0</v>
      </c>
      <c r="J228" s="31">
        <f>_xlfn.XLOOKUP(SO[[#This Row],[Customer name]], Customer_master[Customer name], Customer_master[EOM or Net], 0)</f>
        <v>0</v>
      </c>
      <c r="K228" s="31">
        <f>_xlfn.XLOOKUP(SO[[#This Row],[Customer name]], Customer_master[Customer name], Customer_master[Terms days], 0)</f>
        <v>0</v>
      </c>
      <c r="L2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8" s="4"/>
      <c r="N228" s="46">
        <f>IF(SO[[#This Row],[Collection date - override (dd/mm/yyyy)]] &lt;&gt; "", SO[[#This Row],[Collection date - override (dd/mm/yyyy)]], SO[[#This Row],[Due date (dd/mm/yyyy)]])</f>
        <v>0</v>
      </c>
      <c r="O228" s="46">
        <f t="shared" si="3"/>
        <v>52</v>
      </c>
    </row>
    <row r="229" spans="3:15" x14ac:dyDescent="0.25">
      <c r="C229" s="24"/>
      <c r="D229" s="20"/>
      <c r="E229" s="4"/>
      <c r="F229" s="37"/>
      <c r="G229" s="24"/>
      <c r="H229" s="51">
        <f>Assumptions!$D$15</f>
        <v>0.1</v>
      </c>
      <c r="I229" s="45">
        <f>IF(SO[[#This Row],[GST applies?]] = "Yes", (SO[[#This Row],[Value inc. GST]] / 1 + SO[[#This Row],[GST %]]) * SO[[#This Row],[GST %]], 0)</f>
        <v>0</v>
      </c>
      <c r="J229" s="31">
        <f>_xlfn.XLOOKUP(SO[[#This Row],[Customer name]], Customer_master[Customer name], Customer_master[EOM or Net], 0)</f>
        <v>0</v>
      </c>
      <c r="K229" s="31">
        <f>_xlfn.XLOOKUP(SO[[#This Row],[Customer name]], Customer_master[Customer name], Customer_master[Terms days], 0)</f>
        <v>0</v>
      </c>
      <c r="L2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9" s="4"/>
      <c r="N229" s="46">
        <f>IF(SO[[#This Row],[Collection date - override (dd/mm/yyyy)]] &lt;&gt; "", SO[[#This Row],[Collection date - override (dd/mm/yyyy)]], SO[[#This Row],[Due date (dd/mm/yyyy)]])</f>
        <v>0</v>
      </c>
      <c r="O229" s="46">
        <f t="shared" si="3"/>
        <v>52</v>
      </c>
    </row>
    <row r="230" spans="3:15" x14ac:dyDescent="0.25">
      <c r="C230" s="24"/>
      <c r="D230" s="20"/>
      <c r="E230" s="4"/>
      <c r="F230" s="37"/>
      <c r="G230" s="24"/>
      <c r="H230" s="51">
        <f>Assumptions!$D$15</f>
        <v>0.1</v>
      </c>
      <c r="I230" s="45">
        <f>IF(SO[[#This Row],[GST applies?]] = "Yes", (SO[[#This Row],[Value inc. GST]] / 1 + SO[[#This Row],[GST %]]) * SO[[#This Row],[GST %]], 0)</f>
        <v>0</v>
      </c>
      <c r="J230" s="31">
        <f>_xlfn.XLOOKUP(SO[[#This Row],[Customer name]], Customer_master[Customer name], Customer_master[EOM or Net], 0)</f>
        <v>0</v>
      </c>
      <c r="K230" s="31">
        <f>_xlfn.XLOOKUP(SO[[#This Row],[Customer name]], Customer_master[Customer name], Customer_master[Terms days], 0)</f>
        <v>0</v>
      </c>
      <c r="L2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0" s="4"/>
      <c r="N230" s="46">
        <f>IF(SO[[#This Row],[Collection date - override (dd/mm/yyyy)]] &lt;&gt; "", SO[[#This Row],[Collection date - override (dd/mm/yyyy)]], SO[[#This Row],[Due date (dd/mm/yyyy)]])</f>
        <v>0</v>
      </c>
      <c r="O230" s="46">
        <f t="shared" si="3"/>
        <v>52</v>
      </c>
    </row>
    <row r="231" spans="3:15" x14ac:dyDescent="0.25">
      <c r="C231" s="24"/>
      <c r="D231" s="20"/>
      <c r="E231" s="4"/>
      <c r="F231" s="37"/>
      <c r="G231" s="24"/>
      <c r="H231" s="51">
        <f>Assumptions!$D$15</f>
        <v>0.1</v>
      </c>
      <c r="I231" s="45">
        <f>IF(SO[[#This Row],[GST applies?]] = "Yes", (SO[[#This Row],[Value inc. GST]] / 1 + SO[[#This Row],[GST %]]) * SO[[#This Row],[GST %]], 0)</f>
        <v>0</v>
      </c>
      <c r="J231" s="31">
        <f>_xlfn.XLOOKUP(SO[[#This Row],[Customer name]], Customer_master[Customer name], Customer_master[EOM or Net], 0)</f>
        <v>0</v>
      </c>
      <c r="K231" s="31">
        <f>_xlfn.XLOOKUP(SO[[#This Row],[Customer name]], Customer_master[Customer name], Customer_master[Terms days], 0)</f>
        <v>0</v>
      </c>
      <c r="L2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1" s="4"/>
      <c r="N231" s="46">
        <f>IF(SO[[#This Row],[Collection date - override (dd/mm/yyyy)]] &lt;&gt; "", SO[[#This Row],[Collection date - override (dd/mm/yyyy)]], SO[[#This Row],[Due date (dd/mm/yyyy)]])</f>
        <v>0</v>
      </c>
      <c r="O231" s="46">
        <f t="shared" si="3"/>
        <v>52</v>
      </c>
    </row>
    <row r="232" spans="3:15" x14ac:dyDescent="0.25">
      <c r="C232" s="24"/>
      <c r="D232" s="20"/>
      <c r="E232" s="4"/>
      <c r="F232" s="37"/>
      <c r="G232" s="24"/>
      <c r="H232" s="51">
        <f>Assumptions!$D$15</f>
        <v>0.1</v>
      </c>
      <c r="I232" s="45">
        <f>IF(SO[[#This Row],[GST applies?]] = "Yes", (SO[[#This Row],[Value inc. GST]] / 1 + SO[[#This Row],[GST %]]) * SO[[#This Row],[GST %]], 0)</f>
        <v>0</v>
      </c>
      <c r="J232" s="31">
        <f>_xlfn.XLOOKUP(SO[[#This Row],[Customer name]], Customer_master[Customer name], Customer_master[EOM or Net], 0)</f>
        <v>0</v>
      </c>
      <c r="K232" s="31">
        <f>_xlfn.XLOOKUP(SO[[#This Row],[Customer name]], Customer_master[Customer name], Customer_master[Terms days], 0)</f>
        <v>0</v>
      </c>
      <c r="L2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2" s="4"/>
      <c r="N232" s="46">
        <f>IF(SO[[#This Row],[Collection date - override (dd/mm/yyyy)]] &lt;&gt; "", SO[[#This Row],[Collection date - override (dd/mm/yyyy)]], SO[[#This Row],[Due date (dd/mm/yyyy)]])</f>
        <v>0</v>
      </c>
      <c r="O232" s="46">
        <f t="shared" si="3"/>
        <v>52</v>
      </c>
    </row>
    <row r="233" spans="3:15" x14ac:dyDescent="0.25">
      <c r="C233" s="24"/>
      <c r="D233" s="20"/>
      <c r="E233" s="4"/>
      <c r="F233" s="37"/>
      <c r="G233" s="24"/>
      <c r="H233" s="51">
        <f>Assumptions!$D$15</f>
        <v>0.1</v>
      </c>
      <c r="I233" s="45">
        <f>IF(SO[[#This Row],[GST applies?]] = "Yes", (SO[[#This Row],[Value inc. GST]] / 1 + SO[[#This Row],[GST %]]) * SO[[#This Row],[GST %]], 0)</f>
        <v>0</v>
      </c>
      <c r="J233" s="31">
        <f>_xlfn.XLOOKUP(SO[[#This Row],[Customer name]], Customer_master[Customer name], Customer_master[EOM or Net], 0)</f>
        <v>0</v>
      </c>
      <c r="K233" s="31">
        <f>_xlfn.XLOOKUP(SO[[#This Row],[Customer name]], Customer_master[Customer name], Customer_master[Terms days], 0)</f>
        <v>0</v>
      </c>
      <c r="L2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3" s="4"/>
      <c r="N233" s="46">
        <f>IF(SO[[#This Row],[Collection date - override (dd/mm/yyyy)]] &lt;&gt; "", SO[[#This Row],[Collection date - override (dd/mm/yyyy)]], SO[[#This Row],[Due date (dd/mm/yyyy)]])</f>
        <v>0</v>
      </c>
      <c r="O233" s="46">
        <f t="shared" si="3"/>
        <v>52</v>
      </c>
    </row>
    <row r="234" spans="3:15" x14ac:dyDescent="0.25">
      <c r="C234" s="24"/>
      <c r="D234" s="20"/>
      <c r="E234" s="4"/>
      <c r="F234" s="37"/>
      <c r="G234" s="24"/>
      <c r="H234" s="51">
        <f>Assumptions!$D$15</f>
        <v>0.1</v>
      </c>
      <c r="I234" s="45">
        <f>IF(SO[[#This Row],[GST applies?]] = "Yes", (SO[[#This Row],[Value inc. GST]] / 1 + SO[[#This Row],[GST %]]) * SO[[#This Row],[GST %]], 0)</f>
        <v>0</v>
      </c>
      <c r="J234" s="31">
        <f>_xlfn.XLOOKUP(SO[[#This Row],[Customer name]], Customer_master[Customer name], Customer_master[EOM or Net], 0)</f>
        <v>0</v>
      </c>
      <c r="K234" s="31">
        <f>_xlfn.XLOOKUP(SO[[#This Row],[Customer name]], Customer_master[Customer name], Customer_master[Terms days], 0)</f>
        <v>0</v>
      </c>
      <c r="L2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4" s="4"/>
      <c r="N234" s="46">
        <f>IF(SO[[#This Row],[Collection date - override (dd/mm/yyyy)]] &lt;&gt; "", SO[[#This Row],[Collection date - override (dd/mm/yyyy)]], SO[[#This Row],[Due date (dd/mm/yyyy)]])</f>
        <v>0</v>
      </c>
      <c r="O234" s="46">
        <f t="shared" si="3"/>
        <v>52</v>
      </c>
    </row>
    <row r="235" spans="3:15" x14ac:dyDescent="0.25">
      <c r="C235" s="24"/>
      <c r="D235" s="20"/>
      <c r="E235" s="4"/>
      <c r="F235" s="37"/>
      <c r="G235" s="24"/>
      <c r="H235" s="51">
        <f>Assumptions!$D$15</f>
        <v>0.1</v>
      </c>
      <c r="I235" s="45">
        <f>IF(SO[[#This Row],[GST applies?]] = "Yes", (SO[[#This Row],[Value inc. GST]] / 1 + SO[[#This Row],[GST %]]) * SO[[#This Row],[GST %]], 0)</f>
        <v>0</v>
      </c>
      <c r="J235" s="31">
        <f>_xlfn.XLOOKUP(SO[[#This Row],[Customer name]], Customer_master[Customer name], Customer_master[EOM or Net], 0)</f>
        <v>0</v>
      </c>
      <c r="K235" s="31">
        <f>_xlfn.XLOOKUP(SO[[#This Row],[Customer name]], Customer_master[Customer name], Customer_master[Terms days], 0)</f>
        <v>0</v>
      </c>
      <c r="L2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5" s="4"/>
      <c r="N235" s="46">
        <f>IF(SO[[#This Row],[Collection date - override (dd/mm/yyyy)]] &lt;&gt; "", SO[[#This Row],[Collection date - override (dd/mm/yyyy)]], SO[[#This Row],[Due date (dd/mm/yyyy)]])</f>
        <v>0</v>
      </c>
      <c r="O235" s="46">
        <f t="shared" si="3"/>
        <v>52</v>
      </c>
    </row>
    <row r="236" spans="3:15" x14ac:dyDescent="0.25">
      <c r="C236" s="24"/>
      <c r="D236" s="20"/>
      <c r="E236" s="4"/>
      <c r="F236" s="37"/>
      <c r="G236" s="24"/>
      <c r="H236" s="51">
        <f>Assumptions!$D$15</f>
        <v>0.1</v>
      </c>
      <c r="I236" s="45">
        <f>IF(SO[[#This Row],[GST applies?]] = "Yes", (SO[[#This Row],[Value inc. GST]] / 1 + SO[[#This Row],[GST %]]) * SO[[#This Row],[GST %]], 0)</f>
        <v>0</v>
      </c>
      <c r="J236" s="31">
        <f>_xlfn.XLOOKUP(SO[[#This Row],[Customer name]], Customer_master[Customer name], Customer_master[EOM or Net], 0)</f>
        <v>0</v>
      </c>
      <c r="K236" s="31">
        <f>_xlfn.XLOOKUP(SO[[#This Row],[Customer name]], Customer_master[Customer name], Customer_master[Terms days], 0)</f>
        <v>0</v>
      </c>
      <c r="L2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6" s="4"/>
      <c r="N236" s="46">
        <f>IF(SO[[#This Row],[Collection date - override (dd/mm/yyyy)]] &lt;&gt; "", SO[[#This Row],[Collection date - override (dd/mm/yyyy)]], SO[[#This Row],[Due date (dd/mm/yyyy)]])</f>
        <v>0</v>
      </c>
      <c r="O236" s="46">
        <f t="shared" si="3"/>
        <v>52</v>
      </c>
    </row>
    <row r="237" spans="3:15" x14ac:dyDescent="0.25">
      <c r="C237" s="24"/>
      <c r="D237" s="20"/>
      <c r="E237" s="4"/>
      <c r="F237" s="37"/>
      <c r="G237" s="24"/>
      <c r="H237" s="51">
        <f>Assumptions!$D$15</f>
        <v>0.1</v>
      </c>
      <c r="I237" s="45">
        <f>IF(SO[[#This Row],[GST applies?]] = "Yes", (SO[[#This Row],[Value inc. GST]] / 1 + SO[[#This Row],[GST %]]) * SO[[#This Row],[GST %]], 0)</f>
        <v>0</v>
      </c>
      <c r="J237" s="31">
        <f>_xlfn.XLOOKUP(SO[[#This Row],[Customer name]], Customer_master[Customer name], Customer_master[EOM or Net], 0)</f>
        <v>0</v>
      </c>
      <c r="K237" s="31">
        <f>_xlfn.XLOOKUP(SO[[#This Row],[Customer name]], Customer_master[Customer name], Customer_master[Terms days], 0)</f>
        <v>0</v>
      </c>
      <c r="L2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7" s="4"/>
      <c r="N237" s="46">
        <f>IF(SO[[#This Row],[Collection date - override (dd/mm/yyyy)]] &lt;&gt; "", SO[[#This Row],[Collection date - override (dd/mm/yyyy)]], SO[[#This Row],[Due date (dd/mm/yyyy)]])</f>
        <v>0</v>
      </c>
      <c r="O237" s="46">
        <f t="shared" si="3"/>
        <v>52</v>
      </c>
    </row>
    <row r="238" spans="3:15" x14ac:dyDescent="0.25">
      <c r="C238" s="24"/>
      <c r="D238" s="20"/>
      <c r="E238" s="4"/>
      <c r="F238" s="37"/>
      <c r="G238" s="24"/>
      <c r="H238" s="51">
        <f>Assumptions!$D$15</f>
        <v>0.1</v>
      </c>
      <c r="I238" s="45">
        <f>IF(SO[[#This Row],[GST applies?]] = "Yes", (SO[[#This Row],[Value inc. GST]] / 1 + SO[[#This Row],[GST %]]) * SO[[#This Row],[GST %]], 0)</f>
        <v>0</v>
      </c>
      <c r="J238" s="31">
        <f>_xlfn.XLOOKUP(SO[[#This Row],[Customer name]], Customer_master[Customer name], Customer_master[EOM or Net], 0)</f>
        <v>0</v>
      </c>
      <c r="K238" s="31">
        <f>_xlfn.XLOOKUP(SO[[#This Row],[Customer name]], Customer_master[Customer name], Customer_master[Terms days], 0)</f>
        <v>0</v>
      </c>
      <c r="L2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8" s="4"/>
      <c r="N238" s="46">
        <f>IF(SO[[#This Row],[Collection date - override (dd/mm/yyyy)]] &lt;&gt; "", SO[[#This Row],[Collection date - override (dd/mm/yyyy)]], SO[[#This Row],[Due date (dd/mm/yyyy)]])</f>
        <v>0</v>
      </c>
      <c r="O238" s="46">
        <f t="shared" si="3"/>
        <v>52</v>
      </c>
    </row>
    <row r="239" spans="3:15" x14ac:dyDescent="0.25">
      <c r="C239" s="24"/>
      <c r="D239" s="20"/>
      <c r="E239" s="4"/>
      <c r="F239" s="37"/>
      <c r="G239" s="24"/>
      <c r="H239" s="51">
        <f>Assumptions!$D$15</f>
        <v>0.1</v>
      </c>
      <c r="I239" s="45">
        <f>IF(SO[[#This Row],[GST applies?]] = "Yes", (SO[[#This Row],[Value inc. GST]] / 1 + SO[[#This Row],[GST %]]) * SO[[#This Row],[GST %]], 0)</f>
        <v>0</v>
      </c>
      <c r="J239" s="31">
        <f>_xlfn.XLOOKUP(SO[[#This Row],[Customer name]], Customer_master[Customer name], Customer_master[EOM or Net], 0)</f>
        <v>0</v>
      </c>
      <c r="K239" s="31">
        <f>_xlfn.XLOOKUP(SO[[#This Row],[Customer name]], Customer_master[Customer name], Customer_master[Terms days], 0)</f>
        <v>0</v>
      </c>
      <c r="L2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9" s="4"/>
      <c r="N239" s="46">
        <f>IF(SO[[#This Row],[Collection date - override (dd/mm/yyyy)]] &lt;&gt; "", SO[[#This Row],[Collection date - override (dd/mm/yyyy)]], SO[[#This Row],[Due date (dd/mm/yyyy)]])</f>
        <v>0</v>
      </c>
      <c r="O239" s="46">
        <f t="shared" si="3"/>
        <v>52</v>
      </c>
    </row>
    <row r="240" spans="3:15" x14ac:dyDescent="0.25">
      <c r="C240" s="24"/>
      <c r="D240" s="20"/>
      <c r="E240" s="4"/>
      <c r="F240" s="37"/>
      <c r="G240" s="24"/>
      <c r="H240" s="51">
        <f>Assumptions!$D$15</f>
        <v>0.1</v>
      </c>
      <c r="I240" s="45">
        <f>IF(SO[[#This Row],[GST applies?]] = "Yes", (SO[[#This Row],[Value inc. GST]] / 1 + SO[[#This Row],[GST %]]) * SO[[#This Row],[GST %]], 0)</f>
        <v>0</v>
      </c>
      <c r="J240" s="31">
        <f>_xlfn.XLOOKUP(SO[[#This Row],[Customer name]], Customer_master[Customer name], Customer_master[EOM or Net], 0)</f>
        <v>0</v>
      </c>
      <c r="K240" s="31">
        <f>_xlfn.XLOOKUP(SO[[#This Row],[Customer name]], Customer_master[Customer name], Customer_master[Terms days], 0)</f>
        <v>0</v>
      </c>
      <c r="L2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0" s="4"/>
      <c r="N240" s="46">
        <f>IF(SO[[#This Row],[Collection date - override (dd/mm/yyyy)]] &lt;&gt; "", SO[[#This Row],[Collection date - override (dd/mm/yyyy)]], SO[[#This Row],[Due date (dd/mm/yyyy)]])</f>
        <v>0</v>
      </c>
      <c r="O240" s="46">
        <f t="shared" si="3"/>
        <v>52</v>
      </c>
    </row>
    <row r="241" spans="3:15" x14ac:dyDescent="0.25">
      <c r="C241" s="24"/>
      <c r="D241" s="20"/>
      <c r="E241" s="4"/>
      <c r="F241" s="37"/>
      <c r="G241" s="24"/>
      <c r="H241" s="51">
        <f>Assumptions!$D$15</f>
        <v>0.1</v>
      </c>
      <c r="I241" s="45">
        <f>IF(SO[[#This Row],[GST applies?]] = "Yes", (SO[[#This Row],[Value inc. GST]] / 1 + SO[[#This Row],[GST %]]) * SO[[#This Row],[GST %]], 0)</f>
        <v>0</v>
      </c>
      <c r="J241" s="31">
        <f>_xlfn.XLOOKUP(SO[[#This Row],[Customer name]], Customer_master[Customer name], Customer_master[EOM or Net], 0)</f>
        <v>0</v>
      </c>
      <c r="K241" s="31">
        <f>_xlfn.XLOOKUP(SO[[#This Row],[Customer name]], Customer_master[Customer name], Customer_master[Terms days], 0)</f>
        <v>0</v>
      </c>
      <c r="L2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1" s="4"/>
      <c r="N241" s="46">
        <f>IF(SO[[#This Row],[Collection date - override (dd/mm/yyyy)]] &lt;&gt; "", SO[[#This Row],[Collection date - override (dd/mm/yyyy)]], SO[[#This Row],[Due date (dd/mm/yyyy)]])</f>
        <v>0</v>
      </c>
      <c r="O241" s="46">
        <f t="shared" si="3"/>
        <v>52</v>
      </c>
    </row>
    <row r="242" spans="3:15" x14ac:dyDescent="0.25">
      <c r="C242" s="24"/>
      <c r="D242" s="20"/>
      <c r="E242" s="4"/>
      <c r="F242" s="37"/>
      <c r="G242" s="24"/>
      <c r="H242" s="51">
        <f>Assumptions!$D$15</f>
        <v>0.1</v>
      </c>
      <c r="I242" s="45">
        <f>IF(SO[[#This Row],[GST applies?]] = "Yes", (SO[[#This Row],[Value inc. GST]] / 1 + SO[[#This Row],[GST %]]) * SO[[#This Row],[GST %]], 0)</f>
        <v>0</v>
      </c>
      <c r="J242" s="31">
        <f>_xlfn.XLOOKUP(SO[[#This Row],[Customer name]], Customer_master[Customer name], Customer_master[EOM or Net], 0)</f>
        <v>0</v>
      </c>
      <c r="K242" s="31">
        <f>_xlfn.XLOOKUP(SO[[#This Row],[Customer name]], Customer_master[Customer name], Customer_master[Terms days], 0)</f>
        <v>0</v>
      </c>
      <c r="L2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2" s="4"/>
      <c r="N242" s="46">
        <f>IF(SO[[#This Row],[Collection date - override (dd/mm/yyyy)]] &lt;&gt; "", SO[[#This Row],[Collection date - override (dd/mm/yyyy)]], SO[[#This Row],[Due date (dd/mm/yyyy)]])</f>
        <v>0</v>
      </c>
      <c r="O242" s="46">
        <f t="shared" si="3"/>
        <v>52</v>
      </c>
    </row>
    <row r="243" spans="3:15" x14ac:dyDescent="0.25">
      <c r="C243" s="24"/>
      <c r="D243" s="20"/>
      <c r="E243" s="4"/>
      <c r="F243" s="37"/>
      <c r="G243" s="24"/>
      <c r="H243" s="51">
        <f>Assumptions!$D$15</f>
        <v>0.1</v>
      </c>
      <c r="I243" s="45">
        <f>IF(SO[[#This Row],[GST applies?]] = "Yes", (SO[[#This Row],[Value inc. GST]] / 1 + SO[[#This Row],[GST %]]) * SO[[#This Row],[GST %]], 0)</f>
        <v>0</v>
      </c>
      <c r="J243" s="31">
        <f>_xlfn.XLOOKUP(SO[[#This Row],[Customer name]], Customer_master[Customer name], Customer_master[EOM or Net], 0)</f>
        <v>0</v>
      </c>
      <c r="K243" s="31">
        <f>_xlfn.XLOOKUP(SO[[#This Row],[Customer name]], Customer_master[Customer name], Customer_master[Terms days], 0)</f>
        <v>0</v>
      </c>
      <c r="L2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3" s="4"/>
      <c r="N243" s="46">
        <f>IF(SO[[#This Row],[Collection date - override (dd/mm/yyyy)]] &lt;&gt; "", SO[[#This Row],[Collection date - override (dd/mm/yyyy)]], SO[[#This Row],[Due date (dd/mm/yyyy)]])</f>
        <v>0</v>
      </c>
      <c r="O243" s="46">
        <f t="shared" si="3"/>
        <v>52</v>
      </c>
    </row>
    <row r="244" spans="3:15" x14ac:dyDescent="0.25">
      <c r="C244" s="24"/>
      <c r="D244" s="20"/>
      <c r="E244" s="4"/>
      <c r="F244" s="37"/>
      <c r="G244" s="24"/>
      <c r="H244" s="51">
        <f>Assumptions!$D$15</f>
        <v>0.1</v>
      </c>
      <c r="I244" s="45">
        <f>IF(SO[[#This Row],[GST applies?]] = "Yes", (SO[[#This Row],[Value inc. GST]] / 1 + SO[[#This Row],[GST %]]) * SO[[#This Row],[GST %]], 0)</f>
        <v>0</v>
      </c>
      <c r="J244" s="31">
        <f>_xlfn.XLOOKUP(SO[[#This Row],[Customer name]], Customer_master[Customer name], Customer_master[EOM or Net], 0)</f>
        <v>0</v>
      </c>
      <c r="K244" s="31">
        <f>_xlfn.XLOOKUP(SO[[#This Row],[Customer name]], Customer_master[Customer name], Customer_master[Terms days], 0)</f>
        <v>0</v>
      </c>
      <c r="L2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4" s="4"/>
      <c r="N244" s="46">
        <f>IF(SO[[#This Row],[Collection date - override (dd/mm/yyyy)]] &lt;&gt; "", SO[[#This Row],[Collection date - override (dd/mm/yyyy)]], SO[[#This Row],[Due date (dd/mm/yyyy)]])</f>
        <v>0</v>
      </c>
      <c r="O244" s="46">
        <f t="shared" si="3"/>
        <v>52</v>
      </c>
    </row>
    <row r="245" spans="3:15" x14ac:dyDescent="0.25">
      <c r="C245" s="24"/>
      <c r="D245" s="20"/>
      <c r="E245" s="4"/>
      <c r="F245" s="37"/>
      <c r="G245" s="24"/>
      <c r="H245" s="51">
        <f>Assumptions!$D$15</f>
        <v>0.1</v>
      </c>
      <c r="I245" s="45">
        <f>IF(SO[[#This Row],[GST applies?]] = "Yes", (SO[[#This Row],[Value inc. GST]] / 1 + SO[[#This Row],[GST %]]) * SO[[#This Row],[GST %]], 0)</f>
        <v>0</v>
      </c>
      <c r="J245" s="31">
        <f>_xlfn.XLOOKUP(SO[[#This Row],[Customer name]], Customer_master[Customer name], Customer_master[EOM or Net], 0)</f>
        <v>0</v>
      </c>
      <c r="K245" s="31">
        <f>_xlfn.XLOOKUP(SO[[#This Row],[Customer name]], Customer_master[Customer name], Customer_master[Terms days], 0)</f>
        <v>0</v>
      </c>
      <c r="L2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5" s="4"/>
      <c r="N245" s="46">
        <f>IF(SO[[#This Row],[Collection date - override (dd/mm/yyyy)]] &lt;&gt; "", SO[[#This Row],[Collection date - override (dd/mm/yyyy)]], SO[[#This Row],[Due date (dd/mm/yyyy)]])</f>
        <v>0</v>
      </c>
      <c r="O245" s="46">
        <f t="shared" si="3"/>
        <v>52</v>
      </c>
    </row>
    <row r="246" spans="3:15" x14ac:dyDescent="0.25">
      <c r="C246" s="24"/>
      <c r="D246" s="20"/>
      <c r="E246" s="4"/>
      <c r="F246" s="37"/>
      <c r="G246" s="24"/>
      <c r="H246" s="51">
        <f>Assumptions!$D$15</f>
        <v>0.1</v>
      </c>
      <c r="I246" s="45">
        <f>IF(SO[[#This Row],[GST applies?]] = "Yes", (SO[[#This Row],[Value inc. GST]] / 1 + SO[[#This Row],[GST %]]) * SO[[#This Row],[GST %]], 0)</f>
        <v>0</v>
      </c>
      <c r="J246" s="31">
        <f>_xlfn.XLOOKUP(SO[[#This Row],[Customer name]], Customer_master[Customer name], Customer_master[EOM or Net], 0)</f>
        <v>0</v>
      </c>
      <c r="K246" s="31">
        <f>_xlfn.XLOOKUP(SO[[#This Row],[Customer name]], Customer_master[Customer name], Customer_master[Terms days], 0)</f>
        <v>0</v>
      </c>
      <c r="L2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6" s="4"/>
      <c r="N246" s="46">
        <f>IF(SO[[#This Row],[Collection date - override (dd/mm/yyyy)]] &lt;&gt; "", SO[[#This Row],[Collection date - override (dd/mm/yyyy)]], SO[[#This Row],[Due date (dd/mm/yyyy)]])</f>
        <v>0</v>
      </c>
      <c r="O246" s="46">
        <f t="shared" si="3"/>
        <v>52</v>
      </c>
    </row>
    <row r="247" spans="3:15" x14ac:dyDescent="0.25">
      <c r="C247" s="24"/>
      <c r="D247" s="20"/>
      <c r="E247" s="4"/>
      <c r="F247" s="37"/>
      <c r="G247" s="24"/>
      <c r="H247" s="51">
        <f>Assumptions!$D$15</f>
        <v>0.1</v>
      </c>
      <c r="I247" s="45">
        <f>IF(SO[[#This Row],[GST applies?]] = "Yes", (SO[[#This Row],[Value inc. GST]] / 1 + SO[[#This Row],[GST %]]) * SO[[#This Row],[GST %]], 0)</f>
        <v>0</v>
      </c>
      <c r="J247" s="31">
        <f>_xlfn.XLOOKUP(SO[[#This Row],[Customer name]], Customer_master[Customer name], Customer_master[EOM or Net], 0)</f>
        <v>0</v>
      </c>
      <c r="K247" s="31">
        <f>_xlfn.XLOOKUP(SO[[#This Row],[Customer name]], Customer_master[Customer name], Customer_master[Terms days], 0)</f>
        <v>0</v>
      </c>
      <c r="L2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7" s="4"/>
      <c r="N247" s="46">
        <f>IF(SO[[#This Row],[Collection date - override (dd/mm/yyyy)]] &lt;&gt; "", SO[[#This Row],[Collection date - override (dd/mm/yyyy)]], SO[[#This Row],[Due date (dd/mm/yyyy)]])</f>
        <v>0</v>
      </c>
      <c r="O247" s="46">
        <f t="shared" si="3"/>
        <v>52</v>
      </c>
    </row>
    <row r="248" spans="3:15" x14ac:dyDescent="0.25">
      <c r="C248" s="24"/>
      <c r="D248" s="20"/>
      <c r="E248" s="4"/>
      <c r="F248" s="37"/>
      <c r="G248" s="24"/>
      <c r="H248" s="51">
        <f>Assumptions!$D$15</f>
        <v>0.1</v>
      </c>
      <c r="I248" s="45">
        <f>IF(SO[[#This Row],[GST applies?]] = "Yes", (SO[[#This Row],[Value inc. GST]] / 1 + SO[[#This Row],[GST %]]) * SO[[#This Row],[GST %]], 0)</f>
        <v>0</v>
      </c>
      <c r="J248" s="31">
        <f>_xlfn.XLOOKUP(SO[[#This Row],[Customer name]], Customer_master[Customer name], Customer_master[EOM or Net], 0)</f>
        <v>0</v>
      </c>
      <c r="K248" s="31">
        <f>_xlfn.XLOOKUP(SO[[#This Row],[Customer name]], Customer_master[Customer name], Customer_master[Terms days], 0)</f>
        <v>0</v>
      </c>
      <c r="L2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8" s="4"/>
      <c r="N248" s="46">
        <f>IF(SO[[#This Row],[Collection date - override (dd/mm/yyyy)]] &lt;&gt; "", SO[[#This Row],[Collection date - override (dd/mm/yyyy)]], SO[[#This Row],[Due date (dd/mm/yyyy)]])</f>
        <v>0</v>
      </c>
      <c r="O248" s="46">
        <f t="shared" si="3"/>
        <v>52</v>
      </c>
    </row>
    <row r="249" spans="3:15" x14ac:dyDescent="0.25">
      <c r="C249" s="24"/>
      <c r="D249" s="20"/>
      <c r="E249" s="4"/>
      <c r="F249" s="37"/>
      <c r="G249" s="24"/>
      <c r="H249" s="51">
        <f>Assumptions!$D$15</f>
        <v>0.1</v>
      </c>
      <c r="I249" s="45">
        <f>IF(SO[[#This Row],[GST applies?]] = "Yes", (SO[[#This Row],[Value inc. GST]] / 1 + SO[[#This Row],[GST %]]) * SO[[#This Row],[GST %]], 0)</f>
        <v>0</v>
      </c>
      <c r="J249" s="31">
        <f>_xlfn.XLOOKUP(SO[[#This Row],[Customer name]], Customer_master[Customer name], Customer_master[EOM or Net], 0)</f>
        <v>0</v>
      </c>
      <c r="K249" s="31">
        <f>_xlfn.XLOOKUP(SO[[#This Row],[Customer name]], Customer_master[Customer name], Customer_master[Terms days], 0)</f>
        <v>0</v>
      </c>
      <c r="L2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9" s="4"/>
      <c r="N249" s="46">
        <f>IF(SO[[#This Row],[Collection date - override (dd/mm/yyyy)]] &lt;&gt; "", SO[[#This Row],[Collection date - override (dd/mm/yyyy)]], SO[[#This Row],[Due date (dd/mm/yyyy)]])</f>
        <v>0</v>
      </c>
      <c r="O249" s="46">
        <f t="shared" si="3"/>
        <v>52</v>
      </c>
    </row>
    <row r="250" spans="3:15" x14ac:dyDescent="0.25">
      <c r="C250" s="24"/>
      <c r="D250" s="20"/>
      <c r="E250" s="4"/>
      <c r="F250" s="37"/>
      <c r="G250" s="24"/>
      <c r="H250" s="51">
        <f>Assumptions!$D$15</f>
        <v>0.1</v>
      </c>
      <c r="I250" s="45">
        <f>IF(SO[[#This Row],[GST applies?]] = "Yes", (SO[[#This Row],[Value inc. GST]] / 1 + SO[[#This Row],[GST %]]) * SO[[#This Row],[GST %]], 0)</f>
        <v>0</v>
      </c>
      <c r="J250" s="31">
        <f>_xlfn.XLOOKUP(SO[[#This Row],[Customer name]], Customer_master[Customer name], Customer_master[EOM or Net], 0)</f>
        <v>0</v>
      </c>
      <c r="K250" s="31">
        <f>_xlfn.XLOOKUP(SO[[#This Row],[Customer name]], Customer_master[Customer name], Customer_master[Terms days], 0)</f>
        <v>0</v>
      </c>
      <c r="L2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0" s="4"/>
      <c r="N250" s="46">
        <f>IF(SO[[#This Row],[Collection date - override (dd/mm/yyyy)]] &lt;&gt; "", SO[[#This Row],[Collection date - override (dd/mm/yyyy)]], SO[[#This Row],[Due date (dd/mm/yyyy)]])</f>
        <v>0</v>
      </c>
      <c r="O250" s="46">
        <f t="shared" si="3"/>
        <v>52</v>
      </c>
    </row>
    <row r="251" spans="3:15" x14ac:dyDescent="0.25">
      <c r="C251" s="24"/>
      <c r="D251" s="20"/>
      <c r="E251" s="4"/>
      <c r="F251" s="37"/>
      <c r="G251" s="24"/>
      <c r="H251" s="51">
        <f>Assumptions!$D$15</f>
        <v>0.1</v>
      </c>
      <c r="I251" s="45">
        <f>IF(SO[[#This Row],[GST applies?]] = "Yes", (SO[[#This Row],[Value inc. GST]] / 1 + SO[[#This Row],[GST %]]) * SO[[#This Row],[GST %]], 0)</f>
        <v>0</v>
      </c>
      <c r="J251" s="31">
        <f>_xlfn.XLOOKUP(SO[[#This Row],[Customer name]], Customer_master[Customer name], Customer_master[EOM or Net], 0)</f>
        <v>0</v>
      </c>
      <c r="K251" s="31">
        <f>_xlfn.XLOOKUP(SO[[#This Row],[Customer name]], Customer_master[Customer name], Customer_master[Terms days], 0)</f>
        <v>0</v>
      </c>
      <c r="L2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1" s="4"/>
      <c r="N251" s="46">
        <f>IF(SO[[#This Row],[Collection date - override (dd/mm/yyyy)]] &lt;&gt; "", SO[[#This Row],[Collection date - override (dd/mm/yyyy)]], SO[[#This Row],[Due date (dd/mm/yyyy)]])</f>
        <v>0</v>
      </c>
      <c r="O251" s="46">
        <f t="shared" si="3"/>
        <v>52</v>
      </c>
    </row>
    <row r="252" spans="3:15" x14ac:dyDescent="0.25">
      <c r="C252" s="24"/>
      <c r="D252" s="20"/>
      <c r="E252" s="4"/>
      <c r="F252" s="37"/>
      <c r="G252" s="24"/>
      <c r="H252" s="51">
        <f>Assumptions!$D$15</f>
        <v>0.1</v>
      </c>
      <c r="I252" s="45">
        <f>IF(SO[[#This Row],[GST applies?]] = "Yes", (SO[[#This Row],[Value inc. GST]] / 1 + SO[[#This Row],[GST %]]) * SO[[#This Row],[GST %]], 0)</f>
        <v>0</v>
      </c>
      <c r="J252" s="31">
        <f>_xlfn.XLOOKUP(SO[[#This Row],[Customer name]], Customer_master[Customer name], Customer_master[EOM or Net], 0)</f>
        <v>0</v>
      </c>
      <c r="K252" s="31">
        <f>_xlfn.XLOOKUP(SO[[#This Row],[Customer name]], Customer_master[Customer name], Customer_master[Terms days], 0)</f>
        <v>0</v>
      </c>
      <c r="L2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2" s="4"/>
      <c r="N252" s="46">
        <f>IF(SO[[#This Row],[Collection date - override (dd/mm/yyyy)]] &lt;&gt; "", SO[[#This Row],[Collection date - override (dd/mm/yyyy)]], SO[[#This Row],[Due date (dd/mm/yyyy)]])</f>
        <v>0</v>
      </c>
      <c r="O252" s="46">
        <f t="shared" si="3"/>
        <v>52</v>
      </c>
    </row>
    <row r="253" spans="3:15" x14ac:dyDescent="0.25">
      <c r="C253" s="24"/>
      <c r="D253" s="20"/>
      <c r="E253" s="4"/>
      <c r="F253" s="37"/>
      <c r="G253" s="24"/>
      <c r="H253" s="51">
        <f>Assumptions!$D$15</f>
        <v>0.1</v>
      </c>
      <c r="I253" s="45">
        <f>IF(SO[[#This Row],[GST applies?]] = "Yes", (SO[[#This Row],[Value inc. GST]] / 1 + SO[[#This Row],[GST %]]) * SO[[#This Row],[GST %]], 0)</f>
        <v>0</v>
      </c>
      <c r="J253" s="31">
        <f>_xlfn.XLOOKUP(SO[[#This Row],[Customer name]], Customer_master[Customer name], Customer_master[EOM or Net], 0)</f>
        <v>0</v>
      </c>
      <c r="K253" s="31">
        <f>_xlfn.XLOOKUP(SO[[#This Row],[Customer name]], Customer_master[Customer name], Customer_master[Terms days], 0)</f>
        <v>0</v>
      </c>
      <c r="L2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3" s="4"/>
      <c r="N253" s="46">
        <f>IF(SO[[#This Row],[Collection date - override (dd/mm/yyyy)]] &lt;&gt; "", SO[[#This Row],[Collection date - override (dd/mm/yyyy)]], SO[[#This Row],[Due date (dd/mm/yyyy)]])</f>
        <v>0</v>
      </c>
      <c r="O253" s="46">
        <f t="shared" si="3"/>
        <v>52</v>
      </c>
    </row>
    <row r="254" spans="3:15" x14ac:dyDescent="0.25">
      <c r="C254" s="24"/>
      <c r="D254" s="20"/>
      <c r="E254" s="4"/>
      <c r="F254" s="37"/>
      <c r="G254" s="24"/>
      <c r="H254" s="51">
        <f>Assumptions!$D$15</f>
        <v>0.1</v>
      </c>
      <c r="I254" s="45">
        <f>IF(SO[[#This Row],[GST applies?]] = "Yes", (SO[[#This Row],[Value inc. GST]] / 1 + SO[[#This Row],[GST %]]) * SO[[#This Row],[GST %]], 0)</f>
        <v>0</v>
      </c>
      <c r="J254" s="31">
        <f>_xlfn.XLOOKUP(SO[[#This Row],[Customer name]], Customer_master[Customer name], Customer_master[EOM or Net], 0)</f>
        <v>0</v>
      </c>
      <c r="K254" s="31">
        <f>_xlfn.XLOOKUP(SO[[#This Row],[Customer name]], Customer_master[Customer name], Customer_master[Terms days], 0)</f>
        <v>0</v>
      </c>
      <c r="L2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4" s="4"/>
      <c r="N254" s="46">
        <f>IF(SO[[#This Row],[Collection date - override (dd/mm/yyyy)]] &lt;&gt; "", SO[[#This Row],[Collection date - override (dd/mm/yyyy)]], SO[[#This Row],[Due date (dd/mm/yyyy)]])</f>
        <v>0</v>
      </c>
      <c r="O254" s="46">
        <f t="shared" si="3"/>
        <v>52</v>
      </c>
    </row>
    <row r="255" spans="3:15" x14ac:dyDescent="0.25">
      <c r="C255" s="24"/>
      <c r="D255" s="20"/>
      <c r="E255" s="4"/>
      <c r="F255" s="37"/>
      <c r="G255" s="24"/>
      <c r="H255" s="51">
        <f>Assumptions!$D$15</f>
        <v>0.1</v>
      </c>
      <c r="I255" s="45">
        <f>IF(SO[[#This Row],[GST applies?]] = "Yes", (SO[[#This Row],[Value inc. GST]] / 1 + SO[[#This Row],[GST %]]) * SO[[#This Row],[GST %]], 0)</f>
        <v>0</v>
      </c>
      <c r="J255" s="31">
        <f>_xlfn.XLOOKUP(SO[[#This Row],[Customer name]], Customer_master[Customer name], Customer_master[EOM or Net], 0)</f>
        <v>0</v>
      </c>
      <c r="K255" s="31">
        <f>_xlfn.XLOOKUP(SO[[#This Row],[Customer name]], Customer_master[Customer name], Customer_master[Terms days], 0)</f>
        <v>0</v>
      </c>
      <c r="L2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5" s="4"/>
      <c r="N255" s="46">
        <f>IF(SO[[#This Row],[Collection date - override (dd/mm/yyyy)]] &lt;&gt; "", SO[[#This Row],[Collection date - override (dd/mm/yyyy)]], SO[[#This Row],[Due date (dd/mm/yyyy)]])</f>
        <v>0</v>
      </c>
      <c r="O255" s="46">
        <f t="shared" si="3"/>
        <v>52</v>
      </c>
    </row>
    <row r="256" spans="3:15" x14ac:dyDescent="0.25">
      <c r="C256" s="24"/>
      <c r="D256" s="20"/>
      <c r="E256" s="4"/>
      <c r="F256" s="37"/>
      <c r="G256" s="24"/>
      <c r="H256" s="51">
        <f>Assumptions!$D$15</f>
        <v>0.1</v>
      </c>
      <c r="I256" s="45">
        <f>IF(SO[[#This Row],[GST applies?]] = "Yes", (SO[[#This Row],[Value inc. GST]] / 1 + SO[[#This Row],[GST %]]) * SO[[#This Row],[GST %]], 0)</f>
        <v>0</v>
      </c>
      <c r="J256" s="31">
        <f>_xlfn.XLOOKUP(SO[[#This Row],[Customer name]], Customer_master[Customer name], Customer_master[EOM or Net], 0)</f>
        <v>0</v>
      </c>
      <c r="K256" s="31">
        <f>_xlfn.XLOOKUP(SO[[#This Row],[Customer name]], Customer_master[Customer name], Customer_master[Terms days], 0)</f>
        <v>0</v>
      </c>
      <c r="L2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6" s="4"/>
      <c r="N256" s="46">
        <f>IF(SO[[#This Row],[Collection date - override (dd/mm/yyyy)]] &lt;&gt; "", SO[[#This Row],[Collection date - override (dd/mm/yyyy)]], SO[[#This Row],[Due date (dd/mm/yyyy)]])</f>
        <v>0</v>
      </c>
      <c r="O256" s="46">
        <f t="shared" si="3"/>
        <v>52</v>
      </c>
    </row>
    <row r="257" spans="3:15" x14ac:dyDescent="0.25">
      <c r="C257" s="24"/>
      <c r="D257" s="20"/>
      <c r="E257" s="4"/>
      <c r="F257" s="37"/>
      <c r="G257" s="24"/>
      <c r="H257" s="51">
        <f>Assumptions!$D$15</f>
        <v>0.1</v>
      </c>
      <c r="I257" s="45">
        <f>IF(SO[[#This Row],[GST applies?]] = "Yes", (SO[[#This Row],[Value inc. GST]] / 1 + SO[[#This Row],[GST %]]) * SO[[#This Row],[GST %]], 0)</f>
        <v>0</v>
      </c>
      <c r="J257" s="31">
        <f>_xlfn.XLOOKUP(SO[[#This Row],[Customer name]], Customer_master[Customer name], Customer_master[EOM or Net], 0)</f>
        <v>0</v>
      </c>
      <c r="K257" s="31">
        <f>_xlfn.XLOOKUP(SO[[#This Row],[Customer name]], Customer_master[Customer name], Customer_master[Terms days], 0)</f>
        <v>0</v>
      </c>
      <c r="L2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7" s="4"/>
      <c r="N257" s="46">
        <f>IF(SO[[#This Row],[Collection date - override (dd/mm/yyyy)]] &lt;&gt; "", SO[[#This Row],[Collection date - override (dd/mm/yyyy)]], SO[[#This Row],[Due date (dd/mm/yyyy)]])</f>
        <v>0</v>
      </c>
      <c r="O257" s="46">
        <f t="shared" si="3"/>
        <v>52</v>
      </c>
    </row>
    <row r="258" spans="3:15" x14ac:dyDescent="0.25">
      <c r="C258" s="24"/>
      <c r="D258" s="20"/>
      <c r="E258" s="4"/>
      <c r="F258" s="37"/>
      <c r="G258" s="24"/>
      <c r="H258" s="51">
        <f>Assumptions!$D$15</f>
        <v>0.1</v>
      </c>
      <c r="I258" s="45">
        <f>IF(SO[[#This Row],[GST applies?]] = "Yes", (SO[[#This Row],[Value inc. GST]] / 1 + SO[[#This Row],[GST %]]) * SO[[#This Row],[GST %]], 0)</f>
        <v>0</v>
      </c>
      <c r="J258" s="31">
        <f>_xlfn.XLOOKUP(SO[[#This Row],[Customer name]], Customer_master[Customer name], Customer_master[EOM or Net], 0)</f>
        <v>0</v>
      </c>
      <c r="K258" s="31">
        <f>_xlfn.XLOOKUP(SO[[#This Row],[Customer name]], Customer_master[Customer name], Customer_master[Terms days], 0)</f>
        <v>0</v>
      </c>
      <c r="L2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8" s="4"/>
      <c r="N258" s="46">
        <f>IF(SO[[#This Row],[Collection date - override (dd/mm/yyyy)]] &lt;&gt; "", SO[[#This Row],[Collection date - override (dd/mm/yyyy)]], SO[[#This Row],[Due date (dd/mm/yyyy)]])</f>
        <v>0</v>
      </c>
      <c r="O258" s="46">
        <f t="shared" si="3"/>
        <v>52</v>
      </c>
    </row>
    <row r="259" spans="3:15" x14ac:dyDescent="0.25">
      <c r="C259" s="24"/>
      <c r="D259" s="20"/>
      <c r="E259" s="4"/>
      <c r="F259" s="37"/>
      <c r="G259" s="24"/>
      <c r="H259" s="51">
        <f>Assumptions!$D$15</f>
        <v>0.1</v>
      </c>
      <c r="I259" s="45">
        <f>IF(SO[[#This Row],[GST applies?]] = "Yes", (SO[[#This Row],[Value inc. GST]] / 1 + SO[[#This Row],[GST %]]) * SO[[#This Row],[GST %]], 0)</f>
        <v>0</v>
      </c>
      <c r="J259" s="31">
        <f>_xlfn.XLOOKUP(SO[[#This Row],[Customer name]], Customer_master[Customer name], Customer_master[EOM or Net], 0)</f>
        <v>0</v>
      </c>
      <c r="K259" s="31">
        <f>_xlfn.XLOOKUP(SO[[#This Row],[Customer name]], Customer_master[Customer name], Customer_master[Terms days], 0)</f>
        <v>0</v>
      </c>
      <c r="L2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9" s="4"/>
      <c r="N259" s="46">
        <f>IF(SO[[#This Row],[Collection date - override (dd/mm/yyyy)]] &lt;&gt; "", SO[[#This Row],[Collection date - override (dd/mm/yyyy)]], SO[[#This Row],[Due date (dd/mm/yyyy)]])</f>
        <v>0</v>
      </c>
      <c r="O259" s="46">
        <f t="shared" si="3"/>
        <v>52</v>
      </c>
    </row>
    <row r="260" spans="3:15" x14ac:dyDescent="0.25">
      <c r="C260" s="24"/>
      <c r="D260" s="20"/>
      <c r="E260" s="4"/>
      <c r="F260" s="37"/>
      <c r="G260" s="24"/>
      <c r="H260" s="51">
        <f>Assumptions!$D$15</f>
        <v>0.1</v>
      </c>
      <c r="I260" s="45">
        <f>IF(SO[[#This Row],[GST applies?]] = "Yes", (SO[[#This Row],[Value inc. GST]] / 1 + SO[[#This Row],[GST %]]) * SO[[#This Row],[GST %]], 0)</f>
        <v>0</v>
      </c>
      <c r="J260" s="31">
        <f>_xlfn.XLOOKUP(SO[[#This Row],[Customer name]], Customer_master[Customer name], Customer_master[EOM or Net], 0)</f>
        <v>0</v>
      </c>
      <c r="K260" s="31">
        <f>_xlfn.XLOOKUP(SO[[#This Row],[Customer name]], Customer_master[Customer name], Customer_master[Terms days], 0)</f>
        <v>0</v>
      </c>
      <c r="L2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0" s="4"/>
      <c r="N260" s="46">
        <f>IF(SO[[#This Row],[Collection date - override (dd/mm/yyyy)]] &lt;&gt; "", SO[[#This Row],[Collection date - override (dd/mm/yyyy)]], SO[[#This Row],[Due date (dd/mm/yyyy)]])</f>
        <v>0</v>
      </c>
      <c r="O260" s="46">
        <f t="shared" si="3"/>
        <v>52</v>
      </c>
    </row>
    <row r="261" spans="3:15" x14ac:dyDescent="0.25">
      <c r="C261" s="24"/>
      <c r="D261" s="20"/>
      <c r="E261" s="4"/>
      <c r="F261" s="37"/>
      <c r="G261" s="24"/>
      <c r="H261" s="51">
        <f>Assumptions!$D$15</f>
        <v>0.1</v>
      </c>
      <c r="I261" s="45">
        <f>IF(SO[[#This Row],[GST applies?]] = "Yes", (SO[[#This Row],[Value inc. GST]] / 1 + SO[[#This Row],[GST %]]) * SO[[#This Row],[GST %]], 0)</f>
        <v>0</v>
      </c>
      <c r="J261" s="31">
        <f>_xlfn.XLOOKUP(SO[[#This Row],[Customer name]], Customer_master[Customer name], Customer_master[EOM or Net], 0)</f>
        <v>0</v>
      </c>
      <c r="K261" s="31">
        <f>_xlfn.XLOOKUP(SO[[#This Row],[Customer name]], Customer_master[Customer name], Customer_master[Terms days], 0)</f>
        <v>0</v>
      </c>
      <c r="L2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1" s="4"/>
      <c r="N261" s="46">
        <f>IF(SO[[#This Row],[Collection date - override (dd/mm/yyyy)]] &lt;&gt; "", SO[[#This Row],[Collection date - override (dd/mm/yyyy)]], SO[[#This Row],[Due date (dd/mm/yyyy)]])</f>
        <v>0</v>
      </c>
      <c r="O261" s="46">
        <f t="shared" si="3"/>
        <v>52</v>
      </c>
    </row>
    <row r="262" spans="3:15" x14ac:dyDescent="0.25">
      <c r="C262" s="24"/>
      <c r="D262" s="20"/>
      <c r="E262" s="4"/>
      <c r="F262" s="37"/>
      <c r="G262" s="24"/>
      <c r="H262" s="51">
        <f>Assumptions!$D$15</f>
        <v>0.1</v>
      </c>
      <c r="I262" s="45">
        <f>IF(SO[[#This Row],[GST applies?]] = "Yes", (SO[[#This Row],[Value inc. GST]] / 1 + SO[[#This Row],[GST %]]) * SO[[#This Row],[GST %]], 0)</f>
        <v>0</v>
      </c>
      <c r="J262" s="31">
        <f>_xlfn.XLOOKUP(SO[[#This Row],[Customer name]], Customer_master[Customer name], Customer_master[EOM or Net], 0)</f>
        <v>0</v>
      </c>
      <c r="K262" s="31">
        <f>_xlfn.XLOOKUP(SO[[#This Row],[Customer name]], Customer_master[Customer name], Customer_master[Terms days], 0)</f>
        <v>0</v>
      </c>
      <c r="L2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2" s="4"/>
      <c r="N262" s="46">
        <f>IF(SO[[#This Row],[Collection date - override (dd/mm/yyyy)]] &lt;&gt; "", SO[[#This Row],[Collection date - override (dd/mm/yyyy)]], SO[[#This Row],[Due date (dd/mm/yyyy)]])</f>
        <v>0</v>
      </c>
      <c r="O262" s="46">
        <f t="shared" si="3"/>
        <v>52</v>
      </c>
    </row>
    <row r="263" spans="3:15" x14ac:dyDescent="0.25">
      <c r="C263" s="24"/>
      <c r="D263" s="20"/>
      <c r="E263" s="4"/>
      <c r="F263" s="37"/>
      <c r="G263" s="24"/>
      <c r="H263" s="51">
        <f>Assumptions!$D$15</f>
        <v>0.1</v>
      </c>
      <c r="I263" s="45">
        <f>IF(SO[[#This Row],[GST applies?]] = "Yes", (SO[[#This Row],[Value inc. GST]] / 1 + SO[[#This Row],[GST %]]) * SO[[#This Row],[GST %]], 0)</f>
        <v>0</v>
      </c>
      <c r="J263" s="31">
        <f>_xlfn.XLOOKUP(SO[[#This Row],[Customer name]], Customer_master[Customer name], Customer_master[EOM or Net], 0)</f>
        <v>0</v>
      </c>
      <c r="K263" s="31">
        <f>_xlfn.XLOOKUP(SO[[#This Row],[Customer name]], Customer_master[Customer name], Customer_master[Terms days], 0)</f>
        <v>0</v>
      </c>
      <c r="L2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3" s="4"/>
      <c r="N263" s="46">
        <f>IF(SO[[#This Row],[Collection date - override (dd/mm/yyyy)]] &lt;&gt; "", SO[[#This Row],[Collection date - override (dd/mm/yyyy)]], SO[[#This Row],[Due date (dd/mm/yyyy)]])</f>
        <v>0</v>
      </c>
      <c r="O263" s="46">
        <f t="shared" si="3"/>
        <v>52</v>
      </c>
    </row>
    <row r="264" spans="3:15" x14ac:dyDescent="0.25">
      <c r="C264" s="24"/>
      <c r="D264" s="20"/>
      <c r="E264" s="4"/>
      <c r="F264" s="37"/>
      <c r="G264" s="24"/>
      <c r="H264" s="51">
        <f>Assumptions!$D$15</f>
        <v>0.1</v>
      </c>
      <c r="I264" s="45">
        <f>IF(SO[[#This Row],[GST applies?]] = "Yes", (SO[[#This Row],[Value inc. GST]] / 1 + SO[[#This Row],[GST %]]) * SO[[#This Row],[GST %]], 0)</f>
        <v>0</v>
      </c>
      <c r="J264" s="31">
        <f>_xlfn.XLOOKUP(SO[[#This Row],[Customer name]], Customer_master[Customer name], Customer_master[EOM or Net], 0)</f>
        <v>0</v>
      </c>
      <c r="K264" s="31">
        <f>_xlfn.XLOOKUP(SO[[#This Row],[Customer name]], Customer_master[Customer name], Customer_master[Terms days], 0)</f>
        <v>0</v>
      </c>
      <c r="L2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4" s="4"/>
      <c r="N264" s="46">
        <f>IF(SO[[#This Row],[Collection date - override (dd/mm/yyyy)]] &lt;&gt; "", SO[[#This Row],[Collection date - override (dd/mm/yyyy)]], SO[[#This Row],[Due date (dd/mm/yyyy)]])</f>
        <v>0</v>
      </c>
      <c r="O264" s="46">
        <f t="shared" si="3"/>
        <v>52</v>
      </c>
    </row>
    <row r="265" spans="3:15" x14ac:dyDescent="0.25">
      <c r="C265" s="24"/>
      <c r="D265" s="20"/>
      <c r="E265" s="4"/>
      <c r="F265" s="37"/>
      <c r="G265" s="24"/>
      <c r="H265" s="51">
        <f>Assumptions!$D$15</f>
        <v>0.1</v>
      </c>
      <c r="I265" s="45">
        <f>IF(SO[[#This Row],[GST applies?]] = "Yes", (SO[[#This Row],[Value inc. GST]] / 1 + SO[[#This Row],[GST %]]) * SO[[#This Row],[GST %]], 0)</f>
        <v>0</v>
      </c>
      <c r="J265" s="31">
        <f>_xlfn.XLOOKUP(SO[[#This Row],[Customer name]], Customer_master[Customer name], Customer_master[EOM or Net], 0)</f>
        <v>0</v>
      </c>
      <c r="K265" s="31">
        <f>_xlfn.XLOOKUP(SO[[#This Row],[Customer name]], Customer_master[Customer name], Customer_master[Terms days], 0)</f>
        <v>0</v>
      </c>
      <c r="L2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5" s="4"/>
      <c r="N265" s="46">
        <f>IF(SO[[#This Row],[Collection date - override (dd/mm/yyyy)]] &lt;&gt; "", SO[[#This Row],[Collection date - override (dd/mm/yyyy)]], SO[[#This Row],[Due date (dd/mm/yyyy)]])</f>
        <v>0</v>
      </c>
      <c r="O265" s="46">
        <f t="shared" ref="O265:O328" si="4">IF(GST_Freq="Monthly",
    DATE(YEAR(E265), MONTH(E265) + 1, 21),
    IF(GST_Freq="Quarterly",
        IF(MOD(MONTH(E265) + 2 - MOD(MOD(MONTH(E265) - GST_First_Month, 12), 3), 12) = 0,
            DATE(YEAR(E265), MONTH(E265) + 4 - MOD(MOD(MONTH(E265) - GST_First_Month, 12), 3), 28),
            DATE(YEAR(E265), MONTH(E265) + 3 - MOD(MOD(MONTH(E265) - GST_First_Month, 12), 3), 28)
        ),
        "Invalid frequency"
    )
)</f>
        <v>52</v>
      </c>
    </row>
    <row r="266" spans="3:15" x14ac:dyDescent="0.25">
      <c r="C266" s="24"/>
      <c r="D266" s="20"/>
      <c r="E266" s="4"/>
      <c r="F266" s="37"/>
      <c r="G266" s="24"/>
      <c r="H266" s="51">
        <f>Assumptions!$D$15</f>
        <v>0.1</v>
      </c>
      <c r="I266" s="45">
        <f>IF(SO[[#This Row],[GST applies?]] = "Yes", (SO[[#This Row],[Value inc. GST]] / 1 + SO[[#This Row],[GST %]]) * SO[[#This Row],[GST %]], 0)</f>
        <v>0</v>
      </c>
      <c r="J266" s="31">
        <f>_xlfn.XLOOKUP(SO[[#This Row],[Customer name]], Customer_master[Customer name], Customer_master[EOM or Net], 0)</f>
        <v>0</v>
      </c>
      <c r="K266" s="31">
        <f>_xlfn.XLOOKUP(SO[[#This Row],[Customer name]], Customer_master[Customer name], Customer_master[Terms days], 0)</f>
        <v>0</v>
      </c>
      <c r="L2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6" s="4"/>
      <c r="N266" s="46">
        <f>IF(SO[[#This Row],[Collection date - override (dd/mm/yyyy)]] &lt;&gt; "", SO[[#This Row],[Collection date - override (dd/mm/yyyy)]], SO[[#This Row],[Due date (dd/mm/yyyy)]])</f>
        <v>0</v>
      </c>
      <c r="O266" s="46">
        <f t="shared" si="4"/>
        <v>52</v>
      </c>
    </row>
    <row r="267" spans="3:15" x14ac:dyDescent="0.25">
      <c r="C267" s="24"/>
      <c r="D267" s="20"/>
      <c r="E267" s="4"/>
      <c r="F267" s="37"/>
      <c r="G267" s="24"/>
      <c r="H267" s="51">
        <f>Assumptions!$D$15</f>
        <v>0.1</v>
      </c>
      <c r="I267" s="45">
        <f>IF(SO[[#This Row],[GST applies?]] = "Yes", (SO[[#This Row],[Value inc. GST]] / 1 + SO[[#This Row],[GST %]]) * SO[[#This Row],[GST %]], 0)</f>
        <v>0</v>
      </c>
      <c r="J267" s="31">
        <f>_xlfn.XLOOKUP(SO[[#This Row],[Customer name]], Customer_master[Customer name], Customer_master[EOM or Net], 0)</f>
        <v>0</v>
      </c>
      <c r="K267" s="31">
        <f>_xlfn.XLOOKUP(SO[[#This Row],[Customer name]], Customer_master[Customer name], Customer_master[Terms days], 0)</f>
        <v>0</v>
      </c>
      <c r="L2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7" s="4"/>
      <c r="N267" s="46">
        <f>IF(SO[[#This Row],[Collection date - override (dd/mm/yyyy)]] &lt;&gt; "", SO[[#This Row],[Collection date - override (dd/mm/yyyy)]], SO[[#This Row],[Due date (dd/mm/yyyy)]])</f>
        <v>0</v>
      </c>
      <c r="O267" s="46">
        <f t="shared" si="4"/>
        <v>52</v>
      </c>
    </row>
    <row r="268" spans="3:15" x14ac:dyDescent="0.25">
      <c r="C268" s="24"/>
      <c r="D268" s="20"/>
      <c r="E268" s="4"/>
      <c r="F268" s="37"/>
      <c r="G268" s="24"/>
      <c r="H268" s="51">
        <f>Assumptions!$D$15</f>
        <v>0.1</v>
      </c>
      <c r="I268" s="45">
        <f>IF(SO[[#This Row],[GST applies?]] = "Yes", (SO[[#This Row],[Value inc. GST]] / 1 + SO[[#This Row],[GST %]]) * SO[[#This Row],[GST %]], 0)</f>
        <v>0</v>
      </c>
      <c r="J268" s="31">
        <f>_xlfn.XLOOKUP(SO[[#This Row],[Customer name]], Customer_master[Customer name], Customer_master[EOM or Net], 0)</f>
        <v>0</v>
      </c>
      <c r="K268" s="31">
        <f>_xlfn.XLOOKUP(SO[[#This Row],[Customer name]], Customer_master[Customer name], Customer_master[Terms days], 0)</f>
        <v>0</v>
      </c>
      <c r="L2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8" s="4"/>
      <c r="N268" s="46">
        <f>IF(SO[[#This Row],[Collection date - override (dd/mm/yyyy)]] &lt;&gt; "", SO[[#This Row],[Collection date - override (dd/mm/yyyy)]], SO[[#This Row],[Due date (dd/mm/yyyy)]])</f>
        <v>0</v>
      </c>
      <c r="O268" s="46">
        <f t="shared" si="4"/>
        <v>52</v>
      </c>
    </row>
    <row r="269" spans="3:15" x14ac:dyDescent="0.25">
      <c r="C269" s="24"/>
      <c r="D269" s="20"/>
      <c r="E269" s="4"/>
      <c r="F269" s="37"/>
      <c r="G269" s="24"/>
      <c r="H269" s="51">
        <f>Assumptions!$D$15</f>
        <v>0.1</v>
      </c>
      <c r="I269" s="45">
        <f>IF(SO[[#This Row],[GST applies?]] = "Yes", (SO[[#This Row],[Value inc. GST]] / 1 + SO[[#This Row],[GST %]]) * SO[[#This Row],[GST %]], 0)</f>
        <v>0</v>
      </c>
      <c r="J269" s="31">
        <f>_xlfn.XLOOKUP(SO[[#This Row],[Customer name]], Customer_master[Customer name], Customer_master[EOM or Net], 0)</f>
        <v>0</v>
      </c>
      <c r="K269" s="31">
        <f>_xlfn.XLOOKUP(SO[[#This Row],[Customer name]], Customer_master[Customer name], Customer_master[Terms days], 0)</f>
        <v>0</v>
      </c>
      <c r="L2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9" s="4"/>
      <c r="N269" s="46">
        <f>IF(SO[[#This Row],[Collection date - override (dd/mm/yyyy)]] &lt;&gt; "", SO[[#This Row],[Collection date - override (dd/mm/yyyy)]], SO[[#This Row],[Due date (dd/mm/yyyy)]])</f>
        <v>0</v>
      </c>
      <c r="O269" s="46">
        <f t="shared" si="4"/>
        <v>52</v>
      </c>
    </row>
    <row r="270" spans="3:15" x14ac:dyDescent="0.25">
      <c r="C270" s="24"/>
      <c r="D270" s="20"/>
      <c r="E270" s="4"/>
      <c r="F270" s="37"/>
      <c r="G270" s="24"/>
      <c r="H270" s="51">
        <f>Assumptions!$D$15</f>
        <v>0.1</v>
      </c>
      <c r="I270" s="45">
        <f>IF(SO[[#This Row],[GST applies?]] = "Yes", (SO[[#This Row],[Value inc. GST]] / 1 + SO[[#This Row],[GST %]]) * SO[[#This Row],[GST %]], 0)</f>
        <v>0</v>
      </c>
      <c r="J270" s="31">
        <f>_xlfn.XLOOKUP(SO[[#This Row],[Customer name]], Customer_master[Customer name], Customer_master[EOM or Net], 0)</f>
        <v>0</v>
      </c>
      <c r="K270" s="31">
        <f>_xlfn.XLOOKUP(SO[[#This Row],[Customer name]], Customer_master[Customer name], Customer_master[Terms days], 0)</f>
        <v>0</v>
      </c>
      <c r="L2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0" s="4"/>
      <c r="N270" s="46">
        <f>IF(SO[[#This Row],[Collection date - override (dd/mm/yyyy)]] &lt;&gt; "", SO[[#This Row],[Collection date - override (dd/mm/yyyy)]], SO[[#This Row],[Due date (dd/mm/yyyy)]])</f>
        <v>0</v>
      </c>
      <c r="O270" s="46">
        <f t="shared" si="4"/>
        <v>52</v>
      </c>
    </row>
    <row r="271" spans="3:15" x14ac:dyDescent="0.25">
      <c r="C271" s="24"/>
      <c r="D271" s="20"/>
      <c r="E271" s="4"/>
      <c r="F271" s="37"/>
      <c r="G271" s="24"/>
      <c r="H271" s="51">
        <f>Assumptions!$D$15</f>
        <v>0.1</v>
      </c>
      <c r="I271" s="45">
        <f>IF(SO[[#This Row],[GST applies?]] = "Yes", (SO[[#This Row],[Value inc. GST]] / 1 + SO[[#This Row],[GST %]]) * SO[[#This Row],[GST %]], 0)</f>
        <v>0</v>
      </c>
      <c r="J271" s="31">
        <f>_xlfn.XLOOKUP(SO[[#This Row],[Customer name]], Customer_master[Customer name], Customer_master[EOM or Net], 0)</f>
        <v>0</v>
      </c>
      <c r="K271" s="31">
        <f>_xlfn.XLOOKUP(SO[[#This Row],[Customer name]], Customer_master[Customer name], Customer_master[Terms days], 0)</f>
        <v>0</v>
      </c>
      <c r="L2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1" s="4"/>
      <c r="N271" s="46">
        <f>IF(SO[[#This Row],[Collection date - override (dd/mm/yyyy)]] &lt;&gt; "", SO[[#This Row],[Collection date - override (dd/mm/yyyy)]], SO[[#This Row],[Due date (dd/mm/yyyy)]])</f>
        <v>0</v>
      </c>
      <c r="O271" s="46">
        <f t="shared" si="4"/>
        <v>52</v>
      </c>
    </row>
    <row r="272" spans="3:15" x14ac:dyDescent="0.25">
      <c r="C272" s="24"/>
      <c r="D272" s="20"/>
      <c r="E272" s="4"/>
      <c r="F272" s="37"/>
      <c r="G272" s="24"/>
      <c r="H272" s="51">
        <f>Assumptions!$D$15</f>
        <v>0.1</v>
      </c>
      <c r="I272" s="45">
        <f>IF(SO[[#This Row],[GST applies?]] = "Yes", (SO[[#This Row],[Value inc. GST]] / 1 + SO[[#This Row],[GST %]]) * SO[[#This Row],[GST %]], 0)</f>
        <v>0</v>
      </c>
      <c r="J272" s="31">
        <f>_xlfn.XLOOKUP(SO[[#This Row],[Customer name]], Customer_master[Customer name], Customer_master[EOM or Net], 0)</f>
        <v>0</v>
      </c>
      <c r="K272" s="31">
        <f>_xlfn.XLOOKUP(SO[[#This Row],[Customer name]], Customer_master[Customer name], Customer_master[Terms days], 0)</f>
        <v>0</v>
      </c>
      <c r="L2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2" s="4"/>
      <c r="N272" s="46">
        <f>IF(SO[[#This Row],[Collection date - override (dd/mm/yyyy)]] &lt;&gt; "", SO[[#This Row],[Collection date - override (dd/mm/yyyy)]], SO[[#This Row],[Due date (dd/mm/yyyy)]])</f>
        <v>0</v>
      </c>
      <c r="O272" s="46">
        <f t="shared" si="4"/>
        <v>52</v>
      </c>
    </row>
    <row r="273" spans="3:15" x14ac:dyDescent="0.25">
      <c r="C273" s="24"/>
      <c r="D273" s="20"/>
      <c r="E273" s="4"/>
      <c r="F273" s="37"/>
      <c r="G273" s="24"/>
      <c r="H273" s="51">
        <f>Assumptions!$D$15</f>
        <v>0.1</v>
      </c>
      <c r="I273" s="45">
        <f>IF(SO[[#This Row],[GST applies?]] = "Yes", (SO[[#This Row],[Value inc. GST]] / 1 + SO[[#This Row],[GST %]]) * SO[[#This Row],[GST %]], 0)</f>
        <v>0</v>
      </c>
      <c r="J273" s="31">
        <f>_xlfn.XLOOKUP(SO[[#This Row],[Customer name]], Customer_master[Customer name], Customer_master[EOM or Net], 0)</f>
        <v>0</v>
      </c>
      <c r="K273" s="31">
        <f>_xlfn.XLOOKUP(SO[[#This Row],[Customer name]], Customer_master[Customer name], Customer_master[Terms days], 0)</f>
        <v>0</v>
      </c>
      <c r="L2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3" s="4"/>
      <c r="N273" s="46">
        <f>IF(SO[[#This Row],[Collection date - override (dd/mm/yyyy)]] &lt;&gt; "", SO[[#This Row],[Collection date - override (dd/mm/yyyy)]], SO[[#This Row],[Due date (dd/mm/yyyy)]])</f>
        <v>0</v>
      </c>
      <c r="O273" s="46">
        <f t="shared" si="4"/>
        <v>52</v>
      </c>
    </row>
    <row r="274" spans="3:15" x14ac:dyDescent="0.25">
      <c r="C274" s="24"/>
      <c r="D274" s="20"/>
      <c r="E274" s="4"/>
      <c r="F274" s="37"/>
      <c r="G274" s="24"/>
      <c r="H274" s="51">
        <f>Assumptions!$D$15</f>
        <v>0.1</v>
      </c>
      <c r="I274" s="45">
        <f>IF(SO[[#This Row],[GST applies?]] = "Yes", (SO[[#This Row],[Value inc. GST]] / 1 + SO[[#This Row],[GST %]]) * SO[[#This Row],[GST %]], 0)</f>
        <v>0</v>
      </c>
      <c r="J274" s="31">
        <f>_xlfn.XLOOKUP(SO[[#This Row],[Customer name]], Customer_master[Customer name], Customer_master[EOM or Net], 0)</f>
        <v>0</v>
      </c>
      <c r="K274" s="31">
        <f>_xlfn.XLOOKUP(SO[[#This Row],[Customer name]], Customer_master[Customer name], Customer_master[Terms days], 0)</f>
        <v>0</v>
      </c>
      <c r="L2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4" s="4"/>
      <c r="N274" s="46">
        <f>IF(SO[[#This Row],[Collection date - override (dd/mm/yyyy)]] &lt;&gt; "", SO[[#This Row],[Collection date - override (dd/mm/yyyy)]], SO[[#This Row],[Due date (dd/mm/yyyy)]])</f>
        <v>0</v>
      </c>
      <c r="O274" s="46">
        <f t="shared" si="4"/>
        <v>52</v>
      </c>
    </row>
    <row r="275" spans="3:15" x14ac:dyDescent="0.25">
      <c r="C275" s="24"/>
      <c r="D275" s="20"/>
      <c r="E275" s="4"/>
      <c r="F275" s="37"/>
      <c r="G275" s="24"/>
      <c r="H275" s="51">
        <f>Assumptions!$D$15</f>
        <v>0.1</v>
      </c>
      <c r="I275" s="45">
        <f>IF(SO[[#This Row],[GST applies?]] = "Yes", (SO[[#This Row],[Value inc. GST]] / 1 + SO[[#This Row],[GST %]]) * SO[[#This Row],[GST %]], 0)</f>
        <v>0</v>
      </c>
      <c r="J275" s="31">
        <f>_xlfn.XLOOKUP(SO[[#This Row],[Customer name]], Customer_master[Customer name], Customer_master[EOM or Net], 0)</f>
        <v>0</v>
      </c>
      <c r="K275" s="31">
        <f>_xlfn.XLOOKUP(SO[[#This Row],[Customer name]], Customer_master[Customer name], Customer_master[Terms days], 0)</f>
        <v>0</v>
      </c>
      <c r="L2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5" s="4"/>
      <c r="N275" s="46">
        <f>IF(SO[[#This Row],[Collection date - override (dd/mm/yyyy)]] &lt;&gt; "", SO[[#This Row],[Collection date - override (dd/mm/yyyy)]], SO[[#This Row],[Due date (dd/mm/yyyy)]])</f>
        <v>0</v>
      </c>
      <c r="O275" s="46">
        <f t="shared" si="4"/>
        <v>52</v>
      </c>
    </row>
    <row r="276" spans="3:15" x14ac:dyDescent="0.25">
      <c r="C276" s="24"/>
      <c r="D276" s="20"/>
      <c r="E276" s="4"/>
      <c r="F276" s="37"/>
      <c r="G276" s="24"/>
      <c r="H276" s="51">
        <f>Assumptions!$D$15</f>
        <v>0.1</v>
      </c>
      <c r="I276" s="45">
        <f>IF(SO[[#This Row],[GST applies?]] = "Yes", (SO[[#This Row],[Value inc. GST]] / 1 + SO[[#This Row],[GST %]]) * SO[[#This Row],[GST %]], 0)</f>
        <v>0</v>
      </c>
      <c r="J276" s="31">
        <f>_xlfn.XLOOKUP(SO[[#This Row],[Customer name]], Customer_master[Customer name], Customer_master[EOM or Net], 0)</f>
        <v>0</v>
      </c>
      <c r="K276" s="31">
        <f>_xlfn.XLOOKUP(SO[[#This Row],[Customer name]], Customer_master[Customer name], Customer_master[Terms days], 0)</f>
        <v>0</v>
      </c>
      <c r="L2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6" s="4"/>
      <c r="N276" s="46">
        <f>IF(SO[[#This Row],[Collection date - override (dd/mm/yyyy)]] &lt;&gt; "", SO[[#This Row],[Collection date - override (dd/mm/yyyy)]], SO[[#This Row],[Due date (dd/mm/yyyy)]])</f>
        <v>0</v>
      </c>
      <c r="O276" s="46">
        <f t="shared" si="4"/>
        <v>52</v>
      </c>
    </row>
    <row r="277" spans="3:15" x14ac:dyDescent="0.25">
      <c r="C277" s="24"/>
      <c r="D277" s="20"/>
      <c r="E277" s="4"/>
      <c r="F277" s="37"/>
      <c r="G277" s="24"/>
      <c r="H277" s="51">
        <f>Assumptions!$D$15</f>
        <v>0.1</v>
      </c>
      <c r="I277" s="45">
        <f>IF(SO[[#This Row],[GST applies?]] = "Yes", (SO[[#This Row],[Value inc. GST]] / 1 + SO[[#This Row],[GST %]]) * SO[[#This Row],[GST %]], 0)</f>
        <v>0</v>
      </c>
      <c r="J277" s="31">
        <f>_xlfn.XLOOKUP(SO[[#This Row],[Customer name]], Customer_master[Customer name], Customer_master[EOM or Net], 0)</f>
        <v>0</v>
      </c>
      <c r="K277" s="31">
        <f>_xlfn.XLOOKUP(SO[[#This Row],[Customer name]], Customer_master[Customer name], Customer_master[Terms days], 0)</f>
        <v>0</v>
      </c>
      <c r="L2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7" s="4"/>
      <c r="N277" s="46">
        <f>IF(SO[[#This Row],[Collection date - override (dd/mm/yyyy)]] &lt;&gt; "", SO[[#This Row],[Collection date - override (dd/mm/yyyy)]], SO[[#This Row],[Due date (dd/mm/yyyy)]])</f>
        <v>0</v>
      </c>
      <c r="O277" s="46">
        <f t="shared" si="4"/>
        <v>52</v>
      </c>
    </row>
    <row r="278" spans="3:15" x14ac:dyDescent="0.25">
      <c r="C278" s="24"/>
      <c r="D278" s="20"/>
      <c r="E278" s="4"/>
      <c r="F278" s="37"/>
      <c r="G278" s="24"/>
      <c r="H278" s="51">
        <f>Assumptions!$D$15</f>
        <v>0.1</v>
      </c>
      <c r="I278" s="45">
        <f>IF(SO[[#This Row],[GST applies?]] = "Yes", (SO[[#This Row],[Value inc. GST]] / 1 + SO[[#This Row],[GST %]]) * SO[[#This Row],[GST %]], 0)</f>
        <v>0</v>
      </c>
      <c r="J278" s="31">
        <f>_xlfn.XLOOKUP(SO[[#This Row],[Customer name]], Customer_master[Customer name], Customer_master[EOM or Net], 0)</f>
        <v>0</v>
      </c>
      <c r="K278" s="31">
        <f>_xlfn.XLOOKUP(SO[[#This Row],[Customer name]], Customer_master[Customer name], Customer_master[Terms days], 0)</f>
        <v>0</v>
      </c>
      <c r="L2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8" s="4"/>
      <c r="N278" s="46">
        <f>IF(SO[[#This Row],[Collection date - override (dd/mm/yyyy)]] &lt;&gt; "", SO[[#This Row],[Collection date - override (dd/mm/yyyy)]], SO[[#This Row],[Due date (dd/mm/yyyy)]])</f>
        <v>0</v>
      </c>
      <c r="O278" s="46">
        <f t="shared" si="4"/>
        <v>52</v>
      </c>
    </row>
    <row r="279" spans="3:15" x14ac:dyDescent="0.25">
      <c r="C279" s="24"/>
      <c r="D279" s="20"/>
      <c r="E279" s="4"/>
      <c r="F279" s="37"/>
      <c r="G279" s="24"/>
      <c r="H279" s="51">
        <f>Assumptions!$D$15</f>
        <v>0.1</v>
      </c>
      <c r="I279" s="45">
        <f>IF(SO[[#This Row],[GST applies?]] = "Yes", (SO[[#This Row],[Value inc. GST]] / 1 + SO[[#This Row],[GST %]]) * SO[[#This Row],[GST %]], 0)</f>
        <v>0</v>
      </c>
      <c r="J279" s="31">
        <f>_xlfn.XLOOKUP(SO[[#This Row],[Customer name]], Customer_master[Customer name], Customer_master[EOM or Net], 0)</f>
        <v>0</v>
      </c>
      <c r="K279" s="31">
        <f>_xlfn.XLOOKUP(SO[[#This Row],[Customer name]], Customer_master[Customer name], Customer_master[Terms days], 0)</f>
        <v>0</v>
      </c>
      <c r="L2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9" s="4"/>
      <c r="N279" s="46">
        <f>IF(SO[[#This Row],[Collection date - override (dd/mm/yyyy)]] &lt;&gt; "", SO[[#This Row],[Collection date - override (dd/mm/yyyy)]], SO[[#This Row],[Due date (dd/mm/yyyy)]])</f>
        <v>0</v>
      </c>
      <c r="O279" s="46">
        <f t="shared" si="4"/>
        <v>52</v>
      </c>
    </row>
    <row r="280" spans="3:15" x14ac:dyDescent="0.25">
      <c r="C280" s="24"/>
      <c r="D280" s="20"/>
      <c r="E280" s="4"/>
      <c r="F280" s="37"/>
      <c r="G280" s="24"/>
      <c r="H280" s="51">
        <f>Assumptions!$D$15</f>
        <v>0.1</v>
      </c>
      <c r="I280" s="45">
        <f>IF(SO[[#This Row],[GST applies?]] = "Yes", (SO[[#This Row],[Value inc. GST]] / 1 + SO[[#This Row],[GST %]]) * SO[[#This Row],[GST %]], 0)</f>
        <v>0</v>
      </c>
      <c r="J280" s="31">
        <f>_xlfn.XLOOKUP(SO[[#This Row],[Customer name]], Customer_master[Customer name], Customer_master[EOM or Net], 0)</f>
        <v>0</v>
      </c>
      <c r="K280" s="31">
        <f>_xlfn.XLOOKUP(SO[[#This Row],[Customer name]], Customer_master[Customer name], Customer_master[Terms days], 0)</f>
        <v>0</v>
      </c>
      <c r="L2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0" s="4"/>
      <c r="N280" s="46">
        <f>IF(SO[[#This Row],[Collection date - override (dd/mm/yyyy)]] &lt;&gt; "", SO[[#This Row],[Collection date - override (dd/mm/yyyy)]], SO[[#This Row],[Due date (dd/mm/yyyy)]])</f>
        <v>0</v>
      </c>
      <c r="O280" s="46">
        <f t="shared" si="4"/>
        <v>52</v>
      </c>
    </row>
    <row r="281" spans="3:15" x14ac:dyDescent="0.25">
      <c r="C281" s="24"/>
      <c r="D281" s="20"/>
      <c r="E281" s="4"/>
      <c r="F281" s="37"/>
      <c r="G281" s="24"/>
      <c r="H281" s="51">
        <f>Assumptions!$D$15</f>
        <v>0.1</v>
      </c>
      <c r="I281" s="45">
        <f>IF(SO[[#This Row],[GST applies?]] = "Yes", (SO[[#This Row],[Value inc. GST]] / 1 + SO[[#This Row],[GST %]]) * SO[[#This Row],[GST %]], 0)</f>
        <v>0</v>
      </c>
      <c r="J281" s="31">
        <f>_xlfn.XLOOKUP(SO[[#This Row],[Customer name]], Customer_master[Customer name], Customer_master[EOM or Net], 0)</f>
        <v>0</v>
      </c>
      <c r="K281" s="31">
        <f>_xlfn.XLOOKUP(SO[[#This Row],[Customer name]], Customer_master[Customer name], Customer_master[Terms days], 0)</f>
        <v>0</v>
      </c>
      <c r="L2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1" s="4"/>
      <c r="N281" s="46">
        <f>IF(SO[[#This Row],[Collection date - override (dd/mm/yyyy)]] &lt;&gt; "", SO[[#This Row],[Collection date - override (dd/mm/yyyy)]], SO[[#This Row],[Due date (dd/mm/yyyy)]])</f>
        <v>0</v>
      </c>
      <c r="O281" s="46">
        <f t="shared" si="4"/>
        <v>52</v>
      </c>
    </row>
    <row r="282" spans="3:15" x14ac:dyDescent="0.25">
      <c r="C282" s="24"/>
      <c r="D282" s="20"/>
      <c r="E282" s="4"/>
      <c r="F282" s="37"/>
      <c r="G282" s="24"/>
      <c r="H282" s="51">
        <f>Assumptions!$D$15</f>
        <v>0.1</v>
      </c>
      <c r="I282" s="45">
        <f>IF(SO[[#This Row],[GST applies?]] = "Yes", (SO[[#This Row],[Value inc. GST]] / 1 + SO[[#This Row],[GST %]]) * SO[[#This Row],[GST %]], 0)</f>
        <v>0</v>
      </c>
      <c r="J282" s="31">
        <f>_xlfn.XLOOKUP(SO[[#This Row],[Customer name]], Customer_master[Customer name], Customer_master[EOM or Net], 0)</f>
        <v>0</v>
      </c>
      <c r="K282" s="31">
        <f>_xlfn.XLOOKUP(SO[[#This Row],[Customer name]], Customer_master[Customer name], Customer_master[Terms days], 0)</f>
        <v>0</v>
      </c>
      <c r="L2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2" s="4"/>
      <c r="N282" s="46">
        <f>IF(SO[[#This Row],[Collection date - override (dd/mm/yyyy)]] &lt;&gt; "", SO[[#This Row],[Collection date - override (dd/mm/yyyy)]], SO[[#This Row],[Due date (dd/mm/yyyy)]])</f>
        <v>0</v>
      </c>
      <c r="O282" s="46">
        <f t="shared" si="4"/>
        <v>52</v>
      </c>
    </row>
    <row r="283" spans="3:15" x14ac:dyDescent="0.25">
      <c r="C283" s="24"/>
      <c r="D283" s="20"/>
      <c r="E283" s="4"/>
      <c r="F283" s="37"/>
      <c r="G283" s="24"/>
      <c r="H283" s="51">
        <f>Assumptions!$D$15</f>
        <v>0.1</v>
      </c>
      <c r="I283" s="45">
        <f>IF(SO[[#This Row],[GST applies?]] = "Yes", (SO[[#This Row],[Value inc. GST]] / 1 + SO[[#This Row],[GST %]]) * SO[[#This Row],[GST %]], 0)</f>
        <v>0</v>
      </c>
      <c r="J283" s="31">
        <f>_xlfn.XLOOKUP(SO[[#This Row],[Customer name]], Customer_master[Customer name], Customer_master[EOM or Net], 0)</f>
        <v>0</v>
      </c>
      <c r="K283" s="31">
        <f>_xlfn.XLOOKUP(SO[[#This Row],[Customer name]], Customer_master[Customer name], Customer_master[Terms days], 0)</f>
        <v>0</v>
      </c>
      <c r="L2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3" s="4"/>
      <c r="N283" s="46">
        <f>IF(SO[[#This Row],[Collection date - override (dd/mm/yyyy)]] &lt;&gt; "", SO[[#This Row],[Collection date - override (dd/mm/yyyy)]], SO[[#This Row],[Due date (dd/mm/yyyy)]])</f>
        <v>0</v>
      </c>
      <c r="O283" s="46">
        <f t="shared" si="4"/>
        <v>52</v>
      </c>
    </row>
    <row r="284" spans="3:15" x14ac:dyDescent="0.25">
      <c r="C284" s="24"/>
      <c r="D284" s="20"/>
      <c r="E284" s="4"/>
      <c r="F284" s="37"/>
      <c r="G284" s="24"/>
      <c r="H284" s="51">
        <f>Assumptions!$D$15</f>
        <v>0.1</v>
      </c>
      <c r="I284" s="45">
        <f>IF(SO[[#This Row],[GST applies?]] = "Yes", (SO[[#This Row],[Value inc. GST]] / 1 + SO[[#This Row],[GST %]]) * SO[[#This Row],[GST %]], 0)</f>
        <v>0</v>
      </c>
      <c r="J284" s="31">
        <f>_xlfn.XLOOKUP(SO[[#This Row],[Customer name]], Customer_master[Customer name], Customer_master[EOM or Net], 0)</f>
        <v>0</v>
      </c>
      <c r="K284" s="31">
        <f>_xlfn.XLOOKUP(SO[[#This Row],[Customer name]], Customer_master[Customer name], Customer_master[Terms days], 0)</f>
        <v>0</v>
      </c>
      <c r="L2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4" s="4"/>
      <c r="N284" s="46">
        <f>IF(SO[[#This Row],[Collection date - override (dd/mm/yyyy)]] &lt;&gt; "", SO[[#This Row],[Collection date - override (dd/mm/yyyy)]], SO[[#This Row],[Due date (dd/mm/yyyy)]])</f>
        <v>0</v>
      </c>
      <c r="O284" s="46">
        <f t="shared" si="4"/>
        <v>52</v>
      </c>
    </row>
    <row r="285" spans="3:15" x14ac:dyDescent="0.25">
      <c r="C285" s="24"/>
      <c r="D285" s="20"/>
      <c r="E285" s="4"/>
      <c r="F285" s="37"/>
      <c r="G285" s="24"/>
      <c r="H285" s="51">
        <f>Assumptions!$D$15</f>
        <v>0.1</v>
      </c>
      <c r="I285" s="45">
        <f>IF(SO[[#This Row],[GST applies?]] = "Yes", (SO[[#This Row],[Value inc. GST]] / 1 + SO[[#This Row],[GST %]]) * SO[[#This Row],[GST %]], 0)</f>
        <v>0</v>
      </c>
      <c r="J285" s="31">
        <f>_xlfn.XLOOKUP(SO[[#This Row],[Customer name]], Customer_master[Customer name], Customer_master[EOM or Net], 0)</f>
        <v>0</v>
      </c>
      <c r="K285" s="31">
        <f>_xlfn.XLOOKUP(SO[[#This Row],[Customer name]], Customer_master[Customer name], Customer_master[Terms days], 0)</f>
        <v>0</v>
      </c>
      <c r="L2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5" s="4"/>
      <c r="N285" s="46">
        <f>IF(SO[[#This Row],[Collection date - override (dd/mm/yyyy)]] &lt;&gt; "", SO[[#This Row],[Collection date - override (dd/mm/yyyy)]], SO[[#This Row],[Due date (dd/mm/yyyy)]])</f>
        <v>0</v>
      </c>
      <c r="O285" s="46">
        <f t="shared" si="4"/>
        <v>52</v>
      </c>
    </row>
    <row r="286" spans="3:15" x14ac:dyDescent="0.25">
      <c r="C286" s="24"/>
      <c r="D286" s="20"/>
      <c r="E286" s="4"/>
      <c r="F286" s="37"/>
      <c r="G286" s="24"/>
      <c r="H286" s="51">
        <f>Assumptions!$D$15</f>
        <v>0.1</v>
      </c>
      <c r="I286" s="45">
        <f>IF(SO[[#This Row],[GST applies?]] = "Yes", (SO[[#This Row],[Value inc. GST]] / 1 + SO[[#This Row],[GST %]]) * SO[[#This Row],[GST %]], 0)</f>
        <v>0</v>
      </c>
      <c r="J286" s="31">
        <f>_xlfn.XLOOKUP(SO[[#This Row],[Customer name]], Customer_master[Customer name], Customer_master[EOM or Net], 0)</f>
        <v>0</v>
      </c>
      <c r="K286" s="31">
        <f>_xlfn.XLOOKUP(SO[[#This Row],[Customer name]], Customer_master[Customer name], Customer_master[Terms days], 0)</f>
        <v>0</v>
      </c>
      <c r="L2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6" s="4"/>
      <c r="N286" s="46">
        <f>IF(SO[[#This Row],[Collection date - override (dd/mm/yyyy)]] &lt;&gt; "", SO[[#This Row],[Collection date - override (dd/mm/yyyy)]], SO[[#This Row],[Due date (dd/mm/yyyy)]])</f>
        <v>0</v>
      </c>
      <c r="O286" s="46">
        <f t="shared" si="4"/>
        <v>52</v>
      </c>
    </row>
    <row r="287" spans="3:15" x14ac:dyDescent="0.25">
      <c r="C287" s="24"/>
      <c r="D287" s="20"/>
      <c r="E287" s="4"/>
      <c r="F287" s="37"/>
      <c r="G287" s="24"/>
      <c r="H287" s="51">
        <f>Assumptions!$D$15</f>
        <v>0.1</v>
      </c>
      <c r="I287" s="45">
        <f>IF(SO[[#This Row],[GST applies?]] = "Yes", (SO[[#This Row],[Value inc. GST]] / 1 + SO[[#This Row],[GST %]]) * SO[[#This Row],[GST %]], 0)</f>
        <v>0</v>
      </c>
      <c r="J287" s="31">
        <f>_xlfn.XLOOKUP(SO[[#This Row],[Customer name]], Customer_master[Customer name], Customer_master[EOM or Net], 0)</f>
        <v>0</v>
      </c>
      <c r="K287" s="31">
        <f>_xlfn.XLOOKUP(SO[[#This Row],[Customer name]], Customer_master[Customer name], Customer_master[Terms days], 0)</f>
        <v>0</v>
      </c>
      <c r="L2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7" s="4"/>
      <c r="N287" s="46">
        <f>IF(SO[[#This Row],[Collection date - override (dd/mm/yyyy)]] &lt;&gt; "", SO[[#This Row],[Collection date - override (dd/mm/yyyy)]], SO[[#This Row],[Due date (dd/mm/yyyy)]])</f>
        <v>0</v>
      </c>
      <c r="O287" s="46">
        <f t="shared" si="4"/>
        <v>52</v>
      </c>
    </row>
    <row r="288" spans="3:15" x14ac:dyDescent="0.25">
      <c r="C288" s="24"/>
      <c r="D288" s="20"/>
      <c r="E288" s="4"/>
      <c r="F288" s="37"/>
      <c r="G288" s="24"/>
      <c r="H288" s="51">
        <f>Assumptions!$D$15</f>
        <v>0.1</v>
      </c>
      <c r="I288" s="45">
        <f>IF(SO[[#This Row],[GST applies?]] = "Yes", (SO[[#This Row],[Value inc. GST]] / 1 + SO[[#This Row],[GST %]]) * SO[[#This Row],[GST %]], 0)</f>
        <v>0</v>
      </c>
      <c r="J288" s="31">
        <f>_xlfn.XLOOKUP(SO[[#This Row],[Customer name]], Customer_master[Customer name], Customer_master[EOM or Net], 0)</f>
        <v>0</v>
      </c>
      <c r="K288" s="31">
        <f>_xlfn.XLOOKUP(SO[[#This Row],[Customer name]], Customer_master[Customer name], Customer_master[Terms days], 0)</f>
        <v>0</v>
      </c>
      <c r="L2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8" s="4"/>
      <c r="N288" s="46">
        <f>IF(SO[[#This Row],[Collection date - override (dd/mm/yyyy)]] &lt;&gt; "", SO[[#This Row],[Collection date - override (dd/mm/yyyy)]], SO[[#This Row],[Due date (dd/mm/yyyy)]])</f>
        <v>0</v>
      </c>
      <c r="O288" s="46">
        <f t="shared" si="4"/>
        <v>52</v>
      </c>
    </row>
    <row r="289" spans="3:15" x14ac:dyDescent="0.25">
      <c r="C289" s="24"/>
      <c r="D289" s="20"/>
      <c r="E289" s="4"/>
      <c r="F289" s="37"/>
      <c r="G289" s="24"/>
      <c r="H289" s="51">
        <f>Assumptions!$D$15</f>
        <v>0.1</v>
      </c>
      <c r="I289" s="45">
        <f>IF(SO[[#This Row],[GST applies?]] = "Yes", (SO[[#This Row],[Value inc. GST]] / 1 + SO[[#This Row],[GST %]]) * SO[[#This Row],[GST %]], 0)</f>
        <v>0</v>
      </c>
      <c r="J289" s="31">
        <f>_xlfn.XLOOKUP(SO[[#This Row],[Customer name]], Customer_master[Customer name], Customer_master[EOM or Net], 0)</f>
        <v>0</v>
      </c>
      <c r="K289" s="31">
        <f>_xlfn.XLOOKUP(SO[[#This Row],[Customer name]], Customer_master[Customer name], Customer_master[Terms days], 0)</f>
        <v>0</v>
      </c>
      <c r="L2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9" s="4"/>
      <c r="N289" s="46">
        <f>IF(SO[[#This Row],[Collection date - override (dd/mm/yyyy)]] &lt;&gt; "", SO[[#This Row],[Collection date - override (dd/mm/yyyy)]], SO[[#This Row],[Due date (dd/mm/yyyy)]])</f>
        <v>0</v>
      </c>
      <c r="O289" s="46">
        <f t="shared" si="4"/>
        <v>52</v>
      </c>
    </row>
    <row r="290" spans="3:15" x14ac:dyDescent="0.25">
      <c r="C290" s="24"/>
      <c r="D290" s="20"/>
      <c r="E290" s="4"/>
      <c r="F290" s="37"/>
      <c r="G290" s="24"/>
      <c r="H290" s="51">
        <f>Assumptions!$D$15</f>
        <v>0.1</v>
      </c>
      <c r="I290" s="45">
        <f>IF(SO[[#This Row],[GST applies?]] = "Yes", (SO[[#This Row],[Value inc. GST]] / 1 + SO[[#This Row],[GST %]]) * SO[[#This Row],[GST %]], 0)</f>
        <v>0</v>
      </c>
      <c r="J290" s="31">
        <f>_xlfn.XLOOKUP(SO[[#This Row],[Customer name]], Customer_master[Customer name], Customer_master[EOM or Net], 0)</f>
        <v>0</v>
      </c>
      <c r="K290" s="31">
        <f>_xlfn.XLOOKUP(SO[[#This Row],[Customer name]], Customer_master[Customer name], Customer_master[Terms days], 0)</f>
        <v>0</v>
      </c>
      <c r="L2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0" s="4"/>
      <c r="N290" s="46">
        <f>IF(SO[[#This Row],[Collection date - override (dd/mm/yyyy)]] &lt;&gt; "", SO[[#This Row],[Collection date - override (dd/mm/yyyy)]], SO[[#This Row],[Due date (dd/mm/yyyy)]])</f>
        <v>0</v>
      </c>
      <c r="O290" s="46">
        <f t="shared" si="4"/>
        <v>52</v>
      </c>
    </row>
    <row r="291" spans="3:15" x14ac:dyDescent="0.25">
      <c r="C291" s="24"/>
      <c r="D291" s="20"/>
      <c r="E291" s="4"/>
      <c r="F291" s="37"/>
      <c r="G291" s="24"/>
      <c r="H291" s="51">
        <f>Assumptions!$D$15</f>
        <v>0.1</v>
      </c>
      <c r="I291" s="45">
        <f>IF(SO[[#This Row],[GST applies?]] = "Yes", (SO[[#This Row],[Value inc. GST]] / 1 + SO[[#This Row],[GST %]]) * SO[[#This Row],[GST %]], 0)</f>
        <v>0</v>
      </c>
      <c r="J291" s="31">
        <f>_xlfn.XLOOKUP(SO[[#This Row],[Customer name]], Customer_master[Customer name], Customer_master[EOM or Net], 0)</f>
        <v>0</v>
      </c>
      <c r="K291" s="31">
        <f>_xlfn.XLOOKUP(SO[[#This Row],[Customer name]], Customer_master[Customer name], Customer_master[Terms days], 0)</f>
        <v>0</v>
      </c>
      <c r="L2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1" s="4"/>
      <c r="N291" s="46">
        <f>IF(SO[[#This Row],[Collection date - override (dd/mm/yyyy)]] &lt;&gt; "", SO[[#This Row],[Collection date - override (dd/mm/yyyy)]], SO[[#This Row],[Due date (dd/mm/yyyy)]])</f>
        <v>0</v>
      </c>
      <c r="O291" s="46">
        <f t="shared" si="4"/>
        <v>52</v>
      </c>
    </row>
    <row r="292" spans="3:15" x14ac:dyDescent="0.25">
      <c r="C292" s="24"/>
      <c r="D292" s="20"/>
      <c r="E292" s="4"/>
      <c r="F292" s="37"/>
      <c r="G292" s="24"/>
      <c r="H292" s="51">
        <f>Assumptions!$D$15</f>
        <v>0.1</v>
      </c>
      <c r="I292" s="45">
        <f>IF(SO[[#This Row],[GST applies?]] = "Yes", (SO[[#This Row],[Value inc. GST]] / 1 + SO[[#This Row],[GST %]]) * SO[[#This Row],[GST %]], 0)</f>
        <v>0</v>
      </c>
      <c r="J292" s="31">
        <f>_xlfn.XLOOKUP(SO[[#This Row],[Customer name]], Customer_master[Customer name], Customer_master[EOM or Net], 0)</f>
        <v>0</v>
      </c>
      <c r="K292" s="31">
        <f>_xlfn.XLOOKUP(SO[[#This Row],[Customer name]], Customer_master[Customer name], Customer_master[Terms days], 0)</f>
        <v>0</v>
      </c>
      <c r="L2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2" s="4"/>
      <c r="N292" s="46">
        <f>IF(SO[[#This Row],[Collection date - override (dd/mm/yyyy)]] &lt;&gt; "", SO[[#This Row],[Collection date - override (dd/mm/yyyy)]], SO[[#This Row],[Due date (dd/mm/yyyy)]])</f>
        <v>0</v>
      </c>
      <c r="O292" s="46">
        <f t="shared" si="4"/>
        <v>52</v>
      </c>
    </row>
    <row r="293" spans="3:15" x14ac:dyDescent="0.25">
      <c r="C293" s="24"/>
      <c r="D293" s="20"/>
      <c r="E293" s="4"/>
      <c r="F293" s="37"/>
      <c r="G293" s="24"/>
      <c r="H293" s="51">
        <f>Assumptions!$D$15</f>
        <v>0.1</v>
      </c>
      <c r="I293" s="45">
        <f>IF(SO[[#This Row],[GST applies?]] = "Yes", (SO[[#This Row],[Value inc. GST]] / 1 + SO[[#This Row],[GST %]]) * SO[[#This Row],[GST %]], 0)</f>
        <v>0</v>
      </c>
      <c r="J293" s="31">
        <f>_xlfn.XLOOKUP(SO[[#This Row],[Customer name]], Customer_master[Customer name], Customer_master[EOM or Net], 0)</f>
        <v>0</v>
      </c>
      <c r="K293" s="31">
        <f>_xlfn.XLOOKUP(SO[[#This Row],[Customer name]], Customer_master[Customer name], Customer_master[Terms days], 0)</f>
        <v>0</v>
      </c>
      <c r="L2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3" s="4"/>
      <c r="N293" s="46">
        <f>IF(SO[[#This Row],[Collection date - override (dd/mm/yyyy)]] &lt;&gt; "", SO[[#This Row],[Collection date - override (dd/mm/yyyy)]], SO[[#This Row],[Due date (dd/mm/yyyy)]])</f>
        <v>0</v>
      </c>
      <c r="O293" s="46">
        <f t="shared" si="4"/>
        <v>52</v>
      </c>
    </row>
    <row r="294" spans="3:15" x14ac:dyDescent="0.25">
      <c r="C294" s="24"/>
      <c r="D294" s="20"/>
      <c r="E294" s="4"/>
      <c r="F294" s="37"/>
      <c r="G294" s="24"/>
      <c r="H294" s="51">
        <f>Assumptions!$D$15</f>
        <v>0.1</v>
      </c>
      <c r="I294" s="45">
        <f>IF(SO[[#This Row],[GST applies?]] = "Yes", (SO[[#This Row],[Value inc. GST]] / 1 + SO[[#This Row],[GST %]]) * SO[[#This Row],[GST %]], 0)</f>
        <v>0</v>
      </c>
      <c r="J294" s="31">
        <f>_xlfn.XLOOKUP(SO[[#This Row],[Customer name]], Customer_master[Customer name], Customer_master[EOM or Net], 0)</f>
        <v>0</v>
      </c>
      <c r="K294" s="31">
        <f>_xlfn.XLOOKUP(SO[[#This Row],[Customer name]], Customer_master[Customer name], Customer_master[Terms days], 0)</f>
        <v>0</v>
      </c>
      <c r="L2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4" s="4"/>
      <c r="N294" s="46">
        <f>IF(SO[[#This Row],[Collection date - override (dd/mm/yyyy)]] &lt;&gt; "", SO[[#This Row],[Collection date - override (dd/mm/yyyy)]], SO[[#This Row],[Due date (dd/mm/yyyy)]])</f>
        <v>0</v>
      </c>
      <c r="O294" s="46">
        <f t="shared" si="4"/>
        <v>52</v>
      </c>
    </row>
    <row r="295" spans="3:15" x14ac:dyDescent="0.25">
      <c r="C295" s="24"/>
      <c r="D295" s="20"/>
      <c r="E295" s="4"/>
      <c r="F295" s="37"/>
      <c r="G295" s="24"/>
      <c r="H295" s="51">
        <f>Assumptions!$D$15</f>
        <v>0.1</v>
      </c>
      <c r="I295" s="45">
        <f>IF(SO[[#This Row],[GST applies?]] = "Yes", (SO[[#This Row],[Value inc. GST]] / 1 + SO[[#This Row],[GST %]]) * SO[[#This Row],[GST %]], 0)</f>
        <v>0</v>
      </c>
      <c r="J295" s="31">
        <f>_xlfn.XLOOKUP(SO[[#This Row],[Customer name]], Customer_master[Customer name], Customer_master[EOM or Net], 0)</f>
        <v>0</v>
      </c>
      <c r="K295" s="31">
        <f>_xlfn.XLOOKUP(SO[[#This Row],[Customer name]], Customer_master[Customer name], Customer_master[Terms days], 0)</f>
        <v>0</v>
      </c>
      <c r="L2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5" s="4"/>
      <c r="N295" s="46">
        <f>IF(SO[[#This Row],[Collection date - override (dd/mm/yyyy)]] &lt;&gt; "", SO[[#This Row],[Collection date - override (dd/mm/yyyy)]], SO[[#This Row],[Due date (dd/mm/yyyy)]])</f>
        <v>0</v>
      </c>
      <c r="O295" s="46">
        <f t="shared" si="4"/>
        <v>52</v>
      </c>
    </row>
    <row r="296" spans="3:15" x14ac:dyDescent="0.25">
      <c r="C296" s="24"/>
      <c r="D296" s="20"/>
      <c r="E296" s="4"/>
      <c r="F296" s="37"/>
      <c r="G296" s="24"/>
      <c r="H296" s="51">
        <f>Assumptions!$D$15</f>
        <v>0.1</v>
      </c>
      <c r="I296" s="45">
        <f>IF(SO[[#This Row],[GST applies?]] = "Yes", (SO[[#This Row],[Value inc. GST]] / 1 + SO[[#This Row],[GST %]]) * SO[[#This Row],[GST %]], 0)</f>
        <v>0</v>
      </c>
      <c r="J296" s="31">
        <f>_xlfn.XLOOKUP(SO[[#This Row],[Customer name]], Customer_master[Customer name], Customer_master[EOM or Net], 0)</f>
        <v>0</v>
      </c>
      <c r="K296" s="31">
        <f>_xlfn.XLOOKUP(SO[[#This Row],[Customer name]], Customer_master[Customer name], Customer_master[Terms days], 0)</f>
        <v>0</v>
      </c>
      <c r="L2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6" s="4"/>
      <c r="N296" s="46">
        <f>IF(SO[[#This Row],[Collection date - override (dd/mm/yyyy)]] &lt;&gt; "", SO[[#This Row],[Collection date - override (dd/mm/yyyy)]], SO[[#This Row],[Due date (dd/mm/yyyy)]])</f>
        <v>0</v>
      </c>
      <c r="O296" s="46">
        <f t="shared" si="4"/>
        <v>52</v>
      </c>
    </row>
    <row r="297" spans="3:15" x14ac:dyDescent="0.25">
      <c r="C297" s="24"/>
      <c r="D297" s="20"/>
      <c r="E297" s="4"/>
      <c r="F297" s="37"/>
      <c r="G297" s="24"/>
      <c r="H297" s="51">
        <f>Assumptions!$D$15</f>
        <v>0.1</v>
      </c>
      <c r="I297" s="45">
        <f>IF(SO[[#This Row],[GST applies?]] = "Yes", (SO[[#This Row],[Value inc. GST]] / 1 + SO[[#This Row],[GST %]]) * SO[[#This Row],[GST %]], 0)</f>
        <v>0</v>
      </c>
      <c r="J297" s="31">
        <f>_xlfn.XLOOKUP(SO[[#This Row],[Customer name]], Customer_master[Customer name], Customer_master[EOM or Net], 0)</f>
        <v>0</v>
      </c>
      <c r="K297" s="31">
        <f>_xlfn.XLOOKUP(SO[[#This Row],[Customer name]], Customer_master[Customer name], Customer_master[Terms days], 0)</f>
        <v>0</v>
      </c>
      <c r="L2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7" s="4"/>
      <c r="N297" s="46">
        <f>IF(SO[[#This Row],[Collection date - override (dd/mm/yyyy)]] &lt;&gt; "", SO[[#This Row],[Collection date - override (dd/mm/yyyy)]], SO[[#This Row],[Due date (dd/mm/yyyy)]])</f>
        <v>0</v>
      </c>
      <c r="O297" s="46">
        <f t="shared" si="4"/>
        <v>52</v>
      </c>
    </row>
    <row r="298" spans="3:15" x14ac:dyDescent="0.25">
      <c r="C298" s="24"/>
      <c r="D298" s="20"/>
      <c r="E298" s="4"/>
      <c r="F298" s="37"/>
      <c r="G298" s="24"/>
      <c r="H298" s="51">
        <f>Assumptions!$D$15</f>
        <v>0.1</v>
      </c>
      <c r="I298" s="45">
        <f>IF(SO[[#This Row],[GST applies?]] = "Yes", (SO[[#This Row],[Value inc. GST]] / 1 + SO[[#This Row],[GST %]]) * SO[[#This Row],[GST %]], 0)</f>
        <v>0</v>
      </c>
      <c r="J298" s="31">
        <f>_xlfn.XLOOKUP(SO[[#This Row],[Customer name]], Customer_master[Customer name], Customer_master[EOM or Net], 0)</f>
        <v>0</v>
      </c>
      <c r="K298" s="31">
        <f>_xlfn.XLOOKUP(SO[[#This Row],[Customer name]], Customer_master[Customer name], Customer_master[Terms days], 0)</f>
        <v>0</v>
      </c>
      <c r="L2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8" s="4"/>
      <c r="N298" s="46">
        <f>IF(SO[[#This Row],[Collection date - override (dd/mm/yyyy)]] &lt;&gt; "", SO[[#This Row],[Collection date - override (dd/mm/yyyy)]], SO[[#This Row],[Due date (dd/mm/yyyy)]])</f>
        <v>0</v>
      </c>
      <c r="O298" s="46">
        <f t="shared" si="4"/>
        <v>52</v>
      </c>
    </row>
    <row r="299" spans="3:15" x14ac:dyDescent="0.25">
      <c r="C299" s="24"/>
      <c r="D299" s="20"/>
      <c r="E299" s="4"/>
      <c r="F299" s="37"/>
      <c r="G299" s="24"/>
      <c r="H299" s="51">
        <f>Assumptions!$D$15</f>
        <v>0.1</v>
      </c>
      <c r="I299" s="45">
        <f>IF(SO[[#This Row],[GST applies?]] = "Yes", (SO[[#This Row],[Value inc. GST]] / 1 + SO[[#This Row],[GST %]]) * SO[[#This Row],[GST %]], 0)</f>
        <v>0</v>
      </c>
      <c r="J299" s="31">
        <f>_xlfn.XLOOKUP(SO[[#This Row],[Customer name]], Customer_master[Customer name], Customer_master[EOM or Net], 0)</f>
        <v>0</v>
      </c>
      <c r="K299" s="31">
        <f>_xlfn.XLOOKUP(SO[[#This Row],[Customer name]], Customer_master[Customer name], Customer_master[Terms days], 0)</f>
        <v>0</v>
      </c>
      <c r="L2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9" s="4"/>
      <c r="N299" s="46">
        <f>IF(SO[[#This Row],[Collection date - override (dd/mm/yyyy)]] &lt;&gt; "", SO[[#This Row],[Collection date - override (dd/mm/yyyy)]], SO[[#This Row],[Due date (dd/mm/yyyy)]])</f>
        <v>0</v>
      </c>
      <c r="O299" s="46">
        <f t="shared" si="4"/>
        <v>52</v>
      </c>
    </row>
    <row r="300" spans="3:15" x14ac:dyDescent="0.25">
      <c r="C300" s="24"/>
      <c r="D300" s="20"/>
      <c r="E300" s="4"/>
      <c r="F300" s="37"/>
      <c r="G300" s="24"/>
      <c r="H300" s="51">
        <f>Assumptions!$D$15</f>
        <v>0.1</v>
      </c>
      <c r="I300" s="45">
        <f>IF(SO[[#This Row],[GST applies?]] = "Yes", (SO[[#This Row],[Value inc. GST]] / 1 + SO[[#This Row],[GST %]]) * SO[[#This Row],[GST %]], 0)</f>
        <v>0</v>
      </c>
      <c r="J300" s="31">
        <f>_xlfn.XLOOKUP(SO[[#This Row],[Customer name]], Customer_master[Customer name], Customer_master[EOM or Net], 0)</f>
        <v>0</v>
      </c>
      <c r="K300" s="31">
        <f>_xlfn.XLOOKUP(SO[[#This Row],[Customer name]], Customer_master[Customer name], Customer_master[Terms days], 0)</f>
        <v>0</v>
      </c>
      <c r="L3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0" s="4"/>
      <c r="N300" s="46">
        <f>IF(SO[[#This Row],[Collection date - override (dd/mm/yyyy)]] &lt;&gt; "", SO[[#This Row],[Collection date - override (dd/mm/yyyy)]], SO[[#This Row],[Due date (dd/mm/yyyy)]])</f>
        <v>0</v>
      </c>
      <c r="O300" s="46">
        <f t="shared" si="4"/>
        <v>52</v>
      </c>
    </row>
    <row r="301" spans="3:15" x14ac:dyDescent="0.25">
      <c r="C301" s="24"/>
      <c r="D301" s="20"/>
      <c r="E301" s="4"/>
      <c r="F301" s="37"/>
      <c r="G301" s="24"/>
      <c r="H301" s="51">
        <f>Assumptions!$D$15</f>
        <v>0.1</v>
      </c>
      <c r="I301" s="45">
        <f>IF(SO[[#This Row],[GST applies?]] = "Yes", (SO[[#This Row],[Value inc. GST]] / 1 + SO[[#This Row],[GST %]]) * SO[[#This Row],[GST %]], 0)</f>
        <v>0</v>
      </c>
      <c r="J301" s="31">
        <f>_xlfn.XLOOKUP(SO[[#This Row],[Customer name]], Customer_master[Customer name], Customer_master[EOM or Net], 0)</f>
        <v>0</v>
      </c>
      <c r="K301" s="31">
        <f>_xlfn.XLOOKUP(SO[[#This Row],[Customer name]], Customer_master[Customer name], Customer_master[Terms days], 0)</f>
        <v>0</v>
      </c>
      <c r="L3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1" s="4"/>
      <c r="N301" s="46">
        <f>IF(SO[[#This Row],[Collection date - override (dd/mm/yyyy)]] &lt;&gt; "", SO[[#This Row],[Collection date - override (dd/mm/yyyy)]], SO[[#This Row],[Due date (dd/mm/yyyy)]])</f>
        <v>0</v>
      </c>
      <c r="O301" s="46">
        <f t="shared" si="4"/>
        <v>52</v>
      </c>
    </row>
    <row r="302" spans="3:15" x14ac:dyDescent="0.25">
      <c r="C302" s="24"/>
      <c r="D302" s="20"/>
      <c r="E302" s="4"/>
      <c r="F302" s="37"/>
      <c r="G302" s="24"/>
      <c r="H302" s="51">
        <f>Assumptions!$D$15</f>
        <v>0.1</v>
      </c>
      <c r="I302" s="45">
        <f>IF(SO[[#This Row],[GST applies?]] = "Yes", (SO[[#This Row],[Value inc. GST]] / 1 + SO[[#This Row],[GST %]]) * SO[[#This Row],[GST %]], 0)</f>
        <v>0</v>
      </c>
      <c r="J302" s="31">
        <f>_xlfn.XLOOKUP(SO[[#This Row],[Customer name]], Customer_master[Customer name], Customer_master[EOM or Net], 0)</f>
        <v>0</v>
      </c>
      <c r="K302" s="31">
        <f>_xlfn.XLOOKUP(SO[[#This Row],[Customer name]], Customer_master[Customer name], Customer_master[Terms days], 0)</f>
        <v>0</v>
      </c>
      <c r="L3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2" s="4"/>
      <c r="N302" s="46">
        <f>IF(SO[[#This Row],[Collection date - override (dd/mm/yyyy)]] &lt;&gt; "", SO[[#This Row],[Collection date - override (dd/mm/yyyy)]], SO[[#This Row],[Due date (dd/mm/yyyy)]])</f>
        <v>0</v>
      </c>
      <c r="O302" s="46">
        <f t="shared" si="4"/>
        <v>52</v>
      </c>
    </row>
    <row r="303" spans="3:15" x14ac:dyDescent="0.25">
      <c r="C303" s="24"/>
      <c r="D303" s="20"/>
      <c r="E303" s="4"/>
      <c r="F303" s="37"/>
      <c r="G303" s="24"/>
      <c r="H303" s="51">
        <f>Assumptions!$D$15</f>
        <v>0.1</v>
      </c>
      <c r="I303" s="45">
        <f>IF(SO[[#This Row],[GST applies?]] = "Yes", (SO[[#This Row],[Value inc. GST]] / 1 + SO[[#This Row],[GST %]]) * SO[[#This Row],[GST %]], 0)</f>
        <v>0</v>
      </c>
      <c r="J303" s="31">
        <f>_xlfn.XLOOKUP(SO[[#This Row],[Customer name]], Customer_master[Customer name], Customer_master[EOM or Net], 0)</f>
        <v>0</v>
      </c>
      <c r="K303" s="31">
        <f>_xlfn.XLOOKUP(SO[[#This Row],[Customer name]], Customer_master[Customer name], Customer_master[Terms days], 0)</f>
        <v>0</v>
      </c>
      <c r="L3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3" s="4"/>
      <c r="N303" s="46">
        <f>IF(SO[[#This Row],[Collection date - override (dd/mm/yyyy)]] &lt;&gt; "", SO[[#This Row],[Collection date - override (dd/mm/yyyy)]], SO[[#This Row],[Due date (dd/mm/yyyy)]])</f>
        <v>0</v>
      </c>
      <c r="O303" s="46">
        <f t="shared" si="4"/>
        <v>52</v>
      </c>
    </row>
    <row r="304" spans="3:15" x14ac:dyDescent="0.25">
      <c r="C304" s="24"/>
      <c r="D304" s="20"/>
      <c r="E304" s="4"/>
      <c r="F304" s="37"/>
      <c r="G304" s="24"/>
      <c r="H304" s="51">
        <f>Assumptions!$D$15</f>
        <v>0.1</v>
      </c>
      <c r="I304" s="45">
        <f>IF(SO[[#This Row],[GST applies?]] = "Yes", (SO[[#This Row],[Value inc. GST]] / 1 + SO[[#This Row],[GST %]]) * SO[[#This Row],[GST %]], 0)</f>
        <v>0</v>
      </c>
      <c r="J304" s="31">
        <f>_xlfn.XLOOKUP(SO[[#This Row],[Customer name]], Customer_master[Customer name], Customer_master[EOM or Net], 0)</f>
        <v>0</v>
      </c>
      <c r="K304" s="31">
        <f>_xlfn.XLOOKUP(SO[[#This Row],[Customer name]], Customer_master[Customer name], Customer_master[Terms days], 0)</f>
        <v>0</v>
      </c>
      <c r="L3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4" s="4"/>
      <c r="N304" s="46">
        <f>IF(SO[[#This Row],[Collection date - override (dd/mm/yyyy)]] &lt;&gt; "", SO[[#This Row],[Collection date - override (dd/mm/yyyy)]], SO[[#This Row],[Due date (dd/mm/yyyy)]])</f>
        <v>0</v>
      </c>
      <c r="O304" s="46">
        <f t="shared" si="4"/>
        <v>52</v>
      </c>
    </row>
    <row r="305" spans="3:15" x14ac:dyDescent="0.25">
      <c r="C305" s="24"/>
      <c r="D305" s="20"/>
      <c r="E305" s="4"/>
      <c r="F305" s="37"/>
      <c r="G305" s="24"/>
      <c r="H305" s="51">
        <f>Assumptions!$D$15</f>
        <v>0.1</v>
      </c>
      <c r="I305" s="45">
        <f>IF(SO[[#This Row],[GST applies?]] = "Yes", (SO[[#This Row],[Value inc. GST]] / 1 + SO[[#This Row],[GST %]]) * SO[[#This Row],[GST %]], 0)</f>
        <v>0</v>
      </c>
      <c r="J305" s="31">
        <f>_xlfn.XLOOKUP(SO[[#This Row],[Customer name]], Customer_master[Customer name], Customer_master[EOM or Net], 0)</f>
        <v>0</v>
      </c>
      <c r="K305" s="31">
        <f>_xlfn.XLOOKUP(SO[[#This Row],[Customer name]], Customer_master[Customer name], Customer_master[Terms days], 0)</f>
        <v>0</v>
      </c>
      <c r="L3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5" s="4"/>
      <c r="N305" s="46">
        <f>IF(SO[[#This Row],[Collection date - override (dd/mm/yyyy)]] &lt;&gt; "", SO[[#This Row],[Collection date - override (dd/mm/yyyy)]], SO[[#This Row],[Due date (dd/mm/yyyy)]])</f>
        <v>0</v>
      </c>
      <c r="O305" s="46">
        <f t="shared" si="4"/>
        <v>52</v>
      </c>
    </row>
    <row r="306" spans="3:15" x14ac:dyDescent="0.25">
      <c r="C306" s="24"/>
      <c r="D306" s="20"/>
      <c r="E306" s="4"/>
      <c r="F306" s="37"/>
      <c r="G306" s="24"/>
      <c r="H306" s="51">
        <f>Assumptions!$D$15</f>
        <v>0.1</v>
      </c>
      <c r="I306" s="45">
        <f>IF(SO[[#This Row],[GST applies?]] = "Yes", (SO[[#This Row],[Value inc. GST]] / 1 + SO[[#This Row],[GST %]]) * SO[[#This Row],[GST %]], 0)</f>
        <v>0</v>
      </c>
      <c r="J306" s="31">
        <f>_xlfn.XLOOKUP(SO[[#This Row],[Customer name]], Customer_master[Customer name], Customer_master[EOM or Net], 0)</f>
        <v>0</v>
      </c>
      <c r="K306" s="31">
        <f>_xlfn.XLOOKUP(SO[[#This Row],[Customer name]], Customer_master[Customer name], Customer_master[Terms days], 0)</f>
        <v>0</v>
      </c>
      <c r="L3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6" s="4"/>
      <c r="N306" s="46">
        <f>IF(SO[[#This Row],[Collection date - override (dd/mm/yyyy)]] &lt;&gt; "", SO[[#This Row],[Collection date - override (dd/mm/yyyy)]], SO[[#This Row],[Due date (dd/mm/yyyy)]])</f>
        <v>0</v>
      </c>
      <c r="O306" s="46">
        <f t="shared" si="4"/>
        <v>52</v>
      </c>
    </row>
    <row r="307" spans="3:15" x14ac:dyDescent="0.25">
      <c r="C307" s="24"/>
      <c r="D307" s="20"/>
      <c r="E307" s="4"/>
      <c r="F307" s="37"/>
      <c r="G307" s="24"/>
      <c r="H307" s="51">
        <f>Assumptions!$D$15</f>
        <v>0.1</v>
      </c>
      <c r="I307" s="45">
        <f>IF(SO[[#This Row],[GST applies?]] = "Yes", (SO[[#This Row],[Value inc. GST]] / 1 + SO[[#This Row],[GST %]]) * SO[[#This Row],[GST %]], 0)</f>
        <v>0</v>
      </c>
      <c r="J307" s="31">
        <f>_xlfn.XLOOKUP(SO[[#This Row],[Customer name]], Customer_master[Customer name], Customer_master[EOM or Net], 0)</f>
        <v>0</v>
      </c>
      <c r="K307" s="31">
        <f>_xlfn.XLOOKUP(SO[[#This Row],[Customer name]], Customer_master[Customer name], Customer_master[Terms days], 0)</f>
        <v>0</v>
      </c>
      <c r="L3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7" s="4"/>
      <c r="N307" s="46">
        <f>IF(SO[[#This Row],[Collection date - override (dd/mm/yyyy)]] &lt;&gt; "", SO[[#This Row],[Collection date - override (dd/mm/yyyy)]], SO[[#This Row],[Due date (dd/mm/yyyy)]])</f>
        <v>0</v>
      </c>
      <c r="O307" s="46">
        <f t="shared" si="4"/>
        <v>52</v>
      </c>
    </row>
    <row r="308" spans="3:15" x14ac:dyDescent="0.25">
      <c r="C308" s="24"/>
      <c r="D308" s="20"/>
      <c r="E308" s="4"/>
      <c r="F308" s="37"/>
      <c r="G308" s="24"/>
      <c r="H308" s="51">
        <f>Assumptions!$D$15</f>
        <v>0.1</v>
      </c>
      <c r="I308" s="45">
        <f>IF(SO[[#This Row],[GST applies?]] = "Yes", (SO[[#This Row],[Value inc. GST]] / 1 + SO[[#This Row],[GST %]]) * SO[[#This Row],[GST %]], 0)</f>
        <v>0</v>
      </c>
      <c r="J308" s="31">
        <f>_xlfn.XLOOKUP(SO[[#This Row],[Customer name]], Customer_master[Customer name], Customer_master[EOM or Net], 0)</f>
        <v>0</v>
      </c>
      <c r="K308" s="31">
        <f>_xlfn.XLOOKUP(SO[[#This Row],[Customer name]], Customer_master[Customer name], Customer_master[Terms days], 0)</f>
        <v>0</v>
      </c>
      <c r="L3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8" s="4"/>
      <c r="N308" s="46">
        <f>IF(SO[[#This Row],[Collection date - override (dd/mm/yyyy)]] &lt;&gt; "", SO[[#This Row],[Collection date - override (dd/mm/yyyy)]], SO[[#This Row],[Due date (dd/mm/yyyy)]])</f>
        <v>0</v>
      </c>
      <c r="O308" s="46">
        <f t="shared" si="4"/>
        <v>52</v>
      </c>
    </row>
    <row r="309" spans="3:15" x14ac:dyDescent="0.25">
      <c r="C309" s="24"/>
      <c r="D309" s="20"/>
      <c r="E309" s="4"/>
      <c r="F309" s="37"/>
      <c r="G309" s="24"/>
      <c r="H309" s="51">
        <f>Assumptions!$D$15</f>
        <v>0.1</v>
      </c>
      <c r="I309" s="45">
        <f>IF(SO[[#This Row],[GST applies?]] = "Yes", (SO[[#This Row],[Value inc. GST]] / 1 + SO[[#This Row],[GST %]]) * SO[[#This Row],[GST %]], 0)</f>
        <v>0</v>
      </c>
      <c r="J309" s="31">
        <f>_xlfn.XLOOKUP(SO[[#This Row],[Customer name]], Customer_master[Customer name], Customer_master[EOM or Net], 0)</f>
        <v>0</v>
      </c>
      <c r="K309" s="31">
        <f>_xlfn.XLOOKUP(SO[[#This Row],[Customer name]], Customer_master[Customer name], Customer_master[Terms days], 0)</f>
        <v>0</v>
      </c>
      <c r="L3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9" s="4"/>
      <c r="N309" s="46">
        <f>IF(SO[[#This Row],[Collection date - override (dd/mm/yyyy)]] &lt;&gt; "", SO[[#This Row],[Collection date - override (dd/mm/yyyy)]], SO[[#This Row],[Due date (dd/mm/yyyy)]])</f>
        <v>0</v>
      </c>
      <c r="O309" s="46">
        <f t="shared" si="4"/>
        <v>52</v>
      </c>
    </row>
    <row r="310" spans="3:15" x14ac:dyDescent="0.25">
      <c r="C310" s="24"/>
      <c r="D310" s="20"/>
      <c r="E310" s="4"/>
      <c r="F310" s="37"/>
      <c r="G310" s="24"/>
      <c r="H310" s="51">
        <f>Assumptions!$D$15</f>
        <v>0.1</v>
      </c>
      <c r="I310" s="45">
        <f>IF(SO[[#This Row],[GST applies?]] = "Yes", (SO[[#This Row],[Value inc. GST]] / 1 + SO[[#This Row],[GST %]]) * SO[[#This Row],[GST %]], 0)</f>
        <v>0</v>
      </c>
      <c r="J310" s="31">
        <f>_xlfn.XLOOKUP(SO[[#This Row],[Customer name]], Customer_master[Customer name], Customer_master[EOM or Net], 0)</f>
        <v>0</v>
      </c>
      <c r="K310" s="31">
        <f>_xlfn.XLOOKUP(SO[[#This Row],[Customer name]], Customer_master[Customer name], Customer_master[Terms days], 0)</f>
        <v>0</v>
      </c>
      <c r="L3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0" s="4"/>
      <c r="N310" s="46">
        <f>IF(SO[[#This Row],[Collection date - override (dd/mm/yyyy)]] &lt;&gt; "", SO[[#This Row],[Collection date - override (dd/mm/yyyy)]], SO[[#This Row],[Due date (dd/mm/yyyy)]])</f>
        <v>0</v>
      </c>
      <c r="O310" s="46">
        <f t="shared" si="4"/>
        <v>52</v>
      </c>
    </row>
    <row r="311" spans="3:15" x14ac:dyDescent="0.25">
      <c r="C311" s="24"/>
      <c r="D311" s="20"/>
      <c r="E311" s="4"/>
      <c r="F311" s="37"/>
      <c r="G311" s="24"/>
      <c r="H311" s="51">
        <f>Assumptions!$D$15</f>
        <v>0.1</v>
      </c>
      <c r="I311" s="45">
        <f>IF(SO[[#This Row],[GST applies?]] = "Yes", (SO[[#This Row],[Value inc. GST]] / 1 + SO[[#This Row],[GST %]]) * SO[[#This Row],[GST %]], 0)</f>
        <v>0</v>
      </c>
      <c r="J311" s="31">
        <f>_xlfn.XLOOKUP(SO[[#This Row],[Customer name]], Customer_master[Customer name], Customer_master[EOM or Net], 0)</f>
        <v>0</v>
      </c>
      <c r="K311" s="31">
        <f>_xlfn.XLOOKUP(SO[[#This Row],[Customer name]], Customer_master[Customer name], Customer_master[Terms days], 0)</f>
        <v>0</v>
      </c>
      <c r="L3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1" s="4"/>
      <c r="N311" s="46">
        <f>IF(SO[[#This Row],[Collection date - override (dd/mm/yyyy)]] &lt;&gt; "", SO[[#This Row],[Collection date - override (dd/mm/yyyy)]], SO[[#This Row],[Due date (dd/mm/yyyy)]])</f>
        <v>0</v>
      </c>
      <c r="O311" s="46">
        <f t="shared" si="4"/>
        <v>52</v>
      </c>
    </row>
    <row r="312" spans="3:15" x14ac:dyDescent="0.25">
      <c r="C312" s="24"/>
      <c r="D312" s="20"/>
      <c r="E312" s="4"/>
      <c r="F312" s="37"/>
      <c r="G312" s="24"/>
      <c r="H312" s="51">
        <f>Assumptions!$D$15</f>
        <v>0.1</v>
      </c>
      <c r="I312" s="45">
        <f>IF(SO[[#This Row],[GST applies?]] = "Yes", (SO[[#This Row],[Value inc. GST]] / 1 + SO[[#This Row],[GST %]]) * SO[[#This Row],[GST %]], 0)</f>
        <v>0</v>
      </c>
      <c r="J312" s="31">
        <f>_xlfn.XLOOKUP(SO[[#This Row],[Customer name]], Customer_master[Customer name], Customer_master[EOM or Net], 0)</f>
        <v>0</v>
      </c>
      <c r="K312" s="31">
        <f>_xlfn.XLOOKUP(SO[[#This Row],[Customer name]], Customer_master[Customer name], Customer_master[Terms days], 0)</f>
        <v>0</v>
      </c>
      <c r="L3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2" s="4"/>
      <c r="N312" s="46">
        <f>IF(SO[[#This Row],[Collection date - override (dd/mm/yyyy)]] &lt;&gt; "", SO[[#This Row],[Collection date - override (dd/mm/yyyy)]], SO[[#This Row],[Due date (dd/mm/yyyy)]])</f>
        <v>0</v>
      </c>
      <c r="O312" s="46">
        <f t="shared" si="4"/>
        <v>52</v>
      </c>
    </row>
    <row r="313" spans="3:15" x14ac:dyDescent="0.25">
      <c r="C313" s="24"/>
      <c r="D313" s="20"/>
      <c r="E313" s="4"/>
      <c r="F313" s="37"/>
      <c r="G313" s="24"/>
      <c r="H313" s="51">
        <f>Assumptions!$D$15</f>
        <v>0.1</v>
      </c>
      <c r="I313" s="45">
        <f>IF(SO[[#This Row],[GST applies?]] = "Yes", (SO[[#This Row],[Value inc. GST]] / 1 + SO[[#This Row],[GST %]]) * SO[[#This Row],[GST %]], 0)</f>
        <v>0</v>
      </c>
      <c r="J313" s="31">
        <f>_xlfn.XLOOKUP(SO[[#This Row],[Customer name]], Customer_master[Customer name], Customer_master[EOM or Net], 0)</f>
        <v>0</v>
      </c>
      <c r="K313" s="31">
        <f>_xlfn.XLOOKUP(SO[[#This Row],[Customer name]], Customer_master[Customer name], Customer_master[Terms days], 0)</f>
        <v>0</v>
      </c>
      <c r="L3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3" s="4"/>
      <c r="N313" s="46">
        <f>IF(SO[[#This Row],[Collection date - override (dd/mm/yyyy)]] &lt;&gt; "", SO[[#This Row],[Collection date - override (dd/mm/yyyy)]], SO[[#This Row],[Due date (dd/mm/yyyy)]])</f>
        <v>0</v>
      </c>
      <c r="O313" s="46">
        <f t="shared" si="4"/>
        <v>52</v>
      </c>
    </row>
    <row r="314" spans="3:15" x14ac:dyDescent="0.25">
      <c r="C314" s="24"/>
      <c r="D314" s="20"/>
      <c r="E314" s="4"/>
      <c r="F314" s="37"/>
      <c r="G314" s="24"/>
      <c r="H314" s="51">
        <f>Assumptions!$D$15</f>
        <v>0.1</v>
      </c>
      <c r="I314" s="45">
        <f>IF(SO[[#This Row],[GST applies?]] = "Yes", (SO[[#This Row],[Value inc. GST]] / 1 + SO[[#This Row],[GST %]]) * SO[[#This Row],[GST %]], 0)</f>
        <v>0</v>
      </c>
      <c r="J314" s="31">
        <f>_xlfn.XLOOKUP(SO[[#This Row],[Customer name]], Customer_master[Customer name], Customer_master[EOM or Net], 0)</f>
        <v>0</v>
      </c>
      <c r="K314" s="31">
        <f>_xlfn.XLOOKUP(SO[[#This Row],[Customer name]], Customer_master[Customer name], Customer_master[Terms days], 0)</f>
        <v>0</v>
      </c>
      <c r="L3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4" s="4"/>
      <c r="N314" s="46">
        <f>IF(SO[[#This Row],[Collection date - override (dd/mm/yyyy)]] &lt;&gt; "", SO[[#This Row],[Collection date - override (dd/mm/yyyy)]], SO[[#This Row],[Due date (dd/mm/yyyy)]])</f>
        <v>0</v>
      </c>
      <c r="O314" s="46">
        <f t="shared" si="4"/>
        <v>52</v>
      </c>
    </row>
    <row r="315" spans="3:15" x14ac:dyDescent="0.25">
      <c r="C315" s="24"/>
      <c r="D315" s="20"/>
      <c r="E315" s="4"/>
      <c r="F315" s="37"/>
      <c r="G315" s="24"/>
      <c r="H315" s="51">
        <f>Assumptions!$D$15</f>
        <v>0.1</v>
      </c>
      <c r="I315" s="45">
        <f>IF(SO[[#This Row],[GST applies?]] = "Yes", (SO[[#This Row],[Value inc. GST]] / 1 + SO[[#This Row],[GST %]]) * SO[[#This Row],[GST %]], 0)</f>
        <v>0</v>
      </c>
      <c r="J315" s="31">
        <f>_xlfn.XLOOKUP(SO[[#This Row],[Customer name]], Customer_master[Customer name], Customer_master[EOM or Net], 0)</f>
        <v>0</v>
      </c>
      <c r="K315" s="31">
        <f>_xlfn.XLOOKUP(SO[[#This Row],[Customer name]], Customer_master[Customer name], Customer_master[Terms days], 0)</f>
        <v>0</v>
      </c>
      <c r="L3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5" s="4"/>
      <c r="N315" s="46">
        <f>IF(SO[[#This Row],[Collection date - override (dd/mm/yyyy)]] &lt;&gt; "", SO[[#This Row],[Collection date - override (dd/mm/yyyy)]], SO[[#This Row],[Due date (dd/mm/yyyy)]])</f>
        <v>0</v>
      </c>
      <c r="O315" s="46">
        <f t="shared" si="4"/>
        <v>52</v>
      </c>
    </row>
    <row r="316" spans="3:15" x14ac:dyDescent="0.25">
      <c r="C316" s="24"/>
      <c r="D316" s="20"/>
      <c r="E316" s="4"/>
      <c r="F316" s="37"/>
      <c r="G316" s="24"/>
      <c r="H316" s="51">
        <f>Assumptions!$D$15</f>
        <v>0.1</v>
      </c>
      <c r="I316" s="45">
        <f>IF(SO[[#This Row],[GST applies?]] = "Yes", (SO[[#This Row],[Value inc. GST]] / 1 + SO[[#This Row],[GST %]]) * SO[[#This Row],[GST %]], 0)</f>
        <v>0</v>
      </c>
      <c r="J316" s="31">
        <f>_xlfn.XLOOKUP(SO[[#This Row],[Customer name]], Customer_master[Customer name], Customer_master[EOM or Net], 0)</f>
        <v>0</v>
      </c>
      <c r="K316" s="31">
        <f>_xlfn.XLOOKUP(SO[[#This Row],[Customer name]], Customer_master[Customer name], Customer_master[Terms days], 0)</f>
        <v>0</v>
      </c>
      <c r="L3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6" s="4"/>
      <c r="N316" s="46">
        <f>IF(SO[[#This Row],[Collection date - override (dd/mm/yyyy)]] &lt;&gt; "", SO[[#This Row],[Collection date - override (dd/mm/yyyy)]], SO[[#This Row],[Due date (dd/mm/yyyy)]])</f>
        <v>0</v>
      </c>
      <c r="O316" s="46">
        <f t="shared" si="4"/>
        <v>52</v>
      </c>
    </row>
    <row r="317" spans="3:15" x14ac:dyDescent="0.25">
      <c r="C317" s="24"/>
      <c r="D317" s="20"/>
      <c r="E317" s="4"/>
      <c r="F317" s="37"/>
      <c r="G317" s="24"/>
      <c r="H317" s="51">
        <f>Assumptions!$D$15</f>
        <v>0.1</v>
      </c>
      <c r="I317" s="45">
        <f>IF(SO[[#This Row],[GST applies?]] = "Yes", (SO[[#This Row],[Value inc. GST]] / 1 + SO[[#This Row],[GST %]]) * SO[[#This Row],[GST %]], 0)</f>
        <v>0</v>
      </c>
      <c r="J317" s="31">
        <f>_xlfn.XLOOKUP(SO[[#This Row],[Customer name]], Customer_master[Customer name], Customer_master[EOM or Net], 0)</f>
        <v>0</v>
      </c>
      <c r="K317" s="31">
        <f>_xlfn.XLOOKUP(SO[[#This Row],[Customer name]], Customer_master[Customer name], Customer_master[Terms days], 0)</f>
        <v>0</v>
      </c>
      <c r="L3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7" s="4"/>
      <c r="N317" s="46">
        <f>IF(SO[[#This Row],[Collection date - override (dd/mm/yyyy)]] &lt;&gt; "", SO[[#This Row],[Collection date - override (dd/mm/yyyy)]], SO[[#This Row],[Due date (dd/mm/yyyy)]])</f>
        <v>0</v>
      </c>
      <c r="O317" s="46">
        <f t="shared" si="4"/>
        <v>52</v>
      </c>
    </row>
    <row r="318" spans="3:15" x14ac:dyDescent="0.25">
      <c r="C318" s="24"/>
      <c r="D318" s="20"/>
      <c r="E318" s="4"/>
      <c r="F318" s="37"/>
      <c r="G318" s="24"/>
      <c r="H318" s="51">
        <f>Assumptions!$D$15</f>
        <v>0.1</v>
      </c>
      <c r="I318" s="45">
        <f>IF(SO[[#This Row],[GST applies?]] = "Yes", (SO[[#This Row],[Value inc. GST]] / 1 + SO[[#This Row],[GST %]]) * SO[[#This Row],[GST %]], 0)</f>
        <v>0</v>
      </c>
      <c r="J318" s="31">
        <f>_xlfn.XLOOKUP(SO[[#This Row],[Customer name]], Customer_master[Customer name], Customer_master[EOM or Net], 0)</f>
        <v>0</v>
      </c>
      <c r="K318" s="31">
        <f>_xlfn.XLOOKUP(SO[[#This Row],[Customer name]], Customer_master[Customer name], Customer_master[Terms days], 0)</f>
        <v>0</v>
      </c>
      <c r="L3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8" s="4"/>
      <c r="N318" s="46">
        <f>IF(SO[[#This Row],[Collection date - override (dd/mm/yyyy)]] &lt;&gt; "", SO[[#This Row],[Collection date - override (dd/mm/yyyy)]], SO[[#This Row],[Due date (dd/mm/yyyy)]])</f>
        <v>0</v>
      </c>
      <c r="O318" s="46">
        <f t="shared" si="4"/>
        <v>52</v>
      </c>
    </row>
    <row r="319" spans="3:15" x14ac:dyDescent="0.25">
      <c r="C319" s="24"/>
      <c r="D319" s="20"/>
      <c r="E319" s="4"/>
      <c r="F319" s="37"/>
      <c r="G319" s="24"/>
      <c r="H319" s="51">
        <f>Assumptions!$D$15</f>
        <v>0.1</v>
      </c>
      <c r="I319" s="45">
        <f>IF(SO[[#This Row],[GST applies?]] = "Yes", (SO[[#This Row],[Value inc. GST]] / 1 + SO[[#This Row],[GST %]]) * SO[[#This Row],[GST %]], 0)</f>
        <v>0</v>
      </c>
      <c r="J319" s="31">
        <f>_xlfn.XLOOKUP(SO[[#This Row],[Customer name]], Customer_master[Customer name], Customer_master[EOM or Net], 0)</f>
        <v>0</v>
      </c>
      <c r="K319" s="31">
        <f>_xlfn.XLOOKUP(SO[[#This Row],[Customer name]], Customer_master[Customer name], Customer_master[Terms days], 0)</f>
        <v>0</v>
      </c>
      <c r="L3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9" s="4"/>
      <c r="N319" s="46">
        <f>IF(SO[[#This Row],[Collection date - override (dd/mm/yyyy)]] &lt;&gt; "", SO[[#This Row],[Collection date - override (dd/mm/yyyy)]], SO[[#This Row],[Due date (dd/mm/yyyy)]])</f>
        <v>0</v>
      </c>
      <c r="O319" s="46">
        <f t="shared" si="4"/>
        <v>52</v>
      </c>
    </row>
    <row r="320" spans="3:15" x14ac:dyDescent="0.25">
      <c r="C320" s="24"/>
      <c r="D320" s="20"/>
      <c r="E320" s="4"/>
      <c r="F320" s="37"/>
      <c r="G320" s="24"/>
      <c r="H320" s="51">
        <f>Assumptions!$D$15</f>
        <v>0.1</v>
      </c>
      <c r="I320" s="45">
        <f>IF(SO[[#This Row],[GST applies?]] = "Yes", (SO[[#This Row],[Value inc. GST]] / 1 + SO[[#This Row],[GST %]]) * SO[[#This Row],[GST %]], 0)</f>
        <v>0</v>
      </c>
      <c r="J320" s="31">
        <f>_xlfn.XLOOKUP(SO[[#This Row],[Customer name]], Customer_master[Customer name], Customer_master[EOM or Net], 0)</f>
        <v>0</v>
      </c>
      <c r="K320" s="31">
        <f>_xlfn.XLOOKUP(SO[[#This Row],[Customer name]], Customer_master[Customer name], Customer_master[Terms days], 0)</f>
        <v>0</v>
      </c>
      <c r="L3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0" s="4"/>
      <c r="N320" s="46">
        <f>IF(SO[[#This Row],[Collection date - override (dd/mm/yyyy)]] &lt;&gt; "", SO[[#This Row],[Collection date - override (dd/mm/yyyy)]], SO[[#This Row],[Due date (dd/mm/yyyy)]])</f>
        <v>0</v>
      </c>
      <c r="O320" s="46">
        <f t="shared" si="4"/>
        <v>52</v>
      </c>
    </row>
    <row r="321" spans="3:15" x14ac:dyDescent="0.25">
      <c r="C321" s="24"/>
      <c r="D321" s="20"/>
      <c r="E321" s="4"/>
      <c r="F321" s="37"/>
      <c r="G321" s="24"/>
      <c r="H321" s="51">
        <f>Assumptions!$D$15</f>
        <v>0.1</v>
      </c>
      <c r="I321" s="45">
        <f>IF(SO[[#This Row],[GST applies?]] = "Yes", (SO[[#This Row],[Value inc. GST]] / 1 + SO[[#This Row],[GST %]]) * SO[[#This Row],[GST %]], 0)</f>
        <v>0</v>
      </c>
      <c r="J321" s="31">
        <f>_xlfn.XLOOKUP(SO[[#This Row],[Customer name]], Customer_master[Customer name], Customer_master[EOM or Net], 0)</f>
        <v>0</v>
      </c>
      <c r="K321" s="31">
        <f>_xlfn.XLOOKUP(SO[[#This Row],[Customer name]], Customer_master[Customer name], Customer_master[Terms days], 0)</f>
        <v>0</v>
      </c>
      <c r="L3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1" s="4"/>
      <c r="N321" s="46">
        <f>IF(SO[[#This Row],[Collection date - override (dd/mm/yyyy)]] &lt;&gt; "", SO[[#This Row],[Collection date - override (dd/mm/yyyy)]], SO[[#This Row],[Due date (dd/mm/yyyy)]])</f>
        <v>0</v>
      </c>
      <c r="O321" s="46">
        <f t="shared" si="4"/>
        <v>52</v>
      </c>
    </row>
    <row r="322" spans="3:15" x14ac:dyDescent="0.25">
      <c r="C322" s="24"/>
      <c r="D322" s="20"/>
      <c r="E322" s="4"/>
      <c r="F322" s="37"/>
      <c r="G322" s="24"/>
      <c r="H322" s="51">
        <f>Assumptions!$D$15</f>
        <v>0.1</v>
      </c>
      <c r="I322" s="45">
        <f>IF(SO[[#This Row],[GST applies?]] = "Yes", (SO[[#This Row],[Value inc. GST]] / 1 + SO[[#This Row],[GST %]]) * SO[[#This Row],[GST %]], 0)</f>
        <v>0</v>
      </c>
      <c r="J322" s="31">
        <f>_xlfn.XLOOKUP(SO[[#This Row],[Customer name]], Customer_master[Customer name], Customer_master[EOM or Net], 0)</f>
        <v>0</v>
      </c>
      <c r="K322" s="31">
        <f>_xlfn.XLOOKUP(SO[[#This Row],[Customer name]], Customer_master[Customer name], Customer_master[Terms days], 0)</f>
        <v>0</v>
      </c>
      <c r="L3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2" s="4"/>
      <c r="N322" s="46">
        <f>IF(SO[[#This Row],[Collection date - override (dd/mm/yyyy)]] &lt;&gt; "", SO[[#This Row],[Collection date - override (dd/mm/yyyy)]], SO[[#This Row],[Due date (dd/mm/yyyy)]])</f>
        <v>0</v>
      </c>
      <c r="O322" s="46">
        <f t="shared" si="4"/>
        <v>52</v>
      </c>
    </row>
    <row r="323" spans="3:15" x14ac:dyDescent="0.25">
      <c r="C323" s="24"/>
      <c r="D323" s="20"/>
      <c r="E323" s="4"/>
      <c r="F323" s="37"/>
      <c r="G323" s="24"/>
      <c r="H323" s="51">
        <f>Assumptions!$D$15</f>
        <v>0.1</v>
      </c>
      <c r="I323" s="45">
        <f>IF(SO[[#This Row],[GST applies?]] = "Yes", (SO[[#This Row],[Value inc. GST]] / 1 + SO[[#This Row],[GST %]]) * SO[[#This Row],[GST %]], 0)</f>
        <v>0</v>
      </c>
      <c r="J323" s="31">
        <f>_xlfn.XLOOKUP(SO[[#This Row],[Customer name]], Customer_master[Customer name], Customer_master[EOM or Net], 0)</f>
        <v>0</v>
      </c>
      <c r="K323" s="31">
        <f>_xlfn.XLOOKUP(SO[[#This Row],[Customer name]], Customer_master[Customer name], Customer_master[Terms days], 0)</f>
        <v>0</v>
      </c>
      <c r="L3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3" s="4"/>
      <c r="N323" s="46">
        <f>IF(SO[[#This Row],[Collection date - override (dd/mm/yyyy)]] &lt;&gt; "", SO[[#This Row],[Collection date - override (dd/mm/yyyy)]], SO[[#This Row],[Due date (dd/mm/yyyy)]])</f>
        <v>0</v>
      </c>
      <c r="O323" s="46">
        <f t="shared" si="4"/>
        <v>52</v>
      </c>
    </row>
    <row r="324" spans="3:15" x14ac:dyDescent="0.25">
      <c r="C324" s="24"/>
      <c r="D324" s="20"/>
      <c r="E324" s="4"/>
      <c r="F324" s="37"/>
      <c r="G324" s="24"/>
      <c r="H324" s="51">
        <f>Assumptions!$D$15</f>
        <v>0.1</v>
      </c>
      <c r="I324" s="45">
        <f>IF(SO[[#This Row],[GST applies?]] = "Yes", (SO[[#This Row],[Value inc. GST]] / 1 + SO[[#This Row],[GST %]]) * SO[[#This Row],[GST %]], 0)</f>
        <v>0</v>
      </c>
      <c r="J324" s="31">
        <f>_xlfn.XLOOKUP(SO[[#This Row],[Customer name]], Customer_master[Customer name], Customer_master[EOM or Net], 0)</f>
        <v>0</v>
      </c>
      <c r="K324" s="31">
        <f>_xlfn.XLOOKUP(SO[[#This Row],[Customer name]], Customer_master[Customer name], Customer_master[Terms days], 0)</f>
        <v>0</v>
      </c>
      <c r="L3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4" s="4"/>
      <c r="N324" s="46">
        <f>IF(SO[[#This Row],[Collection date - override (dd/mm/yyyy)]] &lt;&gt; "", SO[[#This Row],[Collection date - override (dd/mm/yyyy)]], SO[[#This Row],[Due date (dd/mm/yyyy)]])</f>
        <v>0</v>
      </c>
      <c r="O324" s="46">
        <f t="shared" si="4"/>
        <v>52</v>
      </c>
    </row>
    <row r="325" spans="3:15" x14ac:dyDescent="0.25">
      <c r="C325" s="24"/>
      <c r="D325" s="20"/>
      <c r="E325" s="4"/>
      <c r="F325" s="37"/>
      <c r="G325" s="24"/>
      <c r="H325" s="51">
        <f>Assumptions!$D$15</f>
        <v>0.1</v>
      </c>
      <c r="I325" s="45">
        <f>IF(SO[[#This Row],[GST applies?]] = "Yes", (SO[[#This Row],[Value inc. GST]] / 1 + SO[[#This Row],[GST %]]) * SO[[#This Row],[GST %]], 0)</f>
        <v>0</v>
      </c>
      <c r="J325" s="31">
        <f>_xlfn.XLOOKUP(SO[[#This Row],[Customer name]], Customer_master[Customer name], Customer_master[EOM or Net], 0)</f>
        <v>0</v>
      </c>
      <c r="K325" s="31">
        <f>_xlfn.XLOOKUP(SO[[#This Row],[Customer name]], Customer_master[Customer name], Customer_master[Terms days], 0)</f>
        <v>0</v>
      </c>
      <c r="L3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5" s="4"/>
      <c r="N325" s="46">
        <f>IF(SO[[#This Row],[Collection date - override (dd/mm/yyyy)]] &lt;&gt; "", SO[[#This Row],[Collection date - override (dd/mm/yyyy)]], SO[[#This Row],[Due date (dd/mm/yyyy)]])</f>
        <v>0</v>
      </c>
      <c r="O325" s="46">
        <f t="shared" si="4"/>
        <v>52</v>
      </c>
    </row>
    <row r="326" spans="3:15" x14ac:dyDescent="0.25">
      <c r="C326" s="24"/>
      <c r="D326" s="20"/>
      <c r="E326" s="4"/>
      <c r="F326" s="37"/>
      <c r="G326" s="24"/>
      <c r="H326" s="51">
        <f>Assumptions!$D$15</f>
        <v>0.1</v>
      </c>
      <c r="I326" s="45">
        <f>IF(SO[[#This Row],[GST applies?]] = "Yes", (SO[[#This Row],[Value inc. GST]] / 1 + SO[[#This Row],[GST %]]) * SO[[#This Row],[GST %]], 0)</f>
        <v>0</v>
      </c>
      <c r="J326" s="31">
        <f>_xlfn.XLOOKUP(SO[[#This Row],[Customer name]], Customer_master[Customer name], Customer_master[EOM or Net], 0)</f>
        <v>0</v>
      </c>
      <c r="K326" s="31">
        <f>_xlfn.XLOOKUP(SO[[#This Row],[Customer name]], Customer_master[Customer name], Customer_master[Terms days], 0)</f>
        <v>0</v>
      </c>
      <c r="L3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6" s="4"/>
      <c r="N326" s="46">
        <f>IF(SO[[#This Row],[Collection date - override (dd/mm/yyyy)]] &lt;&gt; "", SO[[#This Row],[Collection date - override (dd/mm/yyyy)]], SO[[#This Row],[Due date (dd/mm/yyyy)]])</f>
        <v>0</v>
      </c>
      <c r="O326" s="46">
        <f t="shared" si="4"/>
        <v>52</v>
      </c>
    </row>
    <row r="327" spans="3:15" x14ac:dyDescent="0.25">
      <c r="C327" s="24"/>
      <c r="D327" s="20"/>
      <c r="E327" s="4"/>
      <c r="F327" s="37"/>
      <c r="G327" s="24"/>
      <c r="H327" s="51">
        <f>Assumptions!$D$15</f>
        <v>0.1</v>
      </c>
      <c r="I327" s="45">
        <f>IF(SO[[#This Row],[GST applies?]] = "Yes", (SO[[#This Row],[Value inc. GST]] / 1 + SO[[#This Row],[GST %]]) * SO[[#This Row],[GST %]], 0)</f>
        <v>0</v>
      </c>
      <c r="J327" s="31">
        <f>_xlfn.XLOOKUP(SO[[#This Row],[Customer name]], Customer_master[Customer name], Customer_master[EOM or Net], 0)</f>
        <v>0</v>
      </c>
      <c r="K327" s="31">
        <f>_xlfn.XLOOKUP(SO[[#This Row],[Customer name]], Customer_master[Customer name], Customer_master[Terms days], 0)</f>
        <v>0</v>
      </c>
      <c r="L3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7" s="4"/>
      <c r="N327" s="46">
        <f>IF(SO[[#This Row],[Collection date - override (dd/mm/yyyy)]] &lt;&gt; "", SO[[#This Row],[Collection date - override (dd/mm/yyyy)]], SO[[#This Row],[Due date (dd/mm/yyyy)]])</f>
        <v>0</v>
      </c>
      <c r="O327" s="46">
        <f t="shared" si="4"/>
        <v>52</v>
      </c>
    </row>
    <row r="328" spans="3:15" x14ac:dyDescent="0.25">
      <c r="C328" s="24"/>
      <c r="D328" s="20"/>
      <c r="E328" s="4"/>
      <c r="F328" s="37"/>
      <c r="G328" s="24"/>
      <c r="H328" s="51">
        <f>Assumptions!$D$15</f>
        <v>0.1</v>
      </c>
      <c r="I328" s="45">
        <f>IF(SO[[#This Row],[GST applies?]] = "Yes", (SO[[#This Row],[Value inc. GST]] / 1 + SO[[#This Row],[GST %]]) * SO[[#This Row],[GST %]], 0)</f>
        <v>0</v>
      </c>
      <c r="J328" s="31">
        <f>_xlfn.XLOOKUP(SO[[#This Row],[Customer name]], Customer_master[Customer name], Customer_master[EOM or Net], 0)</f>
        <v>0</v>
      </c>
      <c r="K328" s="31">
        <f>_xlfn.XLOOKUP(SO[[#This Row],[Customer name]], Customer_master[Customer name], Customer_master[Terms days], 0)</f>
        <v>0</v>
      </c>
      <c r="L3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8" s="4"/>
      <c r="N328" s="46">
        <f>IF(SO[[#This Row],[Collection date - override (dd/mm/yyyy)]] &lt;&gt; "", SO[[#This Row],[Collection date - override (dd/mm/yyyy)]], SO[[#This Row],[Due date (dd/mm/yyyy)]])</f>
        <v>0</v>
      </c>
      <c r="O328" s="46">
        <f t="shared" si="4"/>
        <v>52</v>
      </c>
    </row>
    <row r="329" spans="3:15" x14ac:dyDescent="0.25">
      <c r="C329" s="24"/>
      <c r="D329" s="20"/>
      <c r="E329" s="4"/>
      <c r="F329" s="37"/>
      <c r="G329" s="24"/>
      <c r="H329" s="51">
        <f>Assumptions!$D$15</f>
        <v>0.1</v>
      </c>
      <c r="I329" s="45">
        <f>IF(SO[[#This Row],[GST applies?]] = "Yes", (SO[[#This Row],[Value inc. GST]] / 1 + SO[[#This Row],[GST %]]) * SO[[#This Row],[GST %]], 0)</f>
        <v>0</v>
      </c>
      <c r="J329" s="31">
        <f>_xlfn.XLOOKUP(SO[[#This Row],[Customer name]], Customer_master[Customer name], Customer_master[EOM or Net], 0)</f>
        <v>0</v>
      </c>
      <c r="K329" s="31">
        <f>_xlfn.XLOOKUP(SO[[#This Row],[Customer name]], Customer_master[Customer name], Customer_master[Terms days], 0)</f>
        <v>0</v>
      </c>
      <c r="L3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9" s="4"/>
      <c r="N329" s="46">
        <f>IF(SO[[#This Row],[Collection date - override (dd/mm/yyyy)]] &lt;&gt; "", SO[[#This Row],[Collection date - override (dd/mm/yyyy)]], SO[[#This Row],[Due date (dd/mm/yyyy)]])</f>
        <v>0</v>
      </c>
      <c r="O329" s="46">
        <f t="shared" ref="O329:O392" si="5">IF(GST_Freq="Monthly",
    DATE(YEAR(E329), MONTH(E329) + 1, 21),
    IF(GST_Freq="Quarterly",
        IF(MOD(MONTH(E329) + 2 - MOD(MOD(MONTH(E329) - GST_First_Month, 12), 3), 12) = 0,
            DATE(YEAR(E329), MONTH(E329) + 4 - MOD(MOD(MONTH(E329) - GST_First_Month, 12), 3), 28),
            DATE(YEAR(E329), MONTH(E329) + 3 - MOD(MOD(MONTH(E329) - GST_First_Month, 12), 3), 28)
        ),
        "Invalid frequency"
    )
)</f>
        <v>52</v>
      </c>
    </row>
    <row r="330" spans="3:15" x14ac:dyDescent="0.25">
      <c r="C330" s="24"/>
      <c r="D330" s="20"/>
      <c r="E330" s="4"/>
      <c r="F330" s="37"/>
      <c r="G330" s="24"/>
      <c r="H330" s="51">
        <f>Assumptions!$D$15</f>
        <v>0.1</v>
      </c>
      <c r="I330" s="45">
        <f>IF(SO[[#This Row],[GST applies?]] = "Yes", (SO[[#This Row],[Value inc. GST]] / 1 + SO[[#This Row],[GST %]]) * SO[[#This Row],[GST %]], 0)</f>
        <v>0</v>
      </c>
      <c r="J330" s="31">
        <f>_xlfn.XLOOKUP(SO[[#This Row],[Customer name]], Customer_master[Customer name], Customer_master[EOM or Net], 0)</f>
        <v>0</v>
      </c>
      <c r="K330" s="31">
        <f>_xlfn.XLOOKUP(SO[[#This Row],[Customer name]], Customer_master[Customer name], Customer_master[Terms days], 0)</f>
        <v>0</v>
      </c>
      <c r="L3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0" s="4"/>
      <c r="N330" s="46">
        <f>IF(SO[[#This Row],[Collection date - override (dd/mm/yyyy)]] &lt;&gt; "", SO[[#This Row],[Collection date - override (dd/mm/yyyy)]], SO[[#This Row],[Due date (dd/mm/yyyy)]])</f>
        <v>0</v>
      </c>
      <c r="O330" s="46">
        <f t="shared" si="5"/>
        <v>52</v>
      </c>
    </row>
    <row r="331" spans="3:15" x14ac:dyDescent="0.25">
      <c r="C331" s="24"/>
      <c r="D331" s="20"/>
      <c r="E331" s="4"/>
      <c r="F331" s="37"/>
      <c r="G331" s="24"/>
      <c r="H331" s="51">
        <f>Assumptions!$D$15</f>
        <v>0.1</v>
      </c>
      <c r="I331" s="45">
        <f>IF(SO[[#This Row],[GST applies?]] = "Yes", (SO[[#This Row],[Value inc. GST]] / 1 + SO[[#This Row],[GST %]]) * SO[[#This Row],[GST %]], 0)</f>
        <v>0</v>
      </c>
      <c r="J331" s="31">
        <f>_xlfn.XLOOKUP(SO[[#This Row],[Customer name]], Customer_master[Customer name], Customer_master[EOM or Net], 0)</f>
        <v>0</v>
      </c>
      <c r="K331" s="31">
        <f>_xlfn.XLOOKUP(SO[[#This Row],[Customer name]], Customer_master[Customer name], Customer_master[Terms days], 0)</f>
        <v>0</v>
      </c>
      <c r="L3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1" s="4"/>
      <c r="N331" s="46">
        <f>IF(SO[[#This Row],[Collection date - override (dd/mm/yyyy)]] &lt;&gt; "", SO[[#This Row],[Collection date - override (dd/mm/yyyy)]], SO[[#This Row],[Due date (dd/mm/yyyy)]])</f>
        <v>0</v>
      </c>
      <c r="O331" s="46">
        <f t="shared" si="5"/>
        <v>52</v>
      </c>
    </row>
    <row r="332" spans="3:15" x14ac:dyDescent="0.25">
      <c r="C332" s="24"/>
      <c r="D332" s="20"/>
      <c r="E332" s="4"/>
      <c r="F332" s="37"/>
      <c r="G332" s="24"/>
      <c r="H332" s="51">
        <f>Assumptions!$D$15</f>
        <v>0.1</v>
      </c>
      <c r="I332" s="45">
        <f>IF(SO[[#This Row],[GST applies?]] = "Yes", (SO[[#This Row],[Value inc. GST]] / 1 + SO[[#This Row],[GST %]]) * SO[[#This Row],[GST %]], 0)</f>
        <v>0</v>
      </c>
      <c r="J332" s="31">
        <f>_xlfn.XLOOKUP(SO[[#This Row],[Customer name]], Customer_master[Customer name], Customer_master[EOM or Net], 0)</f>
        <v>0</v>
      </c>
      <c r="K332" s="31">
        <f>_xlfn.XLOOKUP(SO[[#This Row],[Customer name]], Customer_master[Customer name], Customer_master[Terms days], 0)</f>
        <v>0</v>
      </c>
      <c r="L3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2" s="4"/>
      <c r="N332" s="46">
        <f>IF(SO[[#This Row],[Collection date - override (dd/mm/yyyy)]] &lt;&gt; "", SO[[#This Row],[Collection date - override (dd/mm/yyyy)]], SO[[#This Row],[Due date (dd/mm/yyyy)]])</f>
        <v>0</v>
      </c>
      <c r="O332" s="46">
        <f t="shared" si="5"/>
        <v>52</v>
      </c>
    </row>
    <row r="333" spans="3:15" x14ac:dyDescent="0.25">
      <c r="C333" s="24"/>
      <c r="D333" s="20"/>
      <c r="E333" s="4"/>
      <c r="F333" s="37"/>
      <c r="G333" s="24"/>
      <c r="H333" s="51">
        <f>Assumptions!$D$15</f>
        <v>0.1</v>
      </c>
      <c r="I333" s="45">
        <f>IF(SO[[#This Row],[GST applies?]] = "Yes", (SO[[#This Row],[Value inc. GST]] / 1 + SO[[#This Row],[GST %]]) * SO[[#This Row],[GST %]], 0)</f>
        <v>0</v>
      </c>
      <c r="J333" s="31">
        <f>_xlfn.XLOOKUP(SO[[#This Row],[Customer name]], Customer_master[Customer name], Customer_master[EOM or Net], 0)</f>
        <v>0</v>
      </c>
      <c r="K333" s="31">
        <f>_xlfn.XLOOKUP(SO[[#This Row],[Customer name]], Customer_master[Customer name], Customer_master[Terms days], 0)</f>
        <v>0</v>
      </c>
      <c r="L3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3" s="4"/>
      <c r="N333" s="46">
        <f>IF(SO[[#This Row],[Collection date - override (dd/mm/yyyy)]] &lt;&gt; "", SO[[#This Row],[Collection date - override (dd/mm/yyyy)]], SO[[#This Row],[Due date (dd/mm/yyyy)]])</f>
        <v>0</v>
      </c>
      <c r="O333" s="46">
        <f t="shared" si="5"/>
        <v>52</v>
      </c>
    </row>
    <row r="334" spans="3:15" x14ac:dyDescent="0.25">
      <c r="C334" s="24"/>
      <c r="D334" s="20"/>
      <c r="E334" s="4"/>
      <c r="F334" s="37"/>
      <c r="G334" s="24"/>
      <c r="H334" s="51">
        <f>Assumptions!$D$15</f>
        <v>0.1</v>
      </c>
      <c r="I334" s="45">
        <f>IF(SO[[#This Row],[GST applies?]] = "Yes", (SO[[#This Row],[Value inc. GST]] / 1 + SO[[#This Row],[GST %]]) * SO[[#This Row],[GST %]], 0)</f>
        <v>0</v>
      </c>
      <c r="J334" s="31">
        <f>_xlfn.XLOOKUP(SO[[#This Row],[Customer name]], Customer_master[Customer name], Customer_master[EOM or Net], 0)</f>
        <v>0</v>
      </c>
      <c r="K334" s="31">
        <f>_xlfn.XLOOKUP(SO[[#This Row],[Customer name]], Customer_master[Customer name], Customer_master[Terms days], 0)</f>
        <v>0</v>
      </c>
      <c r="L3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4" s="4"/>
      <c r="N334" s="46">
        <f>IF(SO[[#This Row],[Collection date - override (dd/mm/yyyy)]] &lt;&gt; "", SO[[#This Row],[Collection date - override (dd/mm/yyyy)]], SO[[#This Row],[Due date (dd/mm/yyyy)]])</f>
        <v>0</v>
      </c>
      <c r="O334" s="46">
        <f t="shared" si="5"/>
        <v>52</v>
      </c>
    </row>
    <row r="335" spans="3:15" x14ac:dyDescent="0.25">
      <c r="C335" s="24"/>
      <c r="D335" s="20"/>
      <c r="E335" s="4"/>
      <c r="F335" s="37"/>
      <c r="G335" s="24"/>
      <c r="H335" s="51">
        <f>Assumptions!$D$15</f>
        <v>0.1</v>
      </c>
      <c r="I335" s="45">
        <f>IF(SO[[#This Row],[GST applies?]] = "Yes", (SO[[#This Row],[Value inc. GST]] / 1 + SO[[#This Row],[GST %]]) * SO[[#This Row],[GST %]], 0)</f>
        <v>0</v>
      </c>
      <c r="J335" s="31">
        <f>_xlfn.XLOOKUP(SO[[#This Row],[Customer name]], Customer_master[Customer name], Customer_master[EOM or Net], 0)</f>
        <v>0</v>
      </c>
      <c r="K335" s="31">
        <f>_xlfn.XLOOKUP(SO[[#This Row],[Customer name]], Customer_master[Customer name], Customer_master[Terms days], 0)</f>
        <v>0</v>
      </c>
      <c r="L3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5" s="4"/>
      <c r="N335" s="46">
        <f>IF(SO[[#This Row],[Collection date - override (dd/mm/yyyy)]] &lt;&gt; "", SO[[#This Row],[Collection date - override (dd/mm/yyyy)]], SO[[#This Row],[Due date (dd/mm/yyyy)]])</f>
        <v>0</v>
      </c>
      <c r="O335" s="46">
        <f t="shared" si="5"/>
        <v>52</v>
      </c>
    </row>
    <row r="336" spans="3:15" x14ac:dyDescent="0.25">
      <c r="C336" s="24"/>
      <c r="D336" s="20"/>
      <c r="E336" s="4"/>
      <c r="F336" s="37"/>
      <c r="G336" s="24"/>
      <c r="H336" s="51">
        <f>Assumptions!$D$15</f>
        <v>0.1</v>
      </c>
      <c r="I336" s="45">
        <f>IF(SO[[#This Row],[GST applies?]] = "Yes", (SO[[#This Row],[Value inc. GST]] / 1 + SO[[#This Row],[GST %]]) * SO[[#This Row],[GST %]], 0)</f>
        <v>0</v>
      </c>
      <c r="J336" s="31">
        <f>_xlfn.XLOOKUP(SO[[#This Row],[Customer name]], Customer_master[Customer name], Customer_master[EOM or Net], 0)</f>
        <v>0</v>
      </c>
      <c r="K336" s="31">
        <f>_xlfn.XLOOKUP(SO[[#This Row],[Customer name]], Customer_master[Customer name], Customer_master[Terms days], 0)</f>
        <v>0</v>
      </c>
      <c r="L3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6" s="4"/>
      <c r="N336" s="46">
        <f>IF(SO[[#This Row],[Collection date - override (dd/mm/yyyy)]] &lt;&gt; "", SO[[#This Row],[Collection date - override (dd/mm/yyyy)]], SO[[#This Row],[Due date (dd/mm/yyyy)]])</f>
        <v>0</v>
      </c>
      <c r="O336" s="46">
        <f t="shared" si="5"/>
        <v>52</v>
      </c>
    </row>
    <row r="337" spans="3:15" x14ac:dyDescent="0.25">
      <c r="C337" s="24"/>
      <c r="D337" s="20"/>
      <c r="E337" s="4"/>
      <c r="F337" s="37"/>
      <c r="G337" s="24"/>
      <c r="H337" s="51">
        <f>Assumptions!$D$15</f>
        <v>0.1</v>
      </c>
      <c r="I337" s="45">
        <f>IF(SO[[#This Row],[GST applies?]] = "Yes", (SO[[#This Row],[Value inc. GST]] / 1 + SO[[#This Row],[GST %]]) * SO[[#This Row],[GST %]], 0)</f>
        <v>0</v>
      </c>
      <c r="J337" s="31">
        <f>_xlfn.XLOOKUP(SO[[#This Row],[Customer name]], Customer_master[Customer name], Customer_master[EOM or Net], 0)</f>
        <v>0</v>
      </c>
      <c r="K337" s="31">
        <f>_xlfn.XLOOKUP(SO[[#This Row],[Customer name]], Customer_master[Customer name], Customer_master[Terms days], 0)</f>
        <v>0</v>
      </c>
      <c r="L3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7" s="4"/>
      <c r="N337" s="46">
        <f>IF(SO[[#This Row],[Collection date - override (dd/mm/yyyy)]] &lt;&gt; "", SO[[#This Row],[Collection date - override (dd/mm/yyyy)]], SO[[#This Row],[Due date (dd/mm/yyyy)]])</f>
        <v>0</v>
      </c>
      <c r="O337" s="46">
        <f t="shared" si="5"/>
        <v>52</v>
      </c>
    </row>
    <row r="338" spans="3:15" x14ac:dyDescent="0.25">
      <c r="C338" s="24"/>
      <c r="D338" s="20"/>
      <c r="E338" s="4"/>
      <c r="F338" s="37"/>
      <c r="G338" s="24"/>
      <c r="H338" s="51">
        <f>Assumptions!$D$15</f>
        <v>0.1</v>
      </c>
      <c r="I338" s="45">
        <f>IF(SO[[#This Row],[GST applies?]] = "Yes", (SO[[#This Row],[Value inc. GST]] / 1 + SO[[#This Row],[GST %]]) * SO[[#This Row],[GST %]], 0)</f>
        <v>0</v>
      </c>
      <c r="J338" s="31">
        <f>_xlfn.XLOOKUP(SO[[#This Row],[Customer name]], Customer_master[Customer name], Customer_master[EOM or Net], 0)</f>
        <v>0</v>
      </c>
      <c r="K338" s="31">
        <f>_xlfn.XLOOKUP(SO[[#This Row],[Customer name]], Customer_master[Customer name], Customer_master[Terms days], 0)</f>
        <v>0</v>
      </c>
      <c r="L3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8" s="4"/>
      <c r="N338" s="46">
        <f>IF(SO[[#This Row],[Collection date - override (dd/mm/yyyy)]] &lt;&gt; "", SO[[#This Row],[Collection date - override (dd/mm/yyyy)]], SO[[#This Row],[Due date (dd/mm/yyyy)]])</f>
        <v>0</v>
      </c>
      <c r="O338" s="46">
        <f t="shared" si="5"/>
        <v>52</v>
      </c>
    </row>
    <row r="339" spans="3:15" x14ac:dyDescent="0.25">
      <c r="C339" s="24"/>
      <c r="D339" s="20"/>
      <c r="E339" s="4"/>
      <c r="F339" s="37"/>
      <c r="G339" s="24"/>
      <c r="H339" s="51">
        <f>Assumptions!$D$15</f>
        <v>0.1</v>
      </c>
      <c r="I339" s="45">
        <f>IF(SO[[#This Row],[GST applies?]] = "Yes", (SO[[#This Row],[Value inc. GST]] / 1 + SO[[#This Row],[GST %]]) * SO[[#This Row],[GST %]], 0)</f>
        <v>0</v>
      </c>
      <c r="J339" s="31">
        <f>_xlfn.XLOOKUP(SO[[#This Row],[Customer name]], Customer_master[Customer name], Customer_master[EOM or Net], 0)</f>
        <v>0</v>
      </c>
      <c r="K339" s="31">
        <f>_xlfn.XLOOKUP(SO[[#This Row],[Customer name]], Customer_master[Customer name], Customer_master[Terms days], 0)</f>
        <v>0</v>
      </c>
      <c r="L3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9" s="4"/>
      <c r="N339" s="46">
        <f>IF(SO[[#This Row],[Collection date - override (dd/mm/yyyy)]] &lt;&gt; "", SO[[#This Row],[Collection date - override (dd/mm/yyyy)]], SO[[#This Row],[Due date (dd/mm/yyyy)]])</f>
        <v>0</v>
      </c>
      <c r="O339" s="46">
        <f t="shared" si="5"/>
        <v>52</v>
      </c>
    </row>
    <row r="340" spans="3:15" x14ac:dyDescent="0.25">
      <c r="C340" s="24"/>
      <c r="D340" s="20"/>
      <c r="E340" s="4"/>
      <c r="F340" s="37"/>
      <c r="G340" s="24"/>
      <c r="H340" s="51">
        <f>Assumptions!$D$15</f>
        <v>0.1</v>
      </c>
      <c r="I340" s="45">
        <f>IF(SO[[#This Row],[GST applies?]] = "Yes", (SO[[#This Row],[Value inc. GST]] / 1 + SO[[#This Row],[GST %]]) * SO[[#This Row],[GST %]], 0)</f>
        <v>0</v>
      </c>
      <c r="J340" s="31">
        <f>_xlfn.XLOOKUP(SO[[#This Row],[Customer name]], Customer_master[Customer name], Customer_master[EOM or Net], 0)</f>
        <v>0</v>
      </c>
      <c r="K340" s="31">
        <f>_xlfn.XLOOKUP(SO[[#This Row],[Customer name]], Customer_master[Customer name], Customer_master[Terms days], 0)</f>
        <v>0</v>
      </c>
      <c r="L3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0" s="4"/>
      <c r="N340" s="46">
        <f>IF(SO[[#This Row],[Collection date - override (dd/mm/yyyy)]] &lt;&gt; "", SO[[#This Row],[Collection date - override (dd/mm/yyyy)]], SO[[#This Row],[Due date (dd/mm/yyyy)]])</f>
        <v>0</v>
      </c>
      <c r="O340" s="46">
        <f t="shared" si="5"/>
        <v>52</v>
      </c>
    </row>
    <row r="341" spans="3:15" x14ac:dyDescent="0.25">
      <c r="C341" s="24"/>
      <c r="D341" s="20"/>
      <c r="E341" s="4"/>
      <c r="F341" s="37"/>
      <c r="G341" s="24"/>
      <c r="H341" s="51">
        <f>Assumptions!$D$15</f>
        <v>0.1</v>
      </c>
      <c r="I341" s="45">
        <f>IF(SO[[#This Row],[GST applies?]] = "Yes", (SO[[#This Row],[Value inc. GST]] / 1 + SO[[#This Row],[GST %]]) * SO[[#This Row],[GST %]], 0)</f>
        <v>0</v>
      </c>
      <c r="J341" s="31">
        <f>_xlfn.XLOOKUP(SO[[#This Row],[Customer name]], Customer_master[Customer name], Customer_master[EOM or Net], 0)</f>
        <v>0</v>
      </c>
      <c r="K341" s="31">
        <f>_xlfn.XLOOKUP(SO[[#This Row],[Customer name]], Customer_master[Customer name], Customer_master[Terms days], 0)</f>
        <v>0</v>
      </c>
      <c r="L3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1" s="4"/>
      <c r="N341" s="46">
        <f>IF(SO[[#This Row],[Collection date - override (dd/mm/yyyy)]] &lt;&gt; "", SO[[#This Row],[Collection date - override (dd/mm/yyyy)]], SO[[#This Row],[Due date (dd/mm/yyyy)]])</f>
        <v>0</v>
      </c>
      <c r="O341" s="46">
        <f t="shared" si="5"/>
        <v>52</v>
      </c>
    </row>
    <row r="342" spans="3:15" x14ac:dyDescent="0.25">
      <c r="C342" s="24"/>
      <c r="D342" s="20"/>
      <c r="E342" s="4"/>
      <c r="F342" s="37"/>
      <c r="G342" s="24"/>
      <c r="H342" s="51">
        <f>Assumptions!$D$15</f>
        <v>0.1</v>
      </c>
      <c r="I342" s="45">
        <f>IF(SO[[#This Row],[GST applies?]] = "Yes", (SO[[#This Row],[Value inc. GST]] / 1 + SO[[#This Row],[GST %]]) * SO[[#This Row],[GST %]], 0)</f>
        <v>0</v>
      </c>
      <c r="J342" s="31">
        <f>_xlfn.XLOOKUP(SO[[#This Row],[Customer name]], Customer_master[Customer name], Customer_master[EOM or Net], 0)</f>
        <v>0</v>
      </c>
      <c r="K342" s="31">
        <f>_xlfn.XLOOKUP(SO[[#This Row],[Customer name]], Customer_master[Customer name], Customer_master[Terms days], 0)</f>
        <v>0</v>
      </c>
      <c r="L3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2" s="4"/>
      <c r="N342" s="46">
        <f>IF(SO[[#This Row],[Collection date - override (dd/mm/yyyy)]] &lt;&gt; "", SO[[#This Row],[Collection date - override (dd/mm/yyyy)]], SO[[#This Row],[Due date (dd/mm/yyyy)]])</f>
        <v>0</v>
      </c>
      <c r="O342" s="46">
        <f t="shared" si="5"/>
        <v>52</v>
      </c>
    </row>
    <row r="343" spans="3:15" x14ac:dyDescent="0.25">
      <c r="C343" s="24"/>
      <c r="D343" s="20"/>
      <c r="E343" s="4"/>
      <c r="F343" s="37"/>
      <c r="G343" s="24"/>
      <c r="H343" s="51">
        <f>Assumptions!$D$15</f>
        <v>0.1</v>
      </c>
      <c r="I343" s="45">
        <f>IF(SO[[#This Row],[GST applies?]] = "Yes", (SO[[#This Row],[Value inc. GST]] / 1 + SO[[#This Row],[GST %]]) * SO[[#This Row],[GST %]], 0)</f>
        <v>0</v>
      </c>
      <c r="J343" s="31">
        <f>_xlfn.XLOOKUP(SO[[#This Row],[Customer name]], Customer_master[Customer name], Customer_master[EOM or Net], 0)</f>
        <v>0</v>
      </c>
      <c r="K343" s="31">
        <f>_xlfn.XLOOKUP(SO[[#This Row],[Customer name]], Customer_master[Customer name], Customer_master[Terms days], 0)</f>
        <v>0</v>
      </c>
      <c r="L3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3" s="4"/>
      <c r="N343" s="46">
        <f>IF(SO[[#This Row],[Collection date - override (dd/mm/yyyy)]] &lt;&gt; "", SO[[#This Row],[Collection date - override (dd/mm/yyyy)]], SO[[#This Row],[Due date (dd/mm/yyyy)]])</f>
        <v>0</v>
      </c>
      <c r="O343" s="46">
        <f t="shared" si="5"/>
        <v>52</v>
      </c>
    </row>
    <row r="344" spans="3:15" x14ac:dyDescent="0.25">
      <c r="C344" s="24"/>
      <c r="D344" s="20"/>
      <c r="E344" s="4"/>
      <c r="F344" s="37"/>
      <c r="G344" s="24"/>
      <c r="H344" s="51">
        <f>Assumptions!$D$15</f>
        <v>0.1</v>
      </c>
      <c r="I344" s="45">
        <f>IF(SO[[#This Row],[GST applies?]] = "Yes", (SO[[#This Row],[Value inc. GST]] / 1 + SO[[#This Row],[GST %]]) * SO[[#This Row],[GST %]], 0)</f>
        <v>0</v>
      </c>
      <c r="J344" s="31">
        <f>_xlfn.XLOOKUP(SO[[#This Row],[Customer name]], Customer_master[Customer name], Customer_master[EOM or Net], 0)</f>
        <v>0</v>
      </c>
      <c r="K344" s="31">
        <f>_xlfn.XLOOKUP(SO[[#This Row],[Customer name]], Customer_master[Customer name], Customer_master[Terms days], 0)</f>
        <v>0</v>
      </c>
      <c r="L3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4" s="4"/>
      <c r="N344" s="46">
        <f>IF(SO[[#This Row],[Collection date - override (dd/mm/yyyy)]] &lt;&gt; "", SO[[#This Row],[Collection date - override (dd/mm/yyyy)]], SO[[#This Row],[Due date (dd/mm/yyyy)]])</f>
        <v>0</v>
      </c>
      <c r="O344" s="46">
        <f t="shared" si="5"/>
        <v>52</v>
      </c>
    </row>
    <row r="345" spans="3:15" x14ac:dyDescent="0.25">
      <c r="C345" s="24"/>
      <c r="D345" s="20"/>
      <c r="E345" s="4"/>
      <c r="F345" s="37"/>
      <c r="G345" s="24"/>
      <c r="H345" s="51">
        <f>Assumptions!$D$15</f>
        <v>0.1</v>
      </c>
      <c r="I345" s="45">
        <f>IF(SO[[#This Row],[GST applies?]] = "Yes", (SO[[#This Row],[Value inc. GST]] / 1 + SO[[#This Row],[GST %]]) * SO[[#This Row],[GST %]], 0)</f>
        <v>0</v>
      </c>
      <c r="J345" s="31">
        <f>_xlfn.XLOOKUP(SO[[#This Row],[Customer name]], Customer_master[Customer name], Customer_master[EOM or Net], 0)</f>
        <v>0</v>
      </c>
      <c r="K345" s="31">
        <f>_xlfn.XLOOKUP(SO[[#This Row],[Customer name]], Customer_master[Customer name], Customer_master[Terms days], 0)</f>
        <v>0</v>
      </c>
      <c r="L3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5" s="4"/>
      <c r="N345" s="46">
        <f>IF(SO[[#This Row],[Collection date - override (dd/mm/yyyy)]] &lt;&gt; "", SO[[#This Row],[Collection date - override (dd/mm/yyyy)]], SO[[#This Row],[Due date (dd/mm/yyyy)]])</f>
        <v>0</v>
      </c>
      <c r="O345" s="46">
        <f t="shared" si="5"/>
        <v>52</v>
      </c>
    </row>
    <row r="346" spans="3:15" x14ac:dyDescent="0.25">
      <c r="C346" s="24"/>
      <c r="D346" s="20"/>
      <c r="E346" s="4"/>
      <c r="F346" s="37"/>
      <c r="G346" s="24"/>
      <c r="H346" s="51">
        <f>Assumptions!$D$15</f>
        <v>0.1</v>
      </c>
      <c r="I346" s="45">
        <f>IF(SO[[#This Row],[GST applies?]] = "Yes", (SO[[#This Row],[Value inc. GST]] / 1 + SO[[#This Row],[GST %]]) * SO[[#This Row],[GST %]], 0)</f>
        <v>0</v>
      </c>
      <c r="J346" s="31">
        <f>_xlfn.XLOOKUP(SO[[#This Row],[Customer name]], Customer_master[Customer name], Customer_master[EOM or Net], 0)</f>
        <v>0</v>
      </c>
      <c r="K346" s="31">
        <f>_xlfn.XLOOKUP(SO[[#This Row],[Customer name]], Customer_master[Customer name], Customer_master[Terms days], 0)</f>
        <v>0</v>
      </c>
      <c r="L3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6" s="4"/>
      <c r="N346" s="46">
        <f>IF(SO[[#This Row],[Collection date - override (dd/mm/yyyy)]] &lt;&gt; "", SO[[#This Row],[Collection date - override (dd/mm/yyyy)]], SO[[#This Row],[Due date (dd/mm/yyyy)]])</f>
        <v>0</v>
      </c>
      <c r="O346" s="46">
        <f t="shared" si="5"/>
        <v>52</v>
      </c>
    </row>
    <row r="347" spans="3:15" x14ac:dyDescent="0.25">
      <c r="C347" s="24"/>
      <c r="D347" s="20"/>
      <c r="E347" s="4"/>
      <c r="F347" s="37"/>
      <c r="G347" s="24"/>
      <c r="H347" s="51">
        <f>Assumptions!$D$15</f>
        <v>0.1</v>
      </c>
      <c r="I347" s="45">
        <f>IF(SO[[#This Row],[GST applies?]] = "Yes", (SO[[#This Row],[Value inc. GST]] / 1 + SO[[#This Row],[GST %]]) * SO[[#This Row],[GST %]], 0)</f>
        <v>0</v>
      </c>
      <c r="J347" s="31">
        <f>_xlfn.XLOOKUP(SO[[#This Row],[Customer name]], Customer_master[Customer name], Customer_master[EOM or Net], 0)</f>
        <v>0</v>
      </c>
      <c r="K347" s="31">
        <f>_xlfn.XLOOKUP(SO[[#This Row],[Customer name]], Customer_master[Customer name], Customer_master[Terms days], 0)</f>
        <v>0</v>
      </c>
      <c r="L3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7" s="4"/>
      <c r="N347" s="46">
        <f>IF(SO[[#This Row],[Collection date - override (dd/mm/yyyy)]] &lt;&gt; "", SO[[#This Row],[Collection date - override (dd/mm/yyyy)]], SO[[#This Row],[Due date (dd/mm/yyyy)]])</f>
        <v>0</v>
      </c>
      <c r="O347" s="46">
        <f t="shared" si="5"/>
        <v>52</v>
      </c>
    </row>
    <row r="348" spans="3:15" x14ac:dyDescent="0.25">
      <c r="C348" s="24"/>
      <c r="D348" s="20"/>
      <c r="E348" s="4"/>
      <c r="F348" s="37"/>
      <c r="G348" s="24"/>
      <c r="H348" s="51">
        <f>Assumptions!$D$15</f>
        <v>0.1</v>
      </c>
      <c r="I348" s="45">
        <f>IF(SO[[#This Row],[GST applies?]] = "Yes", (SO[[#This Row],[Value inc. GST]] / 1 + SO[[#This Row],[GST %]]) * SO[[#This Row],[GST %]], 0)</f>
        <v>0</v>
      </c>
      <c r="J348" s="31">
        <f>_xlfn.XLOOKUP(SO[[#This Row],[Customer name]], Customer_master[Customer name], Customer_master[EOM or Net], 0)</f>
        <v>0</v>
      </c>
      <c r="K348" s="31">
        <f>_xlfn.XLOOKUP(SO[[#This Row],[Customer name]], Customer_master[Customer name], Customer_master[Terms days], 0)</f>
        <v>0</v>
      </c>
      <c r="L3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8" s="4"/>
      <c r="N348" s="46">
        <f>IF(SO[[#This Row],[Collection date - override (dd/mm/yyyy)]] &lt;&gt; "", SO[[#This Row],[Collection date - override (dd/mm/yyyy)]], SO[[#This Row],[Due date (dd/mm/yyyy)]])</f>
        <v>0</v>
      </c>
      <c r="O348" s="46">
        <f t="shared" si="5"/>
        <v>52</v>
      </c>
    </row>
    <row r="349" spans="3:15" x14ac:dyDescent="0.25">
      <c r="C349" s="24"/>
      <c r="D349" s="20"/>
      <c r="E349" s="4"/>
      <c r="F349" s="37"/>
      <c r="G349" s="24"/>
      <c r="H349" s="51">
        <f>Assumptions!$D$15</f>
        <v>0.1</v>
      </c>
      <c r="I349" s="45">
        <f>IF(SO[[#This Row],[GST applies?]] = "Yes", (SO[[#This Row],[Value inc. GST]] / 1 + SO[[#This Row],[GST %]]) * SO[[#This Row],[GST %]], 0)</f>
        <v>0</v>
      </c>
      <c r="J349" s="31">
        <f>_xlfn.XLOOKUP(SO[[#This Row],[Customer name]], Customer_master[Customer name], Customer_master[EOM or Net], 0)</f>
        <v>0</v>
      </c>
      <c r="K349" s="31">
        <f>_xlfn.XLOOKUP(SO[[#This Row],[Customer name]], Customer_master[Customer name], Customer_master[Terms days], 0)</f>
        <v>0</v>
      </c>
      <c r="L3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9" s="4"/>
      <c r="N349" s="46">
        <f>IF(SO[[#This Row],[Collection date - override (dd/mm/yyyy)]] &lt;&gt; "", SO[[#This Row],[Collection date - override (dd/mm/yyyy)]], SO[[#This Row],[Due date (dd/mm/yyyy)]])</f>
        <v>0</v>
      </c>
      <c r="O349" s="46">
        <f t="shared" si="5"/>
        <v>52</v>
      </c>
    </row>
    <row r="350" spans="3:15" x14ac:dyDescent="0.25">
      <c r="C350" s="24"/>
      <c r="D350" s="20"/>
      <c r="E350" s="4"/>
      <c r="F350" s="37"/>
      <c r="G350" s="24"/>
      <c r="H350" s="51">
        <f>Assumptions!$D$15</f>
        <v>0.1</v>
      </c>
      <c r="I350" s="45">
        <f>IF(SO[[#This Row],[GST applies?]] = "Yes", (SO[[#This Row],[Value inc. GST]] / 1 + SO[[#This Row],[GST %]]) * SO[[#This Row],[GST %]], 0)</f>
        <v>0</v>
      </c>
      <c r="J350" s="31">
        <f>_xlfn.XLOOKUP(SO[[#This Row],[Customer name]], Customer_master[Customer name], Customer_master[EOM or Net], 0)</f>
        <v>0</v>
      </c>
      <c r="K350" s="31">
        <f>_xlfn.XLOOKUP(SO[[#This Row],[Customer name]], Customer_master[Customer name], Customer_master[Terms days], 0)</f>
        <v>0</v>
      </c>
      <c r="L3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0" s="4"/>
      <c r="N350" s="46">
        <f>IF(SO[[#This Row],[Collection date - override (dd/mm/yyyy)]] &lt;&gt; "", SO[[#This Row],[Collection date - override (dd/mm/yyyy)]], SO[[#This Row],[Due date (dd/mm/yyyy)]])</f>
        <v>0</v>
      </c>
      <c r="O350" s="46">
        <f t="shared" si="5"/>
        <v>52</v>
      </c>
    </row>
    <row r="351" spans="3:15" x14ac:dyDescent="0.25">
      <c r="C351" s="24"/>
      <c r="D351" s="20"/>
      <c r="E351" s="4"/>
      <c r="F351" s="37"/>
      <c r="G351" s="24"/>
      <c r="H351" s="51">
        <f>Assumptions!$D$15</f>
        <v>0.1</v>
      </c>
      <c r="I351" s="45">
        <f>IF(SO[[#This Row],[GST applies?]] = "Yes", (SO[[#This Row],[Value inc. GST]] / 1 + SO[[#This Row],[GST %]]) * SO[[#This Row],[GST %]], 0)</f>
        <v>0</v>
      </c>
      <c r="J351" s="31">
        <f>_xlfn.XLOOKUP(SO[[#This Row],[Customer name]], Customer_master[Customer name], Customer_master[EOM or Net], 0)</f>
        <v>0</v>
      </c>
      <c r="K351" s="31">
        <f>_xlfn.XLOOKUP(SO[[#This Row],[Customer name]], Customer_master[Customer name], Customer_master[Terms days], 0)</f>
        <v>0</v>
      </c>
      <c r="L3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1" s="4"/>
      <c r="N351" s="46">
        <f>IF(SO[[#This Row],[Collection date - override (dd/mm/yyyy)]] &lt;&gt; "", SO[[#This Row],[Collection date - override (dd/mm/yyyy)]], SO[[#This Row],[Due date (dd/mm/yyyy)]])</f>
        <v>0</v>
      </c>
      <c r="O351" s="46">
        <f t="shared" si="5"/>
        <v>52</v>
      </c>
    </row>
    <row r="352" spans="3:15" x14ac:dyDescent="0.25">
      <c r="C352" s="24"/>
      <c r="D352" s="20"/>
      <c r="E352" s="4"/>
      <c r="F352" s="37"/>
      <c r="G352" s="24"/>
      <c r="H352" s="51">
        <f>Assumptions!$D$15</f>
        <v>0.1</v>
      </c>
      <c r="I352" s="45">
        <f>IF(SO[[#This Row],[GST applies?]] = "Yes", (SO[[#This Row],[Value inc. GST]] / 1 + SO[[#This Row],[GST %]]) * SO[[#This Row],[GST %]], 0)</f>
        <v>0</v>
      </c>
      <c r="J352" s="31">
        <f>_xlfn.XLOOKUP(SO[[#This Row],[Customer name]], Customer_master[Customer name], Customer_master[EOM or Net], 0)</f>
        <v>0</v>
      </c>
      <c r="K352" s="31">
        <f>_xlfn.XLOOKUP(SO[[#This Row],[Customer name]], Customer_master[Customer name], Customer_master[Terms days], 0)</f>
        <v>0</v>
      </c>
      <c r="L3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2" s="4"/>
      <c r="N352" s="46">
        <f>IF(SO[[#This Row],[Collection date - override (dd/mm/yyyy)]] &lt;&gt; "", SO[[#This Row],[Collection date - override (dd/mm/yyyy)]], SO[[#This Row],[Due date (dd/mm/yyyy)]])</f>
        <v>0</v>
      </c>
      <c r="O352" s="46">
        <f t="shared" si="5"/>
        <v>52</v>
      </c>
    </row>
    <row r="353" spans="3:15" x14ac:dyDescent="0.25">
      <c r="C353" s="24"/>
      <c r="D353" s="20"/>
      <c r="E353" s="4"/>
      <c r="F353" s="37"/>
      <c r="G353" s="24"/>
      <c r="H353" s="51">
        <f>Assumptions!$D$15</f>
        <v>0.1</v>
      </c>
      <c r="I353" s="45">
        <f>IF(SO[[#This Row],[GST applies?]] = "Yes", (SO[[#This Row],[Value inc. GST]] / 1 + SO[[#This Row],[GST %]]) * SO[[#This Row],[GST %]], 0)</f>
        <v>0</v>
      </c>
      <c r="J353" s="31">
        <f>_xlfn.XLOOKUP(SO[[#This Row],[Customer name]], Customer_master[Customer name], Customer_master[EOM or Net], 0)</f>
        <v>0</v>
      </c>
      <c r="K353" s="31">
        <f>_xlfn.XLOOKUP(SO[[#This Row],[Customer name]], Customer_master[Customer name], Customer_master[Terms days], 0)</f>
        <v>0</v>
      </c>
      <c r="L3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3" s="4"/>
      <c r="N353" s="46">
        <f>IF(SO[[#This Row],[Collection date - override (dd/mm/yyyy)]] &lt;&gt; "", SO[[#This Row],[Collection date - override (dd/mm/yyyy)]], SO[[#This Row],[Due date (dd/mm/yyyy)]])</f>
        <v>0</v>
      </c>
      <c r="O353" s="46">
        <f t="shared" si="5"/>
        <v>52</v>
      </c>
    </row>
    <row r="354" spans="3:15" x14ac:dyDescent="0.25">
      <c r="C354" s="24"/>
      <c r="D354" s="20"/>
      <c r="E354" s="4"/>
      <c r="F354" s="37"/>
      <c r="G354" s="24"/>
      <c r="H354" s="51">
        <f>Assumptions!$D$15</f>
        <v>0.1</v>
      </c>
      <c r="I354" s="45">
        <f>IF(SO[[#This Row],[GST applies?]] = "Yes", (SO[[#This Row],[Value inc. GST]] / 1 + SO[[#This Row],[GST %]]) * SO[[#This Row],[GST %]], 0)</f>
        <v>0</v>
      </c>
      <c r="J354" s="31">
        <f>_xlfn.XLOOKUP(SO[[#This Row],[Customer name]], Customer_master[Customer name], Customer_master[EOM or Net], 0)</f>
        <v>0</v>
      </c>
      <c r="K354" s="31">
        <f>_xlfn.XLOOKUP(SO[[#This Row],[Customer name]], Customer_master[Customer name], Customer_master[Terms days], 0)</f>
        <v>0</v>
      </c>
      <c r="L3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4" s="4"/>
      <c r="N354" s="46">
        <f>IF(SO[[#This Row],[Collection date - override (dd/mm/yyyy)]] &lt;&gt; "", SO[[#This Row],[Collection date - override (dd/mm/yyyy)]], SO[[#This Row],[Due date (dd/mm/yyyy)]])</f>
        <v>0</v>
      </c>
      <c r="O354" s="46">
        <f t="shared" si="5"/>
        <v>52</v>
      </c>
    </row>
    <row r="355" spans="3:15" x14ac:dyDescent="0.25">
      <c r="C355" s="24"/>
      <c r="D355" s="20"/>
      <c r="E355" s="4"/>
      <c r="F355" s="37"/>
      <c r="G355" s="24"/>
      <c r="H355" s="51">
        <f>Assumptions!$D$15</f>
        <v>0.1</v>
      </c>
      <c r="I355" s="45">
        <f>IF(SO[[#This Row],[GST applies?]] = "Yes", (SO[[#This Row],[Value inc. GST]] / 1 + SO[[#This Row],[GST %]]) * SO[[#This Row],[GST %]], 0)</f>
        <v>0</v>
      </c>
      <c r="J355" s="31">
        <f>_xlfn.XLOOKUP(SO[[#This Row],[Customer name]], Customer_master[Customer name], Customer_master[EOM or Net], 0)</f>
        <v>0</v>
      </c>
      <c r="K355" s="31">
        <f>_xlfn.XLOOKUP(SO[[#This Row],[Customer name]], Customer_master[Customer name], Customer_master[Terms days], 0)</f>
        <v>0</v>
      </c>
      <c r="L3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5" s="4"/>
      <c r="N355" s="46">
        <f>IF(SO[[#This Row],[Collection date - override (dd/mm/yyyy)]] &lt;&gt; "", SO[[#This Row],[Collection date - override (dd/mm/yyyy)]], SO[[#This Row],[Due date (dd/mm/yyyy)]])</f>
        <v>0</v>
      </c>
      <c r="O355" s="46">
        <f t="shared" si="5"/>
        <v>52</v>
      </c>
    </row>
    <row r="356" spans="3:15" x14ac:dyDescent="0.25">
      <c r="C356" s="24"/>
      <c r="D356" s="20"/>
      <c r="E356" s="4"/>
      <c r="F356" s="37"/>
      <c r="G356" s="24"/>
      <c r="H356" s="51">
        <f>Assumptions!$D$15</f>
        <v>0.1</v>
      </c>
      <c r="I356" s="45">
        <f>IF(SO[[#This Row],[GST applies?]] = "Yes", (SO[[#This Row],[Value inc. GST]] / 1 + SO[[#This Row],[GST %]]) * SO[[#This Row],[GST %]], 0)</f>
        <v>0</v>
      </c>
      <c r="J356" s="31">
        <f>_xlfn.XLOOKUP(SO[[#This Row],[Customer name]], Customer_master[Customer name], Customer_master[EOM or Net], 0)</f>
        <v>0</v>
      </c>
      <c r="K356" s="31">
        <f>_xlfn.XLOOKUP(SO[[#This Row],[Customer name]], Customer_master[Customer name], Customer_master[Terms days], 0)</f>
        <v>0</v>
      </c>
      <c r="L3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6" s="4"/>
      <c r="N356" s="46">
        <f>IF(SO[[#This Row],[Collection date - override (dd/mm/yyyy)]] &lt;&gt; "", SO[[#This Row],[Collection date - override (dd/mm/yyyy)]], SO[[#This Row],[Due date (dd/mm/yyyy)]])</f>
        <v>0</v>
      </c>
      <c r="O356" s="46">
        <f t="shared" si="5"/>
        <v>52</v>
      </c>
    </row>
    <row r="357" spans="3:15" x14ac:dyDescent="0.25">
      <c r="C357" s="24"/>
      <c r="D357" s="20"/>
      <c r="E357" s="4"/>
      <c r="F357" s="37"/>
      <c r="G357" s="24"/>
      <c r="H357" s="51">
        <f>Assumptions!$D$15</f>
        <v>0.1</v>
      </c>
      <c r="I357" s="45">
        <f>IF(SO[[#This Row],[GST applies?]] = "Yes", (SO[[#This Row],[Value inc. GST]] / 1 + SO[[#This Row],[GST %]]) * SO[[#This Row],[GST %]], 0)</f>
        <v>0</v>
      </c>
      <c r="J357" s="31">
        <f>_xlfn.XLOOKUP(SO[[#This Row],[Customer name]], Customer_master[Customer name], Customer_master[EOM or Net], 0)</f>
        <v>0</v>
      </c>
      <c r="K357" s="31">
        <f>_xlfn.XLOOKUP(SO[[#This Row],[Customer name]], Customer_master[Customer name], Customer_master[Terms days], 0)</f>
        <v>0</v>
      </c>
      <c r="L3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7" s="4"/>
      <c r="N357" s="46">
        <f>IF(SO[[#This Row],[Collection date - override (dd/mm/yyyy)]] &lt;&gt; "", SO[[#This Row],[Collection date - override (dd/mm/yyyy)]], SO[[#This Row],[Due date (dd/mm/yyyy)]])</f>
        <v>0</v>
      </c>
      <c r="O357" s="46">
        <f t="shared" si="5"/>
        <v>52</v>
      </c>
    </row>
    <row r="358" spans="3:15" x14ac:dyDescent="0.25">
      <c r="C358" s="24"/>
      <c r="D358" s="20"/>
      <c r="E358" s="4"/>
      <c r="F358" s="37"/>
      <c r="G358" s="24"/>
      <c r="H358" s="51">
        <f>Assumptions!$D$15</f>
        <v>0.1</v>
      </c>
      <c r="I358" s="45">
        <f>IF(SO[[#This Row],[GST applies?]] = "Yes", (SO[[#This Row],[Value inc. GST]] / 1 + SO[[#This Row],[GST %]]) * SO[[#This Row],[GST %]], 0)</f>
        <v>0</v>
      </c>
      <c r="J358" s="31">
        <f>_xlfn.XLOOKUP(SO[[#This Row],[Customer name]], Customer_master[Customer name], Customer_master[EOM or Net], 0)</f>
        <v>0</v>
      </c>
      <c r="K358" s="31">
        <f>_xlfn.XLOOKUP(SO[[#This Row],[Customer name]], Customer_master[Customer name], Customer_master[Terms days], 0)</f>
        <v>0</v>
      </c>
      <c r="L3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8" s="4"/>
      <c r="N358" s="46">
        <f>IF(SO[[#This Row],[Collection date - override (dd/mm/yyyy)]] &lt;&gt; "", SO[[#This Row],[Collection date - override (dd/mm/yyyy)]], SO[[#This Row],[Due date (dd/mm/yyyy)]])</f>
        <v>0</v>
      </c>
      <c r="O358" s="46">
        <f t="shared" si="5"/>
        <v>52</v>
      </c>
    </row>
    <row r="359" spans="3:15" x14ac:dyDescent="0.25">
      <c r="C359" s="24"/>
      <c r="D359" s="20"/>
      <c r="E359" s="4"/>
      <c r="F359" s="37"/>
      <c r="G359" s="24"/>
      <c r="H359" s="51">
        <f>Assumptions!$D$15</f>
        <v>0.1</v>
      </c>
      <c r="I359" s="45">
        <f>IF(SO[[#This Row],[GST applies?]] = "Yes", (SO[[#This Row],[Value inc. GST]] / 1 + SO[[#This Row],[GST %]]) * SO[[#This Row],[GST %]], 0)</f>
        <v>0</v>
      </c>
      <c r="J359" s="31">
        <f>_xlfn.XLOOKUP(SO[[#This Row],[Customer name]], Customer_master[Customer name], Customer_master[EOM or Net], 0)</f>
        <v>0</v>
      </c>
      <c r="K359" s="31">
        <f>_xlfn.XLOOKUP(SO[[#This Row],[Customer name]], Customer_master[Customer name], Customer_master[Terms days], 0)</f>
        <v>0</v>
      </c>
      <c r="L3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9" s="4"/>
      <c r="N359" s="46">
        <f>IF(SO[[#This Row],[Collection date - override (dd/mm/yyyy)]] &lt;&gt; "", SO[[#This Row],[Collection date - override (dd/mm/yyyy)]], SO[[#This Row],[Due date (dd/mm/yyyy)]])</f>
        <v>0</v>
      </c>
      <c r="O359" s="46">
        <f t="shared" si="5"/>
        <v>52</v>
      </c>
    </row>
    <row r="360" spans="3:15" x14ac:dyDescent="0.25">
      <c r="C360" s="24"/>
      <c r="D360" s="20"/>
      <c r="E360" s="4"/>
      <c r="F360" s="37"/>
      <c r="G360" s="24"/>
      <c r="H360" s="51">
        <f>Assumptions!$D$15</f>
        <v>0.1</v>
      </c>
      <c r="I360" s="45">
        <f>IF(SO[[#This Row],[GST applies?]] = "Yes", (SO[[#This Row],[Value inc. GST]] / 1 + SO[[#This Row],[GST %]]) * SO[[#This Row],[GST %]], 0)</f>
        <v>0</v>
      </c>
      <c r="J360" s="31">
        <f>_xlfn.XLOOKUP(SO[[#This Row],[Customer name]], Customer_master[Customer name], Customer_master[EOM or Net], 0)</f>
        <v>0</v>
      </c>
      <c r="K360" s="31">
        <f>_xlfn.XLOOKUP(SO[[#This Row],[Customer name]], Customer_master[Customer name], Customer_master[Terms days], 0)</f>
        <v>0</v>
      </c>
      <c r="L3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0" s="4"/>
      <c r="N360" s="46">
        <f>IF(SO[[#This Row],[Collection date - override (dd/mm/yyyy)]] &lt;&gt; "", SO[[#This Row],[Collection date - override (dd/mm/yyyy)]], SO[[#This Row],[Due date (dd/mm/yyyy)]])</f>
        <v>0</v>
      </c>
      <c r="O360" s="46">
        <f t="shared" si="5"/>
        <v>52</v>
      </c>
    </row>
    <row r="361" spans="3:15" x14ac:dyDescent="0.25">
      <c r="C361" s="24"/>
      <c r="D361" s="20"/>
      <c r="E361" s="4"/>
      <c r="F361" s="37"/>
      <c r="G361" s="24"/>
      <c r="H361" s="51">
        <f>Assumptions!$D$15</f>
        <v>0.1</v>
      </c>
      <c r="I361" s="45">
        <f>IF(SO[[#This Row],[GST applies?]] = "Yes", (SO[[#This Row],[Value inc. GST]] / 1 + SO[[#This Row],[GST %]]) * SO[[#This Row],[GST %]], 0)</f>
        <v>0</v>
      </c>
      <c r="J361" s="31">
        <f>_xlfn.XLOOKUP(SO[[#This Row],[Customer name]], Customer_master[Customer name], Customer_master[EOM or Net], 0)</f>
        <v>0</v>
      </c>
      <c r="K361" s="31">
        <f>_xlfn.XLOOKUP(SO[[#This Row],[Customer name]], Customer_master[Customer name], Customer_master[Terms days], 0)</f>
        <v>0</v>
      </c>
      <c r="L3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1" s="4"/>
      <c r="N361" s="46">
        <f>IF(SO[[#This Row],[Collection date - override (dd/mm/yyyy)]] &lt;&gt; "", SO[[#This Row],[Collection date - override (dd/mm/yyyy)]], SO[[#This Row],[Due date (dd/mm/yyyy)]])</f>
        <v>0</v>
      </c>
      <c r="O361" s="46">
        <f t="shared" si="5"/>
        <v>52</v>
      </c>
    </row>
    <row r="362" spans="3:15" x14ac:dyDescent="0.25">
      <c r="C362" s="24"/>
      <c r="D362" s="20"/>
      <c r="E362" s="4"/>
      <c r="F362" s="37"/>
      <c r="G362" s="24"/>
      <c r="H362" s="51">
        <f>Assumptions!$D$15</f>
        <v>0.1</v>
      </c>
      <c r="I362" s="45">
        <f>IF(SO[[#This Row],[GST applies?]] = "Yes", (SO[[#This Row],[Value inc. GST]] / 1 + SO[[#This Row],[GST %]]) * SO[[#This Row],[GST %]], 0)</f>
        <v>0</v>
      </c>
      <c r="J362" s="31">
        <f>_xlfn.XLOOKUP(SO[[#This Row],[Customer name]], Customer_master[Customer name], Customer_master[EOM or Net], 0)</f>
        <v>0</v>
      </c>
      <c r="K362" s="31">
        <f>_xlfn.XLOOKUP(SO[[#This Row],[Customer name]], Customer_master[Customer name], Customer_master[Terms days], 0)</f>
        <v>0</v>
      </c>
      <c r="L3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2" s="4"/>
      <c r="N362" s="46">
        <f>IF(SO[[#This Row],[Collection date - override (dd/mm/yyyy)]] &lt;&gt; "", SO[[#This Row],[Collection date - override (dd/mm/yyyy)]], SO[[#This Row],[Due date (dd/mm/yyyy)]])</f>
        <v>0</v>
      </c>
      <c r="O362" s="46">
        <f t="shared" si="5"/>
        <v>52</v>
      </c>
    </row>
    <row r="363" spans="3:15" x14ac:dyDescent="0.25">
      <c r="C363" s="24"/>
      <c r="D363" s="20"/>
      <c r="E363" s="4"/>
      <c r="F363" s="37"/>
      <c r="G363" s="24"/>
      <c r="H363" s="51">
        <f>Assumptions!$D$15</f>
        <v>0.1</v>
      </c>
      <c r="I363" s="45">
        <f>IF(SO[[#This Row],[GST applies?]] = "Yes", (SO[[#This Row],[Value inc. GST]] / 1 + SO[[#This Row],[GST %]]) * SO[[#This Row],[GST %]], 0)</f>
        <v>0</v>
      </c>
      <c r="J363" s="31">
        <f>_xlfn.XLOOKUP(SO[[#This Row],[Customer name]], Customer_master[Customer name], Customer_master[EOM or Net], 0)</f>
        <v>0</v>
      </c>
      <c r="K363" s="31">
        <f>_xlfn.XLOOKUP(SO[[#This Row],[Customer name]], Customer_master[Customer name], Customer_master[Terms days], 0)</f>
        <v>0</v>
      </c>
      <c r="L3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3" s="4"/>
      <c r="N363" s="46">
        <f>IF(SO[[#This Row],[Collection date - override (dd/mm/yyyy)]] &lt;&gt; "", SO[[#This Row],[Collection date - override (dd/mm/yyyy)]], SO[[#This Row],[Due date (dd/mm/yyyy)]])</f>
        <v>0</v>
      </c>
      <c r="O363" s="46">
        <f t="shared" si="5"/>
        <v>52</v>
      </c>
    </row>
    <row r="364" spans="3:15" x14ac:dyDescent="0.25">
      <c r="C364" s="24"/>
      <c r="D364" s="20"/>
      <c r="E364" s="4"/>
      <c r="F364" s="37"/>
      <c r="G364" s="24"/>
      <c r="H364" s="51">
        <f>Assumptions!$D$15</f>
        <v>0.1</v>
      </c>
      <c r="I364" s="45">
        <f>IF(SO[[#This Row],[GST applies?]] = "Yes", (SO[[#This Row],[Value inc. GST]] / 1 + SO[[#This Row],[GST %]]) * SO[[#This Row],[GST %]], 0)</f>
        <v>0</v>
      </c>
      <c r="J364" s="31">
        <f>_xlfn.XLOOKUP(SO[[#This Row],[Customer name]], Customer_master[Customer name], Customer_master[EOM or Net], 0)</f>
        <v>0</v>
      </c>
      <c r="K364" s="31">
        <f>_xlfn.XLOOKUP(SO[[#This Row],[Customer name]], Customer_master[Customer name], Customer_master[Terms days], 0)</f>
        <v>0</v>
      </c>
      <c r="L3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4" s="4"/>
      <c r="N364" s="46">
        <f>IF(SO[[#This Row],[Collection date - override (dd/mm/yyyy)]] &lt;&gt; "", SO[[#This Row],[Collection date - override (dd/mm/yyyy)]], SO[[#This Row],[Due date (dd/mm/yyyy)]])</f>
        <v>0</v>
      </c>
      <c r="O364" s="46">
        <f t="shared" si="5"/>
        <v>52</v>
      </c>
    </row>
    <row r="365" spans="3:15" x14ac:dyDescent="0.25">
      <c r="C365" s="24"/>
      <c r="D365" s="20"/>
      <c r="E365" s="4"/>
      <c r="F365" s="37"/>
      <c r="G365" s="24"/>
      <c r="H365" s="51">
        <f>Assumptions!$D$15</f>
        <v>0.1</v>
      </c>
      <c r="I365" s="45">
        <f>IF(SO[[#This Row],[GST applies?]] = "Yes", (SO[[#This Row],[Value inc. GST]] / 1 + SO[[#This Row],[GST %]]) * SO[[#This Row],[GST %]], 0)</f>
        <v>0</v>
      </c>
      <c r="J365" s="31">
        <f>_xlfn.XLOOKUP(SO[[#This Row],[Customer name]], Customer_master[Customer name], Customer_master[EOM or Net], 0)</f>
        <v>0</v>
      </c>
      <c r="K365" s="31">
        <f>_xlfn.XLOOKUP(SO[[#This Row],[Customer name]], Customer_master[Customer name], Customer_master[Terms days], 0)</f>
        <v>0</v>
      </c>
      <c r="L3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5" s="4"/>
      <c r="N365" s="46">
        <f>IF(SO[[#This Row],[Collection date - override (dd/mm/yyyy)]] &lt;&gt; "", SO[[#This Row],[Collection date - override (dd/mm/yyyy)]], SO[[#This Row],[Due date (dd/mm/yyyy)]])</f>
        <v>0</v>
      </c>
      <c r="O365" s="46">
        <f t="shared" si="5"/>
        <v>52</v>
      </c>
    </row>
    <row r="366" spans="3:15" x14ac:dyDescent="0.25">
      <c r="C366" s="24"/>
      <c r="D366" s="20"/>
      <c r="E366" s="4"/>
      <c r="F366" s="37"/>
      <c r="G366" s="24"/>
      <c r="H366" s="51">
        <f>Assumptions!$D$15</f>
        <v>0.1</v>
      </c>
      <c r="I366" s="45">
        <f>IF(SO[[#This Row],[GST applies?]] = "Yes", (SO[[#This Row],[Value inc. GST]] / 1 + SO[[#This Row],[GST %]]) * SO[[#This Row],[GST %]], 0)</f>
        <v>0</v>
      </c>
      <c r="J366" s="31">
        <f>_xlfn.XLOOKUP(SO[[#This Row],[Customer name]], Customer_master[Customer name], Customer_master[EOM or Net], 0)</f>
        <v>0</v>
      </c>
      <c r="K366" s="31">
        <f>_xlfn.XLOOKUP(SO[[#This Row],[Customer name]], Customer_master[Customer name], Customer_master[Terms days], 0)</f>
        <v>0</v>
      </c>
      <c r="L3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6" s="4"/>
      <c r="N366" s="46">
        <f>IF(SO[[#This Row],[Collection date - override (dd/mm/yyyy)]] &lt;&gt; "", SO[[#This Row],[Collection date - override (dd/mm/yyyy)]], SO[[#This Row],[Due date (dd/mm/yyyy)]])</f>
        <v>0</v>
      </c>
      <c r="O366" s="46">
        <f t="shared" si="5"/>
        <v>52</v>
      </c>
    </row>
    <row r="367" spans="3:15" x14ac:dyDescent="0.25">
      <c r="C367" s="24"/>
      <c r="D367" s="20"/>
      <c r="E367" s="4"/>
      <c r="F367" s="37"/>
      <c r="G367" s="24"/>
      <c r="H367" s="51">
        <f>Assumptions!$D$15</f>
        <v>0.1</v>
      </c>
      <c r="I367" s="45">
        <f>IF(SO[[#This Row],[GST applies?]] = "Yes", (SO[[#This Row],[Value inc. GST]] / 1 + SO[[#This Row],[GST %]]) * SO[[#This Row],[GST %]], 0)</f>
        <v>0</v>
      </c>
      <c r="J367" s="31">
        <f>_xlfn.XLOOKUP(SO[[#This Row],[Customer name]], Customer_master[Customer name], Customer_master[EOM or Net], 0)</f>
        <v>0</v>
      </c>
      <c r="K367" s="31">
        <f>_xlfn.XLOOKUP(SO[[#This Row],[Customer name]], Customer_master[Customer name], Customer_master[Terms days], 0)</f>
        <v>0</v>
      </c>
      <c r="L3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7" s="4"/>
      <c r="N367" s="46">
        <f>IF(SO[[#This Row],[Collection date - override (dd/mm/yyyy)]] &lt;&gt; "", SO[[#This Row],[Collection date - override (dd/mm/yyyy)]], SO[[#This Row],[Due date (dd/mm/yyyy)]])</f>
        <v>0</v>
      </c>
      <c r="O367" s="46">
        <f t="shared" si="5"/>
        <v>52</v>
      </c>
    </row>
    <row r="368" spans="3:15" x14ac:dyDescent="0.25">
      <c r="C368" s="24"/>
      <c r="D368" s="20"/>
      <c r="E368" s="4"/>
      <c r="F368" s="37"/>
      <c r="G368" s="24"/>
      <c r="H368" s="51">
        <f>Assumptions!$D$15</f>
        <v>0.1</v>
      </c>
      <c r="I368" s="45">
        <f>IF(SO[[#This Row],[GST applies?]] = "Yes", (SO[[#This Row],[Value inc. GST]] / 1 + SO[[#This Row],[GST %]]) * SO[[#This Row],[GST %]], 0)</f>
        <v>0</v>
      </c>
      <c r="J368" s="31">
        <f>_xlfn.XLOOKUP(SO[[#This Row],[Customer name]], Customer_master[Customer name], Customer_master[EOM or Net], 0)</f>
        <v>0</v>
      </c>
      <c r="K368" s="31">
        <f>_xlfn.XLOOKUP(SO[[#This Row],[Customer name]], Customer_master[Customer name], Customer_master[Terms days], 0)</f>
        <v>0</v>
      </c>
      <c r="L3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8" s="4"/>
      <c r="N368" s="46">
        <f>IF(SO[[#This Row],[Collection date - override (dd/mm/yyyy)]] &lt;&gt; "", SO[[#This Row],[Collection date - override (dd/mm/yyyy)]], SO[[#This Row],[Due date (dd/mm/yyyy)]])</f>
        <v>0</v>
      </c>
      <c r="O368" s="46">
        <f t="shared" si="5"/>
        <v>52</v>
      </c>
    </row>
    <row r="369" spans="3:15" x14ac:dyDescent="0.25">
      <c r="C369" s="24"/>
      <c r="D369" s="20"/>
      <c r="E369" s="4"/>
      <c r="F369" s="37"/>
      <c r="G369" s="24"/>
      <c r="H369" s="51">
        <f>Assumptions!$D$15</f>
        <v>0.1</v>
      </c>
      <c r="I369" s="45">
        <f>IF(SO[[#This Row],[GST applies?]] = "Yes", (SO[[#This Row],[Value inc. GST]] / 1 + SO[[#This Row],[GST %]]) * SO[[#This Row],[GST %]], 0)</f>
        <v>0</v>
      </c>
      <c r="J369" s="31">
        <f>_xlfn.XLOOKUP(SO[[#This Row],[Customer name]], Customer_master[Customer name], Customer_master[EOM or Net], 0)</f>
        <v>0</v>
      </c>
      <c r="K369" s="31">
        <f>_xlfn.XLOOKUP(SO[[#This Row],[Customer name]], Customer_master[Customer name], Customer_master[Terms days], 0)</f>
        <v>0</v>
      </c>
      <c r="L3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9" s="4"/>
      <c r="N369" s="46">
        <f>IF(SO[[#This Row],[Collection date - override (dd/mm/yyyy)]] &lt;&gt; "", SO[[#This Row],[Collection date - override (dd/mm/yyyy)]], SO[[#This Row],[Due date (dd/mm/yyyy)]])</f>
        <v>0</v>
      </c>
      <c r="O369" s="46">
        <f t="shared" si="5"/>
        <v>52</v>
      </c>
    </row>
    <row r="370" spans="3:15" x14ac:dyDescent="0.25">
      <c r="C370" s="24"/>
      <c r="D370" s="20"/>
      <c r="E370" s="4"/>
      <c r="F370" s="37"/>
      <c r="G370" s="24"/>
      <c r="H370" s="51">
        <f>Assumptions!$D$15</f>
        <v>0.1</v>
      </c>
      <c r="I370" s="45">
        <f>IF(SO[[#This Row],[GST applies?]] = "Yes", (SO[[#This Row],[Value inc. GST]] / 1 + SO[[#This Row],[GST %]]) * SO[[#This Row],[GST %]], 0)</f>
        <v>0</v>
      </c>
      <c r="J370" s="31">
        <f>_xlfn.XLOOKUP(SO[[#This Row],[Customer name]], Customer_master[Customer name], Customer_master[EOM or Net], 0)</f>
        <v>0</v>
      </c>
      <c r="K370" s="31">
        <f>_xlfn.XLOOKUP(SO[[#This Row],[Customer name]], Customer_master[Customer name], Customer_master[Terms days], 0)</f>
        <v>0</v>
      </c>
      <c r="L3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0" s="4"/>
      <c r="N370" s="46">
        <f>IF(SO[[#This Row],[Collection date - override (dd/mm/yyyy)]] &lt;&gt; "", SO[[#This Row],[Collection date - override (dd/mm/yyyy)]], SO[[#This Row],[Due date (dd/mm/yyyy)]])</f>
        <v>0</v>
      </c>
      <c r="O370" s="46">
        <f t="shared" si="5"/>
        <v>52</v>
      </c>
    </row>
    <row r="371" spans="3:15" x14ac:dyDescent="0.25">
      <c r="C371" s="24"/>
      <c r="D371" s="20"/>
      <c r="E371" s="4"/>
      <c r="F371" s="37"/>
      <c r="G371" s="24"/>
      <c r="H371" s="51">
        <f>Assumptions!$D$15</f>
        <v>0.1</v>
      </c>
      <c r="I371" s="45">
        <f>IF(SO[[#This Row],[GST applies?]] = "Yes", (SO[[#This Row],[Value inc. GST]] / 1 + SO[[#This Row],[GST %]]) * SO[[#This Row],[GST %]], 0)</f>
        <v>0</v>
      </c>
      <c r="J371" s="31">
        <f>_xlfn.XLOOKUP(SO[[#This Row],[Customer name]], Customer_master[Customer name], Customer_master[EOM or Net], 0)</f>
        <v>0</v>
      </c>
      <c r="K371" s="31">
        <f>_xlfn.XLOOKUP(SO[[#This Row],[Customer name]], Customer_master[Customer name], Customer_master[Terms days], 0)</f>
        <v>0</v>
      </c>
      <c r="L3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1" s="4"/>
      <c r="N371" s="46">
        <f>IF(SO[[#This Row],[Collection date - override (dd/mm/yyyy)]] &lt;&gt; "", SO[[#This Row],[Collection date - override (dd/mm/yyyy)]], SO[[#This Row],[Due date (dd/mm/yyyy)]])</f>
        <v>0</v>
      </c>
      <c r="O371" s="46">
        <f t="shared" si="5"/>
        <v>52</v>
      </c>
    </row>
    <row r="372" spans="3:15" x14ac:dyDescent="0.25">
      <c r="C372" s="24"/>
      <c r="D372" s="20"/>
      <c r="E372" s="4"/>
      <c r="F372" s="37"/>
      <c r="G372" s="24"/>
      <c r="H372" s="51">
        <f>Assumptions!$D$15</f>
        <v>0.1</v>
      </c>
      <c r="I372" s="45">
        <f>IF(SO[[#This Row],[GST applies?]] = "Yes", (SO[[#This Row],[Value inc. GST]] / 1 + SO[[#This Row],[GST %]]) * SO[[#This Row],[GST %]], 0)</f>
        <v>0</v>
      </c>
      <c r="J372" s="31">
        <f>_xlfn.XLOOKUP(SO[[#This Row],[Customer name]], Customer_master[Customer name], Customer_master[EOM or Net], 0)</f>
        <v>0</v>
      </c>
      <c r="K372" s="31">
        <f>_xlfn.XLOOKUP(SO[[#This Row],[Customer name]], Customer_master[Customer name], Customer_master[Terms days], 0)</f>
        <v>0</v>
      </c>
      <c r="L3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2" s="4"/>
      <c r="N372" s="46">
        <f>IF(SO[[#This Row],[Collection date - override (dd/mm/yyyy)]] &lt;&gt; "", SO[[#This Row],[Collection date - override (dd/mm/yyyy)]], SO[[#This Row],[Due date (dd/mm/yyyy)]])</f>
        <v>0</v>
      </c>
      <c r="O372" s="46">
        <f t="shared" si="5"/>
        <v>52</v>
      </c>
    </row>
    <row r="373" spans="3:15" x14ac:dyDescent="0.25">
      <c r="C373" s="24"/>
      <c r="D373" s="20"/>
      <c r="E373" s="4"/>
      <c r="F373" s="37"/>
      <c r="G373" s="24"/>
      <c r="H373" s="51">
        <f>Assumptions!$D$15</f>
        <v>0.1</v>
      </c>
      <c r="I373" s="45">
        <f>IF(SO[[#This Row],[GST applies?]] = "Yes", (SO[[#This Row],[Value inc. GST]] / 1 + SO[[#This Row],[GST %]]) * SO[[#This Row],[GST %]], 0)</f>
        <v>0</v>
      </c>
      <c r="J373" s="31">
        <f>_xlfn.XLOOKUP(SO[[#This Row],[Customer name]], Customer_master[Customer name], Customer_master[EOM or Net], 0)</f>
        <v>0</v>
      </c>
      <c r="K373" s="31">
        <f>_xlfn.XLOOKUP(SO[[#This Row],[Customer name]], Customer_master[Customer name], Customer_master[Terms days], 0)</f>
        <v>0</v>
      </c>
      <c r="L3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3" s="4"/>
      <c r="N373" s="46">
        <f>IF(SO[[#This Row],[Collection date - override (dd/mm/yyyy)]] &lt;&gt; "", SO[[#This Row],[Collection date - override (dd/mm/yyyy)]], SO[[#This Row],[Due date (dd/mm/yyyy)]])</f>
        <v>0</v>
      </c>
      <c r="O373" s="46">
        <f t="shared" si="5"/>
        <v>52</v>
      </c>
    </row>
    <row r="374" spans="3:15" x14ac:dyDescent="0.25">
      <c r="C374" s="24"/>
      <c r="D374" s="20"/>
      <c r="E374" s="4"/>
      <c r="F374" s="37"/>
      <c r="G374" s="24"/>
      <c r="H374" s="51">
        <f>Assumptions!$D$15</f>
        <v>0.1</v>
      </c>
      <c r="I374" s="45">
        <f>IF(SO[[#This Row],[GST applies?]] = "Yes", (SO[[#This Row],[Value inc. GST]] / 1 + SO[[#This Row],[GST %]]) * SO[[#This Row],[GST %]], 0)</f>
        <v>0</v>
      </c>
      <c r="J374" s="31">
        <f>_xlfn.XLOOKUP(SO[[#This Row],[Customer name]], Customer_master[Customer name], Customer_master[EOM or Net], 0)</f>
        <v>0</v>
      </c>
      <c r="K374" s="31">
        <f>_xlfn.XLOOKUP(SO[[#This Row],[Customer name]], Customer_master[Customer name], Customer_master[Terms days], 0)</f>
        <v>0</v>
      </c>
      <c r="L3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4" s="4"/>
      <c r="N374" s="46">
        <f>IF(SO[[#This Row],[Collection date - override (dd/mm/yyyy)]] &lt;&gt; "", SO[[#This Row],[Collection date - override (dd/mm/yyyy)]], SO[[#This Row],[Due date (dd/mm/yyyy)]])</f>
        <v>0</v>
      </c>
      <c r="O374" s="46">
        <f t="shared" si="5"/>
        <v>52</v>
      </c>
    </row>
    <row r="375" spans="3:15" x14ac:dyDescent="0.25">
      <c r="C375" s="24"/>
      <c r="D375" s="20"/>
      <c r="E375" s="4"/>
      <c r="F375" s="37"/>
      <c r="G375" s="24"/>
      <c r="H375" s="51">
        <f>Assumptions!$D$15</f>
        <v>0.1</v>
      </c>
      <c r="I375" s="45">
        <f>IF(SO[[#This Row],[GST applies?]] = "Yes", (SO[[#This Row],[Value inc. GST]] / 1 + SO[[#This Row],[GST %]]) * SO[[#This Row],[GST %]], 0)</f>
        <v>0</v>
      </c>
      <c r="J375" s="31">
        <f>_xlfn.XLOOKUP(SO[[#This Row],[Customer name]], Customer_master[Customer name], Customer_master[EOM or Net], 0)</f>
        <v>0</v>
      </c>
      <c r="K375" s="31">
        <f>_xlfn.XLOOKUP(SO[[#This Row],[Customer name]], Customer_master[Customer name], Customer_master[Terms days], 0)</f>
        <v>0</v>
      </c>
      <c r="L3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5" s="4"/>
      <c r="N375" s="46">
        <f>IF(SO[[#This Row],[Collection date - override (dd/mm/yyyy)]] &lt;&gt; "", SO[[#This Row],[Collection date - override (dd/mm/yyyy)]], SO[[#This Row],[Due date (dd/mm/yyyy)]])</f>
        <v>0</v>
      </c>
      <c r="O375" s="46">
        <f t="shared" si="5"/>
        <v>52</v>
      </c>
    </row>
    <row r="376" spans="3:15" x14ac:dyDescent="0.25">
      <c r="C376" s="24"/>
      <c r="D376" s="20"/>
      <c r="E376" s="4"/>
      <c r="F376" s="37"/>
      <c r="G376" s="24"/>
      <c r="H376" s="51">
        <f>Assumptions!$D$15</f>
        <v>0.1</v>
      </c>
      <c r="I376" s="45">
        <f>IF(SO[[#This Row],[GST applies?]] = "Yes", (SO[[#This Row],[Value inc. GST]] / 1 + SO[[#This Row],[GST %]]) * SO[[#This Row],[GST %]], 0)</f>
        <v>0</v>
      </c>
      <c r="J376" s="31">
        <f>_xlfn.XLOOKUP(SO[[#This Row],[Customer name]], Customer_master[Customer name], Customer_master[EOM or Net], 0)</f>
        <v>0</v>
      </c>
      <c r="K376" s="31">
        <f>_xlfn.XLOOKUP(SO[[#This Row],[Customer name]], Customer_master[Customer name], Customer_master[Terms days], 0)</f>
        <v>0</v>
      </c>
      <c r="L3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6" s="4"/>
      <c r="N376" s="46">
        <f>IF(SO[[#This Row],[Collection date - override (dd/mm/yyyy)]] &lt;&gt; "", SO[[#This Row],[Collection date - override (dd/mm/yyyy)]], SO[[#This Row],[Due date (dd/mm/yyyy)]])</f>
        <v>0</v>
      </c>
      <c r="O376" s="46">
        <f t="shared" si="5"/>
        <v>52</v>
      </c>
    </row>
    <row r="377" spans="3:15" x14ac:dyDescent="0.25">
      <c r="C377" s="24"/>
      <c r="D377" s="20"/>
      <c r="E377" s="4"/>
      <c r="F377" s="37"/>
      <c r="G377" s="24"/>
      <c r="H377" s="51">
        <f>Assumptions!$D$15</f>
        <v>0.1</v>
      </c>
      <c r="I377" s="45">
        <f>IF(SO[[#This Row],[GST applies?]] = "Yes", (SO[[#This Row],[Value inc. GST]] / 1 + SO[[#This Row],[GST %]]) * SO[[#This Row],[GST %]], 0)</f>
        <v>0</v>
      </c>
      <c r="J377" s="31">
        <f>_xlfn.XLOOKUP(SO[[#This Row],[Customer name]], Customer_master[Customer name], Customer_master[EOM or Net], 0)</f>
        <v>0</v>
      </c>
      <c r="K377" s="31">
        <f>_xlfn.XLOOKUP(SO[[#This Row],[Customer name]], Customer_master[Customer name], Customer_master[Terms days], 0)</f>
        <v>0</v>
      </c>
      <c r="L3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7" s="4"/>
      <c r="N377" s="46">
        <f>IF(SO[[#This Row],[Collection date - override (dd/mm/yyyy)]] &lt;&gt; "", SO[[#This Row],[Collection date - override (dd/mm/yyyy)]], SO[[#This Row],[Due date (dd/mm/yyyy)]])</f>
        <v>0</v>
      </c>
      <c r="O377" s="46">
        <f t="shared" si="5"/>
        <v>52</v>
      </c>
    </row>
    <row r="378" spans="3:15" x14ac:dyDescent="0.25">
      <c r="C378" s="24"/>
      <c r="D378" s="20"/>
      <c r="E378" s="4"/>
      <c r="F378" s="37"/>
      <c r="G378" s="24"/>
      <c r="H378" s="51">
        <f>Assumptions!$D$15</f>
        <v>0.1</v>
      </c>
      <c r="I378" s="45">
        <f>IF(SO[[#This Row],[GST applies?]] = "Yes", (SO[[#This Row],[Value inc. GST]] / 1 + SO[[#This Row],[GST %]]) * SO[[#This Row],[GST %]], 0)</f>
        <v>0</v>
      </c>
      <c r="J378" s="31">
        <f>_xlfn.XLOOKUP(SO[[#This Row],[Customer name]], Customer_master[Customer name], Customer_master[EOM or Net], 0)</f>
        <v>0</v>
      </c>
      <c r="K378" s="31">
        <f>_xlfn.XLOOKUP(SO[[#This Row],[Customer name]], Customer_master[Customer name], Customer_master[Terms days], 0)</f>
        <v>0</v>
      </c>
      <c r="L3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8" s="4"/>
      <c r="N378" s="46">
        <f>IF(SO[[#This Row],[Collection date - override (dd/mm/yyyy)]] &lt;&gt; "", SO[[#This Row],[Collection date - override (dd/mm/yyyy)]], SO[[#This Row],[Due date (dd/mm/yyyy)]])</f>
        <v>0</v>
      </c>
      <c r="O378" s="46">
        <f t="shared" si="5"/>
        <v>52</v>
      </c>
    </row>
    <row r="379" spans="3:15" x14ac:dyDescent="0.25">
      <c r="C379" s="24"/>
      <c r="D379" s="20"/>
      <c r="E379" s="4"/>
      <c r="F379" s="37"/>
      <c r="G379" s="24"/>
      <c r="H379" s="51">
        <f>Assumptions!$D$15</f>
        <v>0.1</v>
      </c>
      <c r="I379" s="45">
        <f>IF(SO[[#This Row],[GST applies?]] = "Yes", (SO[[#This Row],[Value inc. GST]] / 1 + SO[[#This Row],[GST %]]) * SO[[#This Row],[GST %]], 0)</f>
        <v>0</v>
      </c>
      <c r="J379" s="31">
        <f>_xlfn.XLOOKUP(SO[[#This Row],[Customer name]], Customer_master[Customer name], Customer_master[EOM or Net], 0)</f>
        <v>0</v>
      </c>
      <c r="K379" s="31">
        <f>_xlfn.XLOOKUP(SO[[#This Row],[Customer name]], Customer_master[Customer name], Customer_master[Terms days], 0)</f>
        <v>0</v>
      </c>
      <c r="L3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9" s="4"/>
      <c r="N379" s="46">
        <f>IF(SO[[#This Row],[Collection date - override (dd/mm/yyyy)]] &lt;&gt; "", SO[[#This Row],[Collection date - override (dd/mm/yyyy)]], SO[[#This Row],[Due date (dd/mm/yyyy)]])</f>
        <v>0</v>
      </c>
      <c r="O379" s="46">
        <f t="shared" si="5"/>
        <v>52</v>
      </c>
    </row>
    <row r="380" spans="3:15" x14ac:dyDescent="0.25">
      <c r="C380" s="24"/>
      <c r="D380" s="20"/>
      <c r="E380" s="4"/>
      <c r="F380" s="37"/>
      <c r="G380" s="24"/>
      <c r="H380" s="51">
        <f>Assumptions!$D$15</f>
        <v>0.1</v>
      </c>
      <c r="I380" s="45">
        <f>IF(SO[[#This Row],[GST applies?]] = "Yes", (SO[[#This Row],[Value inc. GST]] / 1 + SO[[#This Row],[GST %]]) * SO[[#This Row],[GST %]], 0)</f>
        <v>0</v>
      </c>
      <c r="J380" s="31">
        <f>_xlfn.XLOOKUP(SO[[#This Row],[Customer name]], Customer_master[Customer name], Customer_master[EOM or Net], 0)</f>
        <v>0</v>
      </c>
      <c r="K380" s="31">
        <f>_xlfn.XLOOKUP(SO[[#This Row],[Customer name]], Customer_master[Customer name], Customer_master[Terms days], 0)</f>
        <v>0</v>
      </c>
      <c r="L3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0" s="4"/>
      <c r="N380" s="46">
        <f>IF(SO[[#This Row],[Collection date - override (dd/mm/yyyy)]] &lt;&gt; "", SO[[#This Row],[Collection date - override (dd/mm/yyyy)]], SO[[#This Row],[Due date (dd/mm/yyyy)]])</f>
        <v>0</v>
      </c>
      <c r="O380" s="46">
        <f t="shared" si="5"/>
        <v>52</v>
      </c>
    </row>
    <row r="381" spans="3:15" x14ac:dyDescent="0.25">
      <c r="C381" s="24"/>
      <c r="D381" s="20"/>
      <c r="E381" s="4"/>
      <c r="F381" s="37"/>
      <c r="G381" s="24"/>
      <c r="H381" s="51">
        <f>Assumptions!$D$15</f>
        <v>0.1</v>
      </c>
      <c r="I381" s="45">
        <f>IF(SO[[#This Row],[GST applies?]] = "Yes", (SO[[#This Row],[Value inc. GST]] / 1 + SO[[#This Row],[GST %]]) * SO[[#This Row],[GST %]], 0)</f>
        <v>0</v>
      </c>
      <c r="J381" s="31">
        <f>_xlfn.XLOOKUP(SO[[#This Row],[Customer name]], Customer_master[Customer name], Customer_master[EOM or Net], 0)</f>
        <v>0</v>
      </c>
      <c r="K381" s="31">
        <f>_xlfn.XLOOKUP(SO[[#This Row],[Customer name]], Customer_master[Customer name], Customer_master[Terms days], 0)</f>
        <v>0</v>
      </c>
      <c r="L3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1" s="4"/>
      <c r="N381" s="46">
        <f>IF(SO[[#This Row],[Collection date - override (dd/mm/yyyy)]] &lt;&gt; "", SO[[#This Row],[Collection date - override (dd/mm/yyyy)]], SO[[#This Row],[Due date (dd/mm/yyyy)]])</f>
        <v>0</v>
      </c>
      <c r="O381" s="46">
        <f t="shared" si="5"/>
        <v>52</v>
      </c>
    </row>
    <row r="382" spans="3:15" x14ac:dyDescent="0.25">
      <c r="C382" s="24"/>
      <c r="D382" s="20"/>
      <c r="E382" s="4"/>
      <c r="F382" s="37"/>
      <c r="G382" s="24"/>
      <c r="H382" s="51">
        <f>Assumptions!$D$15</f>
        <v>0.1</v>
      </c>
      <c r="I382" s="45">
        <f>IF(SO[[#This Row],[GST applies?]] = "Yes", (SO[[#This Row],[Value inc. GST]] / 1 + SO[[#This Row],[GST %]]) * SO[[#This Row],[GST %]], 0)</f>
        <v>0</v>
      </c>
      <c r="J382" s="31">
        <f>_xlfn.XLOOKUP(SO[[#This Row],[Customer name]], Customer_master[Customer name], Customer_master[EOM or Net], 0)</f>
        <v>0</v>
      </c>
      <c r="K382" s="31">
        <f>_xlfn.XLOOKUP(SO[[#This Row],[Customer name]], Customer_master[Customer name], Customer_master[Terms days], 0)</f>
        <v>0</v>
      </c>
      <c r="L3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2" s="4"/>
      <c r="N382" s="46">
        <f>IF(SO[[#This Row],[Collection date - override (dd/mm/yyyy)]] &lt;&gt; "", SO[[#This Row],[Collection date - override (dd/mm/yyyy)]], SO[[#This Row],[Due date (dd/mm/yyyy)]])</f>
        <v>0</v>
      </c>
      <c r="O382" s="46">
        <f t="shared" si="5"/>
        <v>52</v>
      </c>
    </row>
    <row r="383" spans="3:15" x14ac:dyDescent="0.25">
      <c r="C383" s="24"/>
      <c r="D383" s="20"/>
      <c r="E383" s="4"/>
      <c r="F383" s="37"/>
      <c r="G383" s="24"/>
      <c r="H383" s="51">
        <f>Assumptions!$D$15</f>
        <v>0.1</v>
      </c>
      <c r="I383" s="45">
        <f>IF(SO[[#This Row],[GST applies?]] = "Yes", (SO[[#This Row],[Value inc. GST]] / 1 + SO[[#This Row],[GST %]]) * SO[[#This Row],[GST %]], 0)</f>
        <v>0</v>
      </c>
      <c r="J383" s="31">
        <f>_xlfn.XLOOKUP(SO[[#This Row],[Customer name]], Customer_master[Customer name], Customer_master[EOM or Net], 0)</f>
        <v>0</v>
      </c>
      <c r="K383" s="31">
        <f>_xlfn.XLOOKUP(SO[[#This Row],[Customer name]], Customer_master[Customer name], Customer_master[Terms days], 0)</f>
        <v>0</v>
      </c>
      <c r="L3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3" s="4"/>
      <c r="N383" s="46">
        <f>IF(SO[[#This Row],[Collection date - override (dd/mm/yyyy)]] &lt;&gt; "", SO[[#This Row],[Collection date - override (dd/mm/yyyy)]], SO[[#This Row],[Due date (dd/mm/yyyy)]])</f>
        <v>0</v>
      </c>
      <c r="O383" s="46">
        <f t="shared" si="5"/>
        <v>52</v>
      </c>
    </row>
    <row r="384" spans="3:15" x14ac:dyDescent="0.25">
      <c r="C384" s="24"/>
      <c r="D384" s="20"/>
      <c r="E384" s="4"/>
      <c r="F384" s="37"/>
      <c r="G384" s="24"/>
      <c r="H384" s="51">
        <f>Assumptions!$D$15</f>
        <v>0.1</v>
      </c>
      <c r="I384" s="45">
        <f>IF(SO[[#This Row],[GST applies?]] = "Yes", (SO[[#This Row],[Value inc. GST]] / 1 + SO[[#This Row],[GST %]]) * SO[[#This Row],[GST %]], 0)</f>
        <v>0</v>
      </c>
      <c r="J384" s="31">
        <f>_xlfn.XLOOKUP(SO[[#This Row],[Customer name]], Customer_master[Customer name], Customer_master[EOM or Net], 0)</f>
        <v>0</v>
      </c>
      <c r="K384" s="31">
        <f>_xlfn.XLOOKUP(SO[[#This Row],[Customer name]], Customer_master[Customer name], Customer_master[Terms days], 0)</f>
        <v>0</v>
      </c>
      <c r="L3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4" s="4"/>
      <c r="N384" s="46">
        <f>IF(SO[[#This Row],[Collection date - override (dd/mm/yyyy)]] &lt;&gt; "", SO[[#This Row],[Collection date - override (dd/mm/yyyy)]], SO[[#This Row],[Due date (dd/mm/yyyy)]])</f>
        <v>0</v>
      </c>
      <c r="O384" s="46">
        <f t="shared" si="5"/>
        <v>52</v>
      </c>
    </row>
    <row r="385" spans="3:15" x14ac:dyDescent="0.25">
      <c r="C385" s="24"/>
      <c r="D385" s="20"/>
      <c r="E385" s="4"/>
      <c r="F385" s="37"/>
      <c r="G385" s="24"/>
      <c r="H385" s="51">
        <f>Assumptions!$D$15</f>
        <v>0.1</v>
      </c>
      <c r="I385" s="45">
        <f>IF(SO[[#This Row],[GST applies?]] = "Yes", (SO[[#This Row],[Value inc. GST]] / 1 + SO[[#This Row],[GST %]]) * SO[[#This Row],[GST %]], 0)</f>
        <v>0</v>
      </c>
      <c r="J385" s="31">
        <f>_xlfn.XLOOKUP(SO[[#This Row],[Customer name]], Customer_master[Customer name], Customer_master[EOM or Net], 0)</f>
        <v>0</v>
      </c>
      <c r="K385" s="31">
        <f>_xlfn.XLOOKUP(SO[[#This Row],[Customer name]], Customer_master[Customer name], Customer_master[Terms days], 0)</f>
        <v>0</v>
      </c>
      <c r="L3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5" s="4"/>
      <c r="N385" s="46">
        <f>IF(SO[[#This Row],[Collection date - override (dd/mm/yyyy)]] &lt;&gt; "", SO[[#This Row],[Collection date - override (dd/mm/yyyy)]], SO[[#This Row],[Due date (dd/mm/yyyy)]])</f>
        <v>0</v>
      </c>
      <c r="O385" s="46">
        <f t="shared" si="5"/>
        <v>52</v>
      </c>
    </row>
    <row r="386" spans="3:15" x14ac:dyDescent="0.25">
      <c r="C386" s="24"/>
      <c r="D386" s="20"/>
      <c r="E386" s="4"/>
      <c r="F386" s="37"/>
      <c r="G386" s="24"/>
      <c r="H386" s="51">
        <f>Assumptions!$D$15</f>
        <v>0.1</v>
      </c>
      <c r="I386" s="45">
        <f>IF(SO[[#This Row],[GST applies?]] = "Yes", (SO[[#This Row],[Value inc. GST]] / 1 + SO[[#This Row],[GST %]]) * SO[[#This Row],[GST %]], 0)</f>
        <v>0</v>
      </c>
      <c r="J386" s="31">
        <f>_xlfn.XLOOKUP(SO[[#This Row],[Customer name]], Customer_master[Customer name], Customer_master[EOM or Net], 0)</f>
        <v>0</v>
      </c>
      <c r="K386" s="31">
        <f>_xlfn.XLOOKUP(SO[[#This Row],[Customer name]], Customer_master[Customer name], Customer_master[Terms days], 0)</f>
        <v>0</v>
      </c>
      <c r="L3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6" s="4"/>
      <c r="N386" s="46">
        <f>IF(SO[[#This Row],[Collection date - override (dd/mm/yyyy)]] &lt;&gt; "", SO[[#This Row],[Collection date - override (dd/mm/yyyy)]], SO[[#This Row],[Due date (dd/mm/yyyy)]])</f>
        <v>0</v>
      </c>
      <c r="O386" s="46">
        <f t="shared" si="5"/>
        <v>52</v>
      </c>
    </row>
    <row r="387" spans="3:15" x14ac:dyDescent="0.25">
      <c r="C387" s="24"/>
      <c r="D387" s="20"/>
      <c r="E387" s="4"/>
      <c r="F387" s="37"/>
      <c r="G387" s="24"/>
      <c r="H387" s="51">
        <f>Assumptions!$D$15</f>
        <v>0.1</v>
      </c>
      <c r="I387" s="45">
        <f>IF(SO[[#This Row],[GST applies?]] = "Yes", (SO[[#This Row],[Value inc. GST]] / 1 + SO[[#This Row],[GST %]]) * SO[[#This Row],[GST %]], 0)</f>
        <v>0</v>
      </c>
      <c r="J387" s="31">
        <f>_xlfn.XLOOKUP(SO[[#This Row],[Customer name]], Customer_master[Customer name], Customer_master[EOM or Net], 0)</f>
        <v>0</v>
      </c>
      <c r="K387" s="31">
        <f>_xlfn.XLOOKUP(SO[[#This Row],[Customer name]], Customer_master[Customer name], Customer_master[Terms days], 0)</f>
        <v>0</v>
      </c>
      <c r="L3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7" s="4"/>
      <c r="N387" s="46">
        <f>IF(SO[[#This Row],[Collection date - override (dd/mm/yyyy)]] &lt;&gt; "", SO[[#This Row],[Collection date - override (dd/mm/yyyy)]], SO[[#This Row],[Due date (dd/mm/yyyy)]])</f>
        <v>0</v>
      </c>
      <c r="O387" s="46">
        <f t="shared" si="5"/>
        <v>52</v>
      </c>
    </row>
    <row r="388" spans="3:15" x14ac:dyDescent="0.25">
      <c r="C388" s="24"/>
      <c r="D388" s="20"/>
      <c r="E388" s="4"/>
      <c r="F388" s="37"/>
      <c r="G388" s="24"/>
      <c r="H388" s="51">
        <f>Assumptions!$D$15</f>
        <v>0.1</v>
      </c>
      <c r="I388" s="45">
        <f>IF(SO[[#This Row],[GST applies?]] = "Yes", (SO[[#This Row],[Value inc. GST]] / 1 + SO[[#This Row],[GST %]]) * SO[[#This Row],[GST %]], 0)</f>
        <v>0</v>
      </c>
      <c r="J388" s="31">
        <f>_xlfn.XLOOKUP(SO[[#This Row],[Customer name]], Customer_master[Customer name], Customer_master[EOM or Net], 0)</f>
        <v>0</v>
      </c>
      <c r="K388" s="31">
        <f>_xlfn.XLOOKUP(SO[[#This Row],[Customer name]], Customer_master[Customer name], Customer_master[Terms days], 0)</f>
        <v>0</v>
      </c>
      <c r="L3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8" s="4"/>
      <c r="N388" s="46">
        <f>IF(SO[[#This Row],[Collection date - override (dd/mm/yyyy)]] &lt;&gt; "", SO[[#This Row],[Collection date - override (dd/mm/yyyy)]], SO[[#This Row],[Due date (dd/mm/yyyy)]])</f>
        <v>0</v>
      </c>
      <c r="O388" s="46">
        <f t="shared" si="5"/>
        <v>52</v>
      </c>
    </row>
    <row r="389" spans="3:15" x14ac:dyDescent="0.25">
      <c r="C389" s="24"/>
      <c r="D389" s="20"/>
      <c r="E389" s="4"/>
      <c r="F389" s="37"/>
      <c r="G389" s="24"/>
      <c r="H389" s="51">
        <f>Assumptions!$D$15</f>
        <v>0.1</v>
      </c>
      <c r="I389" s="45">
        <f>IF(SO[[#This Row],[GST applies?]] = "Yes", (SO[[#This Row],[Value inc. GST]] / 1 + SO[[#This Row],[GST %]]) * SO[[#This Row],[GST %]], 0)</f>
        <v>0</v>
      </c>
      <c r="J389" s="31">
        <f>_xlfn.XLOOKUP(SO[[#This Row],[Customer name]], Customer_master[Customer name], Customer_master[EOM or Net], 0)</f>
        <v>0</v>
      </c>
      <c r="K389" s="31">
        <f>_xlfn.XLOOKUP(SO[[#This Row],[Customer name]], Customer_master[Customer name], Customer_master[Terms days], 0)</f>
        <v>0</v>
      </c>
      <c r="L3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9" s="4"/>
      <c r="N389" s="46">
        <f>IF(SO[[#This Row],[Collection date - override (dd/mm/yyyy)]] &lt;&gt; "", SO[[#This Row],[Collection date - override (dd/mm/yyyy)]], SO[[#This Row],[Due date (dd/mm/yyyy)]])</f>
        <v>0</v>
      </c>
      <c r="O389" s="46">
        <f t="shared" si="5"/>
        <v>52</v>
      </c>
    </row>
    <row r="390" spans="3:15" x14ac:dyDescent="0.25">
      <c r="C390" s="24"/>
      <c r="D390" s="20"/>
      <c r="E390" s="4"/>
      <c r="F390" s="37"/>
      <c r="G390" s="24"/>
      <c r="H390" s="51">
        <f>Assumptions!$D$15</f>
        <v>0.1</v>
      </c>
      <c r="I390" s="45">
        <f>IF(SO[[#This Row],[GST applies?]] = "Yes", (SO[[#This Row],[Value inc. GST]] / 1 + SO[[#This Row],[GST %]]) * SO[[#This Row],[GST %]], 0)</f>
        <v>0</v>
      </c>
      <c r="J390" s="31">
        <f>_xlfn.XLOOKUP(SO[[#This Row],[Customer name]], Customer_master[Customer name], Customer_master[EOM or Net], 0)</f>
        <v>0</v>
      </c>
      <c r="K390" s="31">
        <f>_xlfn.XLOOKUP(SO[[#This Row],[Customer name]], Customer_master[Customer name], Customer_master[Terms days], 0)</f>
        <v>0</v>
      </c>
      <c r="L3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0" s="4"/>
      <c r="N390" s="46">
        <f>IF(SO[[#This Row],[Collection date - override (dd/mm/yyyy)]] &lt;&gt; "", SO[[#This Row],[Collection date - override (dd/mm/yyyy)]], SO[[#This Row],[Due date (dd/mm/yyyy)]])</f>
        <v>0</v>
      </c>
      <c r="O390" s="46">
        <f t="shared" si="5"/>
        <v>52</v>
      </c>
    </row>
    <row r="391" spans="3:15" x14ac:dyDescent="0.25">
      <c r="C391" s="24"/>
      <c r="D391" s="20"/>
      <c r="E391" s="4"/>
      <c r="F391" s="37"/>
      <c r="G391" s="24"/>
      <c r="H391" s="51">
        <f>Assumptions!$D$15</f>
        <v>0.1</v>
      </c>
      <c r="I391" s="45">
        <f>IF(SO[[#This Row],[GST applies?]] = "Yes", (SO[[#This Row],[Value inc. GST]] / 1 + SO[[#This Row],[GST %]]) * SO[[#This Row],[GST %]], 0)</f>
        <v>0</v>
      </c>
      <c r="J391" s="31">
        <f>_xlfn.XLOOKUP(SO[[#This Row],[Customer name]], Customer_master[Customer name], Customer_master[EOM or Net], 0)</f>
        <v>0</v>
      </c>
      <c r="K391" s="31">
        <f>_xlfn.XLOOKUP(SO[[#This Row],[Customer name]], Customer_master[Customer name], Customer_master[Terms days], 0)</f>
        <v>0</v>
      </c>
      <c r="L3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1" s="4"/>
      <c r="N391" s="46">
        <f>IF(SO[[#This Row],[Collection date - override (dd/mm/yyyy)]] &lt;&gt; "", SO[[#This Row],[Collection date - override (dd/mm/yyyy)]], SO[[#This Row],[Due date (dd/mm/yyyy)]])</f>
        <v>0</v>
      </c>
      <c r="O391" s="46">
        <f t="shared" si="5"/>
        <v>52</v>
      </c>
    </row>
    <row r="392" spans="3:15" x14ac:dyDescent="0.25">
      <c r="C392" s="24"/>
      <c r="D392" s="20"/>
      <c r="E392" s="4"/>
      <c r="F392" s="37"/>
      <c r="G392" s="24"/>
      <c r="H392" s="51">
        <f>Assumptions!$D$15</f>
        <v>0.1</v>
      </c>
      <c r="I392" s="45">
        <f>IF(SO[[#This Row],[GST applies?]] = "Yes", (SO[[#This Row],[Value inc. GST]] / 1 + SO[[#This Row],[GST %]]) * SO[[#This Row],[GST %]], 0)</f>
        <v>0</v>
      </c>
      <c r="J392" s="31">
        <f>_xlfn.XLOOKUP(SO[[#This Row],[Customer name]], Customer_master[Customer name], Customer_master[EOM or Net], 0)</f>
        <v>0</v>
      </c>
      <c r="K392" s="31">
        <f>_xlfn.XLOOKUP(SO[[#This Row],[Customer name]], Customer_master[Customer name], Customer_master[Terms days], 0)</f>
        <v>0</v>
      </c>
      <c r="L3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2" s="4"/>
      <c r="N392" s="46">
        <f>IF(SO[[#This Row],[Collection date - override (dd/mm/yyyy)]] &lt;&gt; "", SO[[#This Row],[Collection date - override (dd/mm/yyyy)]], SO[[#This Row],[Due date (dd/mm/yyyy)]])</f>
        <v>0</v>
      </c>
      <c r="O392" s="46">
        <f t="shared" si="5"/>
        <v>52</v>
      </c>
    </row>
    <row r="393" spans="3:15" x14ac:dyDescent="0.25">
      <c r="C393" s="24"/>
      <c r="D393" s="20"/>
      <c r="E393" s="4"/>
      <c r="F393" s="37"/>
      <c r="G393" s="24"/>
      <c r="H393" s="51">
        <f>Assumptions!$D$15</f>
        <v>0.1</v>
      </c>
      <c r="I393" s="45">
        <f>IF(SO[[#This Row],[GST applies?]] = "Yes", (SO[[#This Row],[Value inc. GST]] / 1 + SO[[#This Row],[GST %]]) * SO[[#This Row],[GST %]], 0)</f>
        <v>0</v>
      </c>
      <c r="J393" s="31">
        <f>_xlfn.XLOOKUP(SO[[#This Row],[Customer name]], Customer_master[Customer name], Customer_master[EOM or Net], 0)</f>
        <v>0</v>
      </c>
      <c r="K393" s="31">
        <f>_xlfn.XLOOKUP(SO[[#This Row],[Customer name]], Customer_master[Customer name], Customer_master[Terms days], 0)</f>
        <v>0</v>
      </c>
      <c r="L3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3" s="4"/>
      <c r="N393" s="46">
        <f>IF(SO[[#This Row],[Collection date - override (dd/mm/yyyy)]] &lt;&gt; "", SO[[#This Row],[Collection date - override (dd/mm/yyyy)]], SO[[#This Row],[Due date (dd/mm/yyyy)]])</f>
        <v>0</v>
      </c>
      <c r="O393" s="46">
        <f t="shared" ref="O393:O456" si="6">IF(GST_Freq="Monthly",
    DATE(YEAR(E393), MONTH(E393) + 1, 21),
    IF(GST_Freq="Quarterly",
        IF(MOD(MONTH(E393) + 2 - MOD(MOD(MONTH(E393) - GST_First_Month, 12), 3), 12) = 0,
            DATE(YEAR(E393), MONTH(E393) + 4 - MOD(MOD(MONTH(E393) - GST_First_Month, 12), 3), 28),
            DATE(YEAR(E393), MONTH(E393) + 3 - MOD(MOD(MONTH(E393) - GST_First_Month, 12), 3), 28)
        ),
        "Invalid frequency"
    )
)</f>
        <v>52</v>
      </c>
    </row>
    <row r="394" spans="3:15" x14ac:dyDescent="0.25">
      <c r="C394" s="24"/>
      <c r="D394" s="20"/>
      <c r="E394" s="4"/>
      <c r="F394" s="37"/>
      <c r="G394" s="24"/>
      <c r="H394" s="51">
        <f>Assumptions!$D$15</f>
        <v>0.1</v>
      </c>
      <c r="I394" s="45">
        <f>IF(SO[[#This Row],[GST applies?]] = "Yes", (SO[[#This Row],[Value inc. GST]] / 1 + SO[[#This Row],[GST %]]) * SO[[#This Row],[GST %]], 0)</f>
        <v>0</v>
      </c>
      <c r="J394" s="31">
        <f>_xlfn.XLOOKUP(SO[[#This Row],[Customer name]], Customer_master[Customer name], Customer_master[EOM or Net], 0)</f>
        <v>0</v>
      </c>
      <c r="K394" s="31">
        <f>_xlfn.XLOOKUP(SO[[#This Row],[Customer name]], Customer_master[Customer name], Customer_master[Terms days], 0)</f>
        <v>0</v>
      </c>
      <c r="L3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4" s="4"/>
      <c r="N394" s="46">
        <f>IF(SO[[#This Row],[Collection date - override (dd/mm/yyyy)]] &lt;&gt; "", SO[[#This Row],[Collection date - override (dd/mm/yyyy)]], SO[[#This Row],[Due date (dd/mm/yyyy)]])</f>
        <v>0</v>
      </c>
      <c r="O394" s="46">
        <f t="shared" si="6"/>
        <v>52</v>
      </c>
    </row>
    <row r="395" spans="3:15" x14ac:dyDescent="0.25">
      <c r="C395" s="24"/>
      <c r="D395" s="20"/>
      <c r="E395" s="4"/>
      <c r="F395" s="37"/>
      <c r="G395" s="24"/>
      <c r="H395" s="51">
        <f>Assumptions!$D$15</f>
        <v>0.1</v>
      </c>
      <c r="I395" s="45">
        <f>IF(SO[[#This Row],[GST applies?]] = "Yes", (SO[[#This Row],[Value inc. GST]] / 1 + SO[[#This Row],[GST %]]) * SO[[#This Row],[GST %]], 0)</f>
        <v>0</v>
      </c>
      <c r="J395" s="31">
        <f>_xlfn.XLOOKUP(SO[[#This Row],[Customer name]], Customer_master[Customer name], Customer_master[EOM or Net], 0)</f>
        <v>0</v>
      </c>
      <c r="K395" s="31">
        <f>_xlfn.XLOOKUP(SO[[#This Row],[Customer name]], Customer_master[Customer name], Customer_master[Terms days], 0)</f>
        <v>0</v>
      </c>
      <c r="L3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5" s="4"/>
      <c r="N395" s="46">
        <f>IF(SO[[#This Row],[Collection date - override (dd/mm/yyyy)]] &lt;&gt; "", SO[[#This Row],[Collection date - override (dd/mm/yyyy)]], SO[[#This Row],[Due date (dd/mm/yyyy)]])</f>
        <v>0</v>
      </c>
      <c r="O395" s="46">
        <f t="shared" si="6"/>
        <v>52</v>
      </c>
    </row>
    <row r="396" spans="3:15" x14ac:dyDescent="0.25">
      <c r="C396" s="24"/>
      <c r="D396" s="20"/>
      <c r="E396" s="4"/>
      <c r="F396" s="37"/>
      <c r="G396" s="24"/>
      <c r="H396" s="51">
        <f>Assumptions!$D$15</f>
        <v>0.1</v>
      </c>
      <c r="I396" s="45">
        <f>IF(SO[[#This Row],[GST applies?]] = "Yes", (SO[[#This Row],[Value inc. GST]] / 1 + SO[[#This Row],[GST %]]) * SO[[#This Row],[GST %]], 0)</f>
        <v>0</v>
      </c>
      <c r="J396" s="31">
        <f>_xlfn.XLOOKUP(SO[[#This Row],[Customer name]], Customer_master[Customer name], Customer_master[EOM or Net], 0)</f>
        <v>0</v>
      </c>
      <c r="K396" s="31">
        <f>_xlfn.XLOOKUP(SO[[#This Row],[Customer name]], Customer_master[Customer name], Customer_master[Terms days], 0)</f>
        <v>0</v>
      </c>
      <c r="L3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6" s="4"/>
      <c r="N396" s="46">
        <f>IF(SO[[#This Row],[Collection date - override (dd/mm/yyyy)]] &lt;&gt; "", SO[[#This Row],[Collection date - override (dd/mm/yyyy)]], SO[[#This Row],[Due date (dd/mm/yyyy)]])</f>
        <v>0</v>
      </c>
      <c r="O396" s="46">
        <f t="shared" si="6"/>
        <v>52</v>
      </c>
    </row>
    <row r="397" spans="3:15" x14ac:dyDescent="0.25">
      <c r="C397" s="24"/>
      <c r="D397" s="20"/>
      <c r="E397" s="4"/>
      <c r="F397" s="37"/>
      <c r="G397" s="24"/>
      <c r="H397" s="51">
        <f>Assumptions!$D$15</f>
        <v>0.1</v>
      </c>
      <c r="I397" s="45">
        <f>IF(SO[[#This Row],[GST applies?]] = "Yes", (SO[[#This Row],[Value inc. GST]] / 1 + SO[[#This Row],[GST %]]) * SO[[#This Row],[GST %]], 0)</f>
        <v>0</v>
      </c>
      <c r="J397" s="31">
        <f>_xlfn.XLOOKUP(SO[[#This Row],[Customer name]], Customer_master[Customer name], Customer_master[EOM or Net], 0)</f>
        <v>0</v>
      </c>
      <c r="K397" s="31">
        <f>_xlfn.XLOOKUP(SO[[#This Row],[Customer name]], Customer_master[Customer name], Customer_master[Terms days], 0)</f>
        <v>0</v>
      </c>
      <c r="L3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7" s="4"/>
      <c r="N397" s="46">
        <f>IF(SO[[#This Row],[Collection date - override (dd/mm/yyyy)]] &lt;&gt; "", SO[[#This Row],[Collection date - override (dd/mm/yyyy)]], SO[[#This Row],[Due date (dd/mm/yyyy)]])</f>
        <v>0</v>
      </c>
      <c r="O397" s="46">
        <f t="shared" si="6"/>
        <v>52</v>
      </c>
    </row>
    <row r="398" spans="3:15" x14ac:dyDescent="0.25">
      <c r="C398" s="24"/>
      <c r="D398" s="20"/>
      <c r="E398" s="4"/>
      <c r="F398" s="37"/>
      <c r="G398" s="24"/>
      <c r="H398" s="51">
        <f>Assumptions!$D$15</f>
        <v>0.1</v>
      </c>
      <c r="I398" s="45">
        <f>IF(SO[[#This Row],[GST applies?]] = "Yes", (SO[[#This Row],[Value inc. GST]] / 1 + SO[[#This Row],[GST %]]) * SO[[#This Row],[GST %]], 0)</f>
        <v>0</v>
      </c>
      <c r="J398" s="31">
        <f>_xlfn.XLOOKUP(SO[[#This Row],[Customer name]], Customer_master[Customer name], Customer_master[EOM or Net], 0)</f>
        <v>0</v>
      </c>
      <c r="K398" s="31">
        <f>_xlfn.XLOOKUP(SO[[#This Row],[Customer name]], Customer_master[Customer name], Customer_master[Terms days], 0)</f>
        <v>0</v>
      </c>
      <c r="L3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8" s="4"/>
      <c r="N398" s="46">
        <f>IF(SO[[#This Row],[Collection date - override (dd/mm/yyyy)]] &lt;&gt; "", SO[[#This Row],[Collection date - override (dd/mm/yyyy)]], SO[[#This Row],[Due date (dd/mm/yyyy)]])</f>
        <v>0</v>
      </c>
      <c r="O398" s="46">
        <f t="shared" si="6"/>
        <v>52</v>
      </c>
    </row>
    <row r="399" spans="3:15" x14ac:dyDescent="0.25">
      <c r="C399" s="24"/>
      <c r="D399" s="20"/>
      <c r="E399" s="4"/>
      <c r="F399" s="37"/>
      <c r="G399" s="24"/>
      <c r="H399" s="51">
        <f>Assumptions!$D$15</f>
        <v>0.1</v>
      </c>
      <c r="I399" s="45">
        <f>IF(SO[[#This Row],[GST applies?]] = "Yes", (SO[[#This Row],[Value inc. GST]] / 1 + SO[[#This Row],[GST %]]) * SO[[#This Row],[GST %]], 0)</f>
        <v>0</v>
      </c>
      <c r="J399" s="31">
        <f>_xlfn.XLOOKUP(SO[[#This Row],[Customer name]], Customer_master[Customer name], Customer_master[EOM or Net], 0)</f>
        <v>0</v>
      </c>
      <c r="K399" s="31">
        <f>_xlfn.XLOOKUP(SO[[#This Row],[Customer name]], Customer_master[Customer name], Customer_master[Terms days], 0)</f>
        <v>0</v>
      </c>
      <c r="L3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9" s="4"/>
      <c r="N399" s="46">
        <f>IF(SO[[#This Row],[Collection date - override (dd/mm/yyyy)]] &lt;&gt; "", SO[[#This Row],[Collection date - override (dd/mm/yyyy)]], SO[[#This Row],[Due date (dd/mm/yyyy)]])</f>
        <v>0</v>
      </c>
      <c r="O399" s="46">
        <f t="shared" si="6"/>
        <v>52</v>
      </c>
    </row>
    <row r="400" spans="3:15" x14ac:dyDescent="0.25">
      <c r="C400" s="24"/>
      <c r="D400" s="20"/>
      <c r="E400" s="4"/>
      <c r="F400" s="37"/>
      <c r="G400" s="24"/>
      <c r="H400" s="51">
        <f>Assumptions!$D$15</f>
        <v>0.1</v>
      </c>
      <c r="I400" s="45">
        <f>IF(SO[[#This Row],[GST applies?]] = "Yes", (SO[[#This Row],[Value inc. GST]] / 1 + SO[[#This Row],[GST %]]) * SO[[#This Row],[GST %]], 0)</f>
        <v>0</v>
      </c>
      <c r="J400" s="31">
        <f>_xlfn.XLOOKUP(SO[[#This Row],[Customer name]], Customer_master[Customer name], Customer_master[EOM or Net], 0)</f>
        <v>0</v>
      </c>
      <c r="K400" s="31">
        <f>_xlfn.XLOOKUP(SO[[#This Row],[Customer name]], Customer_master[Customer name], Customer_master[Terms days], 0)</f>
        <v>0</v>
      </c>
      <c r="L4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0" s="4"/>
      <c r="N400" s="46">
        <f>IF(SO[[#This Row],[Collection date - override (dd/mm/yyyy)]] &lt;&gt; "", SO[[#This Row],[Collection date - override (dd/mm/yyyy)]], SO[[#This Row],[Due date (dd/mm/yyyy)]])</f>
        <v>0</v>
      </c>
      <c r="O400" s="46">
        <f t="shared" si="6"/>
        <v>52</v>
      </c>
    </row>
    <row r="401" spans="3:15" x14ac:dyDescent="0.25">
      <c r="C401" s="24"/>
      <c r="D401" s="20"/>
      <c r="E401" s="4"/>
      <c r="F401" s="37"/>
      <c r="G401" s="24"/>
      <c r="H401" s="51">
        <f>Assumptions!$D$15</f>
        <v>0.1</v>
      </c>
      <c r="I401" s="45">
        <f>IF(SO[[#This Row],[GST applies?]] = "Yes", (SO[[#This Row],[Value inc. GST]] / 1 + SO[[#This Row],[GST %]]) * SO[[#This Row],[GST %]], 0)</f>
        <v>0</v>
      </c>
      <c r="J401" s="31">
        <f>_xlfn.XLOOKUP(SO[[#This Row],[Customer name]], Customer_master[Customer name], Customer_master[EOM or Net], 0)</f>
        <v>0</v>
      </c>
      <c r="K401" s="31">
        <f>_xlfn.XLOOKUP(SO[[#This Row],[Customer name]], Customer_master[Customer name], Customer_master[Terms days], 0)</f>
        <v>0</v>
      </c>
      <c r="L4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1" s="4"/>
      <c r="N401" s="46">
        <f>IF(SO[[#This Row],[Collection date - override (dd/mm/yyyy)]] &lt;&gt; "", SO[[#This Row],[Collection date - override (dd/mm/yyyy)]], SO[[#This Row],[Due date (dd/mm/yyyy)]])</f>
        <v>0</v>
      </c>
      <c r="O401" s="46">
        <f t="shared" si="6"/>
        <v>52</v>
      </c>
    </row>
    <row r="402" spans="3:15" x14ac:dyDescent="0.25">
      <c r="C402" s="24"/>
      <c r="D402" s="20"/>
      <c r="E402" s="4"/>
      <c r="F402" s="37"/>
      <c r="G402" s="24"/>
      <c r="H402" s="51">
        <f>Assumptions!$D$15</f>
        <v>0.1</v>
      </c>
      <c r="I402" s="45">
        <f>IF(SO[[#This Row],[GST applies?]] = "Yes", (SO[[#This Row],[Value inc. GST]] / 1 + SO[[#This Row],[GST %]]) * SO[[#This Row],[GST %]], 0)</f>
        <v>0</v>
      </c>
      <c r="J402" s="31">
        <f>_xlfn.XLOOKUP(SO[[#This Row],[Customer name]], Customer_master[Customer name], Customer_master[EOM or Net], 0)</f>
        <v>0</v>
      </c>
      <c r="K402" s="31">
        <f>_xlfn.XLOOKUP(SO[[#This Row],[Customer name]], Customer_master[Customer name], Customer_master[Terms days], 0)</f>
        <v>0</v>
      </c>
      <c r="L4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2" s="4"/>
      <c r="N402" s="46">
        <f>IF(SO[[#This Row],[Collection date - override (dd/mm/yyyy)]] &lt;&gt; "", SO[[#This Row],[Collection date - override (dd/mm/yyyy)]], SO[[#This Row],[Due date (dd/mm/yyyy)]])</f>
        <v>0</v>
      </c>
      <c r="O402" s="46">
        <f t="shared" si="6"/>
        <v>52</v>
      </c>
    </row>
    <row r="403" spans="3:15" x14ac:dyDescent="0.25">
      <c r="C403" s="24"/>
      <c r="D403" s="20"/>
      <c r="E403" s="4"/>
      <c r="F403" s="37"/>
      <c r="G403" s="24"/>
      <c r="H403" s="51">
        <f>Assumptions!$D$15</f>
        <v>0.1</v>
      </c>
      <c r="I403" s="45">
        <f>IF(SO[[#This Row],[GST applies?]] = "Yes", (SO[[#This Row],[Value inc. GST]] / 1 + SO[[#This Row],[GST %]]) * SO[[#This Row],[GST %]], 0)</f>
        <v>0</v>
      </c>
      <c r="J403" s="31">
        <f>_xlfn.XLOOKUP(SO[[#This Row],[Customer name]], Customer_master[Customer name], Customer_master[EOM or Net], 0)</f>
        <v>0</v>
      </c>
      <c r="K403" s="31">
        <f>_xlfn.XLOOKUP(SO[[#This Row],[Customer name]], Customer_master[Customer name], Customer_master[Terms days], 0)</f>
        <v>0</v>
      </c>
      <c r="L4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3" s="4"/>
      <c r="N403" s="46">
        <f>IF(SO[[#This Row],[Collection date - override (dd/mm/yyyy)]] &lt;&gt; "", SO[[#This Row],[Collection date - override (dd/mm/yyyy)]], SO[[#This Row],[Due date (dd/mm/yyyy)]])</f>
        <v>0</v>
      </c>
      <c r="O403" s="46">
        <f t="shared" si="6"/>
        <v>52</v>
      </c>
    </row>
    <row r="404" spans="3:15" x14ac:dyDescent="0.25">
      <c r="C404" s="24"/>
      <c r="D404" s="20"/>
      <c r="E404" s="4"/>
      <c r="F404" s="37"/>
      <c r="G404" s="24"/>
      <c r="H404" s="51">
        <f>Assumptions!$D$15</f>
        <v>0.1</v>
      </c>
      <c r="I404" s="45">
        <f>IF(SO[[#This Row],[GST applies?]] = "Yes", (SO[[#This Row],[Value inc. GST]] / 1 + SO[[#This Row],[GST %]]) * SO[[#This Row],[GST %]], 0)</f>
        <v>0</v>
      </c>
      <c r="J404" s="31">
        <f>_xlfn.XLOOKUP(SO[[#This Row],[Customer name]], Customer_master[Customer name], Customer_master[EOM or Net], 0)</f>
        <v>0</v>
      </c>
      <c r="K404" s="31">
        <f>_xlfn.XLOOKUP(SO[[#This Row],[Customer name]], Customer_master[Customer name], Customer_master[Terms days], 0)</f>
        <v>0</v>
      </c>
      <c r="L4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4" s="4"/>
      <c r="N404" s="46">
        <f>IF(SO[[#This Row],[Collection date - override (dd/mm/yyyy)]] &lt;&gt; "", SO[[#This Row],[Collection date - override (dd/mm/yyyy)]], SO[[#This Row],[Due date (dd/mm/yyyy)]])</f>
        <v>0</v>
      </c>
      <c r="O404" s="46">
        <f t="shared" si="6"/>
        <v>52</v>
      </c>
    </row>
    <row r="405" spans="3:15" x14ac:dyDescent="0.25">
      <c r="C405" s="24"/>
      <c r="D405" s="20"/>
      <c r="E405" s="4"/>
      <c r="F405" s="37"/>
      <c r="G405" s="24"/>
      <c r="H405" s="51">
        <f>Assumptions!$D$15</f>
        <v>0.1</v>
      </c>
      <c r="I405" s="45">
        <f>IF(SO[[#This Row],[GST applies?]] = "Yes", (SO[[#This Row],[Value inc. GST]] / 1 + SO[[#This Row],[GST %]]) * SO[[#This Row],[GST %]], 0)</f>
        <v>0</v>
      </c>
      <c r="J405" s="31">
        <f>_xlfn.XLOOKUP(SO[[#This Row],[Customer name]], Customer_master[Customer name], Customer_master[EOM or Net], 0)</f>
        <v>0</v>
      </c>
      <c r="K405" s="31">
        <f>_xlfn.XLOOKUP(SO[[#This Row],[Customer name]], Customer_master[Customer name], Customer_master[Terms days], 0)</f>
        <v>0</v>
      </c>
      <c r="L4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5" s="4"/>
      <c r="N405" s="46">
        <f>IF(SO[[#This Row],[Collection date - override (dd/mm/yyyy)]] &lt;&gt; "", SO[[#This Row],[Collection date - override (dd/mm/yyyy)]], SO[[#This Row],[Due date (dd/mm/yyyy)]])</f>
        <v>0</v>
      </c>
      <c r="O405" s="46">
        <f t="shared" si="6"/>
        <v>52</v>
      </c>
    </row>
    <row r="406" spans="3:15" x14ac:dyDescent="0.25">
      <c r="C406" s="24"/>
      <c r="D406" s="20"/>
      <c r="E406" s="4"/>
      <c r="F406" s="37"/>
      <c r="G406" s="24"/>
      <c r="H406" s="51">
        <f>Assumptions!$D$15</f>
        <v>0.1</v>
      </c>
      <c r="I406" s="45">
        <f>IF(SO[[#This Row],[GST applies?]] = "Yes", (SO[[#This Row],[Value inc. GST]] / 1 + SO[[#This Row],[GST %]]) * SO[[#This Row],[GST %]], 0)</f>
        <v>0</v>
      </c>
      <c r="J406" s="31">
        <f>_xlfn.XLOOKUP(SO[[#This Row],[Customer name]], Customer_master[Customer name], Customer_master[EOM or Net], 0)</f>
        <v>0</v>
      </c>
      <c r="K406" s="31">
        <f>_xlfn.XLOOKUP(SO[[#This Row],[Customer name]], Customer_master[Customer name], Customer_master[Terms days], 0)</f>
        <v>0</v>
      </c>
      <c r="L4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6" s="4"/>
      <c r="N406" s="46">
        <f>IF(SO[[#This Row],[Collection date - override (dd/mm/yyyy)]] &lt;&gt; "", SO[[#This Row],[Collection date - override (dd/mm/yyyy)]], SO[[#This Row],[Due date (dd/mm/yyyy)]])</f>
        <v>0</v>
      </c>
      <c r="O406" s="46">
        <f t="shared" si="6"/>
        <v>52</v>
      </c>
    </row>
    <row r="407" spans="3:15" x14ac:dyDescent="0.25">
      <c r="C407" s="24"/>
      <c r="D407" s="20"/>
      <c r="E407" s="4"/>
      <c r="F407" s="37"/>
      <c r="G407" s="24"/>
      <c r="H407" s="51">
        <f>Assumptions!$D$15</f>
        <v>0.1</v>
      </c>
      <c r="I407" s="45">
        <f>IF(SO[[#This Row],[GST applies?]] = "Yes", (SO[[#This Row],[Value inc. GST]] / 1 + SO[[#This Row],[GST %]]) * SO[[#This Row],[GST %]], 0)</f>
        <v>0</v>
      </c>
      <c r="J407" s="31">
        <f>_xlfn.XLOOKUP(SO[[#This Row],[Customer name]], Customer_master[Customer name], Customer_master[EOM or Net], 0)</f>
        <v>0</v>
      </c>
      <c r="K407" s="31">
        <f>_xlfn.XLOOKUP(SO[[#This Row],[Customer name]], Customer_master[Customer name], Customer_master[Terms days], 0)</f>
        <v>0</v>
      </c>
      <c r="L4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7" s="4"/>
      <c r="N407" s="46">
        <f>IF(SO[[#This Row],[Collection date - override (dd/mm/yyyy)]] &lt;&gt; "", SO[[#This Row],[Collection date - override (dd/mm/yyyy)]], SO[[#This Row],[Due date (dd/mm/yyyy)]])</f>
        <v>0</v>
      </c>
      <c r="O407" s="46">
        <f t="shared" si="6"/>
        <v>52</v>
      </c>
    </row>
    <row r="408" spans="3:15" x14ac:dyDescent="0.25">
      <c r="C408" s="24"/>
      <c r="D408" s="20"/>
      <c r="E408" s="4"/>
      <c r="F408" s="37"/>
      <c r="G408" s="24"/>
      <c r="H408" s="51">
        <f>Assumptions!$D$15</f>
        <v>0.1</v>
      </c>
      <c r="I408" s="45">
        <f>IF(SO[[#This Row],[GST applies?]] = "Yes", (SO[[#This Row],[Value inc. GST]] / 1 + SO[[#This Row],[GST %]]) * SO[[#This Row],[GST %]], 0)</f>
        <v>0</v>
      </c>
      <c r="J408" s="31">
        <f>_xlfn.XLOOKUP(SO[[#This Row],[Customer name]], Customer_master[Customer name], Customer_master[EOM or Net], 0)</f>
        <v>0</v>
      </c>
      <c r="K408" s="31">
        <f>_xlfn.XLOOKUP(SO[[#This Row],[Customer name]], Customer_master[Customer name], Customer_master[Terms days], 0)</f>
        <v>0</v>
      </c>
      <c r="L4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8" s="4"/>
      <c r="N408" s="46">
        <f>IF(SO[[#This Row],[Collection date - override (dd/mm/yyyy)]] &lt;&gt; "", SO[[#This Row],[Collection date - override (dd/mm/yyyy)]], SO[[#This Row],[Due date (dd/mm/yyyy)]])</f>
        <v>0</v>
      </c>
      <c r="O408" s="46">
        <f t="shared" si="6"/>
        <v>52</v>
      </c>
    </row>
    <row r="409" spans="3:15" x14ac:dyDescent="0.25">
      <c r="C409" s="24"/>
      <c r="D409" s="20"/>
      <c r="E409" s="4"/>
      <c r="F409" s="37"/>
      <c r="G409" s="24"/>
      <c r="H409" s="51">
        <f>Assumptions!$D$15</f>
        <v>0.1</v>
      </c>
      <c r="I409" s="45">
        <f>IF(SO[[#This Row],[GST applies?]] = "Yes", (SO[[#This Row],[Value inc. GST]] / 1 + SO[[#This Row],[GST %]]) * SO[[#This Row],[GST %]], 0)</f>
        <v>0</v>
      </c>
      <c r="J409" s="31">
        <f>_xlfn.XLOOKUP(SO[[#This Row],[Customer name]], Customer_master[Customer name], Customer_master[EOM or Net], 0)</f>
        <v>0</v>
      </c>
      <c r="K409" s="31">
        <f>_xlfn.XLOOKUP(SO[[#This Row],[Customer name]], Customer_master[Customer name], Customer_master[Terms days], 0)</f>
        <v>0</v>
      </c>
      <c r="L4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9" s="4"/>
      <c r="N409" s="46">
        <f>IF(SO[[#This Row],[Collection date - override (dd/mm/yyyy)]] &lt;&gt; "", SO[[#This Row],[Collection date - override (dd/mm/yyyy)]], SO[[#This Row],[Due date (dd/mm/yyyy)]])</f>
        <v>0</v>
      </c>
      <c r="O409" s="46">
        <f t="shared" si="6"/>
        <v>52</v>
      </c>
    </row>
    <row r="410" spans="3:15" x14ac:dyDescent="0.25">
      <c r="C410" s="24"/>
      <c r="D410" s="20"/>
      <c r="E410" s="4"/>
      <c r="F410" s="37"/>
      <c r="G410" s="24"/>
      <c r="H410" s="51">
        <f>Assumptions!$D$15</f>
        <v>0.1</v>
      </c>
      <c r="I410" s="45">
        <f>IF(SO[[#This Row],[GST applies?]] = "Yes", (SO[[#This Row],[Value inc. GST]] / 1 + SO[[#This Row],[GST %]]) * SO[[#This Row],[GST %]], 0)</f>
        <v>0</v>
      </c>
      <c r="J410" s="31">
        <f>_xlfn.XLOOKUP(SO[[#This Row],[Customer name]], Customer_master[Customer name], Customer_master[EOM or Net], 0)</f>
        <v>0</v>
      </c>
      <c r="K410" s="31">
        <f>_xlfn.XLOOKUP(SO[[#This Row],[Customer name]], Customer_master[Customer name], Customer_master[Terms days], 0)</f>
        <v>0</v>
      </c>
      <c r="L4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0" s="4"/>
      <c r="N410" s="46">
        <f>IF(SO[[#This Row],[Collection date - override (dd/mm/yyyy)]] &lt;&gt; "", SO[[#This Row],[Collection date - override (dd/mm/yyyy)]], SO[[#This Row],[Due date (dd/mm/yyyy)]])</f>
        <v>0</v>
      </c>
      <c r="O410" s="46">
        <f t="shared" si="6"/>
        <v>52</v>
      </c>
    </row>
    <row r="411" spans="3:15" x14ac:dyDescent="0.25">
      <c r="C411" s="24"/>
      <c r="D411" s="20"/>
      <c r="E411" s="4"/>
      <c r="F411" s="37"/>
      <c r="G411" s="24"/>
      <c r="H411" s="51">
        <f>Assumptions!$D$15</f>
        <v>0.1</v>
      </c>
      <c r="I411" s="45">
        <f>IF(SO[[#This Row],[GST applies?]] = "Yes", (SO[[#This Row],[Value inc. GST]] / 1 + SO[[#This Row],[GST %]]) * SO[[#This Row],[GST %]], 0)</f>
        <v>0</v>
      </c>
      <c r="J411" s="31">
        <f>_xlfn.XLOOKUP(SO[[#This Row],[Customer name]], Customer_master[Customer name], Customer_master[EOM or Net], 0)</f>
        <v>0</v>
      </c>
      <c r="K411" s="31">
        <f>_xlfn.XLOOKUP(SO[[#This Row],[Customer name]], Customer_master[Customer name], Customer_master[Terms days], 0)</f>
        <v>0</v>
      </c>
      <c r="L4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1" s="4"/>
      <c r="N411" s="46">
        <f>IF(SO[[#This Row],[Collection date - override (dd/mm/yyyy)]] &lt;&gt; "", SO[[#This Row],[Collection date - override (dd/mm/yyyy)]], SO[[#This Row],[Due date (dd/mm/yyyy)]])</f>
        <v>0</v>
      </c>
      <c r="O411" s="46">
        <f t="shared" si="6"/>
        <v>52</v>
      </c>
    </row>
    <row r="412" spans="3:15" x14ac:dyDescent="0.25">
      <c r="C412" s="24"/>
      <c r="D412" s="20"/>
      <c r="E412" s="4"/>
      <c r="F412" s="37"/>
      <c r="G412" s="24"/>
      <c r="H412" s="51">
        <f>Assumptions!$D$15</f>
        <v>0.1</v>
      </c>
      <c r="I412" s="45">
        <f>IF(SO[[#This Row],[GST applies?]] = "Yes", (SO[[#This Row],[Value inc. GST]] / 1 + SO[[#This Row],[GST %]]) * SO[[#This Row],[GST %]], 0)</f>
        <v>0</v>
      </c>
      <c r="J412" s="31">
        <f>_xlfn.XLOOKUP(SO[[#This Row],[Customer name]], Customer_master[Customer name], Customer_master[EOM or Net], 0)</f>
        <v>0</v>
      </c>
      <c r="K412" s="31">
        <f>_xlfn.XLOOKUP(SO[[#This Row],[Customer name]], Customer_master[Customer name], Customer_master[Terms days], 0)</f>
        <v>0</v>
      </c>
      <c r="L4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2" s="4"/>
      <c r="N412" s="46">
        <f>IF(SO[[#This Row],[Collection date - override (dd/mm/yyyy)]] &lt;&gt; "", SO[[#This Row],[Collection date - override (dd/mm/yyyy)]], SO[[#This Row],[Due date (dd/mm/yyyy)]])</f>
        <v>0</v>
      </c>
      <c r="O412" s="46">
        <f t="shared" si="6"/>
        <v>52</v>
      </c>
    </row>
    <row r="413" spans="3:15" x14ac:dyDescent="0.25">
      <c r="C413" s="24"/>
      <c r="D413" s="20"/>
      <c r="E413" s="4"/>
      <c r="F413" s="37"/>
      <c r="G413" s="24"/>
      <c r="H413" s="51">
        <f>Assumptions!$D$15</f>
        <v>0.1</v>
      </c>
      <c r="I413" s="45">
        <f>IF(SO[[#This Row],[GST applies?]] = "Yes", (SO[[#This Row],[Value inc. GST]] / 1 + SO[[#This Row],[GST %]]) * SO[[#This Row],[GST %]], 0)</f>
        <v>0</v>
      </c>
      <c r="J413" s="31">
        <f>_xlfn.XLOOKUP(SO[[#This Row],[Customer name]], Customer_master[Customer name], Customer_master[EOM or Net], 0)</f>
        <v>0</v>
      </c>
      <c r="K413" s="31">
        <f>_xlfn.XLOOKUP(SO[[#This Row],[Customer name]], Customer_master[Customer name], Customer_master[Terms days], 0)</f>
        <v>0</v>
      </c>
      <c r="L4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3" s="4"/>
      <c r="N413" s="46">
        <f>IF(SO[[#This Row],[Collection date - override (dd/mm/yyyy)]] &lt;&gt; "", SO[[#This Row],[Collection date - override (dd/mm/yyyy)]], SO[[#This Row],[Due date (dd/mm/yyyy)]])</f>
        <v>0</v>
      </c>
      <c r="O413" s="46">
        <f t="shared" si="6"/>
        <v>52</v>
      </c>
    </row>
    <row r="414" spans="3:15" x14ac:dyDescent="0.25">
      <c r="C414" s="24"/>
      <c r="D414" s="20"/>
      <c r="E414" s="4"/>
      <c r="F414" s="37"/>
      <c r="G414" s="24"/>
      <c r="H414" s="51">
        <f>Assumptions!$D$15</f>
        <v>0.1</v>
      </c>
      <c r="I414" s="45">
        <f>IF(SO[[#This Row],[GST applies?]] = "Yes", (SO[[#This Row],[Value inc. GST]] / 1 + SO[[#This Row],[GST %]]) * SO[[#This Row],[GST %]], 0)</f>
        <v>0</v>
      </c>
      <c r="J414" s="31">
        <f>_xlfn.XLOOKUP(SO[[#This Row],[Customer name]], Customer_master[Customer name], Customer_master[EOM or Net], 0)</f>
        <v>0</v>
      </c>
      <c r="K414" s="31">
        <f>_xlfn.XLOOKUP(SO[[#This Row],[Customer name]], Customer_master[Customer name], Customer_master[Terms days], 0)</f>
        <v>0</v>
      </c>
      <c r="L4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4" s="4"/>
      <c r="N414" s="46">
        <f>IF(SO[[#This Row],[Collection date - override (dd/mm/yyyy)]] &lt;&gt; "", SO[[#This Row],[Collection date - override (dd/mm/yyyy)]], SO[[#This Row],[Due date (dd/mm/yyyy)]])</f>
        <v>0</v>
      </c>
      <c r="O414" s="46">
        <f t="shared" si="6"/>
        <v>52</v>
      </c>
    </row>
    <row r="415" spans="3:15" x14ac:dyDescent="0.25">
      <c r="C415" s="24"/>
      <c r="D415" s="20"/>
      <c r="E415" s="4"/>
      <c r="F415" s="37"/>
      <c r="G415" s="24"/>
      <c r="H415" s="51">
        <f>Assumptions!$D$15</f>
        <v>0.1</v>
      </c>
      <c r="I415" s="45">
        <f>IF(SO[[#This Row],[GST applies?]] = "Yes", (SO[[#This Row],[Value inc. GST]] / 1 + SO[[#This Row],[GST %]]) * SO[[#This Row],[GST %]], 0)</f>
        <v>0</v>
      </c>
      <c r="J415" s="31">
        <f>_xlfn.XLOOKUP(SO[[#This Row],[Customer name]], Customer_master[Customer name], Customer_master[EOM or Net], 0)</f>
        <v>0</v>
      </c>
      <c r="K415" s="31">
        <f>_xlfn.XLOOKUP(SO[[#This Row],[Customer name]], Customer_master[Customer name], Customer_master[Terms days], 0)</f>
        <v>0</v>
      </c>
      <c r="L4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5" s="4"/>
      <c r="N415" s="46">
        <f>IF(SO[[#This Row],[Collection date - override (dd/mm/yyyy)]] &lt;&gt; "", SO[[#This Row],[Collection date - override (dd/mm/yyyy)]], SO[[#This Row],[Due date (dd/mm/yyyy)]])</f>
        <v>0</v>
      </c>
      <c r="O415" s="46">
        <f t="shared" si="6"/>
        <v>52</v>
      </c>
    </row>
    <row r="416" spans="3:15" x14ac:dyDescent="0.25">
      <c r="C416" s="24"/>
      <c r="D416" s="20"/>
      <c r="E416" s="4"/>
      <c r="F416" s="37"/>
      <c r="G416" s="24"/>
      <c r="H416" s="51">
        <f>Assumptions!$D$15</f>
        <v>0.1</v>
      </c>
      <c r="I416" s="45">
        <f>IF(SO[[#This Row],[GST applies?]] = "Yes", (SO[[#This Row],[Value inc. GST]] / 1 + SO[[#This Row],[GST %]]) * SO[[#This Row],[GST %]], 0)</f>
        <v>0</v>
      </c>
      <c r="J416" s="31">
        <f>_xlfn.XLOOKUP(SO[[#This Row],[Customer name]], Customer_master[Customer name], Customer_master[EOM or Net], 0)</f>
        <v>0</v>
      </c>
      <c r="K416" s="31">
        <f>_xlfn.XLOOKUP(SO[[#This Row],[Customer name]], Customer_master[Customer name], Customer_master[Terms days], 0)</f>
        <v>0</v>
      </c>
      <c r="L4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6" s="4"/>
      <c r="N416" s="46">
        <f>IF(SO[[#This Row],[Collection date - override (dd/mm/yyyy)]] &lt;&gt; "", SO[[#This Row],[Collection date - override (dd/mm/yyyy)]], SO[[#This Row],[Due date (dd/mm/yyyy)]])</f>
        <v>0</v>
      </c>
      <c r="O416" s="46">
        <f t="shared" si="6"/>
        <v>52</v>
      </c>
    </row>
    <row r="417" spans="3:15" x14ac:dyDescent="0.25">
      <c r="C417" s="24"/>
      <c r="D417" s="20"/>
      <c r="E417" s="4"/>
      <c r="F417" s="37"/>
      <c r="G417" s="24"/>
      <c r="H417" s="51">
        <f>Assumptions!$D$15</f>
        <v>0.1</v>
      </c>
      <c r="I417" s="45">
        <f>IF(SO[[#This Row],[GST applies?]] = "Yes", (SO[[#This Row],[Value inc. GST]] / 1 + SO[[#This Row],[GST %]]) * SO[[#This Row],[GST %]], 0)</f>
        <v>0</v>
      </c>
      <c r="J417" s="31">
        <f>_xlfn.XLOOKUP(SO[[#This Row],[Customer name]], Customer_master[Customer name], Customer_master[EOM or Net], 0)</f>
        <v>0</v>
      </c>
      <c r="K417" s="31">
        <f>_xlfn.XLOOKUP(SO[[#This Row],[Customer name]], Customer_master[Customer name], Customer_master[Terms days], 0)</f>
        <v>0</v>
      </c>
      <c r="L4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7" s="4"/>
      <c r="N417" s="46">
        <f>IF(SO[[#This Row],[Collection date - override (dd/mm/yyyy)]] &lt;&gt; "", SO[[#This Row],[Collection date - override (dd/mm/yyyy)]], SO[[#This Row],[Due date (dd/mm/yyyy)]])</f>
        <v>0</v>
      </c>
      <c r="O417" s="46">
        <f t="shared" si="6"/>
        <v>52</v>
      </c>
    </row>
    <row r="418" spans="3:15" x14ac:dyDescent="0.25">
      <c r="C418" s="24"/>
      <c r="D418" s="20"/>
      <c r="E418" s="4"/>
      <c r="F418" s="37"/>
      <c r="G418" s="24"/>
      <c r="H418" s="51">
        <f>Assumptions!$D$15</f>
        <v>0.1</v>
      </c>
      <c r="I418" s="45">
        <f>IF(SO[[#This Row],[GST applies?]] = "Yes", (SO[[#This Row],[Value inc. GST]] / 1 + SO[[#This Row],[GST %]]) * SO[[#This Row],[GST %]], 0)</f>
        <v>0</v>
      </c>
      <c r="J418" s="31">
        <f>_xlfn.XLOOKUP(SO[[#This Row],[Customer name]], Customer_master[Customer name], Customer_master[EOM or Net], 0)</f>
        <v>0</v>
      </c>
      <c r="K418" s="31">
        <f>_xlfn.XLOOKUP(SO[[#This Row],[Customer name]], Customer_master[Customer name], Customer_master[Terms days], 0)</f>
        <v>0</v>
      </c>
      <c r="L4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8" s="4"/>
      <c r="N418" s="46">
        <f>IF(SO[[#This Row],[Collection date - override (dd/mm/yyyy)]] &lt;&gt; "", SO[[#This Row],[Collection date - override (dd/mm/yyyy)]], SO[[#This Row],[Due date (dd/mm/yyyy)]])</f>
        <v>0</v>
      </c>
      <c r="O418" s="46">
        <f t="shared" si="6"/>
        <v>52</v>
      </c>
    </row>
    <row r="419" spans="3:15" x14ac:dyDescent="0.25">
      <c r="C419" s="24"/>
      <c r="D419" s="20"/>
      <c r="E419" s="4"/>
      <c r="F419" s="37"/>
      <c r="G419" s="24"/>
      <c r="H419" s="51">
        <f>Assumptions!$D$15</f>
        <v>0.1</v>
      </c>
      <c r="I419" s="45">
        <f>IF(SO[[#This Row],[GST applies?]] = "Yes", (SO[[#This Row],[Value inc. GST]] / 1 + SO[[#This Row],[GST %]]) * SO[[#This Row],[GST %]], 0)</f>
        <v>0</v>
      </c>
      <c r="J419" s="31">
        <f>_xlfn.XLOOKUP(SO[[#This Row],[Customer name]], Customer_master[Customer name], Customer_master[EOM or Net], 0)</f>
        <v>0</v>
      </c>
      <c r="K419" s="31">
        <f>_xlfn.XLOOKUP(SO[[#This Row],[Customer name]], Customer_master[Customer name], Customer_master[Terms days], 0)</f>
        <v>0</v>
      </c>
      <c r="L4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9" s="4"/>
      <c r="N419" s="46">
        <f>IF(SO[[#This Row],[Collection date - override (dd/mm/yyyy)]] &lt;&gt; "", SO[[#This Row],[Collection date - override (dd/mm/yyyy)]], SO[[#This Row],[Due date (dd/mm/yyyy)]])</f>
        <v>0</v>
      </c>
      <c r="O419" s="46">
        <f t="shared" si="6"/>
        <v>52</v>
      </c>
    </row>
    <row r="420" spans="3:15" x14ac:dyDescent="0.25">
      <c r="C420" s="24"/>
      <c r="D420" s="20"/>
      <c r="E420" s="4"/>
      <c r="F420" s="37"/>
      <c r="G420" s="24"/>
      <c r="H420" s="51">
        <f>Assumptions!$D$15</f>
        <v>0.1</v>
      </c>
      <c r="I420" s="45">
        <f>IF(SO[[#This Row],[GST applies?]] = "Yes", (SO[[#This Row],[Value inc. GST]] / 1 + SO[[#This Row],[GST %]]) * SO[[#This Row],[GST %]], 0)</f>
        <v>0</v>
      </c>
      <c r="J420" s="31">
        <f>_xlfn.XLOOKUP(SO[[#This Row],[Customer name]], Customer_master[Customer name], Customer_master[EOM or Net], 0)</f>
        <v>0</v>
      </c>
      <c r="K420" s="31">
        <f>_xlfn.XLOOKUP(SO[[#This Row],[Customer name]], Customer_master[Customer name], Customer_master[Terms days], 0)</f>
        <v>0</v>
      </c>
      <c r="L4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0" s="4"/>
      <c r="N420" s="46">
        <f>IF(SO[[#This Row],[Collection date - override (dd/mm/yyyy)]] &lt;&gt; "", SO[[#This Row],[Collection date - override (dd/mm/yyyy)]], SO[[#This Row],[Due date (dd/mm/yyyy)]])</f>
        <v>0</v>
      </c>
      <c r="O420" s="46">
        <f t="shared" si="6"/>
        <v>52</v>
      </c>
    </row>
    <row r="421" spans="3:15" x14ac:dyDescent="0.25">
      <c r="C421" s="24"/>
      <c r="D421" s="20"/>
      <c r="E421" s="4"/>
      <c r="F421" s="37"/>
      <c r="G421" s="24"/>
      <c r="H421" s="51">
        <f>Assumptions!$D$15</f>
        <v>0.1</v>
      </c>
      <c r="I421" s="45">
        <f>IF(SO[[#This Row],[GST applies?]] = "Yes", (SO[[#This Row],[Value inc. GST]] / 1 + SO[[#This Row],[GST %]]) * SO[[#This Row],[GST %]], 0)</f>
        <v>0</v>
      </c>
      <c r="J421" s="31">
        <f>_xlfn.XLOOKUP(SO[[#This Row],[Customer name]], Customer_master[Customer name], Customer_master[EOM or Net], 0)</f>
        <v>0</v>
      </c>
      <c r="K421" s="31">
        <f>_xlfn.XLOOKUP(SO[[#This Row],[Customer name]], Customer_master[Customer name], Customer_master[Terms days], 0)</f>
        <v>0</v>
      </c>
      <c r="L4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1" s="4"/>
      <c r="N421" s="46">
        <f>IF(SO[[#This Row],[Collection date - override (dd/mm/yyyy)]] &lt;&gt; "", SO[[#This Row],[Collection date - override (dd/mm/yyyy)]], SO[[#This Row],[Due date (dd/mm/yyyy)]])</f>
        <v>0</v>
      </c>
      <c r="O421" s="46">
        <f t="shared" si="6"/>
        <v>52</v>
      </c>
    </row>
    <row r="422" spans="3:15" x14ac:dyDescent="0.25">
      <c r="C422" s="24"/>
      <c r="D422" s="20"/>
      <c r="E422" s="4"/>
      <c r="F422" s="37"/>
      <c r="G422" s="24"/>
      <c r="H422" s="51">
        <f>Assumptions!$D$15</f>
        <v>0.1</v>
      </c>
      <c r="I422" s="45">
        <f>IF(SO[[#This Row],[GST applies?]] = "Yes", (SO[[#This Row],[Value inc. GST]] / 1 + SO[[#This Row],[GST %]]) * SO[[#This Row],[GST %]], 0)</f>
        <v>0</v>
      </c>
      <c r="J422" s="31">
        <f>_xlfn.XLOOKUP(SO[[#This Row],[Customer name]], Customer_master[Customer name], Customer_master[EOM or Net], 0)</f>
        <v>0</v>
      </c>
      <c r="K422" s="31">
        <f>_xlfn.XLOOKUP(SO[[#This Row],[Customer name]], Customer_master[Customer name], Customer_master[Terms days], 0)</f>
        <v>0</v>
      </c>
      <c r="L4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2" s="4"/>
      <c r="N422" s="46">
        <f>IF(SO[[#This Row],[Collection date - override (dd/mm/yyyy)]] &lt;&gt; "", SO[[#This Row],[Collection date - override (dd/mm/yyyy)]], SO[[#This Row],[Due date (dd/mm/yyyy)]])</f>
        <v>0</v>
      </c>
      <c r="O422" s="46">
        <f t="shared" si="6"/>
        <v>52</v>
      </c>
    </row>
    <row r="423" spans="3:15" x14ac:dyDescent="0.25">
      <c r="C423" s="24"/>
      <c r="D423" s="20"/>
      <c r="E423" s="4"/>
      <c r="F423" s="37"/>
      <c r="G423" s="24"/>
      <c r="H423" s="51">
        <f>Assumptions!$D$15</f>
        <v>0.1</v>
      </c>
      <c r="I423" s="45">
        <f>IF(SO[[#This Row],[GST applies?]] = "Yes", (SO[[#This Row],[Value inc. GST]] / 1 + SO[[#This Row],[GST %]]) * SO[[#This Row],[GST %]], 0)</f>
        <v>0</v>
      </c>
      <c r="J423" s="31">
        <f>_xlfn.XLOOKUP(SO[[#This Row],[Customer name]], Customer_master[Customer name], Customer_master[EOM or Net], 0)</f>
        <v>0</v>
      </c>
      <c r="K423" s="31">
        <f>_xlfn.XLOOKUP(SO[[#This Row],[Customer name]], Customer_master[Customer name], Customer_master[Terms days], 0)</f>
        <v>0</v>
      </c>
      <c r="L4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3" s="4"/>
      <c r="N423" s="46">
        <f>IF(SO[[#This Row],[Collection date - override (dd/mm/yyyy)]] &lt;&gt; "", SO[[#This Row],[Collection date - override (dd/mm/yyyy)]], SO[[#This Row],[Due date (dd/mm/yyyy)]])</f>
        <v>0</v>
      </c>
      <c r="O423" s="46">
        <f t="shared" si="6"/>
        <v>52</v>
      </c>
    </row>
    <row r="424" spans="3:15" x14ac:dyDescent="0.25">
      <c r="C424" s="24"/>
      <c r="D424" s="20"/>
      <c r="E424" s="4"/>
      <c r="F424" s="37"/>
      <c r="G424" s="24"/>
      <c r="H424" s="51">
        <f>Assumptions!$D$15</f>
        <v>0.1</v>
      </c>
      <c r="I424" s="45">
        <f>IF(SO[[#This Row],[GST applies?]] = "Yes", (SO[[#This Row],[Value inc. GST]] / 1 + SO[[#This Row],[GST %]]) * SO[[#This Row],[GST %]], 0)</f>
        <v>0</v>
      </c>
      <c r="J424" s="31">
        <f>_xlfn.XLOOKUP(SO[[#This Row],[Customer name]], Customer_master[Customer name], Customer_master[EOM or Net], 0)</f>
        <v>0</v>
      </c>
      <c r="K424" s="31">
        <f>_xlfn.XLOOKUP(SO[[#This Row],[Customer name]], Customer_master[Customer name], Customer_master[Terms days], 0)</f>
        <v>0</v>
      </c>
      <c r="L4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4" s="4"/>
      <c r="N424" s="46">
        <f>IF(SO[[#This Row],[Collection date - override (dd/mm/yyyy)]] &lt;&gt; "", SO[[#This Row],[Collection date - override (dd/mm/yyyy)]], SO[[#This Row],[Due date (dd/mm/yyyy)]])</f>
        <v>0</v>
      </c>
      <c r="O424" s="46">
        <f t="shared" si="6"/>
        <v>52</v>
      </c>
    </row>
    <row r="425" spans="3:15" x14ac:dyDescent="0.25">
      <c r="C425" s="24"/>
      <c r="D425" s="20"/>
      <c r="E425" s="4"/>
      <c r="F425" s="37"/>
      <c r="G425" s="24"/>
      <c r="H425" s="51">
        <f>Assumptions!$D$15</f>
        <v>0.1</v>
      </c>
      <c r="I425" s="45">
        <f>IF(SO[[#This Row],[GST applies?]] = "Yes", (SO[[#This Row],[Value inc. GST]] / 1 + SO[[#This Row],[GST %]]) * SO[[#This Row],[GST %]], 0)</f>
        <v>0</v>
      </c>
      <c r="J425" s="31">
        <f>_xlfn.XLOOKUP(SO[[#This Row],[Customer name]], Customer_master[Customer name], Customer_master[EOM or Net], 0)</f>
        <v>0</v>
      </c>
      <c r="K425" s="31">
        <f>_xlfn.XLOOKUP(SO[[#This Row],[Customer name]], Customer_master[Customer name], Customer_master[Terms days], 0)</f>
        <v>0</v>
      </c>
      <c r="L4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5" s="4"/>
      <c r="N425" s="46">
        <f>IF(SO[[#This Row],[Collection date - override (dd/mm/yyyy)]] &lt;&gt; "", SO[[#This Row],[Collection date - override (dd/mm/yyyy)]], SO[[#This Row],[Due date (dd/mm/yyyy)]])</f>
        <v>0</v>
      </c>
      <c r="O425" s="46">
        <f t="shared" si="6"/>
        <v>52</v>
      </c>
    </row>
    <row r="426" spans="3:15" x14ac:dyDescent="0.25">
      <c r="C426" s="24"/>
      <c r="D426" s="20"/>
      <c r="E426" s="4"/>
      <c r="F426" s="37"/>
      <c r="G426" s="24"/>
      <c r="H426" s="51">
        <f>Assumptions!$D$15</f>
        <v>0.1</v>
      </c>
      <c r="I426" s="45">
        <f>IF(SO[[#This Row],[GST applies?]] = "Yes", (SO[[#This Row],[Value inc. GST]] / 1 + SO[[#This Row],[GST %]]) * SO[[#This Row],[GST %]], 0)</f>
        <v>0</v>
      </c>
      <c r="J426" s="31">
        <f>_xlfn.XLOOKUP(SO[[#This Row],[Customer name]], Customer_master[Customer name], Customer_master[EOM or Net], 0)</f>
        <v>0</v>
      </c>
      <c r="K426" s="31">
        <f>_xlfn.XLOOKUP(SO[[#This Row],[Customer name]], Customer_master[Customer name], Customer_master[Terms days], 0)</f>
        <v>0</v>
      </c>
      <c r="L4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6" s="4"/>
      <c r="N426" s="46">
        <f>IF(SO[[#This Row],[Collection date - override (dd/mm/yyyy)]] &lt;&gt; "", SO[[#This Row],[Collection date - override (dd/mm/yyyy)]], SO[[#This Row],[Due date (dd/mm/yyyy)]])</f>
        <v>0</v>
      </c>
      <c r="O426" s="46">
        <f t="shared" si="6"/>
        <v>52</v>
      </c>
    </row>
    <row r="427" spans="3:15" x14ac:dyDescent="0.25">
      <c r="C427" s="24"/>
      <c r="D427" s="20"/>
      <c r="E427" s="4"/>
      <c r="F427" s="37"/>
      <c r="G427" s="24"/>
      <c r="H427" s="51">
        <f>Assumptions!$D$15</f>
        <v>0.1</v>
      </c>
      <c r="I427" s="45">
        <f>IF(SO[[#This Row],[GST applies?]] = "Yes", (SO[[#This Row],[Value inc. GST]] / 1 + SO[[#This Row],[GST %]]) * SO[[#This Row],[GST %]], 0)</f>
        <v>0</v>
      </c>
      <c r="J427" s="31">
        <f>_xlfn.XLOOKUP(SO[[#This Row],[Customer name]], Customer_master[Customer name], Customer_master[EOM or Net], 0)</f>
        <v>0</v>
      </c>
      <c r="K427" s="31">
        <f>_xlfn.XLOOKUP(SO[[#This Row],[Customer name]], Customer_master[Customer name], Customer_master[Terms days], 0)</f>
        <v>0</v>
      </c>
      <c r="L4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7" s="4"/>
      <c r="N427" s="46">
        <f>IF(SO[[#This Row],[Collection date - override (dd/mm/yyyy)]] &lt;&gt; "", SO[[#This Row],[Collection date - override (dd/mm/yyyy)]], SO[[#This Row],[Due date (dd/mm/yyyy)]])</f>
        <v>0</v>
      </c>
      <c r="O427" s="46">
        <f t="shared" si="6"/>
        <v>52</v>
      </c>
    </row>
    <row r="428" spans="3:15" x14ac:dyDescent="0.25">
      <c r="C428" s="24"/>
      <c r="D428" s="20"/>
      <c r="E428" s="4"/>
      <c r="F428" s="37"/>
      <c r="G428" s="24"/>
      <c r="H428" s="51">
        <f>Assumptions!$D$15</f>
        <v>0.1</v>
      </c>
      <c r="I428" s="45">
        <f>IF(SO[[#This Row],[GST applies?]] = "Yes", (SO[[#This Row],[Value inc. GST]] / 1 + SO[[#This Row],[GST %]]) * SO[[#This Row],[GST %]], 0)</f>
        <v>0</v>
      </c>
      <c r="J428" s="31">
        <f>_xlfn.XLOOKUP(SO[[#This Row],[Customer name]], Customer_master[Customer name], Customer_master[EOM or Net], 0)</f>
        <v>0</v>
      </c>
      <c r="K428" s="31">
        <f>_xlfn.XLOOKUP(SO[[#This Row],[Customer name]], Customer_master[Customer name], Customer_master[Terms days], 0)</f>
        <v>0</v>
      </c>
      <c r="L4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8" s="4"/>
      <c r="N428" s="46">
        <f>IF(SO[[#This Row],[Collection date - override (dd/mm/yyyy)]] &lt;&gt; "", SO[[#This Row],[Collection date - override (dd/mm/yyyy)]], SO[[#This Row],[Due date (dd/mm/yyyy)]])</f>
        <v>0</v>
      </c>
      <c r="O428" s="46">
        <f t="shared" si="6"/>
        <v>52</v>
      </c>
    </row>
    <row r="429" spans="3:15" x14ac:dyDescent="0.25">
      <c r="C429" s="24"/>
      <c r="D429" s="20"/>
      <c r="E429" s="4"/>
      <c r="F429" s="37"/>
      <c r="G429" s="24"/>
      <c r="H429" s="51">
        <f>Assumptions!$D$15</f>
        <v>0.1</v>
      </c>
      <c r="I429" s="45">
        <f>IF(SO[[#This Row],[GST applies?]] = "Yes", (SO[[#This Row],[Value inc. GST]] / 1 + SO[[#This Row],[GST %]]) * SO[[#This Row],[GST %]], 0)</f>
        <v>0</v>
      </c>
      <c r="J429" s="31">
        <f>_xlfn.XLOOKUP(SO[[#This Row],[Customer name]], Customer_master[Customer name], Customer_master[EOM or Net], 0)</f>
        <v>0</v>
      </c>
      <c r="K429" s="31">
        <f>_xlfn.XLOOKUP(SO[[#This Row],[Customer name]], Customer_master[Customer name], Customer_master[Terms days], 0)</f>
        <v>0</v>
      </c>
      <c r="L4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9" s="4"/>
      <c r="N429" s="46">
        <f>IF(SO[[#This Row],[Collection date - override (dd/mm/yyyy)]] &lt;&gt; "", SO[[#This Row],[Collection date - override (dd/mm/yyyy)]], SO[[#This Row],[Due date (dd/mm/yyyy)]])</f>
        <v>0</v>
      </c>
      <c r="O429" s="46">
        <f t="shared" si="6"/>
        <v>52</v>
      </c>
    </row>
    <row r="430" spans="3:15" x14ac:dyDescent="0.25">
      <c r="C430" s="24"/>
      <c r="D430" s="20"/>
      <c r="E430" s="4"/>
      <c r="F430" s="37"/>
      <c r="G430" s="24"/>
      <c r="H430" s="51">
        <f>Assumptions!$D$15</f>
        <v>0.1</v>
      </c>
      <c r="I430" s="45">
        <f>IF(SO[[#This Row],[GST applies?]] = "Yes", (SO[[#This Row],[Value inc. GST]] / 1 + SO[[#This Row],[GST %]]) * SO[[#This Row],[GST %]], 0)</f>
        <v>0</v>
      </c>
      <c r="J430" s="31">
        <f>_xlfn.XLOOKUP(SO[[#This Row],[Customer name]], Customer_master[Customer name], Customer_master[EOM or Net], 0)</f>
        <v>0</v>
      </c>
      <c r="K430" s="31">
        <f>_xlfn.XLOOKUP(SO[[#This Row],[Customer name]], Customer_master[Customer name], Customer_master[Terms days], 0)</f>
        <v>0</v>
      </c>
      <c r="L4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0" s="4"/>
      <c r="N430" s="46">
        <f>IF(SO[[#This Row],[Collection date - override (dd/mm/yyyy)]] &lt;&gt; "", SO[[#This Row],[Collection date - override (dd/mm/yyyy)]], SO[[#This Row],[Due date (dd/mm/yyyy)]])</f>
        <v>0</v>
      </c>
      <c r="O430" s="46">
        <f t="shared" si="6"/>
        <v>52</v>
      </c>
    </row>
    <row r="431" spans="3:15" x14ac:dyDescent="0.25">
      <c r="C431" s="24"/>
      <c r="D431" s="20"/>
      <c r="E431" s="4"/>
      <c r="F431" s="37"/>
      <c r="G431" s="24"/>
      <c r="H431" s="51">
        <f>Assumptions!$D$15</f>
        <v>0.1</v>
      </c>
      <c r="I431" s="45">
        <f>IF(SO[[#This Row],[GST applies?]] = "Yes", (SO[[#This Row],[Value inc. GST]] / 1 + SO[[#This Row],[GST %]]) * SO[[#This Row],[GST %]], 0)</f>
        <v>0</v>
      </c>
      <c r="J431" s="31">
        <f>_xlfn.XLOOKUP(SO[[#This Row],[Customer name]], Customer_master[Customer name], Customer_master[EOM or Net], 0)</f>
        <v>0</v>
      </c>
      <c r="K431" s="31">
        <f>_xlfn.XLOOKUP(SO[[#This Row],[Customer name]], Customer_master[Customer name], Customer_master[Terms days], 0)</f>
        <v>0</v>
      </c>
      <c r="L4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1" s="4"/>
      <c r="N431" s="46">
        <f>IF(SO[[#This Row],[Collection date - override (dd/mm/yyyy)]] &lt;&gt; "", SO[[#This Row],[Collection date - override (dd/mm/yyyy)]], SO[[#This Row],[Due date (dd/mm/yyyy)]])</f>
        <v>0</v>
      </c>
      <c r="O431" s="46">
        <f t="shared" si="6"/>
        <v>52</v>
      </c>
    </row>
    <row r="432" spans="3:15" x14ac:dyDescent="0.25">
      <c r="C432" s="24"/>
      <c r="D432" s="20"/>
      <c r="E432" s="4"/>
      <c r="F432" s="37"/>
      <c r="G432" s="24"/>
      <c r="H432" s="51">
        <f>Assumptions!$D$15</f>
        <v>0.1</v>
      </c>
      <c r="I432" s="45">
        <f>IF(SO[[#This Row],[GST applies?]] = "Yes", (SO[[#This Row],[Value inc. GST]] / 1 + SO[[#This Row],[GST %]]) * SO[[#This Row],[GST %]], 0)</f>
        <v>0</v>
      </c>
      <c r="J432" s="31">
        <f>_xlfn.XLOOKUP(SO[[#This Row],[Customer name]], Customer_master[Customer name], Customer_master[EOM or Net], 0)</f>
        <v>0</v>
      </c>
      <c r="K432" s="31">
        <f>_xlfn.XLOOKUP(SO[[#This Row],[Customer name]], Customer_master[Customer name], Customer_master[Terms days], 0)</f>
        <v>0</v>
      </c>
      <c r="L4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2" s="4"/>
      <c r="N432" s="46">
        <f>IF(SO[[#This Row],[Collection date - override (dd/mm/yyyy)]] &lt;&gt; "", SO[[#This Row],[Collection date - override (dd/mm/yyyy)]], SO[[#This Row],[Due date (dd/mm/yyyy)]])</f>
        <v>0</v>
      </c>
      <c r="O432" s="46">
        <f t="shared" si="6"/>
        <v>52</v>
      </c>
    </row>
    <row r="433" spans="3:15" x14ac:dyDescent="0.25">
      <c r="C433" s="24"/>
      <c r="D433" s="20"/>
      <c r="E433" s="4"/>
      <c r="F433" s="37"/>
      <c r="G433" s="24"/>
      <c r="H433" s="51">
        <f>Assumptions!$D$15</f>
        <v>0.1</v>
      </c>
      <c r="I433" s="45">
        <f>IF(SO[[#This Row],[GST applies?]] = "Yes", (SO[[#This Row],[Value inc. GST]] / 1 + SO[[#This Row],[GST %]]) * SO[[#This Row],[GST %]], 0)</f>
        <v>0</v>
      </c>
      <c r="J433" s="31">
        <f>_xlfn.XLOOKUP(SO[[#This Row],[Customer name]], Customer_master[Customer name], Customer_master[EOM or Net], 0)</f>
        <v>0</v>
      </c>
      <c r="K433" s="31">
        <f>_xlfn.XLOOKUP(SO[[#This Row],[Customer name]], Customer_master[Customer name], Customer_master[Terms days], 0)</f>
        <v>0</v>
      </c>
      <c r="L4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3" s="4"/>
      <c r="N433" s="46">
        <f>IF(SO[[#This Row],[Collection date - override (dd/mm/yyyy)]] &lt;&gt; "", SO[[#This Row],[Collection date - override (dd/mm/yyyy)]], SO[[#This Row],[Due date (dd/mm/yyyy)]])</f>
        <v>0</v>
      </c>
      <c r="O433" s="46">
        <f t="shared" si="6"/>
        <v>52</v>
      </c>
    </row>
    <row r="434" spans="3:15" x14ac:dyDescent="0.25">
      <c r="C434" s="24"/>
      <c r="D434" s="20"/>
      <c r="E434" s="4"/>
      <c r="F434" s="37"/>
      <c r="G434" s="24"/>
      <c r="H434" s="51">
        <f>Assumptions!$D$15</f>
        <v>0.1</v>
      </c>
      <c r="I434" s="45">
        <f>IF(SO[[#This Row],[GST applies?]] = "Yes", (SO[[#This Row],[Value inc. GST]] / 1 + SO[[#This Row],[GST %]]) * SO[[#This Row],[GST %]], 0)</f>
        <v>0</v>
      </c>
      <c r="J434" s="31">
        <f>_xlfn.XLOOKUP(SO[[#This Row],[Customer name]], Customer_master[Customer name], Customer_master[EOM or Net], 0)</f>
        <v>0</v>
      </c>
      <c r="K434" s="31">
        <f>_xlfn.XLOOKUP(SO[[#This Row],[Customer name]], Customer_master[Customer name], Customer_master[Terms days], 0)</f>
        <v>0</v>
      </c>
      <c r="L4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4" s="4"/>
      <c r="N434" s="46">
        <f>IF(SO[[#This Row],[Collection date - override (dd/mm/yyyy)]] &lt;&gt; "", SO[[#This Row],[Collection date - override (dd/mm/yyyy)]], SO[[#This Row],[Due date (dd/mm/yyyy)]])</f>
        <v>0</v>
      </c>
      <c r="O434" s="46">
        <f t="shared" si="6"/>
        <v>52</v>
      </c>
    </row>
    <row r="435" spans="3:15" x14ac:dyDescent="0.25">
      <c r="C435" s="24"/>
      <c r="D435" s="20"/>
      <c r="E435" s="4"/>
      <c r="F435" s="37"/>
      <c r="G435" s="24"/>
      <c r="H435" s="51">
        <f>Assumptions!$D$15</f>
        <v>0.1</v>
      </c>
      <c r="I435" s="45">
        <f>IF(SO[[#This Row],[GST applies?]] = "Yes", (SO[[#This Row],[Value inc. GST]] / 1 + SO[[#This Row],[GST %]]) * SO[[#This Row],[GST %]], 0)</f>
        <v>0</v>
      </c>
      <c r="J435" s="31">
        <f>_xlfn.XLOOKUP(SO[[#This Row],[Customer name]], Customer_master[Customer name], Customer_master[EOM or Net], 0)</f>
        <v>0</v>
      </c>
      <c r="K435" s="31">
        <f>_xlfn.XLOOKUP(SO[[#This Row],[Customer name]], Customer_master[Customer name], Customer_master[Terms days], 0)</f>
        <v>0</v>
      </c>
      <c r="L4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5" s="4"/>
      <c r="N435" s="46">
        <f>IF(SO[[#This Row],[Collection date - override (dd/mm/yyyy)]] &lt;&gt; "", SO[[#This Row],[Collection date - override (dd/mm/yyyy)]], SO[[#This Row],[Due date (dd/mm/yyyy)]])</f>
        <v>0</v>
      </c>
      <c r="O435" s="46">
        <f t="shared" si="6"/>
        <v>52</v>
      </c>
    </row>
    <row r="436" spans="3:15" x14ac:dyDescent="0.25">
      <c r="C436" s="24"/>
      <c r="D436" s="20"/>
      <c r="E436" s="4"/>
      <c r="F436" s="37"/>
      <c r="G436" s="24"/>
      <c r="H436" s="51">
        <f>Assumptions!$D$15</f>
        <v>0.1</v>
      </c>
      <c r="I436" s="45">
        <f>IF(SO[[#This Row],[GST applies?]] = "Yes", (SO[[#This Row],[Value inc. GST]] / 1 + SO[[#This Row],[GST %]]) * SO[[#This Row],[GST %]], 0)</f>
        <v>0</v>
      </c>
      <c r="J436" s="31">
        <f>_xlfn.XLOOKUP(SO[[#This Row],[Customer name]], Customer_master[Customer name], Customer_master[EOM or Net], 0)</f>
        <v>0</v>
      </c>
      <c r="K436" s="31">
        <f>_xlfn.XLOOKUP(SO[[#This Row],[Customer name]], Customer_master[Customer name], Customer_master[Terms days], 0)</f>
        <v>0</v>
      </c>
      <c r="L4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6" s="4"/>
      <c r="N436" s="46">
        <f>IF(SO[[#This Row],[Collection date - override (dd/mm/yyyy)]] &lt;&gt; "", SO[[#This Row],[Collection date - override (dd/mm/yyyy)]], SO[[#This Row],[Due date (dd/mm/yyyy)]])</f>
        <v>0</v>
      </c>
      <c r="O436" s="46">
        <f t="shared" si="6"/>
        <v>52</v>
      </c>
    </row>
    <row r="437" spans="3:15" x14ac:dyDescent="0.25">
      <c r="C437" s="24"/>
      <c r="D437" s="20"/>
      <c r="E437" s="4"/>
      <c r="F437" s="37"/>
      <c r="G437" s="24"/>
      <c r="H437" s="51">
        <f>Assumptions!$D$15</f>
        <v>0.1</v>
      </c>
      <c r="I437" s="45">
        <f>IF(SO[[#This Row],[GST applies?]] = "Yes", (SO[[#This Row],[Value inc. GST]] / 1 + SO[[#This Row],[GST %]]) * SO[[#This Row],[GST %]], 0)</f>
        <v>0</v>
      </c>
      <c r="J437" s="31">
        <f>_xlfn.XLOOKUP(SO[[#This Row],[Customer name]], Customer_master[Customer name], Customer_master[EOM or Net], 0)</f>
        <v>0</v>
      </c>
      <c r="K437" s="31">
        <f>_xlfn.XLOOKUP(SO[[#This Row],[Customer name]], Customer_master[Customer name], Customer_master[Terms days], 0)</f>
        <v>0</v>
      </c>
      <c r="L4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7" s="4"/>
      <c r="N437" s="46">
        <f>IF(SO[[#This Row],[Collection date - override (dd/mm/yyyy)]] &lt;&gt; "", SO[[#This Row],[Collection date - override (dd/mm/yyyy)]], SO[[#This Row],[Due date (dd/mm/yyyy)]])</f>
        <v>0</v>
      </c>
      <c r="O437" s="46">
        <f t="shared" si="6"/>
        <v>52</v>
      </c>
    </row>
    <row r="438" spans="3:15" x14ac:dyDescent="0.25">
      <c r="C438" s="24"/>
      <c r="D438" s="20"/>
      <c r="E438" s="4"/>
      <c r="F438" s="37"/>
      <c r="G438" s="24"/>
      <c r="H438" s="51">
        <f>Assumptions!$D$15</f>
        <v>0.1</v>
      </c>
      <c r="I438" s="45">
        <f>IF(SO[[#This Row],[GST applies?]] = "Yes", (SO[[#This Row],[Value inc. GST]] / 1 + SO[[#This Row],[GST %]]) * SO[[#This Row],[GST %]], 0)</f>
        <v>0</v>
      </c>
      <c r="J438" s="31">
        <f>_xlfn.XLOOKUP(SO[[#This Row],[Customer name]], Customer_master[Customer name], Customer_master[EOM or Net], 0)</f>
        <v>0</v>
      </c>
      <c r="K438" s="31">
        <f>_xlfn.XLOOKUP(SO[[#This Row],[Customer name]], Customer_master[Customer name], Customer_master[Terms days], 0)</f>
        <v>0</v>
      </c>
      <c r="L4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8" s="4"/>
      <c r="N438" s="46">
        <f>IF(SO[[#This Row],[Collection date - override (dd/mm/yyyy)]] &lt;&gt; "", SO[[#This Row],[Collection date - override (dd/mm/yyyy)]], SO[[#This Row],[Due date (dd/mm/yyyy)]])</f>
        <v>0</v>
      </c>
      <c r="O438" s="46">
        <f t="shared" si="6"/>
        <v>52</v>
      </c>
    </row>
    <row r="439" spans="3:15" x14ac:dyDescent="0.25">
      <c r="C439" s="24"/>
      <c r="D439" s="20"/>
      <c r="E439" s="4"/>
      <c r="F439" s="37"/>
      <c r="G439" s="24"/>
      <c r="H439" s="51">
        <f>Assumptions!$D$15</f>
        <v>0.1</v>
      </c>
      <c r="I439" s="45">
        <f>IF(SO[[#This Row],[GST applies?]] = "Yes", (SO[[#This Row],[Value inc. GST]] / 1 + SO[[#This Row],[GST %]]) * SO[[#This Row],[GST %]], 0)</f>
        <v>0</v>
      </c>
      <c r="J439" s="31">
        <f>_xlfn.XLOOKUP(SO[[#This Row],[Customer name]], Customer_master[Customer name], Customer_master[EOM or Net], 0)</f>
        <v>0</v>
      </c>
      <c r="K439" s="31">
        <f>_xlfn.XLOOKUP(SO[[#This Row],[Customer name]], Customer_master[Customer name], Customer_master[Terms days], 0)</f>
        <v>0</v>
      </c>
      <c r="L4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9" s="4"/>
      <c r="N439" s="46">
        <f>IF(SO[[#This Row],[Collection date - override (dd/mm/yyyy)]] &lt;&gt; "", SO[[#This Row],[Collection date - override (dd/mm/yyyy)]], SO[[#This Row],[Due date (dd/mm/yyyy)]])</f>
        <v>0</v>
      </c>
      <c r="O439" s="46">
        <f t="shared" si="6"/>
        <v>52</v>
      </c>
    </row>
    <row r="440" spans="3:15" x14ac:dyDescent="0.25">
      <c r="C440" s="24"/>
      <c r="D440" s="20"/>
      <c r="E440" s="4"/>
      <c r="F440" s="37"/>
      <c r="G440" s="24"/>
      <c r="H440" s="51">
        <f>Assumptions!$D$15</f>
        <v>0.1</v>
      </c>
      <c r="I440" s="45">
        <f>IF(SO[[#This Row],[GST applies?]] = "Yes", (SO[[#This Row],[Value inc. GST]] / 1 + SO[[#This Row],[GST %]]) * SO[[#This Row],[GST %]], 0)</f>
        <v>0</v>
      </c>
      <c r="J440" s="31">
        <f>_xlfn.XLOOKUP(SO[[#This Row],[Customer name]], Customer_master[Customer name], Customer_master[EOM or Net], 0)</f>
        <v>0</v>
      </c>
      <c r="K440" s="31">
        <f>_xlfn.XLOOKUP(SO[[#This Row],[Customer name]], Customer_master[Customer name], Customer_master[Terms days], 0)</f>
        <v>0</v>
      </c>
      <c r="L4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0" s="4"/>
      <c r="N440" s="46">
        <f>IF(SO[[#This Row],[Collection date - override (dd/mm/yyyy)]] &lt;&gt; "", SO[[#This Row],[Collection date - override (dd/mm/yyyy)]], SO[[#This Row],[Due date (dd/mm/yyyy)]])</f>
        <v>0</v>
      </c>
      <c r="O440" s="46">
        <f t="shared" si="6"/>
        <v>52</v>
      </c>
    </row>
    <row r="441" spans="3:15" x14ac:dyDescent="0.25">
      <c r="C441" s="24"/>
      <c r="D441" s="20"/>
      <c r="E441" s="4"/>
      <c r="F441" s="37"/>
      <c r="G441" s="24"/>
      <c r="H441" s="51">
        <f>Assumptions!$D$15</f>
        <v>0.1</v>
      </c>
      <c r="I441" s="45">
        <f>IF(SO[[#This Row],[GST applies?]] = "Yes", (SO[[#This Row],[Value inc. GST]] / 1 + SO[[#This Row],[GST %]]) * SO[[#This Row],[GST %]], 0)</f>
        <v>0</v>
      </c>
      <c r="J441" s="31">
        <f>_xlfn.XLOOKUP(SO[[#This Row],[Customer name]], Customer_master[Customer name], Customer_master[EOM or Net], 0)</f>
        <v>0</v>
      </c>
      <c r="K441" s="31">
        <f>_xlfn.XLOOKUP(SO[[#This Row],[Customer name]], Customer_master[Customer name], Customer_master[Terms days], 0)</f>
        <v>0</v>
      </c>
      <c r="L4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1" s="4"/>
      <c r="N441" s="46">
        <f>IF(SO[[#This Row],[Collection date - override (dd/mm/yyyy)]] &lt;&gt; "", SO[[#This Row],[Collection date - override (dd/mm/yyyy)]], SO[[#This Row],[Due date (dd/mm/yyyy)]])</f>
        <v>0</v>
      </c>
      <c r="O441" s="46">
        <f t="shared" si="6"/>
        <v>52</v>
      </c>
    </row>
    <row r="442" spans="3:15" x14ac:dyDescent="0.25">
      <c r="C442" s="24"/>
      <c r="D442" s="20"/>
      <c r="E442" s="4"/>
      <c r="F442" s="37"/>
      <c r="G442" s="24"/>
      <c r="H442" s="51">
        <f>Assumptions!$D$15</f>
        <v>0.1</v>
      </c>
      <c r="I442" s="45">
        <f>IF(SO[[#This Row],[GST applies?]] = "Yes", (SO[[#This Row],[Value inc. GST]] / 1 + SO[[#This Row],[GST %]]) * SO[[#This Row],[GST %]], 0)</f>
        <v>0</v>
      </c>
      <c r="J442" s="31">
        <f>_xlfn.XLOOKUP(SO[[#This Row],[Customer name]], Customer_master[Customer name], Customer_master[EOM or Net], 0)</f>
        <v>0</v>
      </c>
      <c r="K442" s="31">
        <f>_xlfn.XLOOKUP(SO[[#This Row],[Customer name]], Customer_master[Customer name], Customer_master[Terms days], 0)</f>
        <v>0</v>
      </c>
      <c r="L4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2" s="4"/>
      <c r="N442" s="46">
        <f>IF(SO[[#This Row],[Collection date - override (dd/mm/yyyy)]] &lt;&gt; "", SO[[#This Row],[Collection date - override (dd/mm/yyyy)]], SO[[#This Row],[Due date (dd/mm/yyyy)]])</f>
        <v>0</v>
      </c>
      <c r="O442" s="46">
        <f t="shared" si="6"/>
        <v>52</v>
      </c>
    </row>
    <row r="443" spans="3:15" x14ac:dyDescent="0.25">
      <c r="C443" s="24"/>
      <c r="D443" s="20"/>
      <c r="E443" s="4"/>
      <c r="F443" s="37"/>
      <c r="G443" s="24"/>
      <c r="H443" s="51">
        <f>Assumptions!$D$15</f>
        <v>0.1</v>
      </c>
      <c r="I443" s="45">
        <f>IF(SO[[#This Row],[GST applies?]] = "Yes", (SO[[#This Row],[Value inc. GST]] / 1 + SO[[#This Row],[GST %]]) * SO[[#This Row],[GST %]], 0)</f>
        <v>0</v>
      </c>
      <c r="J443" s="31">
        <f>_xlfn.XLOOKUP(SO[[#This Row],[Customer name]], Customer_master[Customer name], Customer_master[EOM or Net], 0)</f>
        <v>0</v>
      </c>
      <c r="K443" s="31">
        <f>_xlfn.XLOOKUP(SO[[#This Row],[Customer name]], Customer_master[Customer name], Customer_master[Terms days], 0)</f>
        <v>0</v>
      </c>
      <c r="L4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3" s="4"/>
      <c r="N443" s="46">
        <f>IF(SO[[#This Row],[Collection date - override (dd/mm/yyyy)]] &lt;&gt; "", SO[[#This Row],[Collection date - override (dd/mm/yyyy)]], SO[[#This Row],[Due date (dd/mm/yyyy)]])</f>
        <v>0</v>
      </c>
      <c r="O443" s="46">
        <f t="shared" si="6"/>
        <v>52</v>
      </c>
    </row>
    <row r="444" spans="3:15" x14ac:dyDescent="0.25">
      <c r="C444" s="24"/>
      <c r="D444" s="20"/>
      <c r="E444" s="4"/>
      <c r="F444" s="37"/>
      <c r="G444" s="24"/>
      <c r="H444" s="51">
        <f>Assumptions!$D$15</f>
        <v>0.1</v>
      </c>
      <c r="I444" s="45">
        <f>IF(SO[[#This Row],[GST applies?]] = "Yes", (SO[[#This Row],[Value inc. GST]] / 1 + SO[[#This Row],[GST %]]) * SO[[#This Row],[GST %]], 0)</f>
        <v>0</v>
      </c>
      <c r="J444" s="31">
        <f>_xlfn.XLOOKUP(SO[[#This Row],[Customer name]], Customer_master[Customer name], Customer_master[EOM or Net], 0)</f>
        <v>0</v>
      </c>
      <c r="K444" s="31">
        <f>_xlfn.XLOOKUP(SO[[#This Row],[Customer name]], Customer_master[Customer name], Customer_master[Terms days], 0)</f>
        <v>0</v>
      </c>
      <c r="L4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4" s="4"/>
      <c r="N444" s="46">
        <f>IF(SO[[#This Row],[Collection date - override (dd/mm/yyyy)]] &lt;&gt; "", SO[[#This Row],[Collection date - override (dd/mm/yyyy)]], SO[[#This Row],[Due date (dd/mm/yyyy)]])</f>
        <v>0</v>
      </c>
      <c r="O444" s="46">
        <f t="shared" si="6"/>
        <v>52</v>
      </c>
    </row>
    <row r="445" spans="3:15" x14ac:dyDescent="0.25">
      <c r="C445" s="24"/>
      <c r="D445" s="20"/>
      <c r="E445" s="4"/>
      <c r="F445" s="37"/>
      <c r="G445" s="24"/>
      <c r="H445" s="51">
        <f>Assumptions!$D$15</f>
        <v>0.1</v>
      </c>
      <c r="I445" s="45">
        <f>IF(SO[[#This Row],[GST applies?]] = "Yes", (SO[[#This Row],[Value inc. GST]] / 1 + SO[[#This Row],[GST %]]) * SO[[#This Row],[GST %]], 0)</f>
        <v>0</v>
      </c>
      <c r="J445" s="31">
        <f>_xlfn.XLOOKUP(SO[[#This Row],[Customer name]], Customer_master[Customer name], Customer_master[EOM or Net], 0)</f>
        <v>0</v>
      </c>
      <c r="K445" s="31">
        <f>_xlfn.XLOOKUP(SO[[#This Row],[Customer name]], Customer_master[Customer name], Customer_master[Terms days], 0)</f>
        <v>0</v>
      </c>
      <c r="L4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5" s="4"/>
      <c r="N445" s="46">
        <f>IF(SO[[#This Row],[Collection date - override (dd/mm/yyyy)]] &lt;&gt; "", SO[[#This Row],[Collection date - override (dd/mm/yyyy)]], SO[[#This Row],[Due date (dd/mm/yyyy)]])</f>
        <v>0</v>
      </c>
      <c r="O445" s="46">
        <f t="shared" si="6"/>
        <v>52</v>
      </c>
    </row>
    <row r="446" spans="3:15" x14ac:dyDescent="0.25">
      <c r="C446" s="24"/>
      <c r="D446" s="20"/>
      <c r="E446" s="4"/>
      <c r="F446" s="37"/>
      <c r="G446" s="24"/>
      <c r="H446" s="51">
        <f>Assumptions!$D$15</f>
        <v>0.1</v>
      </c>
      <c r="I446" s="45">
        <f>IF(SO[[#This Row],[GST applies?]] = "Yes", (SO[[#This Row],[Value inc. GST]] / 1 + SO[[#This Row],[GST %]]) * SO[[#This Row],[GST %]], 0)</f>
        <v>0</v>
      </c>
      <c r="J446" s="31">
        <f>_xlfn.XLOOKUP(SO[[#This Row],[Customer name]], Customer_master[Customer name], Customer_master[EOM or Net], 0)</f>
        <v>0</v>
      </c>
      <c r="K446" s="31">
        <f>_xlfn.XLOOKUP(SO[[#This Row],[Customer name]], Customer_master[Customer name], Customer_master[Terms days], 0)</f>
        <v>0</v>
      </c>
      <c r="L4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6" s="4"/>
      <c r="N446" s="46">
        <f>IF(SO[[#This Row],[Collection date - override (dd/mm/yyyy)]] &lt;&gt; "", SO[[#This Row],[Collection date - override (dd/mm/yyyy)]], SO[[#This Row],[Due date (dd/mm/yyyy)]])</f>
        <v>0</v>
      </c>
      <c r="O446" s="46">
        <f t="shared" si="6"/>
        <v>52</v>
      </c>
    </row>
    <row r="447" spans="3:15" x14ac:dyDescent="0.25">
      <c r="C447" s="24"/>
      <c r="D447" s="20"/>
      <c r="E447" s="4"/>
      <c r="F447" s="37"/>
      <c r="G447" s="24"/>
      <c r="H447" s="51">
        <f>Assumptions!$D$15</f>
        <v>0.1</v>
      </c>
      <c r="I447" s="45">
        <f>IF(SO[[#This Row],[GST applies?]] = "Yes", (SO[[#This Row],[Value inc. GST]] / 1 + SO[[#This Row],[GST %]]) * SO[[#This Row],[GST %]], 0)</f>
        <v>0</v>
      </c>
      <c r="J447" s="31">
        <f>_xlfn.XLOOKUP(SO[[#This Row],[Customer name]], Customer_master[Customer name], Customer_master[EOM or Net], 0)</f>
        <v>0</v>
      </c>
      <c r="K447" s="31">
        <f>_xlfn.XLOOKUP(SO[[#This Row],[Customer name]], Customer_master[Customer name], Customer_master[Terms days], 0)</f>
        <v>0</v>
      </c>
      <c r="L4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7" s="4"/>
      <c r="N447" s="46">
        <f>IF(SO[[#This Row],[Collection date - override (dd/mm/yyyy)]] &lt;&gt; "", SO[[#This Row],[Collection date - override (dd/mm/yyyy)]], SO[[#This Row],[Due date (dd/mm/yyyy)]])</f>
        <v>0</v>
      </c>
      <c r="O447" s="46">
        <f t="shared" si="6"/>
        <v>52</v>
      </c>
    </row>
    <row r="448" spans="3:15" x14ac:dyDescent="0.25">
      <c r="C448" s="24"/>
      <c r="D448" s="20"/>
      <c r="E448" s="4"/>
      <c r="F448" s="37"/>
      <c r="G448" s="24"/>
      <c r="H448" s="51">
        <f>Assumptions!$D$15</f>
        <v>0.1</v>
      </c>
      <c r="I448" s="45">
        <f>IF(SO[[#This Row],[GST applies?]] = "Yes", (SO[[#This Row],[Value inc. GST]] / 1 + SO[[#This Row],[GST %]]) * SO[[#This Row],[GST %]], 0)</f>
        <v>0</v>
      </c>
      <c r="J448" s="31">
        <f>_xlfn.XLOOKUP(SO[[#This Row],[Customer name]], Customer_master[Customer name], Customer_master[EOM or Net], 0)</f>
        <v>0</v>
      </c>
      <c r="K448" s="31">
        <f>_xlfn.XLOOKUP(SO[[#This Row],[Customer name]], Customer_master[Customer name], Customer_master[Terms days], 0)</f>
        <v>0</v>
      </c>
      <c r="L4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8" s="4"/>
      <c r="N448" s="46">
        <f>IF(SO[[#This Row],[Collection date - override (dd/mm/yyyy)]] &lt;&gt; "", SO[[#This Row],[Collection date - override (dd/mm/yyyy)]], SO[[#This Row],[Due date (dd/mm/yyyy)]])</f>
        <v>0</v>
      </c>
      <c r="O448" s="46">
        <f t="shared" si="6"/>
        <v>52</v>
      </c>
    </row>
    <row r="449" spans="3:15" x14ac:dyDescent="0.25">
      <c r="C449" s="24"/>
      <c r="D449" s="20"/>
      <c r="E449" s="4"/>
      <c r="F449" s="37"/>
      <c r="G449" s="24"/>
      <c r="H449" s="51">
        <f>Assumptions!$D$15</f>
        <v>0.1</v>
      </c>
      <c r="I449" s="45">
        <f>IF(SO[[#This Row],[GST applies?]] = "Yes", (SO[[#This Row],[Value inc. GST]] / 1 + SO[[#This Row],[GST %]]) * SO[[#This Row],[GST %]], 0)</f>
        <v>0</v>
      </c>
      <c r="J449" s="31">
        <f>_xlfn.XLOOKUP(SO[[#This Row],[Customer name]], Customer_master[Customer name], Customer_master[EOM or Net], 0)</f>
        <v>0</v>
      </c>
      <c r="K449" s="31">
        <f>_xlfn.XLOOKUP(SO[[#This Row],[Customer name]], Customer_master[Customer name], Customer_master[Terms days], 0)</f>
        <v>0</v>
      </c>
      <c r="L4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9" s="4"/>
      <c r="N449" s="46">
        <f>IF(SO[[#This Row],[Collection date - override (dd/mm/yyyy)]] &lt;&gt; "", SO[[#This Row],[Collection date - override (dd/mm/yyyy)]], SO[[#This Row],[Due date (dd/mm/yyyy)]])</f>
        <v>0</v>
      </c>
      <c r="O449" s="46">
        <f t="shared" si="6"/>
        <v>52</v>
      </c>
    </row>
    <row r="450" spans="3:15" x14ac:dyDescent="0.25">
      <c r="C450" s="24"/>
      <c r="D450" s="20"/>
      <c r="E450" s="4"/>
      <c r="F450" s="37"/>
      <c r="G450" s="24"/>
      <c r="H450" s="51">
        <f>Assumptions!$D$15</f>
        <v>0.1</v>
      </c>
      <c r="I450" s="45">
        <f>IF(SO[[#This Row],[GST applies?]] = "Yes", (SO[[#This Row],[Value inc. GST]] / 1 + SO[[#This Row],[GST %]]) * SO[[#This Row],[GST %]], 0)</f>
        <v>0</v>
      </c>
      <c r="J450" s="31">
        <f>_xlfn.XLOOKUP(SO[[#This Row],[Customer name]], Customer_master[Customer name], Customer_master[EOM or Net], 0)</f>
        <v>0</v>
      </c>
      <c r="K450" s="31">
        <f>_xlfn.XLOOKUP(SO[[#This Row],[Customer name]], Customer_master[Customer name], Customer_master[Terms days], 0)</f>
        <v>0</v>
      </c>
      <c r="L4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0" s="4"/>
      <c r="N450" s="46">
        <f>IF(SO[[#This Row],[Collection date - override (dd/mm/yyyy)]] &lt;&gt; "", SO[[#This Row],[Collection date - override (dd/mm/yyyy)]], SO[[#This Row],[Due date (dd/mm/yyyy)]])</f>
        <v>0</v>
      </c>
      <c r="O450" s="46">
        <f t="shared" si="6"/>
        <v>52</v>
      </c>
    </row>
    <row r="451" spans="3:15" x14ac:dyDescent="0.25">
      <c r="C451" s="24"/>
      <c r="D451" s="20"/>
      <c r="E451" s="4"/>
      <c r="F451" s="37"/>
      <c r="G451" s="24"/>
      <c r="H451" s="51">
        <f>Assumptions!$D$15</f>
        <v>0.1</v>
      </c>
      <c r="I451" s="45">
        <f>IF(SO[[#This Row],[GST applies?]] = "Yes", (SO[[#This Row],[Value inc. GST]] / 1 + SO[[#This Row],[GST %]]) * SO[[#This Row],[GST %]], 0)</f>
        <v>0</v>
      </c>
      <c r="J451" s="31">
        <f>_xlfn.XLOOKUP(SO[[#This Row],[Customer name]], Customer_master[Customer name], Customer_master[EOM or Net], 0)</f>
        <v>0</v>
      </c>
      <c r="K451" s="31">
        <f>_xlfn.XLOOKUP(SO[[#This Row],[Customer name]], Customer_master[Customer name], Customer_master[Terms days], 0)</f>
        <v>0</v>
      </c>
      <c r="L4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1" s="4"/>
      <c r="N451" s="46">
        <f>IF(SO[[#This Row],[Collection date - override (dd/mm/yyyy)]] &lt;&gt; "", SO[[#This Row],[Collection date - override (dd/mm/yyyy)]], SO[[#This Row],[Due date (dd/mm/yyyy)]])</f>
        <v>0</v>
      </c>
      <c r="O451" s="46">
        <f t="shared" si="6"/>
        <v>52</v>
      </c>
    </row>
    <row r="452" spans="3:15" x14ac:dyDescent="0.25">
      <c r="C452" s="24"/>
      <c r="D452" s="20"/>
      <c r="E452" s="4"/>
      <c r="F452" s="37"/>
      <c r="G452" s="24"/>
      <c r="H452" s="51">
        <f>Assumptions!$D$15</f>
        <v>0.1</v>
      </c>
      <c r="I452" s="45">
        <f>IF(SO[[#This Row],[GST applies?]] = "Yes", (SO[[#This Row],[Value inc. GST]] / 1 + SO[[#This Row],[GST %]]) * SO[[#This Row],[GST %]], 0)</f>
        <v>0</v>
      </c>
      <c r="J452" s="31">
        <f>_xlfn.XLOOKUP(SO[[#This Row],[Customer name]], Customer_master[Customer name], Customer_master[EOM or Net], 0)</f>
        <v>0</v>
      </c>
      <c r="K452" s="31">
        <f>_xlfn.XLOOKUP(SO[[#This Row],[Customer name]], Customer_master[Customer name], Customer_master[Terms days], 0)</f>
        <v>0</v>
      </c>
      <c r="L4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2" s="4"/>
      <c r="N452" s="46">
        <f>IF(SO[[#This Row],[Collection date - override (dd/mm/yyyy)]] &lt;&gt; "", SO[[#This Row],[Collection date - override (dd/mm/yyyy)]], SO[[#This Row],[Due date (dd/mm/yyyy)]])</f>
        <v>0</v>
      </c>
      <c r="O452" s="46">
        <f t="shared" si="6"/>
        <v>52</v>
      </c>
    </row>
    <row r="453" spans="3:15" x14ac:dyDescent="0.25">
      <c r="C453" s="24"/>
      <c r="D453" s="20"/>
      <c r="E453" s="4"/>
      <c r="F453" s="37"/>
      <c r="G453" s="24"/>
      <c r="H453" s="51">
        <f>Assumptions!$D$15</f>
        <v>0.1</v>
      </c>
      <c r="I453" s="45">
        <f>IF(SO[[#This Row],[GST applies?]] = "Yes", (SO[[#This Row],[Value inc. GST]] / 1 + SO[[#This Row],[GST %]]) * SO[[#This Row],[GST %]], 0)</f>
        <v>0</v>
      </c>
      <c r="J453" s="31">
        <f>_xlfn.XLOOKUP(SO[[#This Row],[Customer name]], Customer_master[Customer name], Customer_master[EOM or Net], 0)</f>
        <v>0</v>
      </c>
      <c r="K453" s="31">
        <f>_xlfn.XLOOKUP(SO[[#This Row],[Customer name]], Customer_master[Customer name], Customer_master[Terms days], 0)</f>
        <v>0</v>
      </c>
      <c r="L4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3" s="4"/>
      <c r="N453" s="46">
        <f>IF(SO[[#This Row],[Collection date - override (dd/mm/yyyy)]] &lt;&gt; "", SO[[#This Row],[Collection date - override (dd/mm/yyyy)]], SO[[#This Row],[Due date (dd/mm/yyyy)]])</f>
        <v>0</v>
      </c>
      <c r="O453" s="46">
        <f t="shared" si="6"/>
        <v>52</v>
      </c>
    </row>
    <row r="454" spans="3:15" x14ac:dyDescent="0.25">
      <c r="C454" s="24"/>
      <c r="D454" s="20"/>
      <c r="E454" s="4"/>
      <c r="F454" s="37"/>
      <c r="G454" s="24"/>
      <c r="H454" s="51">
        <f>Assumptions!$D$15</f>
        <v>0.1</v>
      </c>
      <c r="I454" s="45">
        <f>IF(SO[[#This Row],[GST applies?]] = "Yes", (SO[[#This Row],[Value inc. GST]] / 1 + SO[[#This Row],[GST %]]) * SO[[#This Row],[GST %]], 0)</f>
        <v>0</v>
      </c>
      <c r="J454" s="31">
        <f>_xlfn.XLOOKUP(SO[[#This Row],[Customer name]], Customer_master[Customer name], Customer_master[EOM or Net], 0)</f>
        <v>0</v>
      </c>
      <c r="K454" s="31">
        <f>_xlfn.XLOOKUP(SO[[#This Row],[Customer name]], Customer_master[Customer name], Customer_master[Terms days], 0)</f>
        <v>0</v>
      </c>
      <c r="L4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4" s="4"/>
      <c r="N454" s="46">
        <f>IF(SO[[#This Row],[Collection date - override (dd/mm/yyyy)]] &lt;&gt; "", SO[[#This Row],[Collection date - override (dd/mm/yyyy)]], SO[[#This Row],[Due date (dd/mm/yyyy)]])</f>
        <v>0</v>
      </c>
      <c r="O454" s="46">
        <f t="shared" si="6"/>
        <v>52</v>
      </c>
    </row>
    <row r="455" spans="3:15" x14ac:dyDescent="0.25">
      <c r="C455" s="24"/>
      <c r="D455" s="20"/>
      <c r="E455" s="4"/>
      <c r="F455" s="37"/>
      <c r="G455" s="24"/>
      <c r="H455" s="51">
        <f>Assumptions!$D$15</f>
        <v>0.1</v>
      </c>
      <c r="I455" s="45">
        <f>IF(SO[[#This Row],[GST applies?]] = "Yes", (SO[[#This Row],[Value inc. GST]] / 1 + SO[[#This Row],[GST %]]) * SO[[#This Row],[GST %]], 0)</f>
        <v>0</v>
      </c>
      <c r="J455" s="31">
        <f>_xlfn.XLOOKUP(SO[[#This Row],[Customer name]], Customer_master[Customer name], Customer_master[EOM or Net], 0)</f>
        <v>0</v>
      </c>
      <c r="K455" s="31">
        <f>_xlfn.XLOOKUP(SO[[#This Row],[Customer name]], Customer_master[Customer name], Customer_master[Terms days], 0)</f>
        <v>0</v>
      </c>
      <c r="L4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5" s="4"/>
      <c r="N455" s="46">
        <f>IF(SO[[#This Row],[Collection date - override (dd/mm/yyyy)]] &lt;&gt; "", SO[[#This Row],[Collection date - override (dd/mm/yyyy)]], SO[[#This Row],[Due date (dd/mm/yyyy)]])</f>
        <v>0</v>
      </c>
      <c r="O455" s="46">
        <f t="shared" si="6"/>
        <v>52</v>
      </c>
    </row>
    <row r="456" spans="3:15" x14ac:dyDescent="0.25">
      <c r="C456" s="24"/>
      <c r="D456" s="20"/>
      <c r="E456" s="4"/>
      <c r="F456" s="37"/>
      <c r="G456" s="24"/>
      <c r="H456" s="51">
        <f>Assumptions!$D$15</f>
        <v>0.1</v>
      </c>
      <c r="I456" s="45">
        <f>IF(SO[[#This Row],[GST applies?]] = "Yes", (SO[[#This Row],[Value inc. GST]] / 1 + SO[[#This Row],[GST %]]) * SO[[#This Row],[GST %]], 0)</f>
        <v>0</v>
      </c>
      <c r="J456" s="31">
        <f>_xlfn.XLOOKUP(SO[[#This Row],[Customer name]], Customer_master[Customer name], Customer_master[EOM or Net], 0)</f>
        <v>0</v>
      </c>
      <c r="K456" s="31">
        <f>_xlfn.XLOOKUP(SO[[#This Row],[Customer name]], Customer_master[Customer name], Customer_master[Terms days], 0)</f>
        <v>0</v>
      </c>
      <c r="L4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6" s="4"/>
      <c r="N456" s="46">
        <f>IF(SO[[#This Row],[Collection date - override (dd/mm/yyyy)]] &lt;&gt; "", SO[[#This Row],[Collection date - override (dd/mm/yyyy)]], SO[[#This Row],[Due date (dd/mm/yyyy)]])</f>
        <v>0</v>
      </c>
      <c r="O456" s="46">
        <f t="shared" si="6"/>
        <v>52</v>
      </c>
    </row>
    <row r="457" spans="3:15" x14ac:dyDescent="0.25">
      <c r="C457" s="24"/>
      <c r="D457" s="20"/>
      <c r="E457" s="4"/>
      <c r="F457" s="37"/>
      <c r="G457" s="24"/>
      <c r="H457" s="51">
        <f>Assumptions!$D$15</f>
        <v>0.1</v>
      </c>
      <c r="I457" s="45">
        <f>IF(SO[[#This Row],[GST applies?]] = "Yes", (SO[[#This Row],[Value inc. GST]] / 1 + SO[[#This Row],[GST %]]) * SO[[#This Row],[GST %]], 0)</f>
        <v>0</v>
      </c>
      <c r="J457" s="31">
        <f>_xlfn.XLOOKUP(SO[[#This Row],[Customer name]], Customer_master[Customer name], Customer_master[EOM or Net], 0)</f>
        <v>0</v>
      </c>
      <c r="K457" s="31">
        <f>_xlfn.XLOOKUP(SO[[#This Row],[Customer name]], Customer_master[Customer name], Customer_master[Terms days], 0)</f>
        <v>0</v>
      </c>
      <c r="L4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7" s="4"/>
      <c r="N457" s="46">
        <f>IF(SO[[#This Row],[Collection date - override (dd/mm/yyyy)]] &lt;&gt; "", SO[[#This Row],[Collection date - override (dd/mm/yyyy)]], SO[[#This Row],[Due date (dd/mm/yyyy)]])</f>
        <v>0</v>
      </c>
      <c r="O457" s="46">
        <f t="shared" ref="O457:O520" si="7">IF(GST_Freq="Monthly",
    DATE(YEAR(E457), MONTH(E457) + 1, 21),
    IF(GST_Freq="Quarterly",
        IF(MOD(MONTH(E457) + 2 - MOD(MOD(MONTH(E457) - GST_First_Month, 12), 3), 12) = 0,
            DATE(YEAR(E457), MONTH(E457) + 4 - MOD(MOD(MONTH(E457) - GST_First_Month, 12), 3), 28),
            DATE(YEAR(E457), MONTH(E457) + 3 - MOD(MOD(MONTH(E457) - GST_First_Month, 12), 3), 28)
        ),
        "Invalid frequency"
    )
)</f>
        <v>52</v>
      </c>
    </row>
    <row r="458" spans="3:15" x14ac:dyDescent="0.25">
      <c r="C458" s="24"/>
      <c r="D458" s="20"/>
      <c r="E458" s="4"/>
      <c r="F458" s="37"/>
      <c r="G458" s="24"/>
      <c r="H458" s="51">
        <f>Assumptions!$D$15</f>
        <v>0.1</v>
      </c>
      <c r="I458" s="45">
        <f>IF(SO[[#This Row],[GST applies?]] = "Yes", (SO[[#This Row],[Value inc. GST]] / 1 + SO[[#This Row],[GST %]]) * SO[[#This Row],[GST %]], 0)</f>
        <v>0</v>
      </c>
      <c r="J458" s="31">
        <f>_xlfn.XLOOKUP(SO[[#This Row],[Customer name]], Customer_master[Customer name], Customer_master[EOM or Net], 0)</f>
        <v>0</v>
      </c>
      <c r="K458" s="31">
        <f>_xlfn.XLOOKUP(SO[[#This Row],[Customer name]], Customer_master[Customer name], Customer_master[Terms days], 0)</f>
        <v>0</v>
      </c>
      <c r="L4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8" s="4"/>
      <c r="N458" s="46">
        <f>IF(SO[[#This Row],[Collection date - override (dd/mm/yyyy)]] &lt;&gt; "", SO[[#This Row],[Collection date - override (dd/mm/yyyy)]], SO[[#This Row],[Due date (dd/mm/yyyy)]])</f>
        <v>0</v>
      </c>
      <c r="O458" s="46">
        <f t="shared" si="7"/>
        <v>52</v>
      </c>
    </row>
    <row r="459" spans="3:15" x14ac:dyDescent="0.25">
      <c r="C459" s="24"/>
      <c r="D459" s="20"/>
      <c r="E459" s="4"/>
      <c r="F459" s="37"/>
      <c r="G459" s="24"/>
      <c r="H459" s="51">
        <f>Assumptions!$D$15</f>
        <v>0.1</v>
      </c>
      <c r="I459" s="45">
        <f>IF(SO[[#This Row],[GST applies?]] = "Yes", (SO[[#This Row],[Value inc. GST]] / 1 + SO[[#This Row],[GST %]]) * SO[[#This Row],[GST %]], 0)</f>
        <v>0</v>
      </c>
      <c r="J459" s="31">
        <f>_xlfn.XLOOKUP(SO[[#This Row],[Customer name]], Customer_master[Customer name], Customer_master[EOM or Net], 0)</f>
        <v>0</v>
      </c>
      <c r="K459" s="31">
        <f>_xlfn.XLOOKUP(SO[[#This Row],[Customer name]], Customer_master[Customer name], Customer_master[Terms days], 0)</f>
        <v>0</v>
      </c>
      <c r="L4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9" s="4"/>
      <c r="N459" s="46">
        <f>IF(SO[[#This Row],[Collection date - override (dd/mm/yyyy)]] &lt;&gt; "", SO[[#This Row],[Collection date - override (dd/mm/yyyy)]], SO[[#This Row],[Due date (dd/mm/yyyy)]])</f>
        <v>0</v>
      </c>
      <c r="O459" s="46">
        <f t="shared" si="7"/>
        <v>52</v>
      </c>
    </row>
    <row r="460" spans="3:15" x14ac:dyDescent="0.25">
      <c r="C460" s="24"/>
      <c r="D460" s="20"/>
      <c r="E460" s="4"/>
      <c r="F460" s="37"/>
      <c r="G460" s="24"/>
      <c r="H460" s="51">
        <f>Assumptions!$D$15</f>
        <v>0.1</v>
      </c>
      <c r="I460" s="45">
        <f>IF(SO[[#This Row],[GST applies?]] = "Yes", (SO[[#This Row],[Value inc. GST]] / 1 + SO[[#This Row],[GST %]]) * SO[[#This Row],[GST %]], 0)</f>
        <v>0</v>
      </c>
      <c r="J460" s="31">
        <f>_xlfn.XLOOKUP(SO[[#This Row],[Customer name]], Customer_master[Customer name], Customer_master[EOM or Net], 0)</f>
        <v>0</v>
      </c>
      <c r="K460" s="31">
        <f>_xlfn.XLOOKUP(SO[[#This Row],[Customer name]], Customer_master[Customer name], Customer_master[Terms days], 0)</f>
        <v>0</v>
      </c>
      <c r="L4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0" s="4"/>
      <c r="N460" s="46">
        <f>IF(SO[[#This Row],[Collection date - override (dd/mm/yyyy)]] &lt;&gt; "", SO[[#This Row],[Collection date - override (dd/mm/yyyy)]], SO[[#This Row],[Due date (dd/mm/yyyy)]])</f>
        <v>0</v>
      </c>
      <c r="O460" s="46">
        <f t="shared" si="7"/>
        <v>52</v>
      </c>
    </row>
    <row r="461" spans="3:15" x14ac:dyDescent="0.25">
      <c r="C461" s="24"/>
      <c r="D461" s="20"/>
      <c r="E461" s="4"/>
      <c r="F461" s="37"/>
      <c r="G461" s="24"/>
      <c r="H461" s="51">
        <f>Assumptions!$D$15</f>
        <v>0.1</v>
      </c>
      <c r="I461" s="45">
        <f>IF(SO[[#This Row],[GST applies?]] = "Yes", (SO[[#This Row],[Value inc. GST]] / 1 + SO[[#This Row],[GST %]]) * SO[[#This Row],[GST %]], 0)</f>
        <v>0</v>
      </c>
      <c r="J461" s="31">
        <f>_xlfn.XLOOKUP(SO[[#This Row],[Customer name]], Customer_master[Customer name], Customer_master[EOM or Net], 0)</f>
        <v>0</v>
      </c>
      <c r="K461" s="31">
        <f>_xlfn.XLOOKUP(SO[[#This Row],[Customer name]], Customer_master[Customer name], Customer_master[Terms days], 0)</f>
        <v>0</v>
      </c>
      <c r="L4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1" s="4"/>
      <c r="N461" s="46">
        <f>IF(SO[[#This Row],[Collection date - override (dd/mm/yyyy)]] &lt;&gt; "", SO[[#This Row],[Collection date - override (dd/mm/yyyy)]], SO[[#This Row],[Due date (dd/mm/yyyy)]])</f>
        <v>0</v>
      </c>
      <c r="O461" s="46">
        <f t="shared" si="7"/>
        <v>52</v>
      </c>
    </row>
    <row r="462" spans="3:15" x14ac:dyDescent="0.25">
      <c r="C462" s="24"/>
      <c r="D462" s="20"/>
      <c r="E462" s="4"/>
      <c r="F462" s="37"/>
      <c r="G462" s="24"/>
      <c r="H462" s="51">
        <f>Assumptions!$D$15</f>
        <v>0.1</v>
      </c>
      <c r="I462" s="45">
        <f>IF(SO[[#This Row],[GST applies?]] = "Yes", (SO[[#This Row],[Value inc. GST]] / 1 + SO[[#This Row],[GST %]]) * SO[[#This Row],[GST %]], 0)</f>
        <v>0</v>
      </c>
      <c r="J462" s="31">
        <f>_xlfn.XLOOKUP(SO[[#This Row],[Customer name]], Customer_master[Customer name], Customer_master[EOM or Net], 0)</f>
        <v>0</v>
      </c>
      <c r="K462" s="31">
        <f>_xlfn.XLOOKUP(SO[[#This Row],[Customer name]], Customer_master[Customer name], Customer_master[Terms days], 0)</f>
        <v>0</v>
      </c>
      <c r="L4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2" s="4"/>
      <c r="N462" s="46">
        <f>IF(SO[[#This Row],[Collection date - override (dd/mm/yyyy)]] &lt;&gt; "", SO[[#This Row],[Collection date - override (dd/mm/yyyy)]], SO[[#This Row],[Due date (dd/mm/yyyy)]])</f>
        <v>0</v>
      </c>
      <c r="O462" s="46">
        <f t="shared" si="7"/>
        <v>52</v>
      </c>
    </row>
    <row r="463" spans="3:15" x14ac:dyDescent="0.25">
      <c r="C463" s="24"/>
      <c r="D463" s="20"/>
      <c r="E463" s="4"/>
      <c r="F463" s="37"/>
      <c r="G463" s="24"/>
      <c r="H463" s="51">
        <f>Assumptions!$D$15</f>
        <v>0.1</v>
      </c>
      <c r="I463" s="45">
        <f>IF(SO[[#This Row],[GST applies?]] = "Yes", (SO[[#This Row],[Value inc. GST]] / 1 + SO[[#This Row],[GST %]]) * SO[[#This Row],[GST %]], 0)</f>
        <v>0</v>
      </c>
      <c r="J463" s="31">
        <f>_xlfn.XLOOKUP(SO[[#This Row],[Customer name]], Customer_master[Customer name], Customer_master[EOM or Net], 0)</f>
        <v>0</v>
      </c>
      <c r="K463" s="31">
        <f>_xlfn.XLOOKUP(SO[[#This Row],[Customer name]], Customer_master[Customer name], Customer_master[Terms days], 0)</f>
        <v>0</v>
      </c>
      <c r="L4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3" s="4"/>
      <c r="N463" s="46">
        <f>IF(SO[[#This Row],[Collection date - override (dd/mm/yyyy)]] &lt;&gt; "", SO[[#This Row],[Collection date - override (dd/mm/yyyy)]], SO[[#This Row],[Due date (dd/mm/yyyy)]])</f>
        <v>0</v>
      </c>
      <c r="O463" s="46">
        <f t="shared" si="7"/>
        <v>52</v>
      </c>
    </row>
    <row r="464" spans="3:15" x14ac:dyDescent="0.25">
      <c r="C464" s="24"/>
      <c r="D464" s="20"/>
      <c r="E464" s="4"/>
      <c r="F464" s="37"/>
      <c r="G464" s="24"/>
      <c r="H464" s="51">
        <f>Assumptions!$D$15</f>
        <v>0.1</v>
      </c>
      <c r="I464" s="45">
        <f>IF(SO[[#This Row],[GST applies?]] = "Yes", (SO[[#This Row],[Value inc. GST]] / 1 + SO[[#This Row],[GST %]]) * SO[[#This Row],[GST %]], 0)</f>
        <v>0</v>
      </c>
      <c r="J464" s="31">
        <f>_xlfn.XLOOKUP(SO[[#This Row],[Customer name]], Customer_master[Customer name], Customer_master[EOM or Net], 0)</f>
        <v>0</v>
      </c>
      <c r="K464" s="31">
        <f>_xlfn.XLOOKUP(SO[[#This Row],[Customer name]], Customer_master[Customer name], Customer_master[Terms days], 0)</f>
        <v>0</v>
      </c>
      <c r="L4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4" s="4"/>
      <c r="N464" s="46">
        <f>IF(SO[[#This Row],[Collection date - override (dd/mm/yyyy)]] &lt;&gt; "", SO[[#This Row],[Collection date - override (dd/mm/yyyy)]], SO[[#This Row],[Due date (dd/mm/yyyy)]])</f>
        <v>0</v>
      </c>
      <c r="O464" s="46">
        <f t="shared" si="7"/>
        <v>52</v>
      </c>
    </row>
    <row r="465" spans="3:15" x14ac:dyDescent="0.25">
      <c r="C465" s="24"/>
      <c r="D465" s="20"/>
      <c r="E465" s="4"/>
      <c r="F465" s="37"/>
      <c r="G465" s="24"/>
      <c r="H465" s="51">
        <f>Assumptions!$D$15</f>
        <v>0.1</v>
      </c>
      <c r="I465" s="45">
        <f>IF(SO[[#This Row],[GST applies?]] = "Yes", (SO[[#This Row],[Value inc. GST]] / 1 + SO[[#This Row],[GST %]]) * SO[[#This Row],[GST %]], 0)</f>
        <v>0</v>
      </c>
      <c r="J465" s="31">
        <f>_xlfn.XLOOKUP(SO[[#This Row],[Customer name]], Customer_master[Customer name], Customer_master[EOM or Net], 0)</f>
        <v>0</v>
      </c>
      <c r="K465" s="31">
        <f>_xlfn.XLOOKUP(SO[[#This Row],[Customer name]], Customer_master[Customer name], Customer_master[Terms days], 0)</f>
        <v>0</v>
      </c>
      <c r="L4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5" s="4"/>
      <c r="N465" s="46">
        <f>IF(SO[[#This Row],[Collection date - override (dd/mm/yyyy)]] &lt;&gt; "", SO[[#This Row],[Collection date - override (dd/mm/yyyy)]], SO[[#This Row],[Due date (dd/mm/yyyy)]])</f>
        <v>0</v>
      </c>
      <c r="O465" s="46">
        <f t="shared" si="7"/>
        <v>52</v>
      </c>
    </row>
    <row r="466" spans="3:15" x14ac:dyDescent="0.25">
      <c r="C466" s="24"/>
      <c r="D466" s="20"/>
      <c r="E466" s="4"/>
      <c r="F466" s="37"/>
      <c r="G466" s="24"/>
      <c r="H466" s="51">
        <f>Assumptions!$D$15</f>
        <v>0.1</v>
      </c>
      <c r="I466" s="45">
        <f>IF(SO[[#This Row],[GST applies?]] = "Yes", (SO[[#This Row],[Value inc. GST]] / 1 + SO[[#This Row],[GST %]]) * SO[[#This Row],[GST %]], 0)</f>
        <v>0</v>
      </c>
      <c r="J466" s="31">
        <f>_xlfn.XLOOKUP(SO[[#This Row],[Customer name]], Customer_master[Customer name], Customer_master[EOM or Net], 0)</f>
        <v>0</v>
      </c>
      <c r="K466" s="31">
        <f>_xlfn.XLOOKUP(SO[[#This Row],[Customer name]], Customer_master[Customer name], Customer_master[Terms days], 0)</f>
        <v>0</v>
      </c>
      <c r="L4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6" s="4"/>
      <c r="N466" s="46">
        <f>IF(SO[[#This Row],[Collection date - override (dd/mm/yyyy)]] &lt;&gt; "", SO[[#This Row],[Collection date - override (dd/mm/yyyy)]], SO[[#This Row],[Due date (dd/mm/yyyy)]])</f>
        <v>0</v>
      </c>
      <c r="O466" s="46">
        <f t="shared" si="7"/>
        <v>52</v>
      </c>
    </row>
    <row r="467" spans="3:15" x14ac:dyDescent="0.25">
      <c r="C467" s="24"/>
      <c r="D467" s="20"/>
      <c r="E467" s="4"/>
      <c r="F467" s="37"/>
      <c r="G467" s="24"/>
      <c r="H467" s="51">
        <f>Assumptions!$D$15</f>
        <v>0.1</v>
      </c>
      <c r="I467" s="45">
        <f>IF(SO[[#This Row],[GST applies?]] = "Yes", (SO[[#This Row],[Value inc. GST]] / 1 + SO[[#This Row],[GST %]]) * SO[[#This Row],[GST %]], 0)</f>
        <v>0</v>
      </c>
      <c r="J467" s="31">
        <f>_xlfn.XLOOKUP(SO[[#This Row],[Customer name]], Customer_master[Customer name], Customer_master[EOM or Net], 0)</f>
        <v>0</v>
      </c>
      <c r="K467" s="31">
        <f>_xlfn.XLOOKUP(SO[[#This Row],[Customer name]], Customer_master[Customer name], Customer_master[Terms days], 0)</f>
        <v>0</v>
      </c>
      <c r="L4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7" s="4"/>
      <c r="N467" s="46">
        <f>IF(SO[[#This Row],[Collection date - override (dd/mm/yyyy)]] &lt;&gt; "", SO[[#This Row],[Collection date - override (dd/mm/yyyy)]], SO[[#This Row],[Due date (dd/mm/yyyy)]])</f>
        <v>0</v>
      </c>
      <c r="O467" s="46">
        <f t="shared" si="7"/>
        <v>52</v>
      </c>
    </row>
    <row r="468" spans="3:15" x14ac:dyDescent="0.25">
      <c r="C468" s="24"/>
      <c r="D468" s="20"/>
      <c r="E468" s="4"/>
      <c r="F468" s="37"/>
      <c r="G468" s="24"/>
      <c r="H468" s="51">
        <f>Assumptions!$D$15</f>
        <v>0.1</v>
      </c>
      <c r="I468" s="45">
        <f>IF(SO[[#This Row],[GST applies?]] = "Yes", (SO[[#This Row],[Value inc. GST]] / 1 + SO[[#This Row],[GST %]]) * SO[[#This Row],[GST %]], 0)</f>
        <v>0</v>
      </c>
      <c r="J468" s="31">
        <f>_xlfn.XLOOKUP(SO[[#This Row],[Customer name]], Customer_master[Customer name], Customer_master[EOM or Net], 0)</f>
        <v>0</v>
      </c>
      <c r="K468" s="31">
        <f>_xlfn.XLOOKUP(SO[[#This Row],[Customer name]], Customer_master[Customer name], Customer_master[Terms days], 0)</f>
        <v>0</v>
      </c>
      <c r="L4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8" s="4"/>
      <c r="N468" s="46">
        <f>IF(SO[[#This Row],[Collection date - override (dd/mm/yyyy)]] &lt;&gt; "", SO[[#This Row],[Collection date - override (dd/mm/yyyy)]], SO[[#This Row],[Due date (dd/mm/yyyy)]])</f>
        <v>0</v>
      </c>
      <c r="O468" s="46">
        <f t="shared" si="7"/>
        <v>52</v>
      </c>
    </row>
    <row r="469" spans="3:15" x14ac:dyDescent="0.25">
      <c r="C469" s="24"/>
      <c r="D469" s="20"/>
      <c r="E469" s="4"/>
      <c r="F469" s="37"/>
      <c r="G469" s="24"/>
      <c r="H469" s="51">
        <f>Assumptions!$D$15</f>
        <v>0.1</v>
      </c>
      <c r="I469" s="45">
        <f>IF(SO[[#This Row],[GST applies?]] = "Yes", (SO[[#This Row],[Value inc. GST]] / 1 + SO[[#This Row],[GST %]]) * SO[[#This Row],[GST %]], 0)</f>
        <v>0</v>
      </c>
      <c r="J469" s="31">
        <f>_xlfn.XLOOKUP(SO[[#This Row],[Customer name]], Customer_master[Customer name], Customer_master[EOM or Net], 0)</f>
        <v>0</v>
      </c>
      <c r="K469" s="31">
        <f>_xlfn.XLOOKUP(SO[[#This Row],[Customer name]], Customer_master[Customer name], Customer_master[Terms days], 0)</f>
        <v>0</v>
      </c>
      <c r="L4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9" s="4"/>
      <c r="N469" s="46">
        <f>IF(SO[[#This Row],[Collection date - override (dd/mm/yyyy)]] &lt;&gt; "", SO[[#This Row],[Collection date - override (dd/mm/yyyy)]], SO[[#This Row],[Due date (dd/mm/yyyy)]])</f>
        <v>0</v>
      </c>
      <c r="O469" s="46">
        <f t="shared" si="7"/>
        <v>52</v>
      </c>
    </row>
    <row r="470" spans="3:15" x14ac:dyDescent="0.25">
      <c r="C470" s="24"/>
      <c r="D470" s="20"/>
      <c r="E470" s="4"/>
      <c r="F470" s="37"/>
      <c r="G470" s="24"/>
      <c r="H470" s="51">
        <f>Assumptions!$D$15</f>
        <v>0.1</v>
      </c>
      <c r="I470" s="45">
        <f>IF(SO[[#This Row],[GST applies?]] = "Yes", (SO[[#This Row],[Value inc. GST]] / 1 + SO[[#This Row],[GST %]]) * SO[[#This Row],[GST %]], 0)</f>
        <v>0</v>
      </c>
      <c r="J470" s="31">
        <f>_xlfn.XLOOKUP(SO[[#This Row],[Customer name]], Customer_master[Customer name], Customer_master[EOM or Net], 0)</f>
        <v>0</v>
      </c>
      <c r="K470" s="31">
        <f>_xlfn.XLOOKUP(SO[[#This Row],[Customer name]], Customer_master[Customer name], Customer_master[Terms days], 0)</f>
        <v>0</v>
      </c>
      <c r="L4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0" s="4"/>
      <c r="N470" s="46">
        <f>IF(SO[[#This Row],[Collection date - override (dd/mm/yyyy)]] &lt;&gt; "", SO[[#This Row],[Collection date - override (dd/mm/yyyy)]], SO[[#This Row],[Due date (dd/mm/yyyy)]])</f>
        <v>0</v>
      </c>
      <c r="O470" s="46">
        <f t="shared" si="7"/>
        <v>52</v>
      </c>
    </row>
    <row r="471" spans="3:15" x14ac:dyDescent="0.25">
      <c r="C471" s="24"/>
      <c r="D471" s="20"/>
      <c r="E471" s="4"/>
      <c r="F471" s="37"/>
      <c r="G471" s="24"/>
      <c r="H471" s="51">
        <f>Assumptions!$D$15</f>
        <v>0.1</v>
      </c>
      <c r="I471" s="45">
        <f>IF(SO[[#This Row],[GST applies?]] = "Yes", (SO[[#This Row],[Value inc. GST]] / 1 + SO[[#This Row],[GST %]]) * SO[[#This Row],[GST %]], 0)</f>
        <v>0</v>
      </c>
      <c r="J471" s="31">
        <f>_xlfn.XLOOKUP(SO[[#This Row],[Customer name]], Customer_master[Customer name], Customer_master[EOM or Net], 0)</f>
        <v>0</v>
      </c>
      <c r="K471" s="31">
        <f>_xlfn.XLOOKUP(SO[[#This Row],[Customer name]], Customer_master[Customer name], Customer_master[Terms days], 0)</f>
        <v>0</v>
      </c>
      <c r="L4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1" s="4"/>
      <c r="N471" s="46">
        <f>IF(SO[[#This Row],[Collection date - override (dd/mm/yyyy)]] &lt;&gt; "", SO[[#This Row],[Collection date - override (dd/mm/yyyy)]], SO[[#This Row],[Due date (dd/mm/yyyy)]])</f>
        <v>0</v>
      </c>
      <c r="O471" s="46">
        <f t="shared" si="7"/>
        <v>52</v>
      </c>
    </row>
    <row r="472" spans="3:15" x14ac:dyDescent="0.25">
      <c r="C472" s="24"/>
      <c r="D472" s="20"/>
      <c r="E472" s="4"/>
      <c r="F472" s="37"/>
      <c r="G472" s="24"/>
      <c r="H472" s="51">
        <f>Assumptions!$D$15</f>
        <v>0.1</v>
      </c>
      <c r="I472" s="45">
        <f>IF(SO[[#This Row],[GST applies?]] = "Yes", (SO[[#This Row],[Value inc. GST]] / 1 + SO[[#This Row],[GST %]]) * SO[[#This Row],[GST %]], 0)</f>
        <v>0</v>
      </c>
      <c r="J472" s="31">
        <f>_xlfn.XLOOKUP(SO[[#This Row],[Customer name]], Customer_master[Customer name], Customer_master[EOM or Net], 0)</f>
        <v>0</v>
      </c>
      <c r="K472" s="31">
        <f>_xlfn.XLOOKUP(SO[[#This Row],[Customer name]], Customer_master[Customer name], Customer_master[Terms days], 0)</f>
        <v>0</v>
      </c>
      <c r="L4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2" s="4"/>
      <c r="N472" s="46">
        <f>IF(SO[[#This Row],[Collection date - override (dd/mm/yyyy)]] &lt;&gt; "", SO[[#This Row],[Collection date - override (dd/mm/yyyy)]], SO[[#This Row],[Due date (dd/mm/yyyy)]])</f>
        <v>0</v>
      </c>
      <c r="O472" s="46">
        <f t="shared" si="7"/>
        <v>52</v>
      </c>
    </row>
    <row r="473" spans="3:15" x14ac:dyDescent="0.25">
      <c r="C473" s="24"/>
      <c r="D473" s="20"/>
      <c r="E473" s="4"/>
      <c r="F473" s="37"/>
      <c r="G473" s="24"/>
      <c r="H473" s="51">
        <f>Assumptions!$D$15</f>
        <v>0.1</v>
      </c>
      <c r="I473" s="45">
        <f>IF(SO[[#This Row],[GST applies?]] = "Yes", (SO[[#This Row],[Value inc. GST]] / 1 + SO[[#This Row],[GST %]]) * SO[[#This Row],[GST %]], 0)</f>
        <v>0</v>
      </c>
      <c r="J473" s="31">
        <f>_xlfn.XLOOKUP(SO[[#This Row],[Customer name]], Customer_master[Customer name], Customer_master[EOM or Net], 0)</f>
        <v>0</v>
      </c>
      <c r="K473" s="31">
        <f>_xlfn.XLOOKUP(SO[[#This Row],[Customer name]], Customer_master[Customer name], Customer_master[Terms days], 0)</f>
        <v>0</v>
      </c>
      <c r="L4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3" s="4"/>
      <c r="N473" s="46">
        <f>IF(SO[[#This Row],[Collection date - override (dd/mm/yyyy)]] &lt;&gt; "", SO[[#This Row],[Collection date - override (dd/mm/yyyy)]], SO[[#This Row],[Due date (dd/mm/yyyy)]])</f>
        <v>0</v>
      </c>
      <c r="O473" s="46">
        <f t="shared" si="7"/>
        <v>52</v>
      </c>
    </row>
    <row r="474" spans="3:15" x14ac:dyDescent="0.25">
      <c r="C474" s="24"/>
      <c r="D474" s="20"/>
      <c r="E474" s="4"/>
      <c r="F474" s="37"/>
      <c r="G474" s="24"/>
      <c r="H474" s="51">
        <f>Assumptions!$D$15</f>
        <v>0.1</v>
      </c>
      <c r="I474" s="45">
        <f>IF(SO[[#This Row],[GST applies?]] = "Yes", (SO[[#This Row],[Value inc. GST]] / 1 + SO[[#This Row],[GST %]]) * SO[[#This Row],[GST %]], 0)</f>
        <v>0</v>
      </c>
      <c r="J474" s="31">
        <f>_xlfn.XLOOKUP(SO[[#This Row],[Customer name]], Customer_master[Customer name], Customer_master[EOM or Net], 0)</f>
        <v>0</v>
      </c>
      <c r="K474" s="31">
        <f>_xlfn.XLOOKUP(SO[[#This Row],[Customer name]], Customer_master[Customer name], Customer_master[Terms days], 0)</f>
        <v>0</v>
      </c>
      <c r="L4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4" s="4"/>
      <c r="N474" s="46">
        <f>IF(SO[[#This Row],[Collection date - override (dd/mm/yyyy)]] &lt;&gt; "", SO[[#This Row],[Collection date - override (dd/mm/yyyy)]], SO[[#This Row],[Due date (dd/mm/yyyy)]])</f>
        <v>0</v>
      </c>
      <c r="O474" s="46">
        <f t="shared" si="7"/>
        <v>52</v>
      </c>
    </row>
    <row r="475" spans="3:15" x14ac:dyDescent="0.25">
      <c r="C475" s="24"/>
      <c r="D475" s="20"/>
      <c r="E475" s="4"/>
      <c r="F475" s="37"/>
      <c r="G475" s="24"/>
      <c r="H475" s="51">
        <f>Assumptions!$D$15</f>
        <v>0.1</v>
      </c>
      <c r="I475" s="45">
        <f>IF(SO[[#This Row],[GST applies?]] = "Yes", (SO[[#This Row],[Value inc. GST]] / 1 + SO[[#This Row],[GST %]]) * SO[[#This Row],[GST %]], 0)</f>
        <v>0</v>
      </c>
      <c r="J475" s="31">
        <f>_xlfn.XLOOKUP(SO[[#This Row],[Customer name]], Customer_master[Customer name], Customer_master[EOM or Net], 0)</f>
        <v>0</v>
      </c>
      <c r="K475" s="31">
        <f>_xlfn.XLOOKUP(SO[[#This Row],[Customer name]], Customer_master[Customer name], Customer_master[Terms days], 0)</f>
        <v>0</v>
      </c>
      <c r="L4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5" s="4"/>
      <c r="N475" s="46">
        <f>IF(SO[[#This Row],[Collection date - override (dd/mm/yyyy)]] &lt;&gt; "", SO[[#This Row],[Collection date - override (dd/mm/yyyy)]], SO[[#This Row],[Due date (dd/mm/yyyy)]])</f>
        <v>0</v>
      </c>
      <c r="O475" s="46">
        <f t="shared" si="7"/>
        <v>52</v>
      </c>
    </row>
    <row r="476" spans="3:15" x14ac:dyDescent="0.25">
      <c r="C476" s="24"/>
      <c r="D476" s="20"/>
      <c r="E476" s="4"/>
      <c r="F476" s="37"/>
      <c r="G476" s="24"/>
      <c r="H476" s="51">
        <f>Assumptions!$D$15</f>
        <v>0.1</v>
      </c>
      <c r="I476" s="45">
        <f>IF(SO[[#This Row],[GST applies?]] = "Yes", (SO[[#This Row],[Value inc. GST]] / 1 + SO[[#This Row],[GST %]]) * SO[[#This Row],[GST %]], 0)</f>
        <v>0</v>
      </c>
      <c r="J476" s="31">
        <f>_xlfn.XLOOKUP(SO[[#This Row],[Customer name]], Customer_master[Customer name], Customer_master[EOM or Net], 0)</f>
        <v>0</v>
      </c>
      <c r="K476" s="31">
        <f>_xlfn.XLOOKUP(SO[[#This Row],[Customer name]], Customer_master[Customer name], Customer_master[Terms days], 0)</f>
        <v>0</v>
      </c>
      <c r="L4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6" s="4"/>
      <c r="N476" s="46">
        <f>IF(SO[[#This Row],[Collection date - override (dd/mm/yyyy)]] &lt;&gt; "", SO[[#This Row],[Collection date - override (dd/mm/yyyy)]], SO[[#This Row],[Due date (dd/mm/yyyy)]])</f>
        <v>0</v>
      </c>
      <c r="O476" s="46">
        <f t="shared" si="7"/>
        <v>52</v>
      </c>
    </row>
    <row r="477" spans="3:15" x14ac:dyDescent="0.25">
      <c r="C477" s="24"/>
      <c r="D477" s="20"/>
      <c r="E477" s="4"/>
      <c r="F477" s="37"/>
      <c r="G477" s="24"/>
      <c r="H477" s="51">
        <f>Assumptions!$D$15</f>
        <v>0.1</v>
      </c>
      <c r="I477" s="45">
        <f>IF(SO[[#This Row],[GST applies?]] = "Yes", (SO[[#This Row],[Value inc. GST]] / 1 + SO[[#This Row],[GST %]]) * SO[[#This Row],[GST %]], 0)</f>
        <v>0</v>
      </c>
      <c r="J477" s="31">
        <f>_xlfn.XLOOKUP(SO[[#This Row],[Customer name]], Customer_master[Customer name], Customer_master[EOM or Net], 0)</f>
        <v>0</v>
      </c>
      <c r="K477" s="31">
        <f>_xlfn.XLOOKUP(SO[[#This Row],[Customer name]], Customer_master[Customer name], Customer_master[Terms days], 0)</f>
        <v>0</v>
      </c>
      <c r="L4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7" s="4"/>
      <c r="N477" s="46">
        <f>IF(SO[[#This Row],[Collection date - override (dd/mm/yyyy)]] &lt;&gt; "", SO[[#This Row],[Collection date - override (dd/mm/yyyy)]], SO[[#This Row],[Due date (dd/mm/yyyy)]])</f>
        <v>0</v>
      </c>
      <c r="O477" s="46">
        <f t="shared" si="7"/>
        <v>52</v>
      </c>
    </row>
    <row r="478" spans="3:15" x14ac:dyDescent="0.25">
      <c r="C478" s="24"/>
      <c r="D478" s="20"/>
      <c r="E478" s="4"/>
      <c r="F478" s="37"/>
      <c r="G478" s="24"/>
      <c r="H478" s="51">
        <f>Assumptions!$D$15</f>
        <v>0.1</v>
      </c>
      <c r="I478" s="45">
        <f>IF(SO[[#This Row],[GST applies?]] = "Yes", (SO[[#This Row],[Value inc. GST]] / 1 + SO[[#This Row],[GST %]]) * SO[[#This Row],[GST %]], 0)</f>
        <v>0</v>
      </c>
      <c r="J478" s="31">
        <f>_xlfn.XLOOKUP(SO[[#This Row],[Customer name]], Customer_master[Customer name], Customer_master[EOM or Net], 0)</f>
        <v>0</v>
      </c>
      <c r="K478" s="31">
        <f>_xlfn.XLOOKUP(SO[[#This Row],[Customer name]], Customer_master[Customer name], Customer_master[Terms days], 0)</f>
        <v>0</v>
      </c>
      <c r="L4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8" s="4"/>
      <c r="N478" s="46">
        <f>IF(SO[[#This Row],[Collection date - override (dd/mm/yyyy)]] &lt;&gt; "", SO[[#This Row],[Collection date - override (dd/mm/yyyy)]], SO[[#This Row],[Due date (dd/mm/yyyy)]])</f>
        <v>0</v>
      </c>
      <c r="O478" s="46">
        <f t="shared" si="7"/>
        <v>52</v>
      </c>
    </row>
    <row r="479" spans="3:15" x14ac:dyDescent="0.25">
      <c r="C479" s="24"/>
      <c r="D479" s="20"/>
      <c r="E479" s="4"/>
      <c r="F479" s="37"/>
      <c r="G479" s="24"/>
      <c r="H479" s="51">
        <f>Assumptions!$D$15</f>
        <v>0.1</v>
      </c>
      <c r="I479" s="45">
        <f>IF(SO[[#This Row],[GST applies?]] = "Yes", (SO[[#This Row],[Value inc. GST]] / 1 + SO[[#This Row],[GST %]]) * SO[[#This Row],[GST %]], 0)</f>
        <v>0</v>
      </c>
      <c r="J479" s="31">
        <f>_xlfn.XLOOKUP(SO[[#This Row],[Customer name]], Customer_master[Customer name], Customer_master[EOM or Net], 0)</f>
        <v>0</v>
      </c>
      <c r="K479" s="31">
        <f>_xlfn.XLOOKUP(SO[[#This Row],[Customer name]], Customer_master[Customer name], Customer_master[Terms days], 0)</f>
        <v>0</v>
      </c>
      <c r="L4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9" s="4"/>
      <c r="N479" s="46">
        <f>IF(SO[[#This Row],[Collection date - override (dd/mm/yyyy)]] &lt;&gt; "", SO[[#This Row],[Collection date - override (dd/mm/yyyy)]], SO[[#This Row],[Due date (dd/mm/yyyy)]])</f>
        <v>0</v>
      </c>
      <c r="O479" s="46">
        <f t="shared" si="7"/>
        <v>52</v>
      </c>
    </row>
    <row r="480" spans="3:15" x14ac:dyDescent="0.25">
      <c r="C480" s="24"/>
      <c r="D480" s="20"/>
      <c r="E480" s="4"/>
      <c r="F480" s="37"/>
      <c r="G480" s="24"/>
      <c r="H480" s="51">
        <f>Assumptions!$D$15</f>
        <v>0.1</v>
      </c>
      <c r="I480" s="45">
        <f>IF(SO[[#This Row],[GST applies?]] = "Yes", (SO[[#This Row],[Value inc. GST]] / 1 + SO[[#This Row],[GST %]]) * SO[[#This Row],[GST %]], 0)</f>
        <v>0</v>
      </c>
      <c r="J480" s="31">
        <f>_xlfn.XLOOKUP(SO[[#This Row],[Customer name]], Customer_master[Customer name], Customer_master[EOM or Net], 0)</f>
        <v>0</v>
      </c>
      <c r="K480" s="31">
        <f>_xlfn.XLOOKUP(SO[[#This Row],[Customer name]], Customer_master[Customer name], Customer_master[Terms days], 0)</f>
        <v>0</v>
      </c>
      <c r="L4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0" s="4"/>
      <c r="N480" s="46">
        <f>IF(SO[[#This Row],[Collection date - override (dd/mm/yyyy)]] &lt;&gt; "", SO[[#This Row],[Collection date - override (dd/mm/yyyy)]], SO[[#This Row],[Due date (dd/mm/yyyy)]])</f>
        <v>0</v>
      </c>
      <c r="O480" s="46">
        <f t="shared" si="7"/>
        <v>52</v>
      </c>
    </row>
    <row r="481" spans="3:15" x14ac:dyDescent="0.25">
      <c r="C481" s="24"/>
      <c r="D481" s="20"/>
      <c r="E481" s="4"/>
      <c r="F481" s="37"/>
      <c r="G481" s="24"/>
      <c r="H481" s="51">
        <f>Assumptions!$D$15</f>
        <v>0.1</v>
      </c>
      <c r="I481" s="45">
        <f>IF(SO[[#This Row],[GST applies?]] = "Yes", (SO[[#This Row],[Value inc. GST]] / 1 + SO[[#This Row],[GST %]]) * SO[[#This Row],[GST %]], 0)</f>
        <v>0</v>
      </c>
      <c r="J481" s="31">
        <f>_xlfn.XLOOKUP(SO[[#This Row],[Customer name]], Customer_master[Customer name], Customer_master[EOM or Net], 0)</f>
        <v>0</v>
      </c>
      <c r="K481" s="31">
        <f>_xlfn.XLOOKUP(SO[[#This Row],[Customer name]], Customer_master[Customer name], Customer_master[Terms days], 0)</f>
        <v>0</v>
      </c>
      <c r="L4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1" s="4"/>
      <c r="N481" s="46">
        <f>IF(SO[[#This Row],[Collection date - override (dd/mm/yyyy)]] &lt;&gt; "", SO[[#This Row],[Collection date - override (dd/mm/yyyy)]], SO[[#This Row],[Due date (dd/mm/yyyy)]])</f>
        <v>0</v>
      </c>
      <c r="O481" s="46">
        <f t="shared" si="7"/>
        <v>52</v>
      </c>
    </row>
    <row r="482" spans="3:15" x14ac:dyDescent="0.25">
      <c r="C482" s="24"/>
      <c r="D482" s="20"/>
      <c r="E482" s="4"/>
      <c r="F482" s="37"/>
      <c r="G482" s="24"/>
      <c r="H482" s="51">
        <f>Assumptions!$D$15</f>
        <v>0.1</v>
      </c>
      <c r="I482" s="45">
        <f>IF(SO[[#This Row],[GST applies?]] = "Yes", (SO[[#This Row],[Value inc. GST]] / 1 + SO[[#This Row],[GST %]]) * SO[[#This Row],[GST %]], 0)</f>
        <v>0</v>
      </c>
      <c r="J482" s="31">
        <f>_xlfn.XLOOKUP(SO[[#This Row],[Customer name]], Customer_master[Customer name], Customer_master[EOM or Net], 0)</f>
        <v>0</v>
      </c>
      <c r="K482" s="31">
        <f>_xlfn.XLOOKUP(SO[[#This Row],[Customer name]], Customer_master[Customer name], Customer_master[Terms days], 0)</f>
        <v>0</v>
      </c>
      <c r="L4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2" s="4"/>
      <c r="N482" s="46">
        <f>IF(SO[[#This Row],[Collection date - override (dd/mm/yyyy)]] &lt;&gt; "", SO[[#This Row],[Collection date - override (dd/mm/yyyy)]], SO[[#This Row],[Due date (dd/mm/yyyy)]])</f>
        <v>0</v>
      </c>
      <c r="O482" s="46">
        <f t="shared" si="7"/>
        <v>52</v>
      </c>
    </row>
    <row r="483" spans="3:15" x14ac:dyDescent="0.25">
      <c r="C483" s="24"/>
      <c r="D483" s="20"/>
      <c r="E483" s="4"/>
      <c r="F483" s="37"/>
      <c r="G483" s="24"/>
      <c r="H483" s="51">
        <f>Assumptions!$D$15</f>
        <v>0.1</v>
      </c>
      <c r="I483" s="45">
        <f>IF(SO[[#This Row],[GST applies?]] = "Yes", (SO[[#This Row],[Value inc. GST]] / 1 + SO[[#This Row],[GST %]]) * SO[[#This Row],[GST %]], 0)</f>
        <v>0</v>
      </c>
      <c r="J483" s="31">
        <f>_xlfn.XLOOKUP(SO[[#This Row],[Customer name]], Customer_master[Customer name], Customer_master[EOM or Net], 0)</f>
        <v>0</v>
      </c>
      <c r="K483" s="31">
        <f>_xlfn.XLOOKUP(SO[[#This Row],[Customer name]], Customer_master[Customer name], Customer_master[Terms days], 0)</f>
        <v>0</v>
      </c>
      <c r="L4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3" s="4"/>
      <c r="N483" s="46">
        <f>IF(SO[[#This Row],[Collection date - override (dd/mm/yyyy)]] &lt;&gt; "", SO[[#This Row],[Collection date - override (dd/mm/yyyy)]], SO[[#This Row],[Due date (dd/mm/yyyy)]])</f>
        <v>0</v>
      </c>
      <c r="O483" s="46">
        <f t="shared" si="7"/>
        <v>52</v>
      </c>
    </row>
    <row r="484" spans="3:15" x14ac:dyDescent="0.25">
      <c r="C484" s="24"/>
      <c r="D484" s="20"/>
      <c r="E484" s="4"/>
      <c r="F484" s="37"/>
      <c r="G484" s="24"/>
      <c r="H484" s="51">
        <f>Assumptions!$D$15</f>
        <v>0.1</v>
      </c>
      <c r="I484" s="45">
        <f>IF(SO[[#This Row],[GST applies?]] = "Yes", (SO[[#This Row],[Value inc. GST]] / 1 + SO[[#This Row],[GST %]]) * SO[[#This Row],[GST %]], 0)</f>
        <v>0</v>
      </c>
      <c r="J484" s="31">
        <f>_xlfn.XLOOKUP(SO[[#This Row],[Customer name]], Customer_master[Customer name], Customer_master[EOM or Net], 0)</f>
        <v>0</v>
      </c>
      <c r="K484" s="31">
        <f>_xlfn.XLOOKUP(SO[[#This Row],[Customer name]], Customer_master[Customer name], Customer_master[Terms days], 0)</f>
        <v>0</v>
      </c>
      <c r="L4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4" s="4"/>
      <c r="N484" s="46">
        <f>IF(SO[[#This Row],[Collection date - override (dd/mm/yyyy)]] &lt;&gt; "", SO[[#This Row],[Collection date - override (dd/mm/yyyy)]], SO[[#This Row],[Due date (dd/mm/yyyy)]])</f>
        <v>0</v>
      </c>
      <c r="O484" s="46">
        <f t="shared" si="7"/>
        <v>52</v>
      </c>
    </row>
    <row r="485" spans="3:15" x14ac:dyDescent="0.25">
      <c r="C485" s="24"/>
      <c r="D485" s="20"/>
      <c r="E485" s="4"/>
      <c r="F485" s="37"/>
      <c r="G485" s="24"/>
      <c r="H485" s="51">
        <f>Assumptions!$D$15</f>
        <v>0.1</v>
      </c>
      <c r="I485" s="45">
        <f>IF(SO[[#This Row],[GST applies?]] = "Yes", (SO[[#This Row],[Value inc. GST]] / 1 + SO[[#This Row],[GST %]]) * SO[[#This Row],[GST %]], 0)</f>
        <v>0</v>
      </c>
      <c r="J485" s="31">
        <f>_xlfn.XLOOKUP(SO[[#This Row],[Customer name]], Customer_master[Customer name], Customer_master[EOM or Net], 0)</f>
        <v>0</v>
      </c>
      <c r="K485" s="31">
        <f>_xlfn.XLOOKUP(SO[[#This Row],[Customer name]], Customer_master[Customer name], Customer_master[Terms days], 0)</f>
        <v>0</v>
      </c>
      <c r="L4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5" s="4"/>
      <c r="N485" s="46">
        <f>IF(SO[[#This Row],[Collection date - override (dd/mm/yyyy)]] &lt;&gt; "", SO[[#This Row],[Collection date - override (dd/mm/yyyy)]], SO[[#This Row],[Due date (dd/mm/yyyy)]])</f>
        <v>0</v>
      </c>
      <c r="O485" s="46">
        <f t="shared" si="7"/>
        <v>52</v>
      </c>
    </row>
    <row r="486" spans="3:15" x14ac:dyDescent="0.25">
      <c r="C486" s="24"/>
      <c r="D486" s="20"/>
      <c r="E486" s="4"/>
      <c r="F486" s="37"/>
      <c r="G486" s="24"/>
      <c r="H486" s="51">
        <f>Assumptions!$D$15</f>
        <v>0.1</v>
      </c>
      <c r="I486" s="45">
        <f>IF(SO[[#This Row],[GST applies?]] = "Yes", (SO[[#This Row],[Value inc. GST]] / 1 + SO[[#This Row],[GST %]]) * SO[[#This Row],[GST %]], 0)</f>
        <v>0</v>
      </c>
      <c r="J486" s="31">
        <f>_xlfn.XLOOKUP(SO[[#This Row],[Customer name]], Customer_master[Customer name], Customer_master[EOM or Net], 0)</f>
        <v>0</v>
      </c>
      <c r="K486" s="31">
        <f>_xlfn.XLOOKUP(SO[[#This Row],[Customer name]], Customer_master[Customer name], Customer_master[Terms days], 0)</f>
        <v>0</v>
      </c>
      <c r="L4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6" s="4"/>
      <c r="N486" s="46">
        <f>IF(SO[[#This Row],[Collection date - override (dd/mm/yyyy)]] &lt;&gt; "", SO[[#This Row],[Collection date - override (dd/mm/yyyy)]], SO[[#This Row],[Due date (dd/mm/yyyy)]])</f>
        <v>0</v>
      </c>
      <c r="O486" s="46">
        <f t="shared" si="7"/>
        <v>52</v>
      </c>
    </row>
    <row r="487" spans="3:15" x14ac:dyDescent="0.25">
      <c r="C487" s="24"/>
      <c r="D487" s="20"/>
      <c r="E487" s="4"/>
      <c r="F487" s="37"/>
      <c r="G487" s="24"/>
      <c r="H487" s="51">
        <f>Assumptions!$D$15</f>
        <v>0.1</v>
      </c>
      <c r="I487" s="45">
        <f>IF(SO[[#This Row],[GST applies?]] = "Yes", (SO[[#This Row],[Value inc. GST]] / 1 + SO[[#This Row],[GST %]]) * SO[[#This Row],[GST %]], 0)</f>
        <v>0</v>
      </c>
      <c r="J487" s="31">
        <f>_xlfn.XLOOKUP(SO[[#This Row],[Customer name]], Customer_master[Customer name], Customer_master[EOM or Net], 0)</f>
        <v>0</v>
      </c>
      <c r="K487" s="31">
        <f>_xlfn.XLOOKUP(SO[[#This Row],[Customer name]], Customer_master[Customer name], Customer_master[Terms days], 0)</f>
        <v>0</v>
      </c>
      <c r="L4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7" s="4"/>
      <c r="N487" s="46">
        <f>IF(SO[[#This Row],[Collection date - override (dd/mm/yyyy)]] &lt;&gt; "", SO[[#This Row],[Collection date - override (dd/mm/yyyy)]], SO[[#This Row],[Due date (dd/mm/yyyy)]])</f>
        <v>0</v>
      </c>
      <c r="O487" s="46">
        <f t="shared" si="7"/>
        <v>52</v>
      </c>
    </row>
    <row r="488" spans="3:15" x14ac:dyDescent="0.25">
      <c r="C488" s="24"/>
      <c r="D488" s="20"/>
      <c r="E488" s="4"/>
      <c r="F488" s="37"/>
      <c r="G488" s="24"/>
      <c r="H488" s="51">
        <f>Assumptions!$D$15</f>
        <v>0.1</v>
      </c>
      <c r="I488" s="45">
        <f>IF(SO[[#This Row],[GST applies?]] = "Yes", (SO[[#This Row],[Value inc. GST]] / 1 + SO[[#This Row],[GST %]]) * SO[[#This Row],[GST %]], 0)</f>
        <v>0</v>
      </c>
      <c r="J488" s="31">
        <f>_xlfn.XLOOKUP(SO[[#This Row],[Customer name]], Customer_master[Customer name], Customer_master[EOM or Net], 0)</f>
        <v>0</v>
      </c>
      <c r="K488" s="31">
        <f>_xlfn.XLOOKUP(SO[[#This Row],[Customer name]], Customer_master[Customer name], Customer_master[Terms days], 0)</f>
        <v>0</v>
      </c>
      <c r="L4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8" s="4"/>
      <c r="N488" s="46">
        <f>IF(SO[[#This Row],[Collection date - override (dd/mm/yyyy)]] &lt;&gt; "", SO[[#This Row],[Collection date - override (dd/mm/yyyy)]], SO[[#This Row],[Due date (dd/mm/yyyy)]])</f>
        <v>0</v>
      </c>
      <c r="O488" s="46">
        <f t="shared" si="7"/>
        <v>52</v>
      </c>
    </row>
    <row r="489" spans="3:15" x14ac:dyDescent="0.25">
      <c r="C489" s="24"/>
      <c r="D489" s="20"/>
      <c r="E489" s="4"/>
      <c r="F489" s="37"/>
      <c r="G489" s="24"/>
      <c r="H489" s="51">
        <f>Assumptions!$D$15</f>
        <v>0.1</v>
      </c>
      <c r="I489" s="45">
        <f>IF(SO[[#This Row],[GST applies?]] = "Yes", (SO[[#This Row],[Value inc. GST]] / 1 + SO[[#This Row],[GST %]]) * SO[[#This Row],[GST %]], 0)</f>
        <v>0</v>
      </c>
      <c r="J489" s="31">
        <f>_xlfn.XLOOKUP(SO[[#This Row],[Customer name]], Customer_master[Customer name], Customer_master[EOM or Net], 0)</f>
        <v>0</v>
      </c>
      <c r="K489" s="31">
        <f>_xlfn.XLOOKUP(SO[[#This Row],[Customer name]], Customer_master[Customer name], Customer_master[Terms days], 0)</f>
        <v>0</v>
      </c>
      <c r="L4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9" s="4"/>
      <c r="N489" s="46">
        <f>IF(SO[[#This Row],[Collection date - override (dd/mm/yyyy)]] &lt;&gt; "", SO[[#This Row],[Collection date - override (dd/mm/yyyy)]], SO[[#This Row],[Due date (dd/mm/yyyy)]])</f>
        <v>0</v>
      </c>
      <c r="O489" s="46">
        <f t="shared" si="7"/>
        <v>52</v>
      </c>
    </row>
    <row r="490" spans="3:15" x14ac:dyDescent="0.25">
      <c r="C490" s="24"/>
      <c r="D490" s="20"/>
      <c r="E490" s="4"/>
      <c r="F490" s="37"/>
      <c r="G490" s="24"/>
      <c r="H490" s="51">
        <f>Assumptions!$D$15</f>
        <v>0.1</v>
      </c>
      <c r="I490" s="45">
        <f>IF(SO[[#This Row],[GST applies?]] = "Yes", (SO[[#This Row],[Value inc. GST]] / 1 + SO[[#This Row],[GST %]]) * SO[[#This Row],[GST %]], 0)</f>
        <v>0</v>
      </c>
      <c r="J490" s="31">
        <f>_xlfn.XLOOKUP(SO[[#This Row],[Customer name]], Customer_master[Customer name], Customer_master[EOM or Net], 0)</f>
        <v>0</v>
      </c>
      <c r="K490" s="31">
        <f>_xlfn.XLOOKUP(SO[[#This Row],[Customer name]], Customer_master[Customer name], Customer_master[Terms days], 0)</f>
        <v>0</v>
      </c>
      <c r="L4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0" s="4"/>
      <c r="N490" s="46">
        <f>IF(SO[[#This Row],[Collection date - override (dd/mm/yyyy)]] &lt;&gt; "", SO[[#This Row],[Collection date - override (dd/mm/yyyy)]], SO[[#This Row],[Due date (dd/mm/yyyy)]])</f>
        <v>0</v>
      </c>
      <c r="O490" s="46">
        <f t="shared" si="7"/>
        <v>52</v>
      </c>
    </row>
    <row r="491" spans="3:15" x14ac:dyDescent="0.25">
      <c r="C491" s="24"/>
      <c r="D491" s="20"/>
      <c r="E491" s="4"/>
      <c r="F491" s="37"/>
      <c r="G491" s="24"/>
      <c r="H491" s="51">
        <f>Assumptions!$D$15</f>
        <v>0.1</v>
      </c>
      <c r="I491" s="45">
        <f>IF(SO[[#This Row],[GST applies?]] = "Yes", (SO[[#This Row],[Value inc. GST]] / 1 + SO[[#This Row],[GST %]]) * SO[[#This Row],[GST %]], 0)</f>
        <v>0</v>
      </c>
      <c r="J491" s="31">
        <f>_xlfn.XLOOKUP(SO[[#This Row],[Customer name]], Customer_master[Customer name], Customer_master[EOM or Net], 0)</f>
        <v>0</v>
      </c>
      <c r="K491" s="31">
        <f>_xlfn.XLOOKUP(SO[[#This Row],[Customer name]], Customer_master[Customer name], Customer_master[Terms days], 0)</f>
        <v>0</v>
      </c>
      <c r="L4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1" s="4"/>
      <c r="N491" s="46">
        <f>IF(SO[[#This Row],[Collection date - override (dd/mm/yyyy)]] &lt;&gt; "", SO[[#This Row],[Collection date - override (dd/mm/yyyy)]], SO[[#This Row],[Due date (dd/mm/yyyy)]])</f>
        <v>0</v>
      </c>
      <c r="O491" s="46">
        <f t="shared" si="7"/>
        <v>52</v>
      </c>
    </row>
    <row r="492" spans="3:15" x14ac:dyDescent="0.25">
      <c r="C492" s="24"/>
      <c r="D492" s="20"/>
      <c r="E492" s="4"/>
      <c r="F492" s="37"/>
      <c r="G492" s="24"/>
      <c r="H492" s="51">
        <f>Assumptions!$D$15</f>
        <v>0.1</v>
      </c>
      <c r="I492" s="45">
        <f>IF(SO[[#This Row],[GST applies?]] = "Yes", (SO[[#This Row],[Value inc. GST]] / 1 + SO[[#This Row],[GST %]]) * SO[[#This Row],[GST %]], 0)</f>
        <v>0</v>
      </c>
      <c r="J492" s="31">
        <f>_xlfn.XLOOKUP(SO[[#This Row],[Customer name]], Customer_master[Customer name], Customer_master[EOM or Net], 0)</f>
        <v>0</v>
      </c>
      <c r="K492" s="31">
        <f>_xlfn.XLOOKUP(SO[[#This Row],[Customer name]], Customer_master[Customer name], Customer_master[Terms days], 0)</f>
        <v>0</v>
      </c>
      <c r="L4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2" s="4"/>
      <c r="N492" s="46">
        <f>IF(SO[[#This Row],[Collection date - override (dd/mm/yyyy)]] &lt;&gt; "", SO[[#This Row],[Collection date - override (dd/mm/yyyy)]], SO[[#This Row],[Due date (dd/mm/yyyy)]])</f>
        <v>0</v>
      </c>
      <c r="O492" s="46">
        <f t="shared" si="7"/>
        <v>52</v>
      </c>
    </row>
    <row r="493" spans="3:15" x14ac:dyDescent="0.25">
      <c r="C493" s="24"/>
      <c r="D493" s="20"/>
      <c r="E493" s="4"/>
      <c r="F493" s="37"/>
      <c r="G493" s="24"/>
      <c r="H493" s="51">
        <f>Assumptions!$D$15</f>
        <v>0.1</v>
      </c>
      <c r="I493" s="45">
        <f>IF(SO[[#This Row],[GST applies?]] = "Yes", (SO[[#This Row],[Value inc. GST]] / 1 + SO[[#This Row],[GST %]]) * SO[[#This Row],[GST %]], 0)</f>
        <v>0</v>
      </c>
      <c r="J493" s="31">
        <f>_xlfn.XLOOKUP(SO[[#This Row],[Customer name]], Customer_master[Customer name], Customer_master[EOM or Net], 0)</f>
        <v>0</v>
      </c>
      <c r="K493" s="31">
        <f>_xlfn.XLOOKUP(SO[[#This Row],[Customer name]], Customer_master[Customer name], Customer_master[Terms days], 0)</f>
        <v>0</v>
      </c>
      <c r="L4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3" s="4"/>
      <c r="N493" s="46">
        <f>IF(SO[[#This Row],[Collection date - override (dd/mm/yyyy)]] &lt;&gt; "", SO[[#This Row],[Collection date - override (dd/mm/yyyy)]], SO[[#This Row],[Due date (dd/mm/yyyy)]])</f>
        <v>0</v>
      </c>
      <c r="O493" s="46">
        <f t="shared" si="7"/>
        <v>52</v>
      </c>
    </row>
    <row r="494" spans="3:15" x14ac:dyDescent="0.25">
      <c r="C494" s="24"/>
      <c r="D494" s="20"/>
      <c r="E494" s="4"/>
      <c r="F494" s="37"/>
      <c r="G494" s="24"/>
      <c r="H494" s="51">
        <f>Assumptions!$D$15</f>
        <v>0.1</v>
      </c>
      <c r="I494" s="45">
        <f>IF(SO[[#This Row],[GST applies?]] = "Yes", (SO[[#This Row],[Value inc. GST]] / 1 + SO[[#This Row],[GST %]]) * SO[[#This Row],[GST %]], 0)</f>
        <v>0</v>
      </c>
      <c r="J494" s="31">
        <f>_xlfn.XLOOKUP(SO[[#This Row],[Customer name]], Customer_master[Customer name], Customer_master[EOM or Net], 0)</f>
        <v>0</v>
      </c>
      <c r="K494" s="31">
        <f>_xlfn.XLOOKUP(SO[[#This Row],[Customer name]], Customer_master[Customer name], Customer_master[Terms days], 0)</f>
        <v>0</v>
      </c>
      <c r="L4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4" s="4"/>
      <c r="N494" s="46">
        <f>IF(SO[[#This Row],[Collection date - override (dd/mm/yyyy)]] &lt;&gt; "", SO[[#This Row],[Collection date - override (dd/mm/yyyy)]], SO[[#This Row],[Due date (dd/mm/yyyy)]])</f>
        <v>0</v>
      </c>
      <c r="O494" s="46">
        <f t="shared" si="7"/>
        <v>52</v>
      </c>
    </row>
    <row r="495" spans="3:15" x14ac:dyDescent="0.25">
      <c r="C495" s="24"/>
      <c r="D495" s="20"/>
      <c r="E495" s="4"/>
      <c r="F495" s="37"/>
      <c r="G495" s="24"/>
      <c r="H495" s="51">
        <f>Assumptions!$D$15</f>
        <v>0.1</v>
      </c>
      <c r="I495" s="45">
        <f>IF(SO[[#This Row],[GST applies?]] = "Yes", (SO[[#This Row],[Value inc. GST]] / 1 + SO[[#This Row],[GST %]]) * SO[[#This Row],[GST %]], 0)</f>
        <v>0</v>
      </c>
      <c r="J495" s="31">
        <f>_xlfn.XLOOKUP(SO[[#This Row],[Customer name]], Customer_master[Customer name], Customer_master[EOM or Net], 0)</f>
        <v>0</v>
      </c>
      <c r="K495" s="31">
        <f>_xlfn.XLOOKUP(SO[[#This Row],[Customer name]], Customer_master[Customer name], Customer_master[Terms days], 0)</f>
        <v>0</v>
      </c>
      <c r="L4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5" s="4"/>
      <c r="N495" s="46">
        <f>IF(SO[[#This Row],[Collection date - override (dd/mm/yyyy)]] &lt;&gt; "", SO[[#This Row],[Collection date - override (dd/mm/yyyy)]], SO[[#This Row],[Due date (dd/mm/yyyy)]])</f>
        <v>0</v>
      </c>
      <c r="O495" s="46">
        <f t="shared" si="7"/>
        <v>52</v>
      </c>
    </row>
    <row r="496" spans="3:15" x14ac:dyDescent="0.25">
      <c r="C496" s="24"/>
      <c r="D496" s="20"/>
      <c r="E496" s="4"/>
      <c r="F496" s="37"/>
      <c r="G496" s="24"/>
      <c r="H496" s="51">
        <f>Assumptions!$D$15</f>
        <v>0.1</v>
      </c>
      <c r="I496" s="45">
        <f>IF(SO[[#This Row],[GST applies?]] = "Yes", (SO[[#This Row],[Value inc. GST]] / 1 + SO[[#This Row],[GST %]]) * SO[[#This Row],[GST %]], 0)</f>
        <v>0</v>
      </c>
      <c r="J496" s="31">
        <f>_xlfn.XLOOKUP(SO[[#This Row],[Customer name]], Customer_master[Customer name], Customer_master[EOM or Net], 0)</f>
        <v>0</v>
      </c>
      <c r="K496" s="31">
        <f>_xlfn.XLOOKUP(SO[[#This Row],[Customer name]], Customer_master[Customer name], Customer_master[Terms days], 0)</f>
        <v>0</v>
      </c>
      <c r="L4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6" s="4"/>
      <c r="N496" s="46">
        <f>IF(SO[[#This Row],[Collection date - override (dd/mm/yyyy)]] &lt;&gt; "", SO[[#This Row],[Collection date - override (dd/mm/yyyy)]], SO[[#This Row],[Due date (dd/mm/yyyy)]])</f>
        <v>0</v>
      </c>
      <c r="O496" s="46">
        <f t="shared" si="7"/>
        <v>52</v>
      </c>
    </row>
    <row r="497" spans="3:15" x14ac:dyDescent="0.25">
      <c r="C497" s="24"/>
      <c r="D497" s="20"/>
      <c r="E497" s="4"/>
      <c r="F497" s="37"/>
      <c r="G497" s="24"/>
      <c r="H497" s="51">
        <f>Assumptions!$D$15</f>
        <v>0.1</v>
      </c>
      <c r="I497" s="45">
        <f>IF(SO[[#This Row],[GST applies?]] = "Yes", (SO[[#This Row],[Value inc. GST]] / 1 + SO[[#This Row],[GST %]]) * SO[[#This Row],[GST %]], 0)</f>
        <v>0</v>
      </c>
      <c r="J497" s="31">
        <f>_xlfn.XLOOKUP(SO[[#This Row],[Customer name]], Customer_master[Customer name], Customer_master[EOM or Net], 0)</f>
        <v>0</v>
      </c>
      <c r="K497" s="31">
        <f>_xlfn.XLOOKUP(SO[[#This Row],[Customer name]], Customer_master[Customer name], Customer_master[Terms days], 0)</f>
        <v>0</v>
      </c>
      <c r="L4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7" s="4"/>
      <c r="N497" s="46">
        <f>IF(SO[[#This Row],[Collection date - override (dd/mm/yyyy)]] &lt;&gt; "", SO[[#This Row],[Collection date - override (dd/mm/yyyy)]], SO[[#This Row],[Due date (dd/mm/yyyy)]])</f>
        <v>0</v>
      </c>
      <c r="O497" s="46">
        <f t="shared" si="7"/>
        <v>52</v>
      </c>
    </row>
    <row r="498" spans="3:15" x14ac:dyDescent="0.25">
      <c r="C498" s="24"/>
      <c r="D498" s="20"/>
      <c r="E498" s="4"/>
      <c r="F498" s="37"/>
      <c r="G498" s="24"/>
      <c r="H498" s="51">
        <f>Assumptions!$D$15</f>
        <v>0.1</v>
      </c>
      <c r="I498" s="45">
        <f>IF(SO[[#This Row],[GST applies?]] = "Yes", (SO[[#This Row],[Value inc. GST]] / 1 + SO[[#This Row],[GST %]]) * SO[[#This Row],[GST %]], 0)</f>
        <v>0</v>
      </c>
      <c r="J498" s="31">
        <f>_xlfn.XLOOKUP(SO[[#This Row],[Customer name]], Customer_master[Customer name], Customer_master[EOM or Net], 0)</f>
        <v>0</v>
      </c>
      <c r="K498" s="31">
        <f>_xlfn.XLOOKUP(SO[[#This Row],[Customer name]], Customer_master[Customer name], Customer_master[Terms days], 0)</f>
        <v>0</v>
      </c>
      <c r="L4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8" s="4"/>
      <c r="N498" s="46">
        <f>IF(SO[[#This Row],[Collection date - override (dd/mm/yyyy)]] &lt;&gt; "", SO[[#This Row],[Collection date - override (dd/mm/yyyy)]], SO[[#This Row],[Due date (dd/mm/yyyy)]])</f>
        <v>0</v>
      </c>
      <c r="O498" s="46">
        <f t="shared" si="7"/>
        <v>52</v>
      </c>
    </row>
    <row r="499" spans="3:15" x14ac:dyDescent="0.25">
      <c r="C499" s="24"/>
      <c r="D499" s="20"/>
      <c r="E499" s="4"/>
      <c r="F499" s="37"/>
      <c r="G499" s="24"/>
      <c r="H499" s="51">
        <f>Assumptions!$D$15</f>
        <v>0.1</v>
      </c>
      <c r="I499" s="45">
        <f>IF(SO[[#This Row],[GST applies?]] = "Yes", (SO[[#This Row],[Value inc. GST]] / 1 + SO[[#This Row],[GST %]]) * SO[[#This Row],[GST %]], 0)</f>
        <v>0</v>
      </c>
      <c r="J499" s="31">
        <f>_xlfn.XLOOKUP(SO[[#This Row],[Customer name]], Customer_master[Customer name], Customer_master[EOM or Net], 0)</f>
        <v>0</v>
      </c>
      <c r="K499" s="31">
        <f>_xlfn.XLOOKUP(SO[[#This Row],[Customer name]], Customer_master[Customer name], Customer_master[Terms days], 0)</f>
        <v>0</v>
      </c>
      <c r="L4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9" s="4"/>
      <c r="N499" s="46">
        <f>IF(SO[[#This Row],[Collection date - override (dd/mm/yyyy)]] &lt;&gt; "", SO[[#This Row],[Collection date - override (dd/mm/yyyy)]], SO[[#This Row],[Due date (dd/mm/yyyy)]])</f>
        <v>0</v>
      </c>
      <c r="O499" s="46">
        <f t="shared" si="7"/>
        <v>52</v>
      </c>
    </row>
    <row r="500" spans="3:15" x14ac:dyDescent="0.25">
      <c r="C500" s="24"/>
      <c r="D500" s="20"/>
      <c r="E500" s="4"/>
      <c r="F500" s="37"/>
      <c r="G500" s="24"/>
      <c r="H500" s="51">
        <f>Assumptions!$D$15</f>
        <v>0.1</v>
      </c>
      <c r="I500" s="45">
        <f>IF(SO[[#This Row],[GST applies?]] = "Yes", (SO[[#This Row],[Value inc. GST]] / 1 + SO[[#This Row],[GST %]]) * SO[[#This Row],[GST %]], 0)</f>
        <v>0</v>
      </c>
      <c r="J500" s="31">
        <f>_xlfn.XLOOKUP(SO[[#This Row],[Customer name]], Customer_master[Customer name], Customer_master[EOM or Net], 0)</f>
        <v>0</v>
      </c>
      <c r="K500" s="31">
        <f>_xlfn.XLOOKUP(SO[[#This Row],[Customer name]], Customer_master[Customer name], Customer_master[Terms days], 0)</f>
        <v>0</v>
      </c>
      <c r="L5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0" s="4"/>
      <c r="N500" s="46">
        <f>IF(SO[[#This Row],[Collection date - override (dd/mm/yyyy)]] &lt;&gt; "", SO[[#This Row],[Collection date - override (dd/mm/yyyy)]], SO[[#This Row],[Due date (dd/mm/yyyy)]])</f>
        <v>0</v>
      </c>
      <c r="O500" s="46">
        <f t="shared" si="7"/>
        <v>52</v>
      </c>
    </row>
    <row r="501" spans="3:15" x14ac:dyDescent="0.25">
      <c r="C501" s="24"/>
      <c r="D501" s="20"/>
      <c r="E501" s="4"/>
      <c r="F501" s="37"/>
      <c r="G501" s="24"/>
      <c r="H501" s="51">
        <f>Assumptions!$D$15</f>
        <v>0.1</v>
      </c>
      <c r="I501" s="45">
        <f>IF(SO[[#This Row],[GST applies?]] = "Yes", (SO[[#This Row],[Value inc. GST]] / 1 + SO[[#This Row],[GST %]]) * SO[[#This Row],[GST %]], 0)</f>
        <v>0</v>
      </c>
      <c r="J501" s="31">
        <f>_xlfn.XLOOKUP(SO[[#This Row],[Customer name]], Customer_master[Customer name], Customer_master[EOM or Net], 0)</f>
        <v>0</v>
      </c>
      <c r="K501" s="31">
        <f>_xlfn.XLOOKUP(SO[[#This Row],[Customer name]], Customer_master[Customer name], Customer_master[Terms days], 0)</f>
        <v>0</v>
      </c>
      <c r="L5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1" s="4"/>
      <c r="N501" s="46">
        <f>IF(SO[[#This Row],[Collection date - override (dd/mm/yyyy)]] &lt;&gt; "", SO[[#This Row],[Collection date - override (dd/mm/yyyy)]], SO[[#This Row],[Due date (dd/mm/yyyy)]])</f>
        <v>0</v>
      </c>
      <c r="O501" s="46">
        <f t="shared" si="7"/>
        <v>52</v>
      </c>
    </row>
    <row r="502" spans="3:15" x14ac:dyDescent="0.25">
      <c r="C502" s="24"/>
      <c r="D502" s="20"/>
      <c r="E502" s="4"/>
      <c r="F502" s="37"/>
      <c r="G502" s="24"/>
      <c r="H502" s="51">
        <f>Assumptions!$D$15</f>
        <v>0.1</v>
      </c>
      <c r="I502" s="45">
        <f>IF(SO[[#This Row],[GST applies?]] = "Yes", (SO[[#This Row],[Value inc. GST]] / 1 + SO[[#This Row],[GST %]]) * SO[[#This Row],[GST %]], 0)</f>
        <v>0</v>
      </c>
      <c r="J502" s="31">
        <f>_xlfn.XLOOKUP(SO[[#This Row],[Customer name]], Customer_master[Customer name], Customer_master[EOM or Net], 0)</f>
        <v>0</v>
      </c>
      <c r="K502" s="31">
        <f>_xlfn.XLOOKUP(SO[[#This Row],[Customer name]], Customer_master[Customer name], Customer_master[Terms days], 0)</f>
        <v>0</v>
      </c>
      <c r="L5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2" s="4"/>
      <c r="N502" s="46">
        <f>IF(SO[[#This Row],[Collection date - override (dd/mm/yyyy)]] &lt;&gt; "", SO[[#This Row],[Collection date - override (dd/mm/yyyy)]], SO[[#This Row],[Due date (dd/mm/yyyy)]])</f>
        <v>0</v>
      </c>
      <c r="O502" s="46">
        <f t="shared" si="7"/>
        <v>52</v>
      </c>
    </row>
    <row r="503" spans="3:15" x14ac:dyDescent="0.25">
      <c r="C503" s="24"/>
      <c r="D503" s="20"/>
      <c r="E503" s="4"/>
      <c r="F503" s="37"/>
      <c r="G503" s="24"/>
      <c r="H503" s="51">
        <f>Assumptions!$D$15</f>
        <v>0.1</v>
      </c>
      <c r="I503" s="45">
        <f>IF(SO[[#This Row],[GST applies?]] = "Yes", (SO[[#This Row],[Value inc. GST]] / 1 + SO[[#This Row],[GST %]]) * SO[[#This Row],[GST %]], 0)</f>
        <v>0</v>
      </c>
      <c r="J503" s="31">
        <f>_xlfn.XLOOKUP(SO[[#This Row],[Customer name]], Customer_master[Customer name], Customer_master[EOM or Net], 0)</f>
        <v>0</v>
      </c>
      <c r="K503" s="31">
        <f>_xlfn.XLOOKUP(SO[[#This Row],[Customer name]], Customer_master[Customer name], Customer_master[Terms days], 0)</f>
        <v>0</v>
      </c>
      <c r="L5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3" s="4"/>
      <c r="N503" s="46">
        <f>IF(SO[[#This Row],[Collection date - override (dd/mm/yyyy)]] &lt;&gt; "", SO[[#This Row],[Collection date - override (dd/mm/yyyy)]], SO[[#This Row],[Due date (dd/mm/yyyy)]])</f>
        <v>0</v>
      </c>
      <c r="O503" s="46">
        <f t="shared" si="7"/>
        <v>52</v>
      </c>
    </row>
    <row r="504" spans="3:15" x14ac:dyDescent="0.25">
      <c r="C504" s="24"/>
      <c r="D504" s="20"/>
      <c r="E504" s="4"/>
      <c r="F504" s="37"/>
      <c r="G504" s="24"/>
      <c r="H504" s="51">
        <f>Assumptions!$D$15</f>
        <v>0.1</v>
      </c>
      <c r="I504" s="45">
        <f>IF(SO[[#This Row],[GST applies?]] = "Yes", (SO[[#This Row],[Value inc. GST]] / 1 + SO[[#This Row],[GST %]]) * SO[[#This Row],[GST %]], 0)</f>
        <v>0</v>
      </c>
      <c r="J504" s="31">
        <f>_xlfn.XLOOKUP(SO[[#This Row],[Customer name]], Customer_master[Customer name], Customer_master[EOM or Net], 0)</f>
        <v>0</v>
      </c>
      <c r="K504" s="31">
        <f>_xlfn.XLOOKUP(SO[[#This Row],[Customer name]], Customer_master[Customer name], Customer_master[Terms days], 0)</f>
        <v>0</v>
      </c>
      <c r="L5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4" s="4"/>
      <c r="N504" s="46">
        <f>IF(SO[[#This Row],[Collection date - override (dd/mm/yyyy)]] &lt;&gt; "", SO[[#This Row],[Collection date - override (dd/mm/yyyy)]], SO[[#This Row],[Due date (dd/mm/yyyy)]])</f>
        <v>0</v>
      </c>
      <c r="O504" s="46">
        <f t="shared" si="7"/>
        <v>52</v>
      </c>
    </row>
    <row r="505" spans="3:15" x14ac:dyDescent="0.25">
      <c r="C505" s="24"/>
      <c r="D505" s="20"/>
      <c r="E505" s="4"/>
      <c r="F505" s="37"/>
      <c r="G505" s="24"/>
      <c r="H505" s="51">
        <f>Assumptions!$D$15</f>
        <v>0.1</v>
      </c>
      <c r="I505" s="45">
        <f>IF(SO[[#This Row],[GST applies?]] = "Yes", (SO[[#This Row],[Value inc. GST]] / 1 + SO[[#This Row],[GST %]]) * SO[[#This Row],[GST %]], 0)</f>
        <v>0</v>
      </c>
      <c r="J505" s="31">
        <f>_xlfn.XLOOKUP(SO[[#This Row],[Customer name]], Customer_master[Customer name], Customer_master[EOM or Net], 0)</f>
        <v>0</v>
      </c>
      <c r="K505" s="31">
        <f>_xlfn.XLOOKUP(SO[[#This Row],[Customer name]], Customer_master[Customer name], Customer_master[Terms days], 0)</f>
        <v>0</v>
      </c>
      <c r="L5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5" s="4"/>
      <c r="N505" s="46">
        <f>IF(SO[[#This Row],[Collection date - override (dd/mm/yyyy)]] &lt;&gt; "", SO[[#This Row],[Collection date - override (dd/mm/yyyy)]], SO[[#This Row],[Due date (dd/mm/yyyy)]])</f>
        <v>0</v>
      </c>
      <c r="O505" s="46">
        <f t="shared" si="7"/>
        <v>52</v>
      </c>
    </row>
    <row r="506" spans="3:15" x14ac:dyDescent="0.25">
      <c r="C506" s="24"/>
      <c r="D506" s="20"/>
      <c r="E506" s="4"/>
      <c r="F506" s="37"/>
      <c r="G506" s="24"/>
      <c r="H506" s="51">
        <f>Assumptions!$D$15</f>
        <v>0.1</v>
      </c>
      <c r="I506" s="45">
        <f>IF(SO[[#This Row],[GST applies?]] = "Yes", (SO[[#This Row],[Value inc. GST]] / 1 + SO[[#This Row],[GST %]]) * SO[[#This Row],[GST %]], 0)</f>
        <v>0</v>
      </c>
      <c r="J506" s="31">
        <f>_xlfn.XLOOKUP(SO[[#This Row],[Customer name]], Customer_master[Customer name], Customer_master[EOM or Net], 0)</f>
        <v>0</v>
      </c>
      <c r="K506" s="31">
        <f>_xlfn.XLOOKUP(SO[[#This Row],[Customer name]], Customer_master[Customer name], Customer_master[Terms days], 0)</f>
        <v>0</v>
      </c>
      <c r="L5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6" s="4"/>
      <c r="N506" s="46">
        <f>IF(SO[[#This Row],[Collection date - override (dd/mm/yyyy)]] &lt;&gt; "", SO[[#This Row],[Collection date - override (dd/mm/yyyy)]], SO[[#This Row],[Due date (dd/mm/yyyy)]])</f>
        <v>0</v>
      </c>
      <c r="O506" s="46">
        <f t="shared" si="7"/>
        <v>52</v>
      </c>
    </row>
    <row r="507" spans="3:15" x14ac:dyDescent="0.25">
      <c r="C507" s="24"/>
      <c r="D507" s="20"/>
      <c r="E507" s="4"/>
      <c r="F507" s="37"/>
      <c r="G507" s="24"/>
      <c r="H507" s="51">
        <f>Assumptions!$D$15</f>
        <v>0.1</v>
      </c>
      <c r="I507" s="45">
        <f>IF(SO[[#This Row],[GST applies?]] = "Yes", (SO[[#This Row],[Value inc. GST]] / 1 + SO[[#This Row],[GST %]]) * SO[[#This Row],[GST %]], 0)</f>
        <v>0</v>
      </c>
      <c r="J507" s="31">
        <f>_xlfn.XLOOKUP(SO[[#This Row],[Customer name]], Customer_master[Customer name], Customer_master[EOM or Net], 0)</f>
        <v>0</v>
      </c>
      <c r="K507" s="31">
        <f>_xlfn.XLOOKUP(SO[[#This Row],[Customer name]], Customer_master[Customer name], Customer_master[Terms days], 0)</f>
        <v>0</v>
      </c>
      <c r="L5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7" s="4"/>
      <c r="N507" s="46">
        <f>IF(SO[[#This Row],[Collection date - override (dd/mm/yyyy)]] &lt;&gt; "", SO[[#This Row],[Collection date - override (dd/mm/yyyy)]], SO[[#This Row],[Due date (dd/mm/yyyy)]])</f>
        <v>0</v>
      </c>
      <c r="O507" s="46">
        <f t="shared" si="7"/>
        <v>52</v>
      </c>
    </row>
    <row r="508" spans="3:15" x14ac:dyDescent="0.25">
      <c r="C508" s="24"/>
      <c r="D508" s="20"/>
      <c r="E508" s="4"/>
      <c r="F508" s="37"/>
      <c r="G508" s="24"/>
      <c r="H508" s="51">
        <f>Assumptions!$D$15</f>
        <v>0.1</v>
      </c>
      <c r="I508" s="45">
        <f>IF(SO[[#This Row],[GST applies?]] = "Yes", (SO[[#This Row],[Value inc. GST]] / 1 + SO[[#This Row],[GST %]]) * SO[[#This Row],[GST %]], 0)</f>
        <v>0</v>
      </c>
      <c r="J508" s="31">
        <f>_xlfn.XLOOKUP(SO[[#This Row],[Customer name]], Customer_master[Customer name], Customer_master[EOM or Net], 0)</f>
        <v>0</v>
      </c>
      <c r="K508" s="31">
        <f>_xlfn.XLOOKUP(SO[[#This Row],[Customer name]], Customer_master[Customer name], Customer_master[Terms days], 0)</f>
        <v>0</v>
      </c>
      <c r="L5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8" s="4"/>
      <c r="N508" s="46">
        <f>IF(SO[[#This Row],[Collection date - override (dd/mm/yyyy)]] &lt;&gt; "", SO[[#This Row],[Collection date - override (dd/mm/yyyy)]], SO[[#This Row],[Due date (dd/mm/yyyy)]])</f>
        <v>0</v>
      </c>
      <c r="O508" s="46">
        <f t="shared" si="7"/>
        <v>52</v>
      </c>
    </row>
    <row r="509" spans="3:15" x14ac:dyDescent="0.25">
      <c r="C509" s="24"/>
      <c r="D509" s="20"/>
      <c r="E509" s="4"/>
      <c r="F509" s="37"/>
      <c r="G509" s="24"/>
      <c r="H509" s="51">
        <f>Assumptions!$D$15</f>
        <v>0.1</v>
      </c>
      <c r="I509" s="45">
        <f>IF(SO[[#This Row],[GST applies?]] = "Yes", (SO[[#This Row],[Value inc. GST]] / 1 + SO[[#This Row],[GST %]]) * SO[[#This Row],[GST %]], 0)</f>
        <v>0</v>
      </c>
      <c r="J509" s="31">
        <f>_xlfn.XLOOKUP(SO[[#This Row],[Customer name]], Customer_master[Customer name], Customer_master[EOM or Net], 0)</f>
        <v>0</v>
      </c>
      <c r="K509" s="31">
        <f>_xlfn.XLOOKUP(SO[[#This Row],[Customer name]], Customer_master[Customer name], Customer_master[Terms days], 0)</f>
        <v>0</v>
      </c>
      <c r="L5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9" s="4"/>
      <c r="N509" s="46">
        <f>IF(SO[[#This Row],[Collection date - override (dd/mm/yyyy)]] &lt;&gt; "", SO[[#This Row],[Collection date - override (dd/mm/yyyy)]], SO[[#This Row],[Due date (dd/mm/yyyy)]])</f>
        <v>0</v>
      </c>
      <c r="O509" s="46">
        <f t="shared" si="7"/>
        <v>52</v>
      </c>
    </row>
    <row r="510" spans="3:15" x14ac:dyDescent="0.25">
      <c r="C510" s="24"/>
      <c r="D510" s="20"/>
      <c r="E510" s="4"/>
      <c r="F510" s="37"/>
      <c r="G510" s="24"/>
      <c r="H510" s="51">
        <f>Assumptions!$D$15</f>
        <v>0.1</v>
      </c>
      <c r="I510" s="45">
        <f>IF(SO[[#This Row],[GST applies?]] = "Yes", (SO[[#This Row],[Value inc. GST]] / 1 + SO[[#This Row],[GST %]]) * SO[[#This Row],[GST %]], 0)</f>
        <v>0</v>
      </c>
      <c r="J510" s="31">
        <f>_xlfn.XLOOKUP(SO[[#This Row],[Customer name]], Customer_master[Customer name], Customer_master[EOM or Net], 0)</f>
        <v>0</v>
      </c>
      <c r="K510" s="31">
        <f>_xlfn.XLOOKUP(SO[[#This Row],[Customer name]], Customer_master[Customer name], Customer_master[Terms days], 0)</f>
        <v>0</v>
      </c>
      <c r="L5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0" s="4"/>
      <c r="N510" s="46">
        <f>IF(SO[[#This Row],[Collection date - override (dd/mm/yyyy)]] &lt;&gt; "", SO[[#This Row],[Collection date - override (dd/mm/yyyy)]], SO[[#This Row],[Due date (dd/mm/yyyy)]])</f>
        <v>0</v>
      </c>
      <c r="O510" s="46">
        <f t="shared" si="7"/>
        <v>52</v>
      </c>
    </row>
    <row r="511" spans="3:15" x14ac:dyDescent="0.25">
      <c r="C511" s="24"/>
      <c r="D511" s="20"/>
      <c r="E511" s="4"/>
      <c r="F511" s="37"/>
      <c r="G511" s="24"/>
      <c r="H511" s="51">
        <f>Assumptions!$D$15</f>
        <v>0.1</v>
      </c>
      <c r="I511" s="45">
        <f>IF(SO[[#This Row],[GST applies?]] = "Yes", (SO[[#This Row],[Value inc. GST]] / 1 + SO[[#This Row],[GST %]]) * SO[[#This Row],[GST %]], 0)</f>
        <v>0</v>
      </c>
      <c r="J511" s="31">
        <f>_xlfn.XLOOKUP(SO[[#This Row],[Customer name]], Customer_master[Customer name], Customer_master[EOM or Net], 0)</f>
        <v>0</v>
      </c>
      <c r="K511" s="31">
        <f>_xlfn.XLOOKUP(SO[[#This Row],[Customer name]], Customer_master[Customer name], Customer_master[Terms days], 0)</f>
        <v>0</v>
      </c>
      <c r="L5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1" s="4"/>
      <c r="N511" s="46">
        <f>IF(SO[[#This Row],[Collection date - override (dd/mm/yyyy)]] &lt;&gt; "", SO[[#This Row],[Collection date - override (dd/mm/yyyy)]], SO[[#This Row],[Due date (dd/mm/yyyy)]])</f>
        <v>0</v>
      </c>
      <c r="O511" s="46">
        <f t="shared" si="7"/>
        <v>52</v>
      </c>
    </row>
    <row r="512" spans="3:15" x14ac:dyDescent="0.25">
      <c r="C512" s="24"/>
      <c r="D512" s="20"/>
      <c r="E512" s="4"/>
      <c r="F512" s="37"/>
      <c r="G512" s="24"/>
      <c r="H512" s="51">
        <f>Assumptions!$D$15</f>
        <v>0.1</v>
      </c>
      <c r="I512" s="45">
        <f>IF(SO[[#This Row],[GST applies?]] = "Yes", (SO[[#This Row],[Value inc. GST]] / 1 + SO[[#This Row],[GST %]]) * SO[[#This Row],[GST %]], 0)</f>
        <v>0</v>
      </c>
      <c r="J512" s="31">
        <f>_xlfn.XLOOKUP(SO[[#This Row],[Customer name]], Customer_master[Customer name], Customer_master[EOM or Net], 0)</f>
        <v>0</v>
      </c>
      <c r="K512" s="31">
        <f>_xlfn.XLOOKUP(SO[[#This Row],[Customer name]], Customer_master[Customer name], Customer_master[Terms days], 0)</f>
        <v>0</v>
      </c>
      <c r="L5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2" s="4"/>
      <c r="N512" s="46">
        <f>IF(SO[[#This Row],[Collection date - override (dd/mm/yyyy)]] &lt;&gt; "", SO[[#This Row],[Collection date - override (dd/mm/yyyy)]], SO[[#This Row],[Due date (dd/mm/yyyy)]])</f>
        <v>0</v>
      </c>
      <c r="O512" s="46">
        <f t="shared" si="7"/>
        <v>52</v>
      </c>
    </row>
    <row r="513" spans="3:15" x14ac:dyDescent="0.25">
      <c r="C513" s="24"/>
      <c r="D513" s="20"/>
      <c r="E513" s="4"/>
      <c r="F513" s="37"/>
      <c r="G513" s="24"/>
      <c r="H513" s="51">
        <f>Assumptions!$D$15</f>
        <v>0.1</v>
      </c>
      <c r="I513" s="45">
        <f>IF(SO[[#This Row],[GST applies?]] = "Yes", (SO[[#This Row],[Value inc. GST]] / 1 + SO[[#This Row],[GST %]]) * SO[[#This Row],[GST %]], 0)</f>
        <v>0</v>
      </c>
      <c r="J513" s="31">
        <f>_xlfn.XLOOKUP(SO[[#This Row],[Customer name]], Customer_master[Customer name], Customer_master[EOM or Net], 0)</f>
        <v>0</v>
      </c>
      <c r="K513" s="31">
        <f>_xlfn.XLOOKUP(SO[[#This Row],[Customer name]], Customer_master[Customer name], Customer_master[Terms days], 0)</f>
        <v>0</v>
      </c>
      <c r="L5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3" s="4"/>
      <c r="N513" s="46">
        <f>IF(SO[[#This Row],[Collection date - override (dd/mm/yyyy)]] &lt;&gt; "", SO[[#This Row],[Collection date - override (dd/mm/yyyy)]], SO[[#This Row],[Due date (dd/mm/yyyy)]])</f>
        <v>0</v>
      </c>
      <c r="O513" s="46">
        <f t="shared" si="7"/>
        <v>52</v>
      </c>
    </row>
    <row r="514" spans="3:15" x14ac:dyDescent="0.25">
      <c r="C514" s="24"/>
      <c r="D514" s="20"/>
      <c r="E514" s="4"/>
      <c r="F514" s="37"/>
      <c r="G514" s="24"/>
      <c r="H514" s="51">
        <f>Assumptions!$D$15</f>
        <v>0.1</v>
      </c>
      <c r="I514" s="45">
        <f>IF(SO[[#This Row],[GST applies?]] = "Yes", (SO[[#This Row],[Value inc. GST]] / 1 + SO[[#This Row],[GST %]]) * SO[[#This Row],[GST %]], 0)</f>
        <v>0</v>
      </c>
      <c r="J514" s="31">
        <f>_xlfn.XLOOKUP(SO[[#This Row],[Customer name]], Customer_master[Customer name], Customer_master[EOM or Net], 0)</f>
        <v>0</v>
      </c>
      <c r="K514" s="31">
        <f>_xlfn.XLOOKUP(SO[[#This Row],[Customer name]], Customer_master[Customer name], Customer_master[Terms days], 0)</f>
        <v>0</v>
      </c>
      <c r="L5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4" s="4"/>
      <c r="N514" s="46">
        <f>IF(SO[[#This Row],[Collection date - override (dd/mm/yyyy)]] &lt;&gt; "", SO[[#This Row],[Collection date - override (dd/mm/yyyy)]], SO[[#This Row],[Due date (dd/mm/yyyy)]])</f>
        <v>0</v>
      </c>
      <c r="O514" s="46">
        <f t="shared" si="7"/>
        <v>52</v>
      </c>
    </row>
    <row r="515" spans="3:15" x14ac:dyDescent="0.25">
      <c r="C515" s="24"/>
      <c r="D515" s="20"/>
      <c r="E515" s="4"/>
      <c r="F515" s="37"/>
      <c r="G515" s="24"/>
      <c r="H515" s="51">
        <f>Assumptions!$D$15</f>
        <v>0.1</v>
      </c>
      <c r="I515" s="45">
        <f>IF(SO[[#This Row],[GST applies?]] = "Yes", (SO[[#This Row],[Value inc. GST]] / 1 + SO[[#This Row],[GST %]]) * SO[[#This Row],[GST %]], 0)</f>
        <v>0</v>
      </c>
      <c r="J515" s="31">
        <f>_xlfn.XLOOKUP(SO[[#This Row],[Customer name]], Customer_master[Customer name], Customer_master[EOM or Net], 0)</f>
        <v>0</v>
      </c>
      <c r="K515" s="31">
        <f>_xlfn.XLOOKUP(SO[[#This Row],[Customer name]], Customer_master[Customer name], Customer_master[Terms days], 0)</f>
        <v>0</v>
      </c>
      <c r="L5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5" s="4"/>
      <c r="N515" s="46">
        <f>IF(SO[[#This Row],[Collection date - override (dd/mm/yyyy)]] &lt;&gt; "", SO[[#This Row],[Collection date - override (dd/mm/yyyy)]], SO[[#This Row],[Due date (dd/mm/yyyy)]])</f>
        <v>0</v>
      </c>
      <c r="O515" s="46">
        <f t="shared" si="7"/>
        <v>52</v>
      </c>
    </row>
    <row r="516" spans="3:15" x14ac:dyDescent="0.25">
      <c r="C516" s="24"/>
      <c r="D516" s="20"/>
      <c r="E516" s="4"/>
      <c r="F516" s="37"/>
      <c r="G516" s="24"/>
      <c r="H516" s="51">
        <f>Assumptions!$D$15</f>
        <v>0.1</v>
      </c>
      <c r="I516" s="45">
        <f>IF(SO[[#This Row],[GST applies?]] = "Yes", (SO[[#This Row],[Value inc. GST]] / 1 + SO[[#This Row],[GST %]]) * SO[[#This Row],[GST %]], 0)</f>
        <v>0</v>
      </c>
      <c r="J516" s="31">
        <f>_xlfn.XLOOKUP(SO[[#This Row],[Customer name]], Customer_master[Customer name], Customer_master[EOM or Net], 0)</f>
        <v>0</v>
      </c>
      <c r="K516" s="31">
        <f>_xlfn.XLOOKUP(SO[[#This Row],[Customer name]], Customer_master[Customer name], Customer_master[Terms days], 0)</f>
        <v>0</v>
      </c>
      <c r="L5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6" s="4"/>
      <c r="N516" s="46">
        <f>IF(SO[[#This Row],[Collection date - override (dd/mm/yyyy)]] &lt;&gt; "", SO[[#This Row],[Collection date - override (dd/mm/yyyy)]], SO[[#This Row],[Due date (dd/mm/yyyy)]])</f>
        <v>0</v>
      </c>
      <c r="O516" s="46">
        <f t="shared" si="7"/>
        <v>52</v>
      </c>
    </row>
    <row r="517" spans="3:15" x14ac:dyDescent="0.25">
      <c r="C517" s="24"/>
      <c r="D517" s="20"/>
      <c r="E517" s="4"/>
      <c r="F517" s="37"/>
      <c r="G517" s="24"/>
      <c r="H517" s="51">
        <f>Assumptions!$D$15</f>
        <v>0.1</v>
      </c>
      <c r="I517" s="45">
        <f>IF(SO[[#This Row],[GST applies?]] = "Yes", (SO[[#This Row],[Value inc. GST]] / 1 + SO[[#This Row],[GST %]]) * SO[[#This Row],[GST %]], 0)</f>
        <v>0</v>
      </c>
      <c r="J517" s="31">
        <f>_xlfn.XLOOKUP(SO[[#This Row],[Customer name]], Customer_master[Customer name], Customer_master[EOM or Net], 0)</f>
        <v>0</v>
      </c>
      <c r="K517" s="31">
        <f>_xlfn.XLOOKUP(SO[[#This Row],[Customer name]], Customer_master[Customer name], Customer_master[Terms days], 0)</f>
        <v>0</v>
      </c>
      <c r="L5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7" s="4"/>
      <c r="N517" s="46">
        <f>IF(SO[[#This Row],[Collection date - override (dd/mm/yyyy)]] &lt;&gt; "", SO[[#This Row],[Collection date - override (dd/mm/yyyy)]], SO[[#This Row],[Due date (dd/mm/yyyy)]])</f>
        <v>0</v>
      </c>
      <c r="O517" s="46">
        <f t="shared" si="7"/>
        <v>52</v>
      </c>
    </row>
    <row r="518" spans="3:15" x14ac:dyDescent="0.25">
      <c r="C518" s="24"/>
      <c r="D518" s="20"/>
      <c r="E518" s="4"/>
      <c r="F518" s="37"/>
      <c r="G518" s="24"/>
      <c r="H518" s="51">
        <f>Assumptions!$D$15</f>
        <v>0.1</v>
      </c>
      <c r="I518" s="45">
        <f>IF(SO[[#This Row],[GST applies?]] = "Yes", (SO[[#This Row],[Value inc. GST]] / 1 + SO[[#This Row],[GST %]]) * SO[[#This Row],[GST %]], 0)</f>
        <v>0</v>
      </c>
      <c r="J518" s="31">
        <f>_xlfn.XLOOKUP(SO[[#This Row],[Customer name]], Customer_master[Customer name], Customer_master[EOM or Net], 0)</f>
        <v>0</v>
      </c>
      <c r="K518" s="31">
        <f>_xlfn.XLOOKUP(SO[[#This Row],[Customer name]], Customer_master[Customer name], Customer_master[Terms days], 0)</f>
        <v>0</v>
      </c>
      <c r="L5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8" s="4"/>
      <c r="N518" s="46">
        <f>IF(SO[[#This Row],[Collection date - override (dd/mm/yyyy)]] &lt;&gt; "", SO[[#This Row],[Collection date - override (dd/mm/yyyy)]], SO[[#This Row],[Due date (dd/mm/yyyy)]])</f>
        <v>0</v>
      </c>
      <c r="O518" s="46">
        <f t="shared" si="7"/>
        <v>52</v>
      </c>
    </row>
    <row r="519" spans="3:15" x14ac:dyDescent="0.25">
      <c r="C519" s="24"/>
      <c r="D519" s="20"/>
      <c r="E519" s="4"/>
      <c r="F519" s="37"/>
      <c r="G519" s="24"/>
      <c r="H519" s="51">
        <f>Assumptions!$D$15</f>
        <v>0.1</v>
      </c>
      <c r="I519" s="45">
        <f>IF(SO[[#This Row],[GST applies?]] = "Yes", (SO[[#This Row],[Value inc. GST]] / 1 + SO[[#This Row],[GST %]]) * SO[[#This Row],[GST %]], 0)</f>
        <v>0</v>
      </c>
      <c r="J519" s="31">
        <f>_xlfn.XLOOKUP(SO[[#This Row],[Customer name]], Customer_master[Customer name], Customer_master[EOM or Net], 0)</f>
        <v>0</v>
      </c>
      <c r="K519" s="31">
        <f>_xlfn.XLOOKUP(SO[[#This Row],[Customer name]], Customer_master[Customer name], Customer_master[Terms days], 0)</f>
        <v>0</v>
      </c>
      <c r="L5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9" s="4"/>
      <c r="N519" s="46">
        <f>IF(SO[[#This Row],[Collection date - override (dd/mm/yyyy)]] &lt;&gt; "", SO[[#This Row],[Collection date - override (dd/mm/yyyy)]], SO[[#This Row],[Due date (dd/mm/yyyy)]])</f>
        <v>0</v>
      </c>
      <c r="O519" s="46">
        <f t="shared" si="7"/>
        <v>52</v>
      </c>
    </row>
    <row r="520" spans="3:15" x14ac:dyDescent="0.25">
      <c r="C520" s="24"/>
      <c r="D520" s="20"/>
      <c r="E520" s="4"/>
      <c r="F520" s="37"/>
      <c r="G520" s="24"/>
      <c r="H520" s="51">
        <f>Assumptions!$D$15</f>
        <v>0.1</v>
      </c>
      <c r="I520" s="45">
        <f>IF(SO[[#This Row],[GST applies?]] = "Yes", (SO[[#This Row],[Value inc. GST]] / 1 + SO[[#This Row],[GST %]]) * SO[[#This Row],[GST %]], 0)</f>
        <v>0</v>
      </c>
      <c r="J520" s="31">
        <f>_xlfn.XLOOKUP(SO[[#This Row],[Customer name]], Customer_master[Customer name], Customer_master[EOM or Net], 0)</f>
        <v>0</v>
      </c>
      <c r="K520" s="31">
        <f>_xlfn.XLOOKUP(SO[[#This Row],[Customer name]], Customer_master[Customer name], Customer_master[Terms days], 0)</f>
        <v>0</v>
      </c>
      <c r="L5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0" s="4"/>
      <c r="N520" s="46">
        <f>IF(SO[[#This Row],[Collection date - override (dd/mm/yyyy)]] &lt;&gt; "", SO[[#This Row],[Collection date - override (dd/mm/yyyy)]], SO[[#This Row],[Due date (dd/mm/yyyy)]])</f>
        <v>0</v>
      </c>
      <c r="O520" s="46">
        <f t="shared" si="7"/>
        <v>52</v>
      </c>
    </row>
    <row r="521" spans="3:15" x14ac:dyDescent="0.25">
      <c r="C521" s="24"/>
      <c r="D521" s="20"/>
      <c r="E521" s="4"/>
      <c r="F521" s="37"/>
      <c r="G521" s="24"/>
      <c r="H521" s="51">
        <f>Assumptions!$D$15</f>
        <v>0.1</v>
      </c>
      <c r="I521" s="45">
        <f>IF(SO[[#This Row],[GST applies?]] = "Yes", (SO[[#This Row],[Value inc. GST]] / 1 + SO[[#This Row],[GST %]]) * SO[[#This Row],[GST %]], 0)</f>
        <v>0</v>
      </c>
      <c r="J521" s="31">
        <f>_xlfn.XLOOKUP(SO[[#This Row],[Customer name]], Customer_master[Customer name], Customer_master[EOM or Net], 0)</f>
        <v>0</v>
      </c>
      <c r="K521" s="31">
        <f>_xlfn.XLOOKUP(SO[[#This Row],[Customer name]], Customer_master[Customer name], Customer_master[Terms days], 0)</f>
        <v>0</v>
      </c>
      <c r="L5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1" s="4"/>
      <c r="N521" s="46">
        <f>IF(SO[[#This Row],[Collection date - override (dd/mm/yyyy)]] &lt;&gt; "", SO[[#This Row],[Collection date - override (dd/mm/yyyy)]], SO[[#This Row],[Due date (dd/mm/yyyy)]])</f>
        <v>0</v>
      </c>
      <c r="O521" s="46">
        <f t="shared" ref="O521:O584" si="8">IF(GST_Freq="Monthly",
    DATE(YEAR(E521), MONTH(E521) + 1, 21),
    IF(GST_Freq="Quarterly",
        IF(MOD(MONTH(E521) + 2 - MOD(MOD(MONTH(E521) - GST_First_Month, 12), 3), 12) = 0,
            DATE(YEAR(E521), MONTH(E521) + 4 - MOD(MOD(MONTH(E521) - GST_First_Month, 12), 3), 28),
            DATE(YEAR(E521), MONTH(E521) + 3 - MOD(MOD(MONTH(E521) - GST_First_Month, 12), 3), 28)
        ),
        "Invalid frequency"
    )
)</f>
        <v>52</v>
      </c>
    </row>
    <row r="522" spans="3:15" x14ac:dyDescent="0.25">
      <c r="C522" s="24"/>
      <c r="D522" s="20"/>
      <c r="E522" s="4"/>
      <c r="F522" s="37"/>
      <c r="G522" s="24"/>
      <c r="H522" s="51">
        <f>Assumptions!$D$15</f>
        <v>0.1</v>
      </c>
      <c r="I522" s="45">
        <f>IF(SO[[#This Row],[GST applies?]] = "Yes", (SO[[#This Row],[Value inc. GST]] / 1 + SO[[#This Row],[GST %]]) * SO[[#This Row],[GST %]], 0)</f>
        <v>0</v>
      </c>
      <c r="J522" s="31">
        <f>_xlfn.XLOOKUP(SO[[#This Row],[Customer name]], Customer_master[Customer name], Customer_master[EOM or Net], 0)</f>
        <v>0</v>
      </c>
      <c r="K522" s="31">
        <f>_xlfn.XLOOKUP(SO[[#This Row],[Customer name]], Customer_master[Customer name], Customer_master[Terms days], 0)</f>
        <v>0</v>
      </c>
      <c r="L5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2" s="4"/>
      <c r="N522" s="46">
        <f>IF(SO[[#This Row],[Collection date - override (dd/mm/yyyy)]] &lt;&gt; "", SO[[#This Row],[Collection date - override (dd/mm/yyyy)]], SO[[#This Row],[Due date (dd/mm/yyyy)]])</f>
        <v>0</v>
      </c>
      <c r="O522" s="46">
        <f t="shared" si="8"/>
        <v>52</v>
      </c>
    </row>
    <row r="523" spans="3:15" x14ac:dyDescent="0.25">
      <c r="C523" s="24"/>
      <c r="D523" s="20"/>
      <c r="E523" s="4"/>
      <c r="F523" s="37"/>
      <c r="G523" s="24"/>
      <c r="H523" s="51">
        <f>Assumptions!$D$15</f>
        <v>0.1</v>
      </c>
      <c r="I523" s="45">
        <f>IF(SO[[#This Row],[GST applies?]] = "Yes", (SO[[#This Row],[Value inc. GST]] / 1 + SO[[#This Row],[GST %]]) * SO[[#This Row],[GST %]], 0)</f>
        <v>0</v>
      </c>
      <c r="J523" s="31">
        <f>_xlfn.XLOOKUP(SO[[#This Row],[Customer name]], Customer_master[Customer name], Customer_master[EOM or Net], 0)</f>
        <v>0</v>
      </c>
      <c r="K523" s="31">
        <f>_xlfn.XLOOKUP(SO[[#This Row],[Customer name]], Customer_master[Customer name], Customer_master[Terms days], 0)</f>
        <v>0</v>
      </c>
      <c r="L5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3" s="4"/>
      <c r="N523" s="46">
        <f>IF(SO[[#This Row],[Collection date - override (dd/mm/yyyy)]] &lt;&gt; "", SO[[#This Row],[Collection date - override (dd/mm/yyyy)]], SO[[#This Row],[Due date (dd/mm/yyyy)]])</f>
        <v>0</v>
      </c>
      <c r="O523" s="46">
        <f t="shared" si="8"/>
        <v>52</v>
      </c>
    </row>
    <row r="524" spans="3:15" x14ac:dyDescent="0.25">
      <c r="C524" s="24"/>
      <c r="D524" s="20"/>
      <c r="E524" s="4"/>
      <c r="F524" s="37"/>
      <c r="G524" s="24"/>
      <c r="H524" s="51">
        <f>Assumptions!$D$15</f>
        <v>0.1</v>
      </c>
      <c r="I524" s="45">
        <f>IF(SO[[#This Row],[GST applies?]] = "Yes", (SO[[#This Row],[Value inc. GST]] / 1 + SO[[#This Row],[GST %]]) * SO[[#This Row],[GST %]], 0)</f>
        <v>0</v>
      </c>
      <c r="J524" s="31">
        <f>_xlfn.XLOOKUP(SO[[#This Row],[Customer name]], Customer_master[Customer name], Customer_master[EOM or Net], 0)</f>
        <v>0</v>
      </c>
      <c r="K524" s="31">
        <f>_xlfn.XLOOKUP(SO[[#This Row],[Customer name]], Customer_master[Customer name], Customer_master[Terms days], 0)</f>
        <v>0</v>
      </c>
      <c r="L5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4" s="4"/>
      <c r="N524" s="46">
        <f>IF(SO[[#This Row],[Collection date - override (dd/mm/yyyy)]] &lt;&gt; "", SO[[#This Row],[Collection date - override (dd/mm/yyyy)]], SO[[#This Row],[Due date (dd/mm/yyyy)]])</f>
        <v>0</v>
      </c>
      <c r="O524" s="46">
        <f t="shared" si="8"/>
        <v>52</v>
      </c>
    </row>
    <row r="525" spans="3:15" x14ac:dyDescent="0.25">
      <c r="C525" s="24"/>
      <c r="D525" s="20"/>
      <c r="E525" s="4"/>
      <c r="F525" s="37"/>
      <c r="G525" s="24"/>
      <c r="H525" s="51">
        <f>Assumptions!$D$15</f>
        <v>0.1</v>
      </c>
      <c r="I525" s="45">
        <f>IF(SO[[#This Row],[GST applies?]] = "Yes", (SO[[#This Row],[Value inc. GST]] / 1 + SO[[#This Row],[GST %]]) * SO[[#This Row],[GST %]], 0)</f>
        <v>0</v>
      </c>
      <c r="J525" s="31">
        <f>_xlfn.XLOOKUP(SO[[#This Row],[Customer name]], Customer_master[Customer name], Customer_master[EOM or Net], 0)</f>
        <v>0</v>
      </c>
      <c r="K525" s="31">
        <f>_xlfn.XLOOKUP(SO[[#This Row],[Customer name]], Customer_master[Customer name], Customer_master[Terms days], 0)</f>
        <v>0</v>
      </c>
      <c r="L5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5" s="4"/>
      <c r="N525" s="46">
        <f>IF(SO[[#This Row],[Collection date - override (dd/mm/yyyy)]] &lt;&gt; "", SO[[#This Row],[Collection date - override (dd/mm/yyyy)]], SO[[#This Row],[Due date (dd/mm/yyyy)]])</f>
        <v>0</v>
      </c>
      <c r="O525" s="46">
        <f t="shared" si="8"/>
        <v>52</v>
      </c>
    </row>
    <row r="526" spans="3:15" x14ac:dyDescent="0.25">
      <c r="C526" s="24"/>
      <c r="D526" s="20"/>
      <c r="E526" s="4"/>
      <c r="F526" s="37"/>
      <c r="G526" s="24"/>
      <c r="H526" s="51">
        <f>Assumptions!$D$15</f>
        <v>0.1</v>
      </c>
      <c r="I526" s="45">
        <f>IF(SO[[#This Row],[GST applies?]] = "Yes", (SO[[#This Row],[Value inc. GST]] / 1 + SO[[#This Row],[GST %]]) * SO[[#This Row],[GST %]], 0)</f>
        <v>0</v>
      </c>
      <c r="J526" s="31">
        <f>_xlfn.XLOOKUP(SO[[#This Row],[Customer name]], Customer_master[Customer name], Customer_master[EOM or Net], 0)</f>
        <v>0</v>
      </c>
      <c r="K526" s="31">
        <f>_xlfn.XLOOKUP(SO[[#This Row],[Customer name]], Customer_master[Customer name], Customer_master[Terms days], 0)</f>
        <v>0</v>
      </c>
      <c r="L5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6" s="4"/>
      <c r="N526" s="46">
        <f>IF(SO[[#This Row],[Collection date - override (dd/mm/yyyy)]] &lt;&gt; "", SO[[#This Row],[Collection date - override (dd/mm/yyyy)]], SO[[#This Row],[Due date (dd/mm/yyyy)]])</f>
        <v>0</v>
      </c>
      <c r="O526" s="46">
        <f t="shared" si="8"/>
        <v>52</v>
      </c>
    </row>
    <row r="527" spans="3:15" x14ac:dyDescent="0.25">
      <c r="C527" s="24"/>
      <c r="D527" s="20"/>
      <c r="E527" s="4"/>
      <c r="F527" s="37"/>
      <c r="G527" s="24"/>
      <c r="H527" s="51">
        <f>Assumptions!$D$15</f>
        <v>0.1</v>
      </c>
      <c r="I527" s="45">
        <f>IF(SO[[#This Row],[GST applies?]] = "Yes", (SO[[#This Row],[Value inc. GST]] / 1 + SO[[#This Row],[GST %]]) * SO[[#This Row],[GST %]], 0)</f>
        <v>0</v>
      </c>
      <c r="J527" s="31">
        <f>_xlfn.XLOOKUP(SO[[#This Row],[Customer name]], Customer_master[Customer name], Customer_master[EOM or Net], 0)</f>
        <v>0</v>
      </c>
      <c r="K527" s="31">
        <f>_xlfn.XLOOKUP(SO[[#This Row],[Customer name]], Customer_master[Customer name], Customer_master[Terms days], 0)</f>
        <v>0</v>
      </c>
      <c r="L5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7" s="4"/>
      <c r="N527" s="46">
        <f>IF(SO[[#This Row],[Collection date - override (dd/mm/yyyy)]] &lt;&gt; "", SO[[#This Row],[Collection date - override (dd/mm/yyyy)]], SO[[#This Row],[Due date (dd/mm/yyyy)]])</f>
        <v>0</v>
      </c>
      <c r="O527" s="46">
        <f t="shared" si="8"/>
        <v>52</v>
      </c>
    </row>
    <row r="528" spans="3:15" x14ac:dyDescent="0.25">
      <c r="C528" s="24"/>
      <c r="D528" s="20"/>
      <c r="E528" s="4"/>
      <c r="F528" s="37"/>
      <c r="G528" s="24"/>
      <c r="H528" s="51">
        <f>Assumptions!$D$15</f>
        <v>0.1</v>
      </c>
      <c r="I528" s="45">
        <f>IF(SO[[#This Row],[GST applies?]] = "Yes", (SO[[#This Row],[Value inc. GST]] / 1 + SO[[#This Row],[GST %]]) * SO[[#This Row],[GST %]], 0)</f>
        <v>0</v>
      </c>
      <c r="J528" s="31">
        <f>_xlfn.XLOOKUP(SO[[#This Row],[Customer name]], Customer_master[Customer name], Customer_master[EOM or Net], 0)</f>
        <v>0</v>
      </c>
      <c r="K528" s="31">
        <f>_xlfn.XLOOKUP(SO[[#This Row],[Customer name]], Customer_master[Customer name], Customer_master[Terms days], 0)</f>
        <v>0</v>
      </c>
      <c r="L5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8" s="4"/>
      <c r="N528" s="46">
        <f>IF(SO[[#This Row],[Collection date - override (dd/mm/yyyy)]] &lt;&gt; "", SO[[#This Row],[Collection date - override (dd/mm/yyyy)]], SO[[#This Row],[Due date (dd/mm/yyyy)]])</f>
        <v>0</v>
      </c>
      <c r="O528" s="46">
        <f t="shared" si="8"/>
        <v>52</v>
      </c>
    </row>
    <row r="529" spans="3:15" x14ac:dyDescent="0.25">
      <c r="C529" s="24"/>
      <c r="D529" s="20"/>
      <c r="E529" s="4"/>
      <c r="F529" s="37"/>
      <c r="G529" s="24"/>
      <c r="H529" s="51">
        <f>Assumptions!$D$15</f>
        <v>0.1</v>
      </c>
      <c r="I529" s="45">
        <f>IF(SO[[#This Row],[GST applies?]] = "Yes", (SO[[#This Row],[Value inc. GST]] / 1 + SO[[#This Row],[GST %]]) * SO[[#This Row],[GST %]], 0)</f>
        <v>0</v>
      </c>
      <c r="J529" s="31">
        <f>_xlfn.XLOOKUP(SO[[#This Row],[Customer name]], Customer_master[Customer name], Customer_master[EOM or Net], 0)</f>
        <v>0</v>
      </c>
      <c r="K529" s="31">
        <f>_xlfn.XLOOKUP(SO[[#This Row],[Customer name]], Customer_master[Customer name], Customer_master[Terms days], 0)</f>
        <v>0</v>
      </c>
      <c r="L5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9" s="4"/>
      <c r="N529" s="46">
        <f>IF(SO[[#This Row],[Collection date - override (dd/mm/yyyy)]] &lt;&gt; "", SO[[#This Row],[Collection date - override (dd/mm/yyyy)]], SO[[#This Row],[Due date (dd/mm/yyyy)]])</f>
        <v>0</v>
      </c>
      <c r="O529" s="46">
        <f t="shared" si="8"/>
        <v>52</v>
      </c>
    </row>
    <row r="530" spans="3:15" x14ac:dyDescent="0.25">
      <c r="C530" s="24"/>
      <c r="D530" s="20"/>
      <c r="E530" s="4"/>
      <c r="F530" s="37"/>
      <c r="G530" s="24"/>
      <c r="H530" s="51">
        <f>Assumptions!$D$15</f>
        <v>0.1</v>
      </c>
      <c r="I530" s="45">
        <f>IF(SO[[#This Row],[GST applies?]] = "Yes", (SO[[#This Row],[Value inc. GST]] / 1 + SO[[#This Row],[GST %]]) * SO[[#This Row],[GST %]], 0)</f>
        <v>0</v>
      </c>
      <c r="J530" s="31">
        <f>_xlfn.XLOOKUP(SO[[#This Row],[Customer name]], Customer_master[Customer name], Customer_master[EOM or Net], 0)</f>
        <v>0</v>
      </c>
      <c r="K530" s="31">
        <f>_xlfn.XLOOKUP(SO[[#This Row],[Customer name]], Customer_master[Customer name], Customer_master[Terms days], 0)</f>
        <v>0</v>
      </c>
      <c r="L5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0" s="4"/>
      <c r="N530" s="46">
        <f>IF(SO[[#This Row],[Collection date - override (dd/mm/yyyy)]] &lt;&gt; "", SO[[#This Row],[Collection date - override (dd/mm/yyyy)]], SO[[#This Row],[Due date (dd/mm/yyyy)]])</f>
        <v>0</v>
      </c>
      <c r="O530" s="46">
        <f t="shared" si="8"/>
        <v>52</v>
      </c>
    </row>
    <row r="531" spans="3:15" x14ac:dyDescent="0.25">
      <c r="C531" s="24"/>
      <c r="D531" s="20"/>
      <c r="E531" s="4"/>
      <c r="F531" s="37"/>
      <c r="G531" s="24"/>
      <c r="H531" s="51">
        <f>Assumptions!$D$15</f>
        <v>0.1</v>
      </c>
      <c r="I531" s="45">
        <f>IF(SO[[#This Row],[GST applies?]] = "Yes", (SO[[#This Row],[Value inc. GST]] / 1 + SO[[#This Row],[GST %]]) * SO[[#This Row],[GST %]], 0)</f>
        <v>0</v>
      </c>
      <c r="J531" s="31">
        <f>_xlfn.XLOOKUP(SO[[#This Row],[Customer name]], Customer_master[Customer name], Customer_master[EOM or Net], 0)</f>
        <v>0</v>
      </c>
      <c r="K531" s="31">
        <f>_xlfn.XLOOKUP(SO[[#This Row],[Customer name]], Customer_master[Customer name], Customer_master[Terms days], 0)</f>
        <v>0</v>
      </c>
      <c r="L5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1" s="4"/>
      <c r="N531" s="46">
        <f>IF(SO[[#This Row],[Collection date - override (dd/mm/yyyy)]] &lt;&gt; "", SO[[#This Row],[Collection date - override (dd/mm/yyyy)]], SO[[#This Row],[Due date (dd/mm/yyyy)]])</f>
        <v>0</v>
      </c>
      <c r="O531" s="46">
        <f t="shared" si="8"/>
        <v>52</v>
      </c>
    </row>
    <row r="532" spans="3:15" x14ac:dyDescent="0.25">
      <c r="C532" s="24"/>
      <c r="D532" s="20"/>
      <c r="E532" s="4"/>
      <c r="F532" s="37"/>
      <c r="G532" s="24"/>
      <c r="H532" s="51">
        <f>Assumptions!$D$15</f>
        <v>0.1</v>
      </c>
      <c r="I532" s="45">
        <f>IF(SO[[#This Row],[GST applies?]] = "Yes", (SO[[#This Row],[Value inc. GST]] / 1 + SO[[#This Row],[GST %]]) * SO[[#This Row],[GST %]], 0)</f>
        <v>0</v>
      </c>
      <c r="J532" s="31">
        <f>_xlfn.XLOOKUP(SO[[#This Row],[Customer name]], Customer_master[Customer name], Customer_master[EOM or Net], 0)</f>
        <v>0</v>
      </c>
      <c r="K532" s="31">
        <f>_xlfn.XLOOKUP(SO[[#This Row],[Customer name]], Customer_master[Customer name], Customer_master[Terms days], 0)</f>
        <v>0</v>
      </c>
      <c r="L5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2" s="4"/>
      <c r="N532" s="46">
        <f>IF(SO[[#This Row],[Collection date - override (dd/mm/yyyy)]] &lt;&gt; "", SO[[#This Row],[Collection date - override (dd/mm/yyyy)]], SO[[#This Row],[Due date (dd/mm/yyyy)]])</f>
        <v>0</v>
      </c>
      <c r="O532" s="46">
        <f t="shared" si="8"/>
        <v>52</v>
      </c>
    </row>
    <row r="533" spans="3:15" x14ac:dyDescent="0.25">
      <c r="C533" s="24"/>
      <c r="D533" s="20"/>
      <c r="E533" s="4"/>
      <c r="F533" s="37"/>
      <c r="G533" s="24"/>
      <c r="H533" s="51">
        <f>Assumptions!$D$15</f>
        <v>0.1</v>
      </c>
      <c r="I533" s="45">
        <f>IF(SO[[#This Row],[GST applies?]] = "Yes", (SO[[#This Row],[Value inc. GST]] / 1 + SO[[#This Row],[GST %]]) * SO[[#This Row],[GST %]], 0)</f>
        <v>0</v>
      </c>
      <c r="J533" s="31">
        <f>_xlfn.XLOOKUP(SO[[#This Row],[Customer name]], Customer_master[Customer name], Customer_master[EOM or Net], 0)</f>
        <v>0</v>
      </c>
      <c r="K533" s="31">
        <f>_xlfn.XLOOKUP(SO[[#This Row],[Customer name]], Customer_master[Customer name], Customer_master[Terms days], 0)</f>
        <v>0</v>
      </c>
      <c r="L5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3" s="4"/>
      <c r="N533" s="46">
        <f>IF(SO[[#This Row],[Collection date - override (dd/mm/yyyy)]] &lt;&gt; "", SO[[#This Row],[Collection date - override (dd/mm/yyyy)]], SO[[#This Row],[Due date (dd/mm/yyyy)]])</f>
        <v>0</v>
      </c>
      <c r="O533" s="46">
        <f t="shared" si="8"/>
        <v>52</v>
      </c>
    </row>
    <row r="534" spans="3:15" x14ac:dyDescent="0.25">
      <c r="C534" s="24"/>
      <c r="D534" s="20"/>
      <c r="E534" s="4"/>
      <c r="F534" s="37"/>
      <c r="G534" s="24"/>
      <c r="H534" s="51">
        <f>Assumptions!$D$15</f>
        <v>0.1</v>
      </c>
      <c r="I534" s="45">
        <f>IF(SO[[#This Row],[GST applies?]] = "Yes", (SO[[#This Row],[Value inc. GST]] / 1 + SO[[#This Row],[GST %]]) * SO[[#This Row],[GST %]], 0)</f>
        <v>0</v>
      </c>
      <c r="J534" s="31">
        <f>_xlfn.XLOOKUP(SO[[#This Row],[Customer name]], Customer_master[Customer name], Customer_master[EOM or Net], 0)</f>
        <v>0</v>
      </c>
      <c r="K534" s="31">
        <f>_xlfn.XLOOKUP(SO[[#This Row],[Customer name]], Customer_master[Customer name], Customer_master[Terms days], 0)</f>
        <v>0</v>
      </c>
      <c r="L5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4" s="4"/>
      <c r="N534" s="46">
        <f>IF(SO[[#This Row],[Collection date - override (dd/mm/yyyy)]] &lt;&gt; "", SO[[#This Row],[Collection date - override (dd/mm/yyyy)]], SO[[#This Row],[Due date (dd/mm/yyyy)]])</f>
        <v>0</v>
      </c>
      <c r="O534" s="46">
        <f t="shared" si="8"/>
        <v>52</v>
      </c>
    </row>
    <row r="535" spans="3:15" x14ac:dyDescent="0.25">
      <c r="C535" s="24"/>
      <c r="D535" s="20"/>
      <c r="E535" s="4"/>
      <c r="F535" s="37"/>
      <c r="G535" s="24"/>
      <c r="H535" s="51">
        <f>Assumptions!$D$15</f>
        <v>0.1</v>
      </c>
      <c r="I535" s="45">
        <f>IF(SO[[#This Row],[GST applies?]] = "Yes", (SO[[#This Row],[Value inc. GST]] / 1 + SO[[#This Row],[GST %]]) * SO[[#This Row],[GST %]], 0)</f>
        <v>0</v>
      </c>
      <c r="J535" s="31">
        <f>_xlfn.XLOOKUP(SO[[#This Row],[Customer name]], Customer_master[Customer name], Customer_master[EOM or Net], 0)</f>
        <v>0</v>
      </c>
      <c r="K535" s="31">
        <f>_xlfn.XLOOKUP(SO[[#This Row],[Customer name]], Customer_master[Customer name], Customer_master[Terms days], 0)</f>
        <v>0</v>
      </c>
      <c r="L5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5" s="4"/>
      <c r="N535" s="46">
        <f>IF(SO[[#This Row],[Collection date - override (dd/mm/yyyy)]] &lt;&gt; "", SO[[#This Row],[Collection date - override (dd/mm/yyyy)]], SO[[#This Row],[Due date (dd/mm/yyyy)]])</f>
        <v>0</v>
      </c>
      <c r="O535" s="46">
        <f t="shared" si="8"/>
        <v>52</v>
      </c>
    </row>
    <row r="536" spans="3:15" x14ac:dyDescent="0.25">
      <c r="C536" s="24"/>
      <c r="D536" s="20"/>
      <c r="E536" s="4"/>
      <c r="F536" s="37"/>
      <c r="G536" s="24"/>
      <c r="H536" s="51">
        <f>Assumptions!$D$15</f>
        <v>0.1</v>
      </c>
      <c r="I536" s="45">
        <f>IF(SO[[#This Row],[GST applies?]] = "Yes", (SO[[#This Row],[Value inc. GST]] / 1 + SO[[#This Row],[GST %]]) * SO[[#This Row],[GST %]], 0)</f>
        <v>0</v>
      </c>
      <c r="J536" s="31">
        <f>_xlfn.XLOOKUP(SO[[#This Row],[Customer name]], Customer_master[Customer name], Customer_master[EOM or Net], 0)</f>
        <v>0</v>
      </c>
      <c r="K536" s="31">
        <f>_xlfn.XLOOKUP(SO[[#This Row],[Customer name]], Customer_master[Customer name], Customer_master[Terms days], 0)</f>
        <v>0</v>
      </c>
      <c r="L5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6" s="4"/>
      <c r="N536" s="46">
        <f>IF(SO[[#This Row],[Collection date - override (dd/mm/yyyy)]] &lt;&gt; "", SO[[#This Row],[Collection date - override (dd/mm/yyyy)]], SO[[#This Row],[Due date (dd/mm/yyyy)]])</f>
        <v>0</v>
      </c>
      <c r="O536" s="46">
        <f t="shared" si="8"/>
        <v>52</v>
      </c>
    </row>
    <row r="537" spans="3:15" x14ac:dyDescent="0.25">
      <c r="C537" s="24"/>
      <c r="D537" s="20"/>
      <c r="E537" s="4"/>
      <c r="F537" s="37"/>
      <c r="G537" s="24"/>
      <c r="H537" s="51">
        <f>Assumptions!$D$15</f>
        <v>0.1</v>
      </c>
      <c r="I537" s="45">
        <f>IF(SO[[#This Row],[GST applies?]] = "Yes", (SO[[#This Row],[Value inc. GST]] / 1 + SO[[#This Row],[GST %]]) * SO[[#This Row],[GST %]], 0)</f>
        <v>0</v>
      </c>
      <c r="J537" s="31">
        <f>_xlfn.XLOOKUP(SO[[#This Row],[Customer name]], Customer_master[Customer name], Customer_master[EOM or Net], 0)</f>
        <v>0</v>
      </c>
      <c r="K537" s="31">
        <f>_xlfn.XLOOKUP(SO[[#This Row],[Customer name]], Customer_master[Customer name], Customer_master[Terms days], 0)</f>
        <v>0</v>
      </c>
      <c r="L5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7" s="4"/>
      <c r="N537" s="46">
        <f>IF(SO[[#This Row],[Collection date - override (dd/mm/yyyy)]] &lt;&gt; "", SO[[#This Row],[Collection date - override (dd/mm/yyyy)]], SO[[#This Row],[Due date (dd/mm/yyyy)]])</f>
        <v>0</v>
      </c>
      <c r="O537" s="46">
        <f t="shared" si="8"/>
        <v>52</v>
      </c>
    </row>
    <row r="538" spans="3:15" x14ac:dyDescent="0.25">
      <c r="C538" s="24"/>
      <c r="D538" s="20"/>
      <c r="E538" s="4"/>
      <c r="F538" s="37"/>
      <c r="G538" s="24"/>
      <c r="H538" s="51">
        <f>Assumptions!$D$15</f>
        <v>0.1</v>
      </c>
      <c r="I538" s="45">
        <f>IF(SO[[#This Row],[GST applies?]] = "Yes", (SO[[#This Row],[Value inc. GST]] / 1 + SO[[#This Row],[GST %]]) * SO[[#This Row],[GST %]], 0)</f>
        <v>0</v>
      </c>
      <c r="J538" s="31">
        <f>_xlfn.XLOOKUP(SO[[#This Row],[Customer name]], Customer_master[Customer name], Customer_master[EOM or Net], 0)</f>
        <v>0</v>
      </c>
      <c r="K538" s="31">
        <f>_xlfn.XLOOKUP(SO[[#This Row],[Customer name]], Customer_master[Customer name], Customer_master[Terms days], 0)</f>
        <v>0</v>
      </c>
      <c r="L5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8" s="4"/>
      <c r="N538" s="46">
        <f>IF(SO[[#This Row],[Collection date - override (dd/mm/yyyy)]] &lt;&gt; "", SO[[#This Row],[Collection date - override (dd/mm/yyyy)]], SO[[#This Row],[Due date (dd/mm/yyyy)]])</f>
        <v>0</v>
      </c>
      <c r="O538" s="46">
        <f t="shared" si="8"/>
        <v>52</v>
      </c>
    </row>
    <row r="539" spans="3:15" x14ac:dyDescent="0.25">
      <c r="C539" s="24"/>
      <c r="D539" s="20"/>
      <c r="E539" s="4"/>
      <c r="F539" s="37"/>
      <c r="G539" s="24"/>
      <c r="H539" s="51">
        <f>Assumptions!$D$15</f>
        <v>0.1</v>
      </c>
      <c r="I539" s="45">
        <f>IF(SO[[#This Row],[GST applies?]] = "Yes", (SO[[#This Row],[Value inc. GST]] / 1 + SO[[#This Row],[GST %]]) * SO[[#This Row],[GST %]], 0)</f>
        <v>0</v>
      </c>
      <c r="J539" s="31">
        <f>_xlfn.XLOOKUP(SO[[#This Row],[Customer name]], Customer_master[Customer name], Customer_master[EOM or Net], 0)</f>
        <v>0</v>
      </c>
      <c r="K539" s="31">
        <f>_xlfn.XLOOKUP(SO[[#This Row],[Customer name]], Customer_master[Customer name], Customer_master[Terms days], 0)</f>
        <v>0</v>
      </c>
      <c r="L5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9" s="4"/>
      <c r="N539" s="46">
        <f>IF(SO[[#This Row],[Collection date - override (dd/mm/yyyy)]] &lt;&gt; "", SO[[#This Row],[Collection date - override (dd/mm/yyyy)]], SO[[#This Row],[Due date (dd/mm/yyyy)]])</f>
        <v>0</v>
      </c>
      <c r="O539" s="46">
        <f t="shared" si="8"/>
        <v>52</v>
      </c>
    </row>
    <row r="540" spans="3:15" x14ac:dyDescent="0.25">
      <c r="C540" s="24"/>
      <c r="D540" s="20"/>
      <c r="E540" s="4"/>
      <c r="F540" s="37"/>
      <c r="G540" s="24"/>
      <c r="H540" s="51">
        <f>Assumptions!$D$15</f>
        <v>0.1</v>
      </c>
      <c r="I540" s="45">
        <f>IF(SO[[#This Row],[GST applies?]] = "Yes", (SO[[#This Row],[Value inc. GST]] / 1 + SO[[#This Row],[GST %]]) * SO[[#This Row],[GST %]], 0)</f>
        <v>0</v>
      </c>
      <c r="J540" s="31">
        <f>_xlfn.XLOOKUP(SO[[#This Row],[Customer name]], Customer_master[Customer name], Customer_master[EOM or Net], 0)</f>
        <v>0</v>
      </c>
      <c r="K540" s="31">
        <f>_xlfn.XLOOKUP(SO[[#This Row],[Customer name]], Customer_master[Customer name], Customer_master[Terms days], 0)</f>
        <v>0</v>
      </c>
      <c r="L5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0" s="4"/>
      <c r="N540" s="46">
        <f>IF(SO[[#This Row],[Collection date - override (dd/mm/yyyy)]] &lt;&gt; "", SO[[#This Row],[Collection date - override (dd/mm/yyyy)]], SO[[#This Row],[Due date (dd/mm/yyyy)]])</f>
        <v>0</v>
      </c>
      <c r="O540" s="46">
        <f t="shared" si="8"/>
        <v>52</v>
      </c>
    </row>
    <row r="541" spans="3:15" x14ac:dyDescent="0.25">
      <c r="C541" s="24"/>
      <c r="D541" s="20"/>
      <c r="E541" s="4"/>
      <c r="F541" s="37"/>
      <c r="G541" s="24"/>
      <c r="H541" s="51">
        <f>Assumptions!$D$15</f>
        <v>0.1</v>
      </c>
      <c r="I541" s="45">
        <f>IF(SO[[#This Row],[GST applies?]] = "Yes", (SO[[#This Row],[Value inc. GST]] / 1 + SO[[#This Row],[GST %]]) * SO[[#This Row],[GST %]], 0)</f>
        <v>0</v>
      </c>
      <c r="J541" s="31">
        <f>_xlfn.XLOOKUP(SO[[#This Row],[Customer name]], Customer_master[Customer name], Customer_master[EOM or Net], 0)</f>
        <v>0</v>
      </c>
      <c r="K541" s="31">
        <f>_xlfn.XLOOKUP(SO[[#This Row],[Customer name]], Customer_master[Customer name], Customer_master[Terms days], 0)</f>
        <v>0</v>
      </c>
      <c r="L5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1" s="4"/>
      <c r="N541" s="46">
        <f>IF(SO[[#This Row],[Collection date - override (dd/mm/yyyy)]] &lt;&gt; "", SO[[#This Row],[Collection date - override (dd/mm/yyyy)]], SO[[#This Row],[Due date (dd/mm/yyyy)]])</f>
        <v>0</v>
      </c>
      <c r="O541" s="46">
        <f t="shared" si="8"/>
        <v>52</v>
      </c>
    </row>
    <row r="542" spans="3:15" x14ac:dyDescent="0.25">
      <c r="C542" s="24"/>
      <c r="D542" s="20"/>
      <c r="E542" s="4"/>
      <c r="F542" s="37"/>
      <c r="G542" s="24"/>
      <c r="H542" s="51">
        <f>Assumptions!$D$15</f>
        <v>0.1</v>
      </c>
      <c r="I542" s="45">
        <f>IF(SO[[#This Row],[GST applies?]] = "Yes", (SO[[#This Row],[Value inc. GST]] / 1 + SO[[#This Row],[GST %]]) * SO[[#This Row],[GST %]], 0)</f>
        <v>0</v>
      </c>
      <c r="J542" s="31">
        <f>_xlfn.XLOOKUP(SO[[#This Row],[Customer name]], Customer_master[Customer name], Customer_master[EOM or Net], 0)</f>
        <v>0</v>
      </c>
      <c r="K542" s="31">
        <f>_xlfn.XLOOKUP(SO[[#This Row],[Customer name]], Customer_master[Customer name], Customer_master[Terms days], 0)</f>
        <v>0</v>
      </c>
      <c r="L5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2" s="4"/>
      <c r="N542" s="46">
        <f>IF(SO[[#This Row],[Collection date - override (dd/mm/yyyy)]] &lt;&gt; "", SO[[#This Row],[Collection date - override (dd/mm/yyyy)]], SO[[#This Row],[Due date (dd/mm/yyyy)]])</f>
        <v>0</v>
      </c>
      <c r="O542" s="46">
        <f t="shared" si="8"/>
        <v>52</v>
      </c>
    </row>
    <row r="543" spans="3:15" x14ac:dyDescent="0.25">
      <c r="C543" s="24"/>
      <c r="D543" s="20"/>
      <c r="E543" s="4"/>
      <c r="F543" s="37"/>
      <c r="G543" s="24"/>
      <c r="H543" s="51">
        <f>Assumptions!$D$15</f>
        <v>0.1</v>
      </c>
      <c r="I543" s="45">
        <f>IF(SO[[#This Row],[GST applies?]] = "Yes", (SO[[#This Row],[Value inc. GST]] / 1 + SO[[#This Row],[GST %]]) * SO[[#This Row],[GST %]], 0)</f>
        <v>0</v>
      </c>
      <c r="J543" s="31">
        <f>_xlfn.XLOOKUP(SO[[#This Row],[Customer name]], Customer_master[Customer name], Customer_master[EOM or Net], 0)</f>
        <v>0</v>
      </c>
      <c r="K543" s="31">
        <f>_xlfn.XLOOKUP(SO[[#This Row],[Customer name]], Customer_master[Customer name], Customer_master[Terms days], 0)</f>
        <v>0</v>
      </c>
      <c r="L5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3" s="4"/>
      <c r="N543" s="46">
        <f>IF(SO[[#This Row],[Collection date - override (dd/mm/yyyy)]] &lt;&gt; "", SO[[#This Row],[Collection date - override (dd/mm/yyyy)]], SO[[#This Row],[Due date (dd/mm/yyyy)]])</f>
        <v>0</v>
      </c>
      <c r="O543" s="46">
        <f t="shared" si="8"/>
        <v>52</v>
      </c>
    </row>
    <row r="544" spans="3:15" x14ac:dyDescent="0.25">
      <c r="C544" s="24"/>
      <c r="D544" s="20"/>
      <c r="E544" s="4"/>
      <c r="F544" s="37"/>
      <c r="G544" s="24"/>
      <c r="H544" s="51">
        <f>Assumptions!$D$15</f>
        <v>0.1</v>
      </c>
      <c r="I544" s="45">
        <f>IF(SO[[#This Row],[GST applies?]] = "Yes", (SO[[#This Row],[Value inc. GST]] / 1 + SO[[#This Row],[GST %]]) * SO[[#This Row],[GST %]], 0)</f>
        <v>0</v>
      </c>
      <c r="J544" s="31">
        <f>_xlfn.XLOOKUP(SO[[#This Row],[Customer name]], Customer_master[Customer name], Customer_master[EOM or Net], 0)</f>
        <v>0</v>
      </c>
      <c r="K544" s="31">
        <f>_xlfn.XLOOKUP(SO[[#This Row],[Customer name]], Customer_master[Customer name], Customer_master[Terms days], 0)</f>
        <v>0</v>
      </c>
      <c r="L5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4" s="4"/>
      <c r="N544" s="46">
        <f>IF(SO[[#This Row],[Collection date - override (dd/mm/yyyy)]] &lt;&gt; "", SO[[#This Row],[Collection date - override (dd/mm/yyyy)]], SO[[#This Row],[Due date (dd/mm/yyyy)]])</f>
        <v>0</v>
      </c>
      <c r="O544" s="46">
        <f t="shared" si="8"/>
        <v>52</v>
      </c>
    </row>
    <row r="545" spans="3:15" x14ac:dyDescent="0.25">
      <c r="C545" s="24"/>
      <c r="D545" s="20"/>
      <c r="E545" s="4"/>
      <c r="F545" s="37"/>
      <c r="G545" s="24"/>
      <c r="H545" s="51">
        <f>Assumptions!$D$15</f>
        <v>0.1</v>
      </c>
      <c r="I545" s="45">
        <f>IF(SO[[#This Row],[GST applies?]] = "Yes", (SO[[#This Row],[Value inc. GST]] / 1 + SO[[#This Row],[GST %]]) * SO[[#This Row],[GST %]], 0)</f>
        <v>0</v>
      </c>
      <c r="J545" s="31">
        <f>_xlfn.XLOOKUP(SO[[#This Row],[Customer name]], Customer_master[Customer name], Customer_master[EOM or Net], 0)</f>
        <v>0</v>
      </c>
      <c r="K545" s="31">
        <f>_xlfn.XLOOKUP(SO[[#This Row],[Customer name]], Customer_master[Customer name], Customer_master[Terms days], 0)</f>
        <v>0</v>
      </c>
      <c r="L5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5" s="4"/>
      <c r="N545" s="46">
        <f>IF(SO[[#This Row],[Collection date - override (dd/mm/yyyy)]] &lt;&gt; "", SO[[#This Row],[Collection date - override (dd/mm/yyyy)]], SO[[#This Row],[Due date (dd/mm/yyyy)]])</f>
        <v>0</v>
      </c>
      <c r="O545" s="46">
        <f t="shared" si="8"/>
        <v>52</v>
      </c>
    </row>
    <row r="546" spans="3:15" x14ac:dyDescent="0.25">
      <c r="C546" s="24"/>
      <c r="D546" s="20"/>
      <c r="E546" s="4"/>
      <c r="F546" s="37"/>
      <c r="G546" s="24"/>
      <c r="H546" s="51">
        <f>Assumptions!$D$15</f>
        <v>0.1</v>
      </c>
      <c r="I546" s="45">
        <f>IF(SO[[#This Row],[GST applies?]] = "Yes", (SO[[#This Row],[Value inc. GST]] / 1 + SO[[#This Row],[GST %]]) * SO[[#This Row],[GST %]], 0)</f>
        <v>0</v>
      </c>
      <c r="J546" s="31">
        <f>_xlfn.XLOOKUP(SO[[#This Row],[Customer name]], Customer_master[Customer name], Customer_master[EOM or Net], 0)</f>
        <v>0</v>
      </c>
      <c r="K546" s="31">
        <f>_xlfn.XLOOKUP(SO[[#This Row],[Customer name]], Customer_master[Customer name], Customer_master[Terms days], 0)</f>
        <v>0</v>
      </c>
      <c r="L5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6" s="4"/>
      <c r="N546" s="46">
        <f>IF(SO[[#This Row],[Collection date - override (dd/mm/yyyy)]] &lt;&gt; "", SO[[#This Row],[Collection date - override (dd/mm/yyyy)]], SO[[#This Row],[Due date (dd/mm/yyyy)]])</f>
        <v>0</v>
      </c>
      <c r="O546" s="46">
        <f t="shared" si="8"/>
        <v>52</v>
      </c>
    </row>
    <row r="547" spans="3:15" x14ac:dyDescent="0.25">
      <c r="C547" s="24"/>
      <c r="D547" s="20"/>
      <c r="E547" s="4"/>
      <c r="F547" s="37"/>
      <c r="G547" s="24"/>
      <c r="H547" s="51">
        <f>Assumptions!$D$15</f>
        <v>0.1</v>
      </c>
      <c r="I547" s="45">
        <f>IF(SO[[#This Row],[GST applies?]] = "Yes", (SO[[#This Row],[Value inc. GST]] / 1 + SO[[#This Row],[GST %]]) * SO[[#This Row],[GST %]], 0)</f>
        <v>0</v>
      </c>
      <c r="J547" s="31">
        <f>_xlfn.XLOOKUP(SO[[#This Row],[Customer name]], Customer_master[Customer name], Customer_master[EOM or Net], 0)</f>
        <v>0</v>
      </c>
      <c r="K547" s="31">
        <f>_xlfn.XLOOKUP(SO[[#This Row],[Customer name]], Customer_master[Customer name], Customer_master[Terms days], 0)</f>
        <v>0</v>
      </c>
      <c r="L5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7" s="4"/>
      <c r="N547" s="46">
        <f>IF(SO[[#This Row],[Collection date - override (dd/mm/yyyy)]] &lt;&gt; "", SO[[#This Row],[Collection date - override (dd/mm/yyyy)]], SO[[#This Row],[Due date (dd/mm/yyyy)]])</f>
        <v>0</v>
      </c>
      <c r="O547" s="46">
        <f t="shared" si="8"/>
        <v>52</v>
      </c>
    </row>
    <row r="548" spans="3:15" x14ac:dyDescent="0.25">
      <c r="C548" s="24"/>
      <c r="D548" s="20"/>
      <c r="E548" s="4"/>
      <c r="F548" s="37"/>
      <c r="G548" s="24"/>
      <c r="H548" s="51">
        <f>Assumptions!$D$15</f>
        <v>0.1</v>
      </c>
      <c r="I548" s="45">
        <f>IF(SO[[#This Row],[GST applies?]] = "Yes", (SO[[#This Row],[Value inc. GST]] / 1 + SO[[#This Row],[GST %]]) * SO[[#This Row],[GST %]], 0)</f>
        <v>0</v>
      </c>
      <c r="J548" s="31">
        <f>_xlfn.XLOOKUP(SO[[#This Row],[Customer name]], Customer_master[Customer name], Customer_master[EOM or Net], 0)</f>
        <v>0</v>
      </c>
      <c r="K548" s="31">
        <f>_xlfn.XLOOKUP(SO[[#This Row],[Customer name]], Customer_master[Customer name], Customer_master[Terms days], 0)</f>
        <v>0</v>
      </c>
      <c r="L5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8" s="4"/>
      <c r="N548" s="46">
        <f>IF(SO[[#This Row],[Collection date - override (dd/mm/yyyy)]] &lt;&gt; "", SO[[#This Row],[Collection date - override (dd/mm/yyyy)]], SO[[#This Row],[Due date (dd/mm/yyyy)]])</f>
        <v>0</v>
      </c>
      <c r="O548" s="46">
        <f t="shared" si="8"/>
        <v>52</v>
      </c>
    </row>
    <row r="549" spans="3:15" x14ac:dyDescent="0.25">
      <c r="C549" s="24"/>
      <c r="D549" s="20"/>
      <c r="E549" s="4"/>
      <c r="F549" s="37"/>
      <c r="G549" s="24"/>
      <c r="H549" s="51">
        <f>Assumptions!$D$15</f>
        <v>0.1</v>
      </c>
      <c r="I549" s="45">
        <f>IF(SO[[#This Row],[GST applies?]] = "Yes", (SO[[#This Row],[Value inc. GST]] / 1 + SO[[#This Row],[GST %]]) * SO[[#This Row],[GST %]], 0)</f>
        <v>0</v>
      </c>
      <c r="J549" s="31">
        <f>_xlfn.XLOOKUP(SO[[#This Row],[Customer name]], Customer_master[Customer name], Customer_master[EOM or Net], 0)</f>
        <v>0</v>
      </c>
      <c r="K549" s="31">
        <f>_xlfn.XLOOKUP(SO[[#This Row],[Customer name]], Customer_master[Customer name], Customer_master[Terms days], 0)</f>
        <v>0</v>
      </c>
      <c r="L5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9" s="4"/>
      <c r="N549" s="46">
        <f>IF(SO[[#This Row],[Collection date - override (dd/mm/yyyy)]] &lt;&gt; "", SO[[#This Row],[Collection date - override (dd/mm/yyyy)]], SO[[#This Row],[Due date (dd/mm/yyyy)]])</f>
        <v>0</v>
      </c>
      <c r="O549" s="46">
        <f t="shared" si="8"/>
        <v>52</v>
      </c>
    </row>
    <row r="550" spans="3:15" x14ac:dyDescent="0.25">
      <c r="C550" s="24"/>
      <c r="D550" s="20"/>
      <c r="E550" s="4"/>
      <c r="F550" s="37"/>
      <c r="G550" s="24"/>
      <c r="H550" s="51">
        <f>Assumptions!$D$15</f>
        <v>0.1</v>
      </c>
      <c r="I550" s="45">
        <f>IF(SO[[#This Row],[GST applies?]] = "Yes", (SO[[#This Row],[Value inc. GST]] / 1 + SO[[#This Row],[GST %]]) * SO[[#This Row],[GST %]], 0)</f>
        <v>0</v>
      </c>
      <c r="J550" s="31">
        <f>_xlfn.XLOOKUP(SO[[#This Row],[Customer name]], Customer_master[Customer name], Customer_master[EOM or Net], 0)</f>
        <v>0</v>
      </c>
      <c r="K550" s="31">
        <f>_xlfn.XLOOKUP(SO[[#This Row],[Customer name]], Customer_master[Customer name], Customer_master[Terms days], 0)</f>
        <v>0</v>
      </c>
      <c r="L5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0" s="4"/>
      <c r="N550" s="46">
        <f>IF(SO[[#This Row],[Collection date - override (dd/mm/yyyy)]] &lt;&gt; "", SO[[#This Row],[Collection date - override (dd/mm/yyyy)]], SO[[#This Row],[Due date (dd/mm/yyyy)]])</f>
        <v>0</v>
      </c>
      <c r="O550" s="46">
        <f t="shared" si="8"/>
        <v>52</v>
      </c>
    </row>
    <row r="551" spans="3:15" x14ac:dyDescent="0.25">
      <c r="C551" s="24"/>
      <c r="D551" s="20"/>
      <c r="E551" s="4"/>
      <c r="F551" s="37"/>
      <c r="G551" s="24"/>
      <c r="H551" s="51">
        <f>Assumptions!$D$15</f>
        <v>0.1</v>
      </c>
      <c r="I551" s="45">
        <f>IF(SO[[#This Row],[GST applies?]] = "Yes", (SO[[#This Row],[Value inc. GST]] / 1 + SO[[#This Row],[GST %]]) * SO[[#This Row],[GST %]], 0)</f>
        <v>0</v>
      </c>
      <c r="J551" s="31">
        <f>_xlfn.XLOOKUP(SO[[#This Row],[Customer name]], Customer_master[Customer name], Customer_master[EOM or Net], 0)</f>
        <v>0</v>
      </c>
      <c r="K551" s="31">
        <f>_xlfn.XLOOKUP(SO[[#This Row],[Customer name]], Customer_master[Customer name], Customer_master[Terms days], 0)</f>
        <v>0</v>
      </c>
      <c r="L5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1" s="4"/>
      <c r="N551" s="46">
        <f>IF(SO[[#This Row],[Collection date - override (dd/mm/yyyy)]] &lt;&gt; "", SO[[#This Row],[Collection date - override (dd/mm/yyyy)]], SO[[#This Row],[Due date (dd/mm/yyyy)]])</f>
        <v>0</v>
      </c>
      <c r="O551" s="46">
        <f t="shared" si="8"/>
        <v>52</v>
      </c>
    </row>
    <row r="552" spans="3:15" x14ac:dyDescent="0.25">
      <c r="C552" s="24"/>
      <c r="D552" s="20"/>
      <c r="E552" s="4"/>
      <c r="F552" s="37"/>
      <c r="G552" s="24"/>
      <c r="H552" s="51">
        <f>Assumptions!$D$15</f>
        <v>0.1</v>
      </c>
      <c r="I552" s="45">
        <f>IF(SO[[#This Row],[GST applies?]] = "Yes", (SO[[#This Row],[Value inc. GST]] / 1 + SO[[#This Row],[GST %]]) * SO[[#This Row],[GST %]], 0)</f>
        <v>0</v>
      </c>
      <c r="J552" s="31">
        <f>_xlfn.XLOOKUP(SO[[#This Row],[Customer name]], Customer_master[Customer name], Customer_master[EOM or Net], 0)</f>
        <v>0</v>
      </c>
      <c r="K552" s="31">
        <f>_xlfn.XLOOKUP(SO[[#This Row],[Customer name]], Customer_master[Customer name], Customer_master[Terms days], 0)</f>
        <v>0</v>
      </c>
      <c r="L5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2" s="4"/>
      <c r="N552" s="46">
        <f>IF(SO[[#This Row],[Collection date - override (dd/mm/yyyy)]] &lt;&gt; "", SO[[#This Row],[Collection date - override (dd/mm/yyyy)]], SO[[#This Row],[Due date (dd/mm/yyyy)]])</f>
        <v>0</v>
      </c>
      <c r="O552" s="46">
        <f t="shared" si="8"/>
        <v>52</v>
      </c>
    </row>
    <row r="553" spans="3:15" x14ac:dyDescent="0.25">
      <c r="C553" s="24"/>
      <c r="D553" s="20"/>
      <c r="E553" s="4"/>
      <c r="F553" s="37"/>
      <c r="G553" s="24"/>
      <c r="H553" s="51">
        <f>Assumptions!$D$15</f>
        <v>0.1</v>
      </c>
      <c r="I553" s="45">
        <f>IF(SO[[#This Row],[GST applies?]] = "Yes", (SO[[#This Row],[Value inc. GST]] / 1 + SO[[#This Row],[GST %]]) * SO[[#This Row],[GST %]], 0)</f>
        <v>0</v>
      </c>
      <c r="J553" s="31">
        <f>_xlfn.XLOOKUP(SO[[#This Row],[Customer name]], Customer_master[Customer name], Customer_master[EOM or Net], 0)</f>
        <v>0</v>
      </c>
      <c r="K553" s="31">
        <f>_xlfn.XLOOKUP(SO[[#This Row],[Customer name]], Customer_master[Customer name], Customer_master[Terms days], 0)</f>
        <v>0</v>
      </c>
      <c r="L5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3" s="4"/>
      <c r="N553" s="46">
        <f>IF(SO[[#This Row],[Collection date - override (dd/mm/yyyy)]] &lt;&gt; "", SO[[#This Row],[Collection date - override (dd/mm/yyyy)]], SO[[#This Row],[Due date (dd/mm/yyyy)]])</f>
        <v>0</v>
      </c>
      <c r="O553" s="46">
        <f t="shared" si="8"/>
        <v>52</v>
      </c>
    </row>
    <row r="554" spans="3:15" x14ac:dyDescent="0.25">
      <c r="C554" s="24"/>
      <c r="D554" s="20"/>
      <c r="E554" s="4"/>
      <c r="F554" s="37"/>
      <c r="G554" s="24"/>
      <c r="H554" s="51">
        <f>Assumptions!$D$15</f>
        <v>0.1</v>
      </c>
      <c r="I554" s="45">
        <f>IF(SO[[#This Row],[GST applies?]] = "Yes", (SO[[#This Row],[Value inc. GST]] / 1 + SO[[#This Row],[GST %]]) * SO[[#This Row],[GST %]], 0)</f>
        <v>0</v>
      </c>
      <c r="J554" s="31">
        <f>_xlfn.XLOOKUP(SO[[#This Row],[Customer name]], Customer_master[Customer name], Customer_master[EOM or Net], 0)</f>
        <v>0</v>
      </c>
      <c r="K554" s="31">
        <f>_xlfn.XLOOKUP(SO[[#This Row],[Customer name]], Customer_master[Customer name], Customer_master[Terms days], 0)</f>
        <v>0</v>
      </c>
      <c r="L5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4" s="4"/>
      <c r="N554" s="46">
        <f>IF(SO[[#This Row],[Collection date - override (dd/mm/yyyy)]] &lt;&gt; "", SO[[#This Row],[Collection date - override (dd/mm/yyyy)]], SO[[#This Row],[Due date (dd/mm/yyyy)]])</f>
        <v>0</v>
      </c>
      <c r="O554" s="46">
        <f t="shared" si="8"/>
        <v>52</v>
      </c>
    </row>
    <row r="555" spans="3:15" x14ac:dyDescent="0.25">
      <c r="C555" s="24"/>
      <c r="D555" s="20"/>
      <c r="E555" s="4"/>
      <c r="F555" s="37"/>
      <c r="G555" s="24"/>
      <c r="H555" s="51">
        <f>Assumptions!$D$15</f>
        <v>0.1</v>
      </c>
      <c r="I555" s="45">
        <f>IF(SO[[#This Row],[GST applies?]] = "Yes", (SO[[#This Row],[Value inc. GST]] / 1 + SO[[#This Row],[GST %]]) * SO[[#This Row],[GST %]], 0)</f>
        <v>0</v>
      </c>
      <c r="J555" s="31">
        <f>_xlfn.XLOOKUP(SO[[#This Row],[Customer name]], Customer_master[Customer name], Customer_master[EOM or Net], 0)</f>
        <v>0</v>
      </c>
      <c r="K555" s="31">
        <f>_xlfn.XLOOKUP(SO[[#This Row],[Customer name]], Customer_master[Customer name], Customer_master[Terms days], 0)</f>
        <v>0</v>
      </c>
      <c r="L5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5" s="4"/>
      <c r="N555" s="46">
        <f>IF(SO[[#This Row],[Collection date - override (dd/mm/yyyy)]] &lt;&gt; "", SO[[#This Row],[Collection date - override (dd/mm/yyyy)]], SO[[#This Row],[Due date (dd/mm/yyyy)]])</f>
        <v>0</v>
      </c>
      <c r="O555" s="46">
        <f t="shared" si="8"/>
        <v>52</v>
      </c>
    </row>
    <row r="556" spans="3:15" x14ac:dyDescent="0.25">
      <c r="C556" s="24"/>
      <c r="D556" s="20"/>
      <c r="E556" s="4"/>
      <c r="F556" s="37"/>
      <c r="G556" s="24"/>
      <c r="H556" s="51">
        <f>Assumptions!$D$15</f>
        <v>0.1</v>
      </c>
      <c r="I556" s="45">
        <f>IF(SO[[#This Row],[GST applies?]] = "Yes", (SO[[#This Row],[Value inc. GST]] / 1 + SO[[#This Row],[GST %]]) * SO[[#This Row],[GST %]], 0)</f>
        <v>0</v>
      </c>
      <c r="J556" s="31">
        <f>_xlfn.XLOOKUP(SO[[#This Row],[Customer name]], Customer_master[Customer name], Customer_master[EOM or Net], 0)</f>
        <v>0</v>
      </c>
      <c r="K556" s="31">
        <f>_xlfn.XLOOKUP(SO[[#This Row],[Customer name]], Customer_master[Customer name], Customer_master[Terms days], 0)</f>
        <v>0</v>
      </c>
      <c r="L5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6" s="4"/>
      <c r="N556" s="46">
        <f>IF(SO[[#This Row],[Collection date - override (dd/mm/yyyy)]] &lt;&gt; "", SO[[#This Row],[Collection date - override (dd/mm/yyyy)]], SO[[#This Row],[Due date (dd/mm/yyyy)]])</f>
        <v>0</v>
      </c>
      <c r="O556" s="46">
        <f t="shared" si="8"/>
        <v>52</v>
      </c>
    </row>
    <row r="557" spans="3:15" x14ac:dyDescent="0.25">
      <c r="C557" s="24"/>
      <c r="D557" s="20"/>
      <c r="E557" s="4"/>
      <c r="F557" s="37"/>
      <c r="G557" s="24"/>
      <c r="H557" s="51">
        <f>Assumptions!$D$15</f>
        <v>0.1</v>
      </c>
      <c r="I557" s="45">
        <f>IF(SO[[#This Row],[GST applies?]] = "Yes", (SO[[#This Row],[Value inc. GST]] / 1 + SO[[#This Row],[GST %]]) * SO[[#This Row],[GST %]], 0)</f>
        <v>0</v>
      </c>
      <c r="J557" s="31">
        <f>_xlfn.XLOOKUP(SO[[#This Row],[Customer name]], Customer_master[Customer name], Customer_master[EOM or Net], 0)</f>
        <v>0</v>
      </c>
      <c r="K557" s="31">
        <f>_xlfn.XLOOKUP(SO[[#This Row],[Customer name]], Customer_master[Customer name], Customer_master[Terms days], 0)</f>
        <v>0</v>
      </c>
      <c r="L5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7" s="4"/>
      <c r="N557" s="46">
        <f>IF(SO[[#This Row],[Collection date - override (dd/mm/yyyy)]] &lt;&gt; "", SO[[#This Row],[Collection date - override (dd/mm/yyyy)]], SO[[#This Row],[Due date (dd/mm/yyyy)]])</f>
        <v>0</v>
      </c>
      <c r="O557" s="46">
        <f t="shared" si="8"/>
        <v>52</v>
      </c>
    </row>
    <row r="558" spans="3:15" x14ac:dyDescent="0.25">
      <c r="C558" s="24"/>
      <c r="D558" s="20"/>
      <c r="E558" s="4"/>
      <c r="F558" s="37"/>
      <c r="G558" s="24"/>
      <c r="H558" s="51">
        <f>Assumptions!$D$15</f>
        <v>0.1</v>
      </c>
      <c r="I558" s="45">
        <f>IF(SO[[#This Row],[GST applies?]] = "Yes", (SO[[#This Row],[Value inc. GST]] / 1 + SO[[#This Row],[GST %]]) * SO[[#This Row],[GST %]], 0)</f>
        <v>0</v>
      </c>
      <c r="J558" s="31">
        <f>_xlfn.XLOOKUP(SO[[#This Row],[Customer name]], Customer_master[Customer name], Customer_master[EOM or Net], 0)</f>
        <v>0</v>
      </c>
      <c r="K558" s="31">
        <f>_xlfn.XLOOKUP(SO[[#This Row],[Customer name]], Customer_master[Customer name], Customer_master[Terms days], 0)</f>
        <v>0</v>
      </c>
      <c r="L5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8" s="4"/>
      <c r="N558" s="46">
        <f>IF(SO[[#This Row],[Collection date - override (dd/mm/yyyy)]] &lt;&gt; "", SO[[#This Row],[Collection date - override (dd/mm/yyyy)]], SO[[#This Row],[Due date (dd/mm/yyyy)]])</f>
        <v>0</v>
      </c>
      <c r="O558" s="46">
        <f t="shared" si="8"/>
        <v>52</v>
      </c>
    </row>
    <row r="559" spans="3:15" x14ac:dyDescent="0.25">
      <c r="C559" s="24"/>
      <c r="D559" s="20"/>
      <c r="E559" s="4"/>
      <c r="F559" s="37"/>
      <c r="G559" s="24"/>
      <c r="H559" s="51">
        <f>Assumptions!$D$15</f>
        <v>0.1</v>
      </c>
      <c r="I559" s="45">
        <f>IF(SO[[#This Row],[GST applies?]] = "Yes", (SO[[#This Row],[Value inc. GST]] / 1 + SO[[#This Row],[GST %]]) * SO[[#This Row],[GST %]], 0)</f>
        <v>0</v>
      </c>
      <c r="J559" s="31">
        <f>_xlfn.XLOOKUP(SO[[#This Row],[Customer name]], Customer_master[Customer name], Customer_master[EOM or Net], 0)</f>
        <v>0</v>
      </c>
      <c r="K559" s="31">
        <f>_xlfn.XLOOKUP(SO[[#This Row],[Customer name]], Customer_master[Customer name], Customer_master[Terms days], 0)</f>
        <v>0</v>
      </c>
      <c r="L5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9" s="4"/>
      <c r="N559" s="46">
        <f>IF(SO[[#This Row],[Collection date - override (dd/mm/yyyy)]] &lt;&gt; "", SO[[#This Row],[Collection date - override (dd/mm/yyyy)]], SO[[#This Row],[Due date (dd/mm/yyyy)]])</f>
        <v>0</v>
      </c>
      <c r="O559" s="46">
        <f t="shared" si="8"/>
        <v>52</v>
      </c>
    </row>
    <row r="560" spans="3:15" x14ac:dyDescent="0.25">
      <c r="C560" s="24"/>
      <c r="D560" s="20"/>
      <c r="E560" s="4"/>
      <c r="F560" s="37"/>
      <c r="G560" s="24"/>
      <c r="H560" s="51">
        <f>Assumptions!$D$15</f>
        <v>0.1</v>
      </c>
      <c r="I560" s="45">
        <f>IF(SO[[#This Row],[GST applies?]] = "Yes", (SO[[#This Row],[Value inc. GST]] / 1 + SO[[#This Row],[GST %]]) * SO[[#This Row],[GST %]], 0)</f>
        <v>0</v>
      </c>
      <c r="J560" s="31">
        <f>_xlfn.XLOOKUP(SO[[#This Row],[Customer name]], Customer_master[Customer name], Customer_master[EOM or Net], 0)</f>
        <v>0</v>
      </c>
      <c r="K560" s="31">
        <f>_xlfn.XLOOKUP(SO[[#This Row],[Customer name]], Customer_master[Customer name], Customer_master[Terms days], 0)</f>
        <v>0</v>
      </c>
      <c r="L5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0" s="4"/>
      <c r="N560" s="46">
        <f>IF(SO[[#This Row],[Collection date - override (dd/mm/yyyy)]] &lt;&gt; "", SO[[#This Row],[Collection date - override (dd/mm/yyyy)]], SO[[#This Row],[Due date (dd/mm/yyyy)]])</f>
        <v>0</v>
      </c>
      <c r="O560" s="46">
        <f t="shared" si="8"/>
        <v>52</v>
      </c>
    </row>
    <row r="561" spans="3:15" x14ac:dyDescent="0.25">
      <c r="C561" s="24"/>
      <c r="D561" s="20"/>
      <c r="E561" s="4"/>
      <c r="F561" s="37"/>
      <c r="G561" s="24"/>
      <c r="H561" s="51">
        <f>Assumptions!$D$15</f>
        <v>0.1</v>
      </c>
      <c r="I561" s="45">
        <f>IF(SO[[#This Row],[GST applies?]] = "Yes", (SO[[#This Row],[Value inc. GST]] / 1 + SO[[#This Row],[GST %]]) * SO[[#This Row],[GST %]], 0)</f>
        <v>0</v>
      </c>
      <c r="J561" s="31">
        <f>_xlfn.XLOOKUP(SO[[#This Row],[Customer name]], Customer_master[Customer name], Customer_master[EOM or Net], 0)</f>
        <v>0</v>
      </c>
      <c r="K561" s="31">
        <f>_xlfn.XLOOKUP(SO[[#This Row],[Customer name]], Customer_master[Customer name], Customer_master[Terms days], 0)</f>
        <v>0</v>
      </c>
      <c r="L5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1" s="4"/>
      <c r="N561" s="46">
        <f>IF(SO[[#This Row],[Collection date - override (dd/mm/yyyy)]] &lt;&gt; "", SO[[#This Row],[Collection date - override (dd/mm/yyyy)]], SO[[#This Row],[Due date (dd/mm/yyyy)]])</f>
        <v>0</v>
      </c>
      <c r="O561" s="46">
        <f t="shared" si="8"/>
        <v>52</v>
      </c>
    </row>
    <row r="562" spans="3:15" x14ac:dyDescent="0.25">
      <c r="C562" s="24"/>
      <c r="D562" s="20"/>
      <c r="E562" s="4"/>
      <c r="F562" s="37"/>
      <c r="G562" s="24"/>
      <c r="H562" s="51">
        <f>Assumptions!$D$15</f>
        <v>0.1</v>
      </c>
      <c r="I562" s="45">
        <f>IF(SO[[#This Row],[GST applies?]] = "Yes", (SO[[#This Row],[Value inc. GST]] / 1 + SO[[#This Row],[GST %]]) * SO[[#This Row],[GST %]], 0)</f>
        <v>0</v>
      </c>
      <c r="J562" s="31">
        <f>_xlfn.XLOOKUP(SO[[#This Row],[Customer name]], Customer_master[Customer name], Customer_master[EOM or Net], 0)</f>
        <v>0</v>
      </c>
      <c r="K562" s="31">
        <f>_xlfn.XLOOKUP(SO[[#This Row],[Customer name]], Customer_master[Customer name], Customer_master[Terms days], 0)</f>
        <v>0</v>
      </c>
      <c r="L5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2" s="4"/>
      <c r="N562" s="46">
        <f>IF(SO[[#This Row],[Collection date - override (dd/mm/yyyy)]] &lt;&gt; "", SO[[#This Row],[Collection date - override (dd/mm/yyyy)]], SO[[#This Row],[Due date (dd/mm/yyyy)]])</f>
        <v>0</v>
      </c>
      <c r="O562" s="46">
        <f t="shared" si="8"/>
        <v>52</v>
      </c>
    </row>
    <row r="563" spans="3:15" x14ac:dyDescent="0.25">
      <c r="C563" s="24"/>
      <c r="D563" s="20"/>
      <c r="E563" s="4"/>
      <c r="F563" s="37"/>
      <c r="G563" s="24"/>
      <c r="H563" s="51">
        <f>Assumptions!$D$15</f>
        <v>0.1</v>
      </c>
      <c r="I563" s="45">
        <f>IF(SO[[#This Row],[GST applies?]] = "Yes", (SO[[#This Row],[Value inc. GST]] / 1 + SO[[#This Row],[GST %]]) * SO[[#This Row],[GST %]], 0)</f>
        <v>0</v>
      </c>
      <c r="J563" s="31">
        <f>_xlfn.XLOOKUP(SO[[#This Row],[Customer name]], Customer_master[Customer name], Customer_master[EOM or Net], 0)</f>
        <v>0</v>
      </c>
      <c r="K563" s="31">
        <f>_xlfn.XLOOKUP(SO[[#This Row],[Customer name]], Customer_master[Customer name], Customer_master[Terms days], 0)</f>
        <v>0</v>
      </c>
      <c r="L5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3" s="4"/>
      <c r="N563" s="46">
        <f>IF(SO[[#This Row],[Collection date - override (dd/mm/yyyy)]] &lt;&gt; "", SO[[#This Row],[Collection date - override (dd/mm/yyyy)]], SO[[#This Row],[Due date (dd/mm/yyyy)]])</f>
        <v>0</v>
      </c>
      <c r="O563" s="46">
        <f t="shared" si="8"/>
        <v>52</v>
      </c>
    </row>
    <row r="564" spans="3:15" x14ac:dyDescent="0.25">
      <c r="C564" s="24"/>
      <c r="D564" s="20"/>
      <c r="E564" s="4"/>
      <c r="F564" s="37"/>
      <c r="G564" s="24"/>
      <c r="H564" s="51">
        <f>Assumptions!$D$15</f>
        <v>0.1</v>
      </c>
      <c r="I564" s="45">
        <f>IF(SO[[#This Row],[GST applies?]] = "Yes", (SO[[#This Row],[Value inc. GST]] / 1 + SO[[#This Row],[GST %]]) * SO[[#This Row],[GST %]], 0)</f>
        <v>0</v>
      </c>
      <c r="J564" s="31">
        <f>_xlfn.XLOOKUP(SO[[#This Row],[Customer name]], Customer_master[Customer name], Customer_master[EOM or Net], 0)</f>
        <v>0</v>
      </c>
      <c r="K564" s="31">
        <f>_xlfn.XLOOKUP(SO[[#This Row],[Customer name]], Customer_master[Customer name], Customer_master[Terms days], 0)</f>
        <v>0</v>
      </c>
      <c r="L5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4" s="4"/>
      <c r="N564" s="46">
        <f>IF(SO[[#This Row],[Collection date - override (dd/mm/yyyy)]] &lt;&gt; "", SO[[#This Row],[Collection date - override (dd/mm/yyyy)]], SO[[#This Row],[Due date (dd/mm/yyyy)]])</f>
        <v>0</v>
      </c>
      <c r="O564" s="46">
        <f t="shared" si="8"/>
        <v>52</v>
      </c>
    </row>
    <row r="565" spans="3:15" x14ac:dyDescent="0.25">
      <c r="C565" s="24"/>
      <c r="D565" s="20"/>
      <c r="E565" s="4"/>
      <c r="F565" s="37"/>
      <c r="G565" s="24"/>
      <c r="H565" s="51">
        <f>Assumptions!$D$15</f>
        <v>0.1</v>
      </c>
      <c r="I565" s="45">
        <f>IF(SO[[#This Row],[GST applies?]] = "Yes", (SO[[#This Row],[Value inc. GST]] / 1 + SO[[#This Row],[GST %]]) * SO[[#This Row],[GST %]], 0)</f>
        <v>0</v>
      </c>
      <c r="J565" s="31">
        <f>_xlfn.XLOOKUP(SO[[#This Row],[Customer name]], Customer_master[Customer name], Customer_master[EOM or Net], 0)</f>
        <v>0</v>
      </c>
      <c r="K565" s="31">
        <f>_xlfn.XLOOKUP(SO[[#This Row],[Customer name]], Customer_master[Customer name], Customer_master[Terms days], 0)</f>
        <v>0</v>
      </c>
      <c r="L5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5" s="4"/>
      <c r="N565" s="46">
        <f>IF(SO[[#This Row],[Collection date - override (dd/mm/yyyy)]] &lt;&gt; "", SO[[#This Row],[Collection date - override (dd/mm/yyyy)]], SO[[#This Row],[Due date (dd/mm/yyyy)]])</f>
        <v>0</v>
      </c>
      <c r="O565" s="46">
        <f t="shared" si="8"/>
        <v>52</v>
      </c>
    </row>
    <row r="566" spans="3:15" x14ac:dyDescent="0.25">
      <c r="C566" s="24"/>
      <c r="D566" s="20"/>
      <c r="E566" s="4"/>
      <c r="F566" s="37"/>
      <c r="G566" s="24"/>
      <c r="H566" s="51">
        <f>Assumptions!$D$15</f>
        <v>0.1</v>
      </c>
      <c r="I566" s="45">
        <f>IF(SO[[#This Row],[GST applies?]] = "Yes", (SO[[#This Row],[Value inc. GST]] / 1 + SO[[#This Row],[GST %]]) * SO[[#This Row],[GST %]], 0)</f>
        <v>0</v>
      </c>
      <c r="J566" s="31">
        <f>_xlfn.XLOOKUP(SO[[#This Row],[Customer name]], Customer_master[Customer name], Customer_master[EOM or Net], 0)</f>
        <v>0</v>
      </c>
      <c r="K566" s="31">
        <f>_xlfn.XLOOKUP(SO[[#This Row],[Customer name]], Customer_master[Customer name], Customer_master[Terms days], 0)</f>
        <v>0</v>
      </c>
      <c r="L5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6" s="4"/>
      <c r="N566" s="46">
        <f>IF(SO[[#This Row],[Collection date - override (dd/mm/yyyy)]] &lt;&gt; "", SO[[#This Row],[Collection date - override (dd/mm/yyyy)]], SO[[#This Row],[Due date (dd/mm/yyyy)]])</f>
        <v>0</v>
      </c>
      <c r="O566" s="46">
        <f t="shared" si="8"/>
        <v>52</v>
      </c>
    </row>
    <row r="567" spans="3:15" x14ac:dyDescent="0.25">
      <c r="C567" s="24"/>
      <c r="D567" s="20"/>
      <c r="E567" s="4"/>
      <c r="F567" s="37"/>
      <c r="G567" s="24"/>
      <c r="H567" s="51">
        <f>Assumptions!$D$15</f>
        <v>0.1</v>
      </c>
      <c r="I567" s="45">
        <f>IF(SO[[#This Row],[GST applies?]] = "Yes", (SO[[#This Row],[Value inc. GST]] / 1 + SO[[#This Row],[GST %]]) * SO[[#This Row],[GST %]], 0)</f>
        <v>0</v>
      </c>
      <c r="J567" s="31">
        <f>_xlfn.XLOOKUP(SO[[#This Row],[Customer name]], Customer_master[Customer name], Customer_master[EOM or Net], 0)</f>
        <v>0</v>
      </c>
      <c r="K567" s="31">
        <f>_xlfn.XLOOKUP(SO[[#This Row],[Customer name]], Customer_master[Customer name], Customer_master[Terms days], 0)</f>
        <v>0</v>
      </c>
      <c r="L5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7" s="4"/>
      <c r="N567" s="46">
        <f>IF(SO[[#This Row],[Collection date - override (dd/mm/yyyy)]] &lt;&gt; "", SO[[#This Row],[Collection date - override (dd/mm/yyyy)]], SO[[#This Row],[Due date (dd/mm/yyyy)]])</f>
        <v>0</v>
      </c>
      <c r="O567" s="46">
        <f t="shared" si="8"/>
        <v>52</v>
      </c>
    </row>
    <row r="568" spans="3:15" x14ac:dyDescent="0.25">
      <c r="C568" s="24"/>
      <c r="D568" s="20"/>
      <c r="E568" s="4"/>
      <c r="F568" s="37"/>
      <c r="G568" s="24"/>
      <c r="H568" s="51">
        <f>Assumptions!$D$15</f>
        <v>0.1</v>
      </c>
      <c r="I568" s="45">
        <f>IF(SO[[#This Row],[GST applies?]] = "Yes", (SO[[#This Row],[Value inc. GST]] / 1 + SO[[#This Row],[GST %]]) * SO[[#This Row],[GST %]], 0)</f>
        <v>0</v>
      </c>
      <c r="J568" s="31">
        <f>_xlfn.XLOOKUP(SO[[#This Row],[Customer name]], Customer_master[Customer name], Customer_master[EOM or Net], 0)</f>
        <v>0</v>
      </c>
      <c r="K568" s="31">
        <f>_xlfn.XLOOKUP(SO[[#This Row],[Customer name]], Customer_master[Customer name], Customer_master[Terms days], 0)</f>
        <v>0</v>
      </c>
      <c r="L5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8" s="4"/>
      <c r="N568" s="46">
        <f>IF(SO[[#This Row],[Collection date - override (dd/mm/yyyy)]] &lt;&gt; "", SO[[#This Row],[Collection date - override (dd/mm/yyyy)]], SO[[#This Row],[Due date (dd/mm/yyyy)]])</f>
        <v>0</v>
      </c>
      <c r="O568" s="46">
        <f t="shared" si="8"/>
        <v>52</v>
      </c>
    </row>
    <row r="569" spans="3:15" x14ac:dyDescent="0.25">
      <c r="C569" s="24"/>
      <c r="D569" s="20"/>
      <c r="E569" s="4"/>
      <c r="F569" s="37"/>
      <c r="G569" s="24"/>
      <c r="H569" s="51">
        <f>Assumptions!$D$15</f>
        <v>0.1</v>
      </c>
      <c r="I569" s="45">
        <f>IF(SO[[#This Row],[GST applies?]] = "Yes", (SO[[#This Row],[Value inc. GST]] / 1 + SO[[#This Row],[GST %]]) * SO[[#This Row],[GST %]], 0)</f>
        <v>0</v>
      </c>
      <c r="J569" s="31">
        <f>_xlfn.XLOOKUP(SO[[#This Row],[Customer name]], Customer_master[Customer name], Customer_master[EOM or Net], 0)</f>
        <v>0</v>
      </c>
      <c r="K569" s="31">
        <f>_xlfn.XLOOKUP(SO[[#This Row],[Customer name]], Customer_master[Customer name], Customer_master[Terms days], 0)</f>
        <v>0</v>
      </c>
      <c r="L5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9" s="4"/>
      <c r="N569" s="46">
        <f>IF(SO[[#This Row],[Collection date - override (dd/mm/yyyy)]] &lt;&gt; "", SO[[#This Row],[Collection date - override (dd/mm/yyyy)]], SO[[#This Row],[Due date (dd/mm/yyyy)]])</f>
        <v>0</v>
      </c>
      <c r="O569" s="46">
        <f t="shared" si="8"/>
        <v>52</v>
      </c>
    </row>
    <row r="570" spans="3:15" x14ac:dyDescent="0.25">
      <c r="C570" s="24"/>
      <c r="D570" s="20"/>
      <c r="E570" s="4"/>
      <c r="F570" s="37"/>
      <c r="G570" s="24"/>
      <c r="H570" s="51">
        <f>Assumptions!$D$15</f>
        <v>0.1</v>
      </c>
      <c r="I570" s="45">
        <f>IF(SO[[#This Row],[GST applies?]] = "Yes", (SO[[#This Row],[Value inc. GST]] / 1 + SO[[#This Row],[GST %]]) * SO[[#This Row],[GST %]], 0)</f>
        <v>0</v>
      </c>
      <c r="J570" s="31">
        <f>_xlfn.XLOOKUP(SO[[#This Row],[Customer name]], Customer_master[Customer name], Customer_master[EOM or Net], 0)</f>
        <v>0</v>
      </c>
      <c r="K570" s="31">
        <f>_xlfn.XLOOKUP(SO[[#This Row],[Customer name]], Customer_master[Customer name], Customer_master[Terms days], 0)</f>
        <v>0</v>
      </c>
      <c r="L5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0" s="4"/>
      <c r="N570" s="46">
        <f>IF(SO[[#This Row],[Collection date - override (dd/mm/yyyy)]] &lt;&gt; "", SO[[#This Row],[Collection date - override (dd/mm/yyyy)]], SO[[#This Row],[Due date (dd/mm/yyyy)]])</f>
        <v>0</v>
      </c>
      <c r="O570" s="46">
        <f t="shared" si="8"/>
        <v>52</v>
      </c>
    </row>
    <row r="571" spans="3:15" x14ac:dyDescent="0.25">
      <c r="C571" s="24"/>
      <c r="D571" s="20"/>
      <c r="E571" s="4"/>
      <c r="F571" s="37"/>
      <c r="G571" s="24"/>
      <c r="H571" s="51">
        <f>Assumptions!$D$15</f>
        <v>0.1</v>
      </c>
      <c r="I571" s="45">
        <f>IF(SO[[#This Row],[GST applies?]] = "Yes", (SO[[#This Row],[Value inc. GST]] / 1 + SO[[#This Row],[GST %]]) * SO[[#This Row],[GST %]], 0)</f>
        <v>0</v>
      </c>
      <c r="J571" s="31">
        <f>_xlfn.XLOOKUP(SO[[#This Row],[Customer name]], Customer_master[Customer name], Customer_master[EOM or Net], 0)</f>
        <v>0</v>
      </c>
      <c r="K571" s="31">
        <f>_xlfn.XLOOKUP(SO[[#This Row],[Customer name]], Customer_master[Customer name], Customer_master[Terms days], 0)</f>
        <v>0</v>
      </c>
      <c r="L5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1" s="4"/>
      <c r="N571" s="46">
        <f>IF(SO[[#This Row],[Collection date - override (dd/mm/yyyy)]] &lt;&gt; "", SO[[#This Row],[Collection date - override (dd/mm/yyyy)]], SO[[#This Row],[Due date (dd/mm/yyyy)]])</f>
        <v>0</v>
      </c>
      <c r="O571" s="46">
        <f t="shared" si="8"/>
        <v>52</v>
      </c>
    </row>
    <row r="572" spans="3:15" x14ac:dyDescent="0.25">
      <c r="C572" s="24"/>
      <c r="D572" s="20"/>
      <c r="E572" s="4"/>
      <c r="F572" s="37"/>
      <c r="G572" s="24"/>
      <c r="H572" s="51">
        <f>Assumptions!$D$15</f>
        <v>0.1</v>
      </c>
      <c r="I572" s="45">
        <f>IF(SO[[#This Row],[GST applies?]] = "Yes", (SO[[#This Row],[Value inc. GST]] / 1 + SO[[#This Row],[GST %]]) * SO[[#This Row],[GST %]], 0)</f>
        <v>0</v>
      </c>
      <c r="J572" s="31">
        <f>_xlfn.XLOOKUP(SO[[#This Row],[Customer name]], Customer_master[Customer name], Customer_master[EOM or Net], 0)</f>
        <v>0</v>
      </c>
      <c r="K572" s="31">
        <f>_xlfn.XLOOKUP(SO[[#This Row],[Customer name]], Customer_master[Customer name], Customer_master[Terms days], 0)</f>
        <v>0</v>
      </c>
      <c r="L5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2" s="4"/>
      <c r="N572" s="46">
        <f>IF(SO[[#This Row],[Collection date - override (dd/mm/yyyy)]] &lt;&gt; "", SO[[#This Row],[Collection date - override (dd/mm/yyyy)]], SO[[#This Row],[Due date (dd/mm/yyyy)]])</f>
        <v>0</v>
      </c>
      <c r="O572" s="46">
        <f t="shared" si="8"/>
        <v>52</v>
      </c>
    </row>
    <row r="573" spans="3:15" x14ac:dyDescent="0.25">
      <c r="C573" s="24"/>
      <c r="D573" s="20"/>
      <c r="E573" s="4"/>
      <c r="F573" s="37"/>
      <c r="G573" s="24"/>
      <c r="H573" s="51">
        <f>Assumptions!$D$15</f>
        <v>0.1</v>
      </c>
      <c r="I573" s="45">
        <f>IF(SO[[#This Row],[GST applies?]] = "Yes", (SO[[#This Row],[Value inc. GST]] / 1 + SO[[#This Row],[GST %]]) * SO[[#This Row],[GST %]], 0)</f>
        <v>0</v>
      </c>
      <c r="J573" s="31">
        <f>_xlfn.XLOOKUP(SO[[#This Row],[Customer name]], Customer_master[Customer name], Customer_master[EOM or Net], 0)</f>
        <v>0</v>
      </c>
      <c r="K573" s="31">
        <f>_xlfn.XLOOKUP(SO[[#This Row],[Customer name]], Customer_master[Customer name], Customer_master[Terms days], 0)</f>
        <v>0</v>
      </c>
      <c r="L5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3" s="4"/>
      <c r="N573" s="46">
        <f>IF(SO[[#This Row],[Collection date - override (dd/mm/yyyy)]] &lt;&gt; "", SO[[#This Row],[Collection date - override (dd/mm/yyyy)]], SO[[#This Row],[Due date (dd/mm/yyyy)]])</f>
        <v>0</v>
      </c>
      <c r="O573" s="46">
        <f t="shared" si="8"/>
        <v>52</v>
      </c>
    </row>
    <row r="574" spans="3:15" x14ac:dyDescent="0.25">
      <c r="C574" s="24"/>
      <c r="D574" s="20"/>
      <c r="E574" s="4"/>
      <c r="F574" s="37"/>
      <c r="G574" s="24"/>
      <c r="H574" s="51">
        <f>Assumptions!$D$15</f>
        <v>0.1</v>
      </c>
      <c r="I574" s="45">
        <f>IF(SO[[#This Row],[GST applies?]] = "Yes", (SO[[#This Row],[Value inc. GST]] / 1 + SO[[#This Row],[GST %]]) * SO[[#This Row],[GST %]], 0)</f>
        <v>0</v>
      </c>
      <c r="J574" s="31">
        <f>_xlfn.XLOOKUP(SO[[#This Row],[Customer name]], Customer_master[Customer name], Customer_master[EOM or Net], 0)</f>
        <v>0</v>
      </c>
      <c r="K574" s="31">
        <f>_xlfn.XLOOKUP(SO[[#This Row],[Customer name]], Customer_master[Customer name], Customer_master[Terms days], 0)</f>
        <v>0</v>
      </c>
      <c r="L5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4" s="4"/>
      <c r="N574" s="46">
        <f>IF(SO[[#This Row],[Collection date - override (dd/mm/yyyy)]] &lt;&gt; "", SO[[#This Row],[Collection date - override (dd/mm/yyyy)]], SO[[#This Row],[Due date (dd/mm/yyyy)]])</f>
        <v>0</v>
      </c>
      <c r="O574" s="46">
        <f t="shared" si="8"/>
        <v>52</v>
      </c>
    </row>
    <row r="575" spans="3:15" x14ac:dyDescent="0.25">
      <c r="C575" s="24"/>
      <c r="D575" s="20"/>
      <c r="E575" s="4"/>
      <c r="F575" s="37"/>
      <c r="G575" s="24"/>
      <c r="H575" s="51">
        <f>Assumptions!$D$15</f>
        <v>0.1</v>
      </c>
      <c r="I575" s="45">
        <f>IF(SO[[#This Row],[GST applies?]] = "Yes", (SO[[#This Row],[Value inc. GST]] / 1 + SO[[#This Row],[GST %]]) * SO[[#This Row],[GST %]], 0)</f>
        <v>0</v>
      </c>
      <c r="J575" s="31">
        <f>_xlfn.XLOOKUP(SO[[#This Row],[Customer name]], Customer_master[Customer name], Customer_master[EOM or Net], 0)</f>
        <v>0</v>
      </c>
      <c r="K575" s="31">
        <f>_xlfn.XLOOKUP(SO[[#This Row],[Customer name]], Customer_master[Customer name], Customer_master[Terms days], 0)</f>
        <v>0</v>
      </c>
      <c r="L5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5" s="4"/>
      <c r="N575" s="46">
        <f>IF(SO[[#This Row],[Collection date - override (dd/mm/yyyy)]] &lt;&gt; "", SO[[#This Row],[Collection date - override (dd/mm/yyyy)]], SO[[#This Row],[Due date (dd/mm/yyyy)]])</f>
        <v>0</v>
      </c>
      <c r="O575" s="46">
        <f t="shared" si="8"/>
        <v>52</v>
      </c>
    </row>
    <row r="576" spans="3:15" x14ac:dyDescent="0.25">
      <c r="C576" s="24"/>
      <c r="D576" s="20"/>
      <c r="E576" s="4"/>
      <c r="F576" s="37"/>
      <c r="G576" s="24"/>
      <c r="H576" s="51">
        <f>Assumptions!$D$15</f>
        <v>0.1</v>
      </c>
      <c r="I576" s="45">
        <f>IF(SO[[#This Row],[GST applies?]] = "Yes", (SO[[#This Row],[Value inc. GST]] / 1 + SO[[#This Row],[GST %]]) * SO[[#This Row],[GST %]], 0)</f>
        <v>0</v>
      </c>
      <c r="J576" s="31">
        <f>_xlfn.XLOOKUP(SO[[#This Row],[Customer name]], Customer_master[Customer name], Customer_master[EOM or Net], 0)</f>
        <v>0</v>
      </c>
      <c r="K576" s="31">
        <f>_xlfn.XLOOKUP(SO[[#This Row],[Customer name]], Customer_master[Customer name], Customer_master[Terms days], 0)</f>
        <v>0</v>
      </c>
      <c r="L5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6" s="4"/>
      <c r="N576" s="46">
        <f>IF(SO[[#This Row],[Collection date - override (dd/mm/yyyy)]] &lt;&gt; "", SO[[#This Row],[Collection date - override (dd/mm/yyyy)]], SO[[#This Row],[Due date (dd/mm/yyyy)]])</f>
        <v>0</v>
      </c>
      <c r="O576" s="46">
        <f t="shared" si="8"/>
        <v>52</v>
      </c>
    </row>
    <row r="577" spans="3:15" x14ac:dyDescent="0.25">
      <c r="C577" s="24"/>
      <c r="D577" s="20"/>
      <c r="E577" s="4"/>
      <c r="F577" s="37"/>
      <c r="G577" s="24"/>
      <c r="H577" s="51">
        <f>Assumptions!$D$15</f>
        <v>0.1</v>
      </c>
      <c r="I577" s="45">
        <f>IF(SO[[#This Row],[GST applies?]] = "Yes", (SO[[#This Row],[Value inc. GST]] / 1 + SO[[#This Row],[GST %]]) * SO[[#This Row],[GST %]], 0)</f>
        <v>0</v>
      </c>
      <c r="J577" s="31">
        <f>_xlfn.XLOOKUP(SO[[#This Row],[Customer name]], Customer_master[Customer name], Customer_master[EOM or Net], 0)</f>
        <v>0</v>
      </c>
      <c r="K577" s="31">
        <f>_xlfn.XLOOKUP(SO[[#This Row],[Customer name]], Customer_master[Customer name], Customer_master[Terms days], 0)</f>
        <v>0</v>
      </c>
      <c r="L5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7" s="4"/>
      <c r="N577" s="46">
        <f>IF(SO[[#This Row],[Collection date - override (dd/mm/yyyy)]] &lt;&gt; "", SO[[#This Row],[Collection date - override (dd/mm/yyyy)]], SO[[#This Row],[Due date (dd/mm/yyyy)]])</f>
        <v>0</v>
      </c>
      <c r="O577" s="46">
        <f t="shared" si="8"/>
        <v>52</v>
      </c>
    </row>
    <row r="578" spans="3:15" x14ac:dyDescent="0.25">
      <c r="C578" s="24"/>
      <c r="D578" s="20"/>
      <c r="E578" s="4"/>
      <c r="F578" s="37"/>
      <c r="G578" s="24"/>
      <c r="H578" s="51">
        <f>Assumptions!$D$15</f>
        <v>0.1</v>
      </c>
      <c r="I578" s="45">
        <f>IF(SO[[#This Row],[GST applies?]] = "Yes", (SO[[#This Row],[Value inc. GST]] / 1 + SO[[#This Row],[GST %]]) * SO[[#This Row],[GST %]], 0)</f>
        <v>0</v>
      </c>
      <c r="J578" s="31">
        <f>_xlfn.XLOOKUP(SO[[#This Row],[Customer name]], Customer_master[Customer name], Customer_master[EOM or Net], 0)</f>
        <v>0</v>
      </c>
      <c r="K578" s="31">
        <f>_xlfn.XLOOKUP(SO[[#This Row],[Customer name]], Customer_master[Customer name], Customer_master[Terms days], 0)</f>
        <v>0</v>
      </c>
      <c r="L5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8" s="4"/>
      <c r="N578" s="46">
        <f>IF(SO[[#This Row],[Collection date - override (dd/mm/yyyy)]] &lt;&gt; "", SO[[#This Row],[Collection date - override (dd/mm/yyyy)]], SO[[#This Row],[Due date (dd/mm/yyyy)]])</f>
        <v>0</v>
      </c>
      <c r="O578" s="46">
        <f t="shared" si="8"/>
        <v>52</v>
      </c>
    </row>
    <row r="579" spans="3:15" x14ac:dyDescent="0.25">
      <c r="C579" s="24"/>
      <c r="D579" s="20"/>
      <c r="E579" s="4"/>
      <c r="F579" s="37"/>
      <c r="G579" s="24"/>
      <c r="H579" s="51">
        <f>Assumptions!$D$15</f>
        <v>0.1</v>
      </c>
      <c r="I579" s="45">
        <f>IF(SO[[#This Row],[GST applies?]] = "Yes", (SO[[#This Row],[Value inc. GST]] / 1 + SO[[#This Row],[GST %]]) * SO[[#This Row],[GST %]], 0)</f>
        <v>0</v>
      </c>
      <c r="J579" s="31">
        <f>_xlfn.XLOOKUP(SO[[#This Row],[Customer name]], Customer_master[Customer name], Customer_master[EOM or Net], 0)</f>
        <v>0</v>
      </c>
      <c r="K579" s="31">
        <f>_xlfn.XLOOKUP(SO[[#This Row],[Customer name]], Customer_master[Customer name], Customer_master[Terms days], 0)</f>
        <v>0</v>
      </c>
      <c r="L5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9" s="4"/>
      <c r="N579" s="46">
        <f>IF(SO[[#This Row],[Collection date - override (dd/mm/yyyy)]] &lt;&gt; "", SO[[#This Row],[Collection date - override (dd/mm/yyyy)]], SO[[#This Row],[Due date (dd/mm/yyyy)]])</f>
        <v>0</v>
      </c>
      <c r="O579" s="46">
        <f t="shared" si="8"/>
        <v>52</v>
      </c>
    </row>
    <row r="580" spans="3:15" x14ac:dyDescent="0.25">
      <c r="C580" s="24"/>
      <c r="D580" s="20"/>
      <c r="E580" s="4"/>
      <c r="F580" s="37"/>
      <c r="G580" s="24"/>
      <c r="H580" s="51">
        <f>Assumptions!$D$15</f>
        <v>0.1</v>
      </c>
      <c r="I580" s="45">
        <f>IF(SO[[#This Row],[GST applies?]] = "Yes", (SO[[#This Row],[Value inc. GST]] / 1 + SO[[#This Row],[GST %]]) * SO[[#This Row],[GST %]], 0)</f>
        <v>0</v>
      </c>
      <c r="J580" s="31">
        <f>_xlfn.XLOOKUP(SO[[#This Row],[Customer name]], Customer_master[Customer name], Customer_master[EOM or Net], 0)</f>
        <v>0</v>
      </c>
      <c r="K580" s="31">
        <f>_xlfn.XLOOKUP(SO[[#This Row],[Customer name]], Customer_master[Customer name], Customer_master[Terms days], 0)</f>
        <v>0</v>
      </c>
      <c r="L5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0" s="4"/>
      <c r="N580" s="46">
        <f>IF(SO[[#This Row],[Collection date - override (dd/mm/yyyy)]] &lt;&gt; "", SO[[#This Row],[Collection date - override (dd/mm/yyyy)]], SO[[#This Row],[Due date (dd/mm/yyyy)]])</f>
        <v>0</v>
      </c>
      <c r="O580" s="46">
        <f t="shared" si="8"/>
        <v>52</v>
      </c>
    </row>
    <row r="581" spans="3:15" x14ac:dyDescent="0.25">
      <c r="C581" s="24"/>
      <c r="D581" s="20"/>
      <c r="E581" s="4"/>
      <c r="F581" s="37"/>
      <c r="G581" s="24"/>
      <c r="H581" s="51">
        <f>Assumptions!$D$15</f>
        <v>0.1</v>
      </c>
      <c r="I581" s="45">
        <f>IF(SO[[#This Row],[GST applies?]] = "Yes", (SO[[#This Row],[Value inc. GST]] / 1 + SO[[#This Row],[GST %]]) * SO[[#This Row],[GST %]], 0)</f>
        <v>0</v>
      </c>
      <c r="J581" s="31">
        <f>_xlfn.XLOOKUP(SO[[#This Row],[Customer name]], Customer_master[Customer name], Customer_master[EOM or Net], 0)</f>
        <v>0</v>
      </c>
      <c r="K581" s="31">
        <f>_xlfn.XLOOKUP(SO[[#This Row],[Customer name]], Customer_master[Customer name], Customer_master[Terms days], 0)</f>
        <v>0</v>
      </c>
      <c r="L5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1" s="4"/>
      <c r="N581" s="46">
        <f>IF(SO[[#This Row],[Collection date - override (dd/mm/yyyy)]] &lt;&gt; "", SO[[#This Row],[Collection date - override (dd/mm/yyyy)]], SO[[#This Row],[Due date (dd/mm/yyyy)]])</f>
        <v>0</v>
      </c>
      <c r="O581" s="46">
        <f t="shared" si="8"/>
        <v>52</v>
      </c>
    </row>
    <row r="582" spans="3:15" x14ac:dyDescent="0.25">
      <c r="C582" s="24"/>
      <c r="D582" s="20"/>
      <c r="E582" s="4"/>
      <c r="F582" s="37"/>
      <c r="G582" s="24"/>
      <c r="H582" s="51">
        <f>Assumptions!$D$15</f>
        <v>0.1</v>
      </c>
      <c r="I582" s="45">
        <f>IF(SO[[#This Row],[GST applies?]] = "Yes", (SO[[#This Row],[Value inc. GST]] / 1 + SO[[#This Row],[GST %]]) * SO[[#This Row],[GST %]], 0)</f>
        <v>0</v>
      </c>
      <c r="J582" s="31">
        <f>_xlfn.XLOOKUP(SO[[#This Row],[Customer name]], Customer_master[Customer name], Customer_master[EOM or Net], 0)</f>
        <v>0</v>
      </c>
      <c r="K582" s="31">
        <f>_xlfn.XLOOKUP(SO[[#This Row],[Customer name]], Customer_master[Customer name], Customer_master[Terms days], 0)</f>
        <v>0</v>
      </c>
      <c r="L5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2" s="4"/>
      <c r="N582" s="46">
        <f>IF(SO[[#This Row],[Collection date - override (dd/mm/yyyy)]] &lt;&gt; "", SO[[#This Row],[Collection date - override (dd/mm/yyyy)]], SO[[#This Row],[Due date (dd/mm/yyyy)]])</f>
        <v>0</v>
      </c>
      <c r="O582" s="46">
        <f t="shared" si="8"/>
        <v>52</v>
      </c>
    </row>
    <row r="583" spans="3:15" x14ac:dyDescent="0.25">
      <c r="C583" s="24"/>
      <c r="D583" s="20"/>
      <c r="E583" s="4"/>
      <c r="F583" s="37"/>
      <c r="G583" s="24"/>
      <c r="H583" s="51">
        <f>Assumptions!$D$15</f>
        <v>0.1</v>
      </c>
      <c r="I583" s="45">
        <f>IF(SO[[#This Row],[GST applies?]] = "Yes", (SO[[#This Row],[Value inc. GST]] / 1 + SO[[#This Row],[GST %]]) * SO[[#This Row],[GST %]], 0)</f>
        <v>0</v>
      </c>
      <c r="J583" s="31">
        <f>_xlfn.XLOOKUP(SO[[#This Row],[Customer name]], Customer_master[Customer name], Customer_master[EOM or Net], 0)</f>
        <v>0</v>
      </c>
      <c r="K583" s="31">
        <f>_xlfn.XLOOKUP(SO[[#This Row],[Customer name]], Customer_master[Customer name], Customer_master[Terms days], 0)</f>
        <v>0</v>
      </c>
      <c r="L5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3" s="4"/>
      <c r="N583" s="46">
        <f>IF(SO[[#This Row],[Collection date - override (dd/mm/yyyy)]] &lt;&gt; "", SO[[#This Row],[Collection date - override (dd/mm/yyyy)]], SO[[#This Row],[Due date (dd/mm/yyyy)]])</f>
        <v>0</v>
      </c>
      <c r="O583" s="46">
        <f t="shared" si="8"/>
        <v>52</v>
      </c>
    </row>
    <row r="584" spans="3:15" x14ac:dyDescent="0.25">
      <c r="C584" s="24"/>
      <c r="D584" s="20"/>
      <c r="E584" s="4"/>
      <c r="F584" s="37"/>
      <c r="G584" s="24"/>
      <c r="H584" s="51">
        <f>Assumptions!$D$15</f>
        <v>0.1</v>
      </c>
      <c r="I584" s="45">
        <f>IF(SO[[#This Row],[GST applies?]] = "Yes", (SO[[#This Row],[Value inc. GST]] / 1 + SO[[#This Row],[GST %]]) * SO[[#This Row],[GST %]], 0)</f>
        <v>0</v>
      </c>
      <c r="J584" s="31">
        <f>_xlfn.XLOOKUP(SO[[#This Row],[Customer name]], Customer_master[Customer name], Customer_master[EOM or Net], 0)</f>
        <v>0</v>
      </c>
      <c r="K584" s="31">
        <f>_xlfn.XLOOKUP(SO[[#This Row],[Customer name]], Customer_master[Customer name], Customer_master[Terms days], 0)</f>
        <v>0</v>
      </c>
      <c r="L5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4" s="4"/>
      <c r="N584" s="46">
        <f>IF(SO[[#This Row],[Collection date - override (dd/mm/yyyy)]] &lt;&gt; "", SO[[#This Row],[Collection date - override (dd/mm/yyyy)]], SO[[#This Row],[Due date (dd/mm/yyyy)]])</f>
        <v>0</v>
      </c>
      <c r="O584" s="46">
        <f t="shared" si="8"/>
        <v>52</v>
      </c>
    </row>
    <row r="585" spans="3:15" x14ac:dyDescent="0.25">
      <c r="C585" s="24"/>
      <c r="D585" s="20"/>
      <c r="E585" s="4"/>
      <c r="F585" s="37"/>
      <c r="G585" s="24"/>
      <c r="H585" s="51">
        <f>Assumptions!$D$15</f>
        <v>0.1</v>
      </c>
      <c r="I585" s="45">
        <f>IF(SO[[#This Row],[GST applies?]] = "Yes", (SO[[#This Row],[Value inc. GST]] / 1 + SO[[#This Row],[GST %]]) * SO[[#This Row],[GST %]], 0)</f>
        <v>0</v>
      </c>
      <c r="J585" s="31">
        <f>_xlfn.XLOOKUP(SO[[#This Row],[Customer name]], Customer_master[Customer name], Customer_master[EOM or Net], 0)</f>
        <v>0</v>
      </c>
      <c r="K585" s="31">
        <f>_xlfn.XLOOKUP(SO[[#This Row],[Customer name]], Customer_master[Customer name], Customer_master[Terms days], 0)</f>
        <v>0</v>
      </c>
      <c r="L5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5" s="4"/>
      <c r="N585" s="46">
        <f>IF(SO[[#This Row],[Collection date - override (dd/mm/yyyy)]] &lt;&gt; "", SO[[#This Row],[Collection date - override (dd/mm/yyyy)]], SO[[#This Row],[Due date (dd/mm/yyyy)]])</f>
        <v>0</v>
      </c>
      <c r="O585" s="46">
        <f t="shared" ref="O585:O648" si="9">IF(GST_Freq="Monthly",
    DATE(YEAR(E585), MONTH(E585) + 1, 21),
    IF(GST_Freq="Quarterly",
        IF(MOD(MONTH(E585) + 2 - MOD(MOD(MONTH(E585) - GST_First_Month, 12), 3), 12) = 0,
            DATE(YEAR(E585), MONTH(E585) + 4 - MOD(MOD(MONTH(E585) - GST_First_Month, 12), 3), 28),
            DATE(YEAR(E585), MONTH(E585) + 3 - MOD(MOD(MONTH(E585) - GST_First_Month, 12), 3), 28)
        ),
        "Invalid frequency"
    )
)</f>
        <v>52</v>
      </c>
    </row>
    <row r="586" spans="3:15" x14ac:dyDescent="0.25">
      <c r="C586" s="24"/>
      <c r="D586" s="20"/>
      <c r="E586" s="4"/>
      <c r="F586" s="37"/>
      <c r="G586" s="24"/>
      <c r="H586" s="51">
        <f>Assumptions!$D$15</f>
        <v>0.1</v>
      </c>
      <c r="I586" s="45">
        <f>IF(SO[[#This Row],[GST applies?]] = "Yes", (SO[[#This Row],[Value inc. GST]] / 1 + SO[[#This Row],[GST %]]) * SO[[#This Row],[GST %]], 0)</f>
        <v>0</v>
      </c>
      <c r="J586" s="31">
        <f>_xlfn.XLOOKUP(SO[[#This Row],[Customer name]], Customer_master[Customer name], Customer_master[EOM or Net], 0)</f>
        <v>0</v>
      </c>
      <c r="K586" s="31">
        <f>_xlfn.XLOOKUP(SO[[#This Row],[Customer name]], Customer_master[Customer name], Customer_master[Terms days], 0)</f>
        <v>0</v>
      </c>
      <c r="L5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6" s="4"/>
      <c r="N586" s="46">
        <f>IF(SO[[#This Row],[Collection date - override (dd/mm/yyyy)]] &lt;&gt; "", SO[[#This Row],[Collection date - override (dd/mm/yyyy)]], SO[[#This Row],[Due date (dd/mm/yyyy)]])</f>
        <v>0</v>
      </c>
      <c r="O586" s="46">
        <f t="shared" si="9"/>
        <v>52</v>
      </c>
    </row>
    <row r="587" spans="3:15" x14ac:dyDescent="0.25">
      <c r="C587" s="24"/>
      <c r="D587" s="20"/>
      <c r="E587" s="4"/>
      <c r="F587" s="37"/>
      <c r="G587" s="24"/>
      <c r="H587" s="51">
        <f>Assumptions!$D$15</f>
        <v>0.1</v>
      </c>
      <c r="I587" s="45">
        <f>IF(SO[[#This Row],[GST applies?]] = "Yes", (SO[[#This Row],[Value inc. GST]] / 1 + SO[[#This Row],[GST %]]) * SO[[#This Row],[GST %]], 0)</f>
        <v>0</v>
      </c>
      <c r="J587" s="31">
        <f>_xlfn.XLOOKUP(SO[[#This Row],[Customer name]], Customer_master[Customer name], Customer_master[EOM or Net], 0)</f>
        <v>0</v>
      </c>
      <c r="K587" s="31">
        <f>_xlfn.XLOOKUP(SO[[#This Row],[Customer name]], Customer_master[Customer name], Customer_master[Terms days], 0)</f>
        <v>0</v>
      </c>
      <c r="L5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7" s="4"/>
      <c r="N587" s="46">
        <f>IF(SO[[#This Row],[Collection date - override (dd/mm/yyyy)]] &lt;&gt; "", SO[[#This Row],[Collection date - override (dd/mm/yyyy)]], SO[[#This Row],[Due date (dd/mm/yyyy)]])</f>
        <v>0</v>
      </c>
      <c r="O587" s="46">
        <f t="shared" si="9"/>
        <v>52</v>
      </c>
    </row>
    <row r="588" spans="3:15" x14ac:dyDescent="0.25">
      <c r="C588" s="24"/>
      <c r="D588" s="20"/>
      <c r="E588" s="4"/>
      <c r="F588" s="37"/>
      <c r="G588" s="24"/>
      <c r="H588" s="51">
        <f>Assumptions!$D$15</f>
        <v>0.1</v>
      </c>
      <c r="I588" s="45">
        <f>IF(SO[[#This Row],[GST applies?]] = "Yes", (SO[[#This Row],[Value inc. GST]] / 1 + SO[[#This Row],[GST %]]) * SO[[#This Row],[GST %]], 0)</f>
        <v>0</v>
      </c>
      <c r="J588" s="31">
        <f>_xlfn.XLOOKUP(SO[[#This Row],[Customer name]], Customer_master[Customer name], Customer_master[EOM or Net], 0)</f>
        <v>0</v>
      </c>
      <c r="K588" s="31">
        <f>_xlfn.XLOOKUP(SO[[#This Row],[Customer name]], Customer_master[Customer name], Customer_master[Terms days], 0)</f>
        <v>0</v>
      </c>
      <c r="L5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8" s="4"/>
      <c r="N588" s="46">
        <f>IF(SO[[#This Row],[Collection date - override (dd/mm/yyyy)]] &lt;&gt; "", SO[[#This Row],[Collection date - override (dd/mm/yyyy)]], SO[[#This Row],[Due date (dd/mm/yyyy)]])</f>
        <v>0</v>
      </c>
      <c r="O588" s="46">
        <f t="shared" si="9"/>
        <v>52</v>
      </c>
    </row>
    <row r="589" spans="3:15" x14ac:dyDescent="0.25">
      <c r="C589" s="24"/>
      <c r="D589" s="20"/>
      <c r="E589" s="4"/>
      <c r="F589" s="37"/>
      <c r="G589" s="24"/>
      <c r="H589" s="51">
        <f>Assumptions!$D$15</f>
        <v>0.1</v>
      </c>
      <c r="I589" s="45">
        <f>IF(SO[[#This Row],[GST applies?]] = "Yes", (SO[[#This Row],[Value inc. GST]] / 1 + SO[[#This Row],[GST %]]) * SO[[#This Row],[GST %]], 0)</f>
        <v>0</v>
      </c>
      <c r="J589" s="31">
        <f>_xlfn.XLOOKUP(SO[[#This Row],[Customer name]], Customer_master[Customer name], Customer_master[EOM or Net], 0)</f>
        <v>0</v>
      </c>
      <c r="K589" s="31">
        <f>_xlfn.XLOOKUP(SO[[#This Row],[Customer name]], Customer_master[Customer name], Customer_master[Terms days], 0)</f>
        <v>0</v>
      </c>
      <c r="L5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9" s="4"/>
      <c r="N589" s="46">
        <f>IF(SO[[#This Row],[Collection date - override (dd/mm/yyyy)]] &lt;&gt; "", SO[[#This Row],[Collection date - override (dd/mm/yyyy)]], SO[[#This Row],[Due date (dd/mm/yyyy)]])</f>
        <v>0</v>
      </c>
      <c r="O589" s="46">
        <f t="shared" si="9"/>
        <v>52</v>
      </c>
    </row>
    <row r="590" spans="3:15" x14ac:dyDescent="0.25">
      <c r="C590" s="24"/>
      <c r="D590" s="20"/>
      <c r="E590" s="4"/>
      <c r="F590" s="37"/>
      <c r="G590" s="24"/>
      <c r="H590" s="51">
        <f>Assumptions!$D$15</f>
        <v>0.1</v>
      </c>
      <c r="I590" s="45">
        <f>IF(SO[[#This Row],[GST applies?]] = "Yes", (SO[[#This Row],[Value inc. GST]] / 1 + SO[[#This Row],[GST %]]) * SO[[#This Row],[GST %]], 0)</f>
        <v>0</v>
      </c>
      <c r="J590" s="31">
        <f>_xlfn.XLOOKUP(SO[[#This Row],[Customer name]], Customer_master[Customer name], Customer_master[EOM or Net], 0)</f>
        <v>0</v>
      </c>
      <c r="K590" s="31">
        <f>_xlfn.XLOOKUP(SO[[#This Row],[Customer name]], Customer_master[Customer name], Customer_master[Terms days], 0)</f>
        <v>0</v>
      </c>
      <c r="L5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0" s="4"/>
      <c r="N590" s="46">
        <f>IF(SO[[#This Row],[Collection date - override (dd/mm/yyyy)]] &lt;&gt; "", SO[[#This Row],[Collection date - override (dd/mm/yyyy)]], SO[[#This Row],[Due date (dd/mm/yyyy)]])</f>
        <v>0</v>
      </c>
      <c r="O590" s="46">
        <f t="shared" si="9"/>
        <v>52</v>
      </c>
    </row>
    <row r="591" spans="3:15" x14ac:dyDescent="0.25">
      <c r="C591" s="24"/>
      <c r="D591" s="20"/>
      <c r="E591" s="4"/>
      <c r="F591" s="37"/>
      <c r="G591" s="24"/>
      <c r="H591" s="51">
        <f>Assumptions!$D$15</f>
        <v>0.1</v>
      </c>
      <c r="I591" s="45">
        <f>IF(SO[[#This Row],[GST applies?]] = "Yes", (SO[[#This Row],[Value inc. GST]] / 1 + SO[[#This Row],[GST %]]) * SO[[#This Row],[GST %]], 0)</f>
        <v>0</v>
      </c>
      <c r="J591" s="31">
        <f>_xlfn.XLOOKUP(SO[[#This Row],[Customer name]], Customer_master[Customer name], Customer_master[EOM or Net], 0)</f>
        <v>0</v>
      </c>
      <c r="K591" s="31">
        <f>_xlfn.XLOOKUP(SO[[#This Row],[Customer name]], Customer_master[Customer name], Customer_master[Terms days], 0)</f>
        <v>0</v>
      </c>
      <c r="L5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1" s="4"/>
      <c r="N591" s="46">
        <f>IF(SO[[#This Row],[Collection date - override (dd/mm/yyyy)]] &lt;&gt; "", SO[[#This Row],[Collection date - override (dd/mm/yyyy)]], SO[[#This Row],[Due date (dd/mm/yyyy)]])</f>
        <v>0</v>
      </c>
      <c r="O591" s="46">
        <f t="shared" si="9"/>
        <v>52</v>
      </c>
    </row>
    <row r="592" spans="3:15" x14ac:dyDescent="0.25">
      <c r="C592" s="24"/>
      <c r="D592" s="20"/>
      <c r="E592" s="4"/>
      <c r="F592" s="37"/>
      <c r="G592" s="24"/>
      <c r="H592" s="51">
        <f>Assumptions!$D$15</f>
        <v>0.1</v>
      </c>
      <c r="I592" s="45">
        <f>IF(SO[[#This Row],[GST applies?]] = "Yes", (SO[[#This Row],[Value inc. GST]] / 1 + SO[[#This Row],[GST %]]) * SO[[#This Row],[GST %]], 0)</f>
        <v>0</v>
      </c>
      <c r="J592" s="31">
        <f>_xlfn.XLOOKUP(SO[[#This Row],[Customer name]], Customer_master[Customer name], Customer_master[EOM or Net], 0)</f>
        <v>0</v>
      </c>
      <c r="K592" s="31">
        <f>_xlfn.XLOOKUP(SO[[#This Row],[Customer name]], Customer_master[Customer name], Customer_master[Terms days], 0)</f>
        <v>0</v>
      </c>
      <c r="L5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2" s="4"/>
      <c r="N592" s="46">
        <f>IF(SO[[#This Row],[Collection date - override (dd/mm/yyyy)]] &lt;&gt; "", SO[[#This Row],[Collection date - override (dd/mm/yyyy)]], SO[[#This Row],[Due date (dd/mm/yyyy)]])</f>
        <v>0</v>
      </c>
      <c r="O592" s="46">
        <f t="shared" si="9"/>
        <v>52</v>
      </c>
    </row>
    <row r="593" spans="3:15" x14ac:dyDescent="0.25">
      <c r="C593" s="24"/>
      <c r="D593" s="20"/>
      <c r="E593" s="4"/>
      <c r="F593" s="37"/>
      <c r="G593" s="24"/>
      <c r="H593" s="51">
        <f>Assumptions!$D$15</f>
        <v>0.1</v>
      </c>
      <c r="I593" s="45">
        <f>IF(SO[[#This Row],[GST applies?]] = "Yes", (SO[[#This Row],[Value inc. GST]] / 1 + SO[[#This Row],[GST %]]) * SO[[#This Row],[GST %]], 0)</f>
        <v>0</v>
      </c>
      <c r="J593" s="31">
        <f>_xlfn.XLOOKUP(SO[[#This Row],[Customer name]], Customer_master[Customer name], Customer_master[EOM or Net], 0)</f>
        <v>0</v>
      </c>
      <c r="K593" s="31">
        <f>_xlfn.XLOOKUP(SO[[#This Row],[Customer name]], Customer_master[Customer name], Customer_master[Terms days], 0)</f>
        <v>0</v>
      </c>
      <c r="L5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3" s="4"/>
      <c r="N593" s="46">
        <f>IF(SO[[#This Row],[Collection date - override (dd/mm/yyyy)]] &lt;&gt; "", SO[[#This Row],[Collection date - override (dd/mm/yyyy)]], SO[[#This Row],[Due date (dd/mm/yyyy)]])</f>
        <v>0</v>
      </c>
      <c r="O593" s="46">
        <f t="shared" si="9"/>
        <v>52</v>
      </c>
    </row>
    <row r="594" spans="3:15" x14ac:dyDescent="0.25">
      <c r="C594" s="24"/>
      <c r="D594" s="20"/>
      <c r="E594" s="4"/>
      <c r="F594" s="37"/>
      <c r="G594" s="24"/>
      <c r="H594" s="51">
        <f>Assumptions!$D$15</f>
        <v>0.1</v>
      </c>
      <c r="I594" s="45">
        <f>IF(SO[[#This Row],[GST applies?]] = "Yes", (SO[[#This Row],[Value inc. GST]] / 1 + SO[[#This Row],[GST %]]) * SO[[#This Row],[GST %]], 0)</f>
        <v>0</v>
      </c>
      <c r="J594" s="31">
        <f>_xlfn.XLOOKUP(SO[[#This Row],[Customer name]], Customer_master[Customer name], Customer_master[EOM or Net], 0)</f>
        <v>0</v>
      </c>
      <c r="K594" s="31">
        <f>_xlfn.XLOOKUP(SO[[#This Row],[Customer name]], Customer_master[Customer name], Customer_master[Terms days], 0)</f>
        <v>0</v>
      </c>
      <c r="L5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4" s="4"/>
      <c r="N594" s="46">
        <f>IF(SO[[#This Row],[Collection date - override (dd/mm/yyyy)]] &lt;&gt; "", SO[[#This Row],[Collection date - override (dd/mm/yyyy)]], SO[[#This Row],[Due date (dd/mm/yyyy)]])</f>
        <v>0</v>
      </c>
      <c r="O594" s="46">
        <f t="shared" si="9"/>
        <v>52</v>
      </c>
    </row>
    <row r="595" spans="3:15" x14ac:dyDescent="0.25">
      <c r="C595" s="24"/>
      <c r="D595" s="20"/>
      <c r="E595" s="4"/>
      <c r="F595" s="37"/>
      <c r="G595" s="24"/>
      <c r="H595" s="51">
        <f>Assumptions!$D$15</f>
        <v>0.1</v>
      </c>
      <c r="I595" s="45">
        <f>IF(SO[[#This Row],[GST applies?]] = "Yes", (SO[[#This Row],[Value inc. GST]] / 1 + SO[[#This Row],[GST %]]) * SO[[#This Row],[GST %]], 0)</f>
        <v>0</v>
      </c>
      <c r="J595" s="31">
        <f>_xlfn.XLOOKUP(SO[[#This Row],[Customer name]], Customer_master[Customer name], Customer_master[EOM or Net], 0)</f>
        <v>0</v>
      </c>
      <c r="K595" s="31">
        <f>_xlfn.XLOOKUP(SO[[#This Row],[Customer name]], Customer_master[Customer name], Customer_master[Terms days], 0)</f>
        <v>0</v>
      </c>
      <c r="L5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5" s="4"/>
      <c r="N595" s="46">
        <f>IF(SO[[#This Row],[Collection date - override (dd/mm/yyyy)]] &lt;&gt; "", SO[[#This Row],[Collection date - override (dd/mm/yyyy)]], SO[[#This Row],[Due date (dd/mm/yyyy)]])</f>
        <v>0</v>
      </c>
      <c r="O595" s="46">
        <f t="shared" si="9"/>
        <v>52</v>
      </c>
    </row>
    <row r="596" spans="3:15" x14ac:dyDescent="0.25">
      <c r="C596" s="24"/>
      <c r="D596" s="20"/>
      <c r="E596" s="4"/>
      <c r="F596" s="37"/>
      <c r="G596" s="24"/>
      <c r="H596" s="51">
        <f>Assumptions!$D$15</f>
        <v>0.1</v>
      </c>
      <c r="I596" s="45">
        <f>IF(SO[[#This Row],[GST applies?]] = "Yes", (SO[[#This Row],[Value inc. GST]] / 1 + SO[[#This Row],[GST %]]) * SO[[#This Row],[GST %]], 0)</f>
        <v>0</v>
      </c>
      <c r="J596" s="31">
        <f>_xlfn.XLOOKUP(SO[[#This Row],[Customer name]], Customer_master[Customer name], Customer_master[EOM or Net], 0)</f>
        <v>0</v>
      </c>
      <c r="K596" s="31">
        <f>_xlfn.XLOOKUP(SO[[#This Row],[Customer name]], Customer_master[Customer name], Customer_master[Terms days], 0)</f>
        <v>0</v>
      </c>
      <c r="L5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6" s="4"/>
      <c r="N596" s="46">
        <f>IF(SO[[#This Row],[Collection date - override (dd/mm/yyyy)]] &lt;&gt; "", SO[[#This Row],[Collection date - override (dd/mm/yyyy)]], SO[[#This Row],[Due date (dd/mm/yyyy)]])</f>
        <v>0</v>
      </c>
      <c r="O596" s="46">
        <f t="shared" si="9"/>
        <v>52</v>
      </c>
    </row>
    <row r="597" spans="3:15" x14ac:dyDescent="0.25">
      <c r="C597" s="24"/>
      <c r="D597" s="20"/>
      <c r="E597" s="4"/>
      <c r="F597" s="37"/>
      <c r="G597" s="24"/>
      <c r="H597" s="51">
        <f>Assumptions!$D$15</f>
        <v>0.1</v>
      </c>
      <c r="I597" s="45">
        <f>IF(SO[[#This Row],[GST applies?]] = "Yes", (SO[[#This Row],[Value inc. GST]] / 1 + SO[[#This Row],[GST %]]) * SO[[#This Row],[GST %]], 0)</f>
        <v>0</v>
      </c>
      <c r="J597" s="31">
        <f>_xlfn.XLOOKUP(SO[[#This Row],[Customer name]], Customer_master[Customer name], Customer_master[EOM or Net], 0)</f>
        <v>0</v>
      </c>
      <c r="K597" s="31">
        <f>_xlfn.XLOOKUP(SO[[#This Row],[Customer name]], Customer_master[Customer name], Customer_master[Terms days], 0)</f>
        <v>0</v>
      </c>
      <c r="L5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7" s="4"/>
      <c r="N597" s="46">
        <f>IF(SO[[#This Row],[Collection date - override (dd/mm/yyyy)]] &lt;&gt; "", SO[[#This Row],[Collection date - override (dd/mm/yyyy)]], SO[[#This Row],[Due date (dd/mm/yyyy)]])</f>
        <v>0</v>
      </c>
      <c r="O597" s="46">
        <f t="shared" si="9"/>
        <v>52</v>
      </c>
    </row>
    <row r="598" spans="3:15" x14ac:dyDescent="0.25">
      <c r="C598" s="24"/>
      <c r="D598" s="20"/>
      <c r="E598" s="4"/>
      <c r="F598" s="37"/>
      <c r="G598" s="24"/>
      <c r="H598" s="51">
        <f>Assumptions!$D$15</f>
        <v>0.1</v>
      </c>
      <c r="I598" s="45">
        <f>IF(SO[[#This Row],[GST applies?]] = "Yes", (SO[[#This Row],[Value inc. GST]] / 1 + SO[[#This Row],[GST %]]) * SO[[#This Row],[GST %]], 0)</f>
        <v>0</v>
      </c>
      <c r="J598" s="31">
        <f>_xlfn.XLOOKUP(SO[[#This Row],[Customer name]], Customer_master[Customer name], Customer_master[EOM or Net], 0)</f>
        <v>0</v>
      </c>
      <c r="K598" s="31">
        <f>_xlfn.XLOOKUP(SO[[#This Row],[Customer name]], Customer_master[Customer name], Customer_master[Terms days], 0)</f>
        <v>0</v>
      </c>
      <c r="L5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8" s="4"/>
      <c r="N598" s="46">
        <f>IF(SO[[#This Row],[Collection date - override (dd/mm/yyyy)]] &lt;&gt; "", SO[[#This Row],[Collection date - override (dd/mm/yyyy)]], SO[[#This Row],[Due date (dd/mm/yyyy)]])</f>
        <v>0</v>
      </c>
      <c r="O598" s="46">
        <f t="shared" si="9"/>
        <v>52</v>
      </c>
    </row>
    <row r="599" spans="3:15" x14ac:dyDescent="0.25">
      <c r="C599" s="24"/>
      <c r="D599" s="20"/>
      <c r="E599" s="4"/>
      <c r="F599" s="37"/>
      <c r="G599" s="24"/>
      <c r="H599" s="51">
        <f>Assumptions!$D$15</f>
        <v>0.1</v>
      </c>
      <c r="I599" s="45">
        <f>IF(SO[[#This Row],[GST applies?]] = "Yes", (SO[[#This Row],[Value inc. GST]] / 1 + SO[[#This Row],[GST %]]) * SO[[#This Row],[GST %]], 0)</f>
        <v>0</v>
      </c>
      <c r="J599" s="31">
        <f>_xlfn.XLOOKUP(SO[[#This Row],[Customer name]], Customer_master[Customer name], Customer_master[EOM or Net], 0)</f>
        <v>0</v>
      </c>
      <c r="K599" s="31">
        <f>_xlfn.XLOOKUP(SO[[#This Row],[Customer name]], Customer_master[Customer name], Customer_master[Terms days], 0)</f>
        <v>0</v>
      </c>
      <c r="L5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9" s="4"/>
      <c r="N599" s="46">
        <f>IF(SO[[#This Row],[Collection date - override (dd/mm/yyyy)]] &lt;&gt; "", SO[[#This Row],[Collection date - override (dd/mm/yyyy)]], SO[[#This Row],[Due date (dd/mm/yyyy)]])</f>
        <v>0</v>
      </c>
      <c r="O599" s="46">
        <f t="shared" si="9"/>
        <v>52</v>
      </c>
    </row>
    <row r="600" spans="3:15" x14ac:dyDescent="0.25">
      <c r="C600" s="24"/>
      <c r="D600" s="20"/>
      <c r="E600" s="4"/>
      <c r="F600" s="37"/>
      <c r="G600" s="24"/>
      <c r="H600" s="51">
        <f>Assumptions!$D$15</f>
        <v>0.1</v>
      </c>
      <c r="I600" s="45">
        <f>IF(SO[[#This Row],[GST applies?]] = "Yes", (SO[[#This Row],[Value inc. GST]] / 1 + SO[[#This Row],[GST %]]) * SO[[#This Row],[GST %]], 0)</f>
        <v>0</v>
      </c>
      <c r="J600" s="31">
        <f>_xlfn.XLOOKUP(SO[[#This Row],[Customer name]], Customer_master[Customer name], Customer_master[EOM or Net], 0)</f>
        <v>0</v>
      </c>
      <c r="K600" s="31">
        <f>_xlfn.XLOOKUP(SO[[#This Row],[Customer name]], Customer_master[Customer name], Customer_master[Terms days], 0)</f>
        <v>0</v>
      </c>
      <c r="L6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0" s="4"/>
      <c r="N600" s="46">
        <f>IF(SO[[#This Row],[Collection date - override (dd/mm/yyyy)]] &lt;&gt; "", SO[[#This Row],[Collection date - override (dd/mm/yyyy)]], SO[[#This Row],[Due date (dd/mm/yyyy)]])</f>
        <v>0</v>
      </c>
      <c r="O600" s="46">
        <f t="shared" si="9"/>
        <v>52</v>
      </c>
    </row>
    <row r="601" spans="3:15" x14ac:dyDescent="0.25">
      <c r="C601" s="24"/>
      <c r="D601" s="20"/>
      <c r="E601" s="4"/>
      <c r="F601" s="37"/>
      <c r="G601" s="24"/>
      <c r="H601" s="51">
        <f>Assumptions!$D$15</f>
        <v>0.1</v>
      </c>
      <c r="I601" s="45">
        <f>IF(SO[[#This Row],[GST applies?]] = "Yes", (SO[[#This Row],[Value inc. GST]] / 1 + SO[[#This Row],[GST %]]) * SO[[#This Row],[GST %]], 0)</f>
        <v>0</v>
      </c>
      <c r="J601" s="31">
        <f>_xlfn.XLOOKUP(SO[[#This Row],[Customer name]], Customer_master[Customer name], Customer_master[EOM or Net], 0)</f>
        <v>0</v>
      </c>
      <c r="K601" s="31">
        <f>_xlfn.XLOOKUP(SO[[#This Row],[Customer name]], Customer_master[Customer name], Customer_master[Terms days], 0)</f>
        <v>0</v>
      </c>
      <c r="L6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1" s="4"/>
      <c r="N601" s="46">
        <f>IF(SO[[#This Row],[Collection date - override (dd/mm/yyyy)]] &lt;&gt; "", SO[[#This Row],[Collection date - override (dd/mm/yyyy)]], SO[[#This Row],[Due date (dd/mm/yyyy)]])</f>
        <v>0</v>
      </c>
      <c r="O601" s="46">
        <f t="shared" si="9"/>
        <v>52</v>
      </c>
    </row>
    <row r="602" spans="3:15" x14ac:dyDescent="0.25">
      <c r="C602" s="24"/>
      <c r="D602" s="20"/>
      <c r="E602" s="4"/>
      <c r="F602" s="37"/>
      <c r="G602" s="24"/>
      <c r="H602" s="51">
        <f>Assumptions!$D$15</f>
        <v>0.1</v>
      </c>
      <c r="I602" s="45">
        <f>IF(SO[[#This Row],[GST applies?]] = "Yes", (SO[[#This Row],[Value inc. GST]] / 1 + SO[[#This Row],[GST %]]) * SO[[#This Row],[GST %]], 0)</f>
        <v>0</v>
      </c>
      <c r="J602" s="31">
        <f>_xlfn.XLOOKUP(SO[[#This Row],[Customer name]], Customer_master[Customer name], Customer_master[EOM or Net], 0)</f>
        <v>0</v>
      </c>
      <c r="K602" s="31">
        <f>_xlfn.XLOOKUP(SO[[#This Row],[Customer name]], Customer_master[Customer name], Customer_master[Terms days], 0)</f>
        <v>0</v>
      </c>
      <c r="L6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2" s="4"/>
      <c r="N602" s="46">
        <f>IF(SO[[#This Row],[Collection date - override (dd/mm/yyyy)]] &lt;&gt; "", SO[[#This Row],[Collection date - override (dd/mm/yyyy)]], SO[[#This Row],[Due date (dd/mm/yyyy)]])</f>
        <v>0</v>
      </c>
      <c r="O602" s="46">
        <f t="shared" si="9"/>
        <v>52</v>
      </c>
    </row>
    <row r="603" spans="3:15" x14ac:dyDescent="0.25">
      <c r="C603" s="24"/>
      <c r="D603" s="20"/>
      <c r="E603" s="4"/>
      <c r="F603" s="37"/>
      <c r="G603" s="24"/>
      <c r="H603" s="51">
        <f>Assumptions!$D$15</f>
        <v>0.1</v>
      </c>
      <c r="I603" s="45">
        <f>IF(SO[[#This Row],[GST applies?]] = "Yes", (SO[[#This Row],[Value inc. GST]] / 1 + SO[[#This Row],[GST %]]) * SO[[#This Row],[GST %]], 0)</f>
        <v>0</v>
      </c>
      <c r="J603" s="31">
        <f>_xlfn.XLOOKUP(SO[[#This Row],[Customer name]], Customer_master[Customer name], Customer_master[EOM or Net], 0)</f>
        <v>0</v>
      </c>
      <c r="K603" s="31">
        <f>_xlfn.XLOOKUP(SO[[#This Row],[Customer name]], Customer_master[Customer name], Customer_master[Terms days], 0)</f>
        <v>0</v>
      </c>
      <c r="L6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3" s="4"/>
      <c r="N603" s="46">
        <f>IF(SO[[#This Row],[Collection date - override (dd/mm/yyyy)]] &lt;&gt; "", SO[[#This Row],[Collection date - override (dd/mm/yyyy)]], SO[[#This Row],[Due date (dd/mm/yyyy)]])</f>
        <v>0</v>
      </c>
      <c r="O603" s="46">
        <f t="shared" si="9"/>
        <v>52</v>
      </c>
    </row>
    <row r="604" spans="3:15" x14ac:dyDescent="0.25">
      <c r="C604" s="24"/>
      <c r="D604" s="20"/>
      <c r="E604" s="4"/>
      <c r="F604" s="37"/>
      <c r="G604" s="24"/>
      <c r="H604" s="51">
        <f>Assumptions!$D$15</f>
        <v>0.1</v>
      </c>
      <c r="I604" s="45">
        <f>IF(SO[[#This Row],[GST applies?]] = "Yes", (SO[[#This Row],[Value inc. GST]] / 1 + SO[[#This Row],[GST %]]) * SO[[#This Row],[GST %]], 0)</f>
        <v>0</v>
      </c>
      <c r="J604" s="31">
        <f>_xlfn.XLOOKUP(SO[[#This Row],[Customer name]], Customer_master[Customer name], Customer_master[EOM or Net], 0)</f>
        <v>0</v>
      </c>
      <c r="K604" s="31">
        <f>_xlfn.XLOOKUP(SO[[#This Row],[Customer name]], Customer_master[Customer name], Customer_master[Terms days], 0)</f>
        <v>0</v>
      </c>
      <c r="L6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4" s="4"/>
      <c r="N604" s="46">
        <f>IF(SO[[#This Row],[Collection date - override (dd/mm/yyyy)]] &lt;&gt; "", SO[[#This Row],[Collection date - override (dd/mm/yyyy)]], SO[[#This Row],[Due date (dd/mm/yyyy)]])</f>
        <v>0</v>
      </c>
      <c r="O604" s="46">
        <f t="shared" si="9"/>
        <v>52</v>
      </c>
    </row>
    <row r="605" spans="3:15" x14ac:dyDescent="0.25">
      <c r="C605" s="24"/>
      <c r="D605" s="20"/>
      <c r="E605" s="4"/>
      <c r="F605" s="37"/>
      <c r="G605" s="24"/>
      <c r="H605" s="51">
        <f>Assumptions!$D$15</f>
        <v>0.1</v>
      </c>
      <c r="I605" s="45">
        <f>IF(SO[[#This Row],[GST applies?]] = "Yes", (SO[[#This Row],[Value inc. GST]] / 1 + SO[[#This Row],[GST %]]) * SO[[#This Row],[GST %]], 0)</f>
        <v>0</v>
      </c>
      <c r="J605" s="31">
        <f>_xlfn.XLOOKUP(SO[[#This Row],[Customer name]], Customer_master[Customer name], Customer_master[EOM or Net], 0)</f>
        <v>0</v>
      </c>
      <c r="K605" s="31">
        <f>_xlfn.XLOOKUP(SO[[#This Row],[Customer name]], Customer_master[Customer name], Customer_master[Terms days], 0)</f>
        <v>0</v>
      </c>
      <c r="L6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5" s="4"/>
      <c r="N605" s="46">
        <f>IF(SO[[#This Row],[Collection date - override (dd/mm/yyyy)]] &lt;&gt; "", SO[[#This Row],[Collection date - override (dd/mm/yyyy)]], SO[[#This Row],[Due date (dd/mm/yyyy)]])</f>
        <v>0</v>
      </c>
      <c r="O605" s="46">
        <f t="shared" si="9"/>
        <v>52</v>
      </c>
    </row>
    <row r="606" spans="3:15" x14ac:dyDescent="0.25">
      <c r="C606" s="24"/>
      <c r="D606" s="20"/>
      <c r="E606" s="4"/>
      <c r="F606" s="37"/>
      <c r="G606" s="24"/>
      <c r="H606" s="51">
        <f>Assumptions!$D$15</f>
        <v>0.1</v>
      </c>
      <c r="I606" s="45">
        <f>IF(SO[[#This Row],[GST applies?]] = "Yes", (SO[[#This Row],[Value inc. GST]] / 1 + SO[[#This Row],[GST %]]) * SO[[#This Row],[GST %]], 0)</f>
        <v>0</v>
      </c>
      <c r="J606" s="31">
        <f>_xlfn.XLOOKUP(SO[[#This Row],[Customer name]], Customer_master[Customer name], Customer_master[EOM or Net], 0)</f>
        <v>0</v>
      </c>
      <c r="K606" s="31">
        <f>_xlfn.XLOOKUP(SO[[#This Row],[Customer name]], Customer_master[Customer name], Customer_master[Terms days], 0)</f>
        <v>0</v>
      </c>
      <c r="L6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6" s="4"/>
      <c r="N606" s="46">
        <f>IF(SO[[#This Row],[Collection date - override (dd/mm/yyyy)]] &lt;&gt; "", SO[[#This Row],[Collection date - override (dd/mm/yyyy)]], SO[[#This Row],[Due date (dd/mm/yyyy)]])</f>
        <v>0</v>
      </c>
      <c r="O606" s="46">
        <f t="shared" si="9"/>
        <v>52</v>
      </c>
    </row>
    <row r="607" spans="3:15" x14ac:dyDescent="0.25">
      <c r="C607" s="24"/>
      <c r="D607" s="20"/>
      <c r="E607" s="4"/>
      <c r="F607" s="37"/>
      <c r="G607" s="24"/>
      <c r="H607" s="51">
        <f>Assumptions!$D$15</f>
        <v>0.1</v>
      </c>
      <c r="I607" s="45">
        <f>IF(SO[[#This Row],[GST applies?]] = "Yes", (SO[[#This Row],[Value inc. GST]] / 1 + SO[[#This Row],[GST %]]) * SO[[#This Row],[GST %]], 0)</f>
        <v>0</v>
      </c>
      <c r="J607" s="31">
        <f>_xlfn.XLOOKUP(SO[[#This Row],[Customer name]], Customer_master[Customer name], Customer_master[EOM or Net], 0)</f>
        <v>0</v>
      </c>
      <c r="K607" s="31">
        <f>_xlfn.XLOOKUP(SO[[#This Row],[Customer name]], Customer_master[Customer name], Customer_master[Terms days], 0)</f>
        <v>0</v>
      </c>
      <c r="L6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7" s="4"/>
      <c r="N607" s="46">
        <f>IF(SO[[#This Row],[Collection date - override (dd/mm/yyyy)]] &lt;&gt; "", SO[[#This Row],[Collection date - override (dd/mm/yyyy)]], SO[[#This Row],[Due date (dd/mm/yyyy)]])</f>
        <v>0</v>
      </c>
      <c r="O607" s="46">
        <f t="shared" si="9"/>
        <v>52</v>
      </c>
    </row>
    <row r="608" spans="3:15" x14ac:dyDescent="0.25">
      <c r="C608" s="24"/>
      <c r="D608" s="20"/>
      <c r="E608" s="4"/>
      <c r="F608" s="37"/>
      <c r="G608" s="24"/>
      <c r="H608" s="51">
        <f>Assumptions!$D$15</f>
        <v>0.1</v>
      </c>
      <c r="I608" s="45">
        <f>IF(SO[[#This Row],[GST applies?]] = "Yes", (SO[[#This Row],[Value inc. GST]] / 1 + SO[[#This Row],[GST %]]) * SO[[#This Row],[GST %]], 0)</f>
        <v>0</v>
      </c>
      <c r="J608" s="31">
        <f>_xlfn.XLOOKUP(SO[[#This Row],[Customer name]], Customer_master[Customer name], Customer_master[EOM or Net], 0)</f>
        <v>0</v>
      </c>
      <c r="K608" s="31">
        <f>_xlfn.XLOOKUP(SO[[#This Row],[Customer name]], Customer_master[Customer name], Customer_master[Terms days], 0)</f>
        <v>0</v>
      </c>
      <c r="L6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8" s="4"/>
      <c r="N608" s="46">
        <f>IF(SO[[#This Row],[Collection date - override (dd/mm/yyyy)]] &lt;&gt; "", SO[[#This Row],[Collection date - override (dd/mm/yyyy)]], SO[[#This Row],[Due date (dd/mm/yyyy)]])</f>
        <v>0</v>
      </c>
      <c r="O608" s="46">
        <f t="shared" si="9"/>
        <v>52</v>
      </c>
    </row>
    <row r="609" spans="3:15" x14ac:dyDescent="0.25">
      <c r="C609" s="24"/>
      <c r="D609" s="20"/>
      <c r="E609" s="4"/>
      <c r="F609" s="37"/>
      <c r="G609" s="24"/>
      <c r="H609" s="51">
        <f>Assumptions!$D$15</f>
        <v>0.1</v>
      </c>
      <c r="I609" s="45">
        <f>IF(SO[[#This Row],[GST applies?]] = "Yes", (SO[[#This Row],[Value inc. GST]] / 1 + SO[[#This Row],[GST %]]) * SO[[#This Row],[GST %]], 0)</f>
        <v>0</v>
      </c>
      <c r="J609" s="31">
        <f>_xlfn.XLOOKUP(SO[[#This Row],[Customer name]], Customer_master[Customer name], Customer_master[EOM or Net], 0)</f>
        <v>0</v>
      </c>
      <c r="K609" s="31">
        <f>_xlfn.XLOOKUP(SO[[#This Row],[Customer name]], Customer_master[Customer name], Customer_master[Terms days], 0)</f>
        <v>0</v>
      </c>
      <c r="L6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9" s="4"/>
      <c r="N609" s="46">
        <f>IF(SO[[#This Row],[Collection date - override (dd/mm/yyyy)]] &lt;&gt; "", SO[[#This Row],[Collection date - override (dd/mm/yyyy)]], SO[[#This Row],[Due date (dd/mm/yyyy)]])</f>
        <v>0</v>
      </c>
      <c r="O609" s="46">
        <f t="shared" si="9"/>
        <v>52</v>
      </c>
    </row>
    <row r="610" spans="3:15" x14ac:dyDescent="0.25">
      <c r="C610" s="24"/>
      <c r="D610" s="20"/>
      <c r="E610" s="4"/>
      <c r="F610" s="37"/>
      <c r="G610" s="24"/>
      <c r="H610" s="51">
        <f>Assumptions!$D$15</f>
        <v>0.1</v>
      </c>
      <c r="I610" s="45">
        <f>IF(SO[[#This Row],[GST applies?]] = "Yes", (SO[[#This Row],[Value inc. GST]] / 1 + SO[[#This Row],[GST %]]) * SO[[#This Row],[GST %]], 0)</f>
        <v>0</v>
      </c>
      <c r="J610" s="31">
        <f>_xlfn.XLOOKUP(SO[[#This Row],[Customer name]], Customer_master[Customer name], Customer_master[EOM or Net], 0)</f>
        <v>0</v>
      </c>
      <c r="K610" s="31">
        <f>_xlfn.XLOOKUP(SO[[#This Row],[Customer name]], Customer_master[Customer name], Customer_master[Terms days], 0)</f>
        <v>0</v>
      </c>
      <c r="L6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0" s="4"/>
      <c r="N610" s="46">
        <f>IF(SO[[#This Row],[Collection date - override (dd/mm/yyyy)]] &lt;&gt; "", SO[[#This Row],[Collection date - override (dd/mm/yyyy)]], SO[[#This Row],[Due date (dd/mm/yyyy)]])</f>
        <v>0</v>
      </c>
      <c r="O610" s="46">
        <f t="shared" si="9"/>
        <v>52</v>
      </c>
    </row>
    <row r="611" spans="3:15" x14ac:dyDescent="0.25">
      <c r="C611" s="24"/>
      <c r="D611" s="20"/>
      <c r="E611" s="4"/>
      <c r="F611" s="37"/>
      <c r="G611" s="24"/>
      <c r="H611" s="51">
        <f>Assumptions!$D$15</f>
        <v>0.1</v>
      </c>
      <c r="I611" s="45">
        <f>IF(SO[[#This Row],[GST applies?]] = "Yes", (SO[[#This Row],[Value inc. GST]] / 1 + SO[[#This Row],[GST %]]) * SO[[#This Row],[GST %]], 0)</f>
        <v>0</v>
      </c>
      <c r="J611" s="31">
        <f>_xlfn.XLOOKUP(SO[[#This Row],[Customer name]], Customer_master[Customer name], Customer_master[EOM or Net], 0)</f>
        <v>0</v>
      </c>
      <c r="K611" s="31">
        <f>_xlfn.XLOOKUP(SO[[#This Row],[Customer name]], Customer_master[Customer name], Customer_master[Terms days], 0)</f>
        <v>0</v>
      </c>
      <c r="L6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1" s="4"/>
      <c r="N611" s="46">
        <f>IF(SO[[#This Row],[Collection date - override (dd/mm/yyyy)]] &lt;&gt; "", SO[[#This Row],[Collection date - override (dd/mm/yyyy)]], SO[[#This Row],[Due date (dd/mm/yyyy)]])</f>
        <v>0</v>
      </c>
      <c r="O611" s="46">
        <f t="shared" si="9"/>
        <v>52</v>
      </c>
    </row>
    <row r="612" spans="3:15" x14ac:dyDescent="0.25">
      <c r="C612" s="24"/>
      <c r="D612" s="20"/>
      <c r="E612" s="4"/>
      <c r="F612" s="37"/>
      <c r="G612" s="24"/>
      <c r="H612" s="51">
        <f>Assumptions!$D$15</f>
        <v>0.1</v>
      </c>
      <c r="I612" s="45">
        <f>IF(SO[[#This Row],[GST applies?]] = "Yes", (SO[[#This Row],[Value inc. GST]] / 1 + SO[[#This Row],[GST %]]) * SO[[#This Row],[GST %]], 0)</f>
        <v>0</v>
      </c>
      <c r="J612" s="31">
        <f>_xlfn.XLOOKUP(SO[[#This Row],[Customer name]], Customer_master[Customer name], Customer_master[EOM or Net], 0)</f>
        <v>0</v>
      </c>
      <c r="K612" s="31">
        <f>_xlfn.XLOOKUP(SO[[#This Row],[Customer name]], Customer_master[Customer name], Customer_master[Terms days], 0)</f>
        <v>0</v>
      </c>
      <c r="L6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2" s="4"/>
      <c r="N612" s="46">
        <f>IF(SO[[#This Row],[Collection date - override (dd/mm/yyyy)]] &lt;&gt; "", SO[[#This Row],[Collection date - override (dd/mm/yyyy)]], SO[[#This Row],[Due date (dd/mm/yyyy)]])</f>
        <v>0</v>
      </c>
      <c r="O612" s="46">
        <f t="shared" si="9"/>
        <v>52</v>
      </c>
    </row>
    <row r="613" spans="3:15" x14ac:dyDescent="0.25">
      <c r="C613" s="24"/>
      <c r="D613" s="20"/>
      <c r="E613" s="4"/>
      <c r="F613" s="37"/>
      <c r="G613" s="24"/>
      <c r="H613" s="51">
        <f>Assumptions!$D$15</f>
        <v>0.1</v>
      </c>
      <c r="I613" s="45">
        <f>IF(SO[[#This Row],[GST applies?]] = "Yes", (SO[[#This Row],[Value inc. GST]] / 1 + SO[[#This Row],[GST %]]) * SO[[#This Row],[GST %]], 0)</f>
        <v>0</v>
      </c>
      <c r="J613" s="31">
        <f>_xlfn.XLOOKUP(SO[[#This Row],[Customer name]], Customer_master[Customer name], Customer_master[EOM or Net], 0)</f>
        <v>0</v>
      </c>
      <c r="K613" s="31">
        <f>_xlfn.XLOOKUP(SO[[#This Row],[Customer name]], Customer_master[Customer name], Customer_master[Terms days], 0)</f>
        <v>0</v>
      </c>
      <c r="L6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3" s="4"/>
      <c r="N613" s="46">
        <f>IF(SO[[#This Row],[Collection date - override (dd/mm/yyyy)]] &lt;&gt; "", SO[[#This Row],[Collection date - override (dd/mm/yyyy)]], SO[[#This Row],[Due date (dd/mm/yyyy)]])</f>
        <v>0</v>
      </c>
      <c r="O613" s="46">
        <f t="shared" si="9"/>
        <v>52</v>
      </c>
    </row>
    <row r="614" spans="3:15" x14ac:dyDescent="0.25">
      <c r="C614" s="24"/>
      <c r="D614" s="20"/>
      <c r="E614" s="4"/>
      <c r="F614" s="37"/>
      <c r="G614" s="24"/>
      <c r="H614" s="51">
        <f>Assumptions!$D$15</f>
        <v>0.1</v>
      </c>
      <c r="I614" s="45">
        <f>IF(SO[[#This Row],[GST applies?]] = "Yes", (SO[[#This Row],[Value inc. GST]] / 1 + SO[[#This Row],[GST %]]) * SO[[#This Row],[GST %]], 0)</f>
        <v>0</v>
      </c>
      <c r="J614" s="31">
        <f>_xlfn.XLOOKUP(SO[[#This Row],[Customer name]], Customer_master[Customer name], Customer_master[EOM or Net], 0)</f>
        <v>0</v>
      </c>
      <c r="K614" s="31">
        <f>_xlfn.XLOOKUP(SO[[#This Row],[Customer name]], Customer_master[Customer name], Customer_master[Terms days], 0)</f>
        <v>0</v>
      </c>
      <c r="L6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4" s="4"/>
      <c r="N614" s="46">
        <f>IF(SO[[#This Row],[Collection date - override (dd/mm/yyyy)]] &lt;&gt; "", SO[[#This Row],[Collection date - override (dd/mm/yyyy)]], SO[[#This Row],[Due date (dd/mm/yyyy)]])</f>
        <v>0</v>
      </c>
      <c r="O614" s="46">
        <f t="shared" si="9"/>
        <v>52</v>
      </c>
    </row>
    <row r="615" spans="3:15" x14ac:dyDescent="0.25">
      <c r="C615" s="24"/>
      <c r="D615" s="20"/>
      <c r="E615" s="4"/>
      <c r="F615" s="37"/>
      <c r="G615" s="24"/>
      <c r="H615" s="51">
        <f>Assumptions!$D$15</f>
        <v>0.1</v>
      </c>
      <c r="I615" s="45">
        <f>IF(SO[[#This Row],[GST applies?]] = "Yes", (SO[[#This Row],[Value inc. GST]] / 1 + SO[[#This Row],[GST %]]) * SO[[#This Row],[GST %]], 0)</f>
        <v>0</v>
      </c>
      <c r="J615" s="31">
        <f>_xlfn.XLOOKUP(SO[[#This Row],[Customer name]], Customer_master[Customer name], Customer_master[EOM or Net], 0)</f>
        <v>0</v>
      </c>
      <c r="K615" s="31">
        <f>_xlfn.XLOOKUP(SO[[#This Row],[Customer name]], Customer_master[Customer name], Customer_master[Terms days], 0)</f>
        <v>0</v>
      </c>
      <c r="L6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5" s="4"/>
      <c r="N615" s="46">
        <f>IF(SO[[#This Row],[Collection date - override (dd/mm/yyyy)]] &lt;&gt; "", SO[[#This Row],[Collection date - override (dd/mm/yyyy)]], SO[[#This Row],[Due date (dd/mm/yyyy)]])</f>
        <v>0</v>
      </c>
      <c r="O615" s="46">
        <f t="shared" si="9"/>
        <v>52</v>
      </c>
    </row>
    <row r="616" spans="3:15" x14ac:dyDescent="0.25">
      <c r="C616" s="24"/>
      <c r="D616" s="20"/>
      <c r="E616" s="4"/>
      <c r="F616" s="37"/>
      <c r="G616" s="24"/>
      <c r="H616" s="51">
        <f>Assumptions!$D$15</f>
        <v>0.1</v>
      </c>
      <c r="I616" s="45">
        <f>IF(SO[[#This Row],[GST applies?]] = "Yes", (SO[[#This Row],[Value inc. GST]] / 1 + SO[[#This Row],[GST %]]) * SO[[#This Row],[GST %]], 0)</f>
        <v>0</v>
      </c>
      <c r="J616" s="31">
        <f>_xlfn.XLOOKUP(SO[[#This Row],[Customer name]], Customer_master[Customer name], Customer_master[EOM or Net], 0)</f>
        <v>0</v>
      </c>
      <c r="K616" s="31">
        <f>_xlfn.XLOOKUP(SO[[#This Row],[Customer name]], Customer_master[Customer name], Customer_master[Terms days], 0)</f>
        <v>0</v>
      </c>
      <c r="L6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6" s="4"/>
      <c r="N616" s="46">
        <f>IF(SO[[#This Row],[Collection date - override (dd/mm/yyyy)]] &lt;&gt; "", SO[[#This Row],[Collection date - override (dd/mm/yyyy)]], SO[[#This Row],[Due date (dd/mm/yyyy)]])</f>
        <v>0</v>
      </c>
      <c r="O616" s="46">
        <f t="shared" si="9"/>
        <v>52</v>
      </c>
    </row>
    <row r="617" spans="3:15" x14ac:dyDescent="0.25">
      <c r="C617" s="24"/>
      <c r="D617" s="20"/>
      <c r="E617" s="4"/>
      <c r="F617" s="37"/>
      <c r="G617" s="24"/>
      <c r="H617" s="51">
        <f>Assumptions!$D$15</f>
        <v>0.1</v>
      </c>
      <c r="I617" s="45">
        <f>IF(SO[[#This Row],[GST applies?]] = "Yes", (SO[[#This Row],[Value inc. GST]] / 1 + SO[[#This Row],[GST %]]) * SO[[#This Row],[GST %]], 0)</f>
        <v>0</v>
      </c>
      <c r="J617" s="31">
        <f>_xlfn.XLOOKUP(SO[[#This Row],[Customer name]], Customer_master[Customer name], Customer_master[EOM or Net], 0)</f>
        <v>0</v>
      </c>
      <c r="K617" s="31">
        <f>_xlfn.XLOOKUP(SO[[#This Row],[Customer name]], Customer_master[Customer name], Customer_master[Terms days], 0)</f>
        <v>0</v>
      </c>
      <c r="L6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7" s="4"/>
      <c r="N617" s="46">
        <f>IF(SO[[#This Row],[Collection date - override (dd/mm/yyyy)]] &lt;&gt; "", SO[[#This Row],[Collection date - override (dd/mm/yyyy)]], SO[[#This Row],[Due date (dd/mm/yyyy)]])</f>
        <v>0</v>
      </c>
      <c r="O617" s="46">
        <f t="shared" si="9"/>
        <v>52</v>
      </c>
    </row>
    <row r="618" spans="3:15" x14ac:dyDescent="0.25">
      <c r="C618" s="24"/>
      <c r="D618" s="20"/>
      <c r="E618" s="4"/>
      <c r="F618" s="37"/>
      <c r="G618" s="24"/>
      <c r="H618" s="51">
        <f>Assumptions!$D$15</f>
        <v>0.1</v>
      </c>
      <c r="I618" s="45">
        <f>IF(SO[[#This Row],[GST applies?]] = "Yes", (SO[[#This Row],[Value inc. GST]] / 1 + SO[[#This Row],[GST %]]) * SO[[#This Row],[GST %]], 0)</f>
        <v>0</v>
      </c>
      <c r="J618" s="31">
        <f>_xlfn.XLOOKUP(SO[[#This Row],[Customer name]], Customer_master[Customer name], Customer_master[EOM or Net], 0)</f>
        <v>0</v>
      </c>
      <c r="K618" s="31">
        <f>_xlfn.XLOOKUP(SO[[#This Row],[Customer name]], Customer_master[Customer name], Customer_master[Terms days], 0)</f>
        <v>0</v>
      </c>
      <c r="L6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8" s="4"/>
      <c r="N618" s="46">
        <f>IF(SO[[#This Row],[Collection date - override (dd/mm/yyyy)]] &lt;&gt; "", SO[[#This Row],[Collection date - override (dd/mm/yyyy)]], SO[[#This Row],[Due date (dd/mm/yyyy)]])</f>
        <v>0</v>
      </c>
      <c r="O618" s="46">
        <f t="shared" si="9"/>
        <v>52</v>
      </c>
    </row>
    <row r="619" spans="3:15" x14ac:dyDescent="0.25">
      <c r="C619" s="24"/>
      <c r="D619" s="20"/>
      <c r="E619" s="4"/>
      <c r="F619" s="37"/>
      <c r="G619" s="24"/>
      <c r="H619" s="51">
        <f>Assumptions!$D$15</f>
        <v>0.1</v>
      </c>
      <c r="I619" s="45">
        <f>IF(SO[[#This Row],[GST applies?]] = "Yes", (SO[[#This Row],[Value inc. GST]] / 1 + SO[[#This Row],[GST %]]) * SO[[#This Row],[GST %]], 0)</f>
        <v>0</v>
      </c>
      <c r="J619" s="31">
        <f>_xlfn.XLOOKUP(SO[[#This Row],[Customer name]], Customer_master[Customer name], Customer_master[EOM or Net], 0)</f>
        <v>0</v>
      </c>
      <c r="K619" s="31">
        <f>_xlfn.XLOOKUP(SO[[#This Row],[Customer name]], Customer_master[Customer name], Customer_master[Terms days], 0)</f>
        <v>0</v>
      </c>
      <c r="L6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9" s="4"/>
      <c r="N619" s="46">
        <f>IF(SO[[#This Row],[Collection date - override (dd/mm/yyyy)]] &lt;&gt; "", SO[[#This Row],[Collection date - override (dd/mm/yyyy)]], SO[[#This Row],[Due date (dd/mm/yyyy)]])</f>
        <v>0</v>
      </c>
      <c r="O619" s="46">
        <f t="shared" si="9"/>
        <v>52</v>
      </c>
    </row>
    <row r="620" spans="3:15" x14ac:dyDescent="0.25">
      <c r="C620" s="24"/>
      <c r="D620" s="20"/>
      <c r="E620" s="4"/>
      <c r="F620" s="37"/>
      <c r="G620" s="24"/>
      <c r="H620" s="51">
        <f>Assumptions!$D$15</f>
        <v>0.1</v>
      </c>
      <c r="I620" s="45">
        <f>IF(SO[[#This Row],[GST applies?]] = "Yes", (SO[[#This Row],[Value inc. GST]] / 1 + SO[[#This Row],[GST %]]) * SO[[#This Row],[GST %]], 0)</f>
        <v>0</v>
      </c>
      <c r="J620" s="31">
        <f>_xlfn.XLOOKUP(SO[[#This Row],[Customer name]], Customer_master[Customer name], Customer_master[EOM or Net], 0)</f>
        <v>0</v>
      </c>
      <c r="K620" s="31">
        <f>_xlfn.XLOOKUP(SO[[#This Row],[Customer name]], Customer_master[Customer name], Customer_master[Terms days], 0)</f>
        <v>0</v>
      </c>
      <c r="L6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0" s="4"/>
      <c r="N620" s="46">
        <f>IF(SO[[#This Row],[Collection date - override (dd/mm/yyyy)]] &lt;&gt; "", SO[[#This Row],[Collection date - override (dd/mm/yyyy)]], SO[[#This Row],[Due date (dd/mm/yyyy)]])</f>
        <v>0</v>
      </c>
      <c r="O620" s="46">
        <f t="shared" si="9"/>
        <v>52</v>
      </c>
    </row>
    <row r="621" spans="3:15" x14ac:dyDescent="0.25">
      <c r="C621" s="24"/>
      <c r="D621" s="20"/>
      <c r="E621" s="4"/>
      <c r="F621" s="37"/>
      <c r="G621" s="24"/>
      <c r="H621" s="51">
        <f>Assumptions!$D$15</f>
        <v>0.1</v>
      </c>
      <c r="I621" s="45">
        <f>IF(SO[[#This Row],[GST applies?]] = "Yes", (SO[[#This Row],[Value inc. GST]] / 1 + SO[[#This Row],[GST %]]) * SO[[#This Row],[GST %]], 0)</f>
        <v>0</v>
      </c>
      <c r="J621" s="31">
        <f>_xlfn.XLOOKUP(SO[[#This Row],[Customer name]], Customer_master[Customer name], Customer_master[EOM or Net], 0)</f>
        <v>0</v>
      </c>
      <c r="K621" s="31">
        <f>_xlfn.XLOOKUP(SO[[#This Row],[Customer name]], Customer_master[Customer name], Customer_master[Terms days], 0)</f>
        <v>0</v>
      </c>
      <c r="L6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1" s="4"/>
      <c r="N621" s="46">
        <f>IF(SO[[#This Row],[Collection date - override (dd/mm/yyyy)]] &lt;&gt; "", SO[[#This Row],[Collection date - override (dd/mm/yyyy)]], SO[[#This Row],[Due date (dd/mm/yyyy)]])</f>
        <v>0</v>
      </c>
      <c r="O621" s="46">
        <f t="shared" si="9"/>
        <v>52</v>
      </c>
    </row>
    <row r="622" spans="3:15" x14ac:dyDescent="0.25">
      <c r="C622" s="24"/>
      <c r="D622" s="20"/>
      <c r="E622" s="4"/>
      <c r="F622" s="37"/>
      <c r="G622" s="24"/>
      <c r="H622" s="51">
        <f>Assumptions!$D$15</f>
        <v>0.1</v>
      </c>
      <c r="I622" s="45">
        <f>IF(SO[[#This Row],[GST applies?]] = "Yes", (SO[[#This Row],[Value inc. GST]] / 1 + SO[[#This Row],[GST %]]) * SO[[#This Row],[GST %]], 0)</f>
        <v>0</v>
      </c>
      <c r="J622" s="31">
        <f>_xlfn.XLOOKUP(SO[[#This Row],[Customer name]], Customer_master[Customer name], Customer_master[EOM or Net], 0)</f>
        <v>0</v>
      </c>
      <c r="K622" s="31">
        <f>_xlfn.XLOOKUP(SO[[#This Row],[Customer name]], Customer_master[Customer name], Customer_master[Terms days], 0)</f>
        <v>0</v>
      </c>
      <c r="L6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2" s="4"/>
      <c r="N622" s="46">
        <f>IF(SO[[#This Row],[Collection date - override (dd/mm/yyyy)]] &lt;&gt; "", SO[[#This Row],[Collection date - override (dd/mm/yyyy)]], SO[[#This Row],[Due date (dd/mm/yyyy)]])</f>
        <v>0</v>
      </c>
      <c r="O622" s="46">
        <f t="shared" si="9"/>
        <v>52</v>
      </c>
    </row>
    <row r="623" spans="3:15" x14ac:dyDescent="0.25">
      <c r="C623" s="24"/>
      <c r="D623" s="20"/>
      <c r="E623" s="4"/>
      <c r="F623" s="37"/>
      <c r="G623" s="24"/>
      <c r="H623" s="51">
        <f>Assumptions!$D$15</f>
        <v>0.1</v>
      </c>
      <c r="I623" s="45">
        <f>IF(SO[[#This Row],[GST applies?]] = "Yes", (SO[[#This Row],[Value inc. GST]] / 1 + SO[[#This Row],[GST %]]) * SO[[#This Row],[GST %]], 0)</f>
        <v>0</v>
      </c>
      <c r="J623" s="31">
        <f>_xlfn.XLOOKUP(SO[[#This Row],[Customer name]], Customer_master[Customer name], Customer_master[EOM or Net], 0)</f>
        <v>0</v>
      </c>
      <c r="K623" s="31">
        <f>_xlfn.XLOOKUP(SO[[#This Row],[Customer name]], Customer_master[Customer name], Customer_master[Terms days], 0)</f>
        <v>0</v>
      </c>
      <c r="L6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3" s="4"/>
      <c r="N623" s="46">
        <f>IF(SO[[#This Row],[Collection date - override (dd/mm/yyyy)]] &lt;&gt; "", SO[[#This Row],[Collection date - override (dd/mm/yyyy)]], SO[[#This Row],[Due date (dd/mm/yyyy)]])</f>
        <v>0</v>
      </c>
      <c r="O623" s="46">
        <f t="shared" si="9"/>
        <v>52</v>
      </c>
    </row>
    <row r="624" spans="3:15" x14ac:dyDescent="0.25">
      <c r="C624" s="24"/>
      <c r="D624" s="20"/>
      <c r="E624" s="4"/>
      <c r="F624" s="37"/>
      <c r="G624" s="24"/>
      <c r="H624" s="51">
        <f>Assumptions!$D$15</f>
        <v>0.1</v>
      </c>
      <c r="I624" s="45">
        <f>IF(SO[[#This Row],[GST applies?]] = "Yes", (SO[[#This Row],[Value inc. GST]] / 1 + SO[[#This Row],[GST %]]) * SO[[#This Row],[GST %]], 0)</f>
        <v>0</v>
      </c>
      <c r="J624" s="31">
        <f>_xlfn.XLOOKUP(SO[[#This Row],[Customer name]], Customer_master[Customer name], Customer_master[EOM or Net], 0)</f>
        <v>0</v>
      </c>
      <c r="K624" s="31">
        <f>_xlfn.XLOOKUP(SO[[#This Row],[Customer name]], Customer_master[Customer name], Customer_master[Terms days], 0)</f>
        <v>0</v>
      </c>
      <c r="L6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4" s="4"/>
      <c r="N624" s="46">
        <f>IF(SO[[#This Row],[Collection date - override (dd/mm/yyyy)]] &lt;&gt; "", SO[[#This Row],[Collection date - override (dd/mm/yyyy)]], SO[[#This Row],[Due date (dd/mm/yyyy)]])</f>
        <v>0</v>
      </c>
      <c r="O624" s="46">
        <f t="shared" si="9"/>
        <v>52</v>
      </c>
    </row>
    <row r="625" spans="3:15" x14ac:dyDescent="0.25">
      <c r="C625" s="24"/>
      <c r="D625" s="20"/>
      <c r="E625" s="4"/>
      <c r="F625" s="37"/>
      <c r="G625" s="24"/>
      <c r="H625" s="51">
        <f>Assumptions!$D$15</f>
        <v>0.1</v>
      </c>
      <c r="I625" s="45">
        <f>IF(SO[[#This Row],[GST applies?]] = "Yes", (SO[[#This Row],[Value inc. GST]] / 1 + SO[[#This Row],[GST %]]) * SO[[#This Row],[GST %]], 0)</f>
        <v>0</v>
      </c>
      <c r="J625" s="31">
        <f>_xlfn.XLOOKUP(SO[[#This Row],[Customer name]], Customer_master[Customer name], Customer_master[EOM or Net], 0)</f>
        <v>0</v>
      </c>
      <c r="K625" s="31">
        <f>_xlfn.XLOOKUP(SO[[#This Row],[Customer name]], Customer_master[Customer name], Customer_master[Terms days], 0)</f>
        <v>0</v>
      </c>
      <c r="L6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5" s="4"/>
      <c r="N625" s="46">
        <f>IF(SO[[#This Row],[Collection date - override (dd/mm/yyyy)]] &lt;&gt; "", SO[[#This Row],[Collection date - override (dd/mm/yyyy)]], SO[[#This Row],[Due date (dd/mm/yyyy)]])</f>
        <v>0</v>
      </c>
      <c r="O625" s="46">
        <f t="shared" si="9"/>
        <v>52</v>
      </c>
    </row>
    <row r="626" spans="3:15" x14ac:dyDescent="0.25">
      <c r="C626" s="24"/>
      <c r="D626" s="20"/>
      <c r="E626" s="4"/>
      <c r="F626" s="37"/>
      <c r="G626" s="24"/>
      <c r="H626" s="51">
        <f>Assumptions!$D$15</f>
        <v>0.1</v>
      </c>
      <c r="I626" s="45">
        <f>IF(SO[[#This Row],[GST applies?]] = "Yes", (SO[[#This Row],[Value inc. GST]] / 1 + SO[[#This Row],[GST %]]) * SO[[#This Row],[GST %]], 0)</f>
        <v>0</v>
      </c>
      <c r="J626" s="31">
        <f>_xlfn.XLOOKUP(SO[[#This Row],[Customer name]], Customer_master[Customer name], Customer_master[EOM or Net], 0)</f>
        <v>0</v>
      </c>
      <c r="K626" s="31">
        <f>_xlfn.XLOOKUP(SO[[#This Row],[Customer name]], Customer_master[Customer name], Customer_master[Terms days], 0)</f>
        <v>0</v>
      </c>
      <c r="L6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6" s="4"/>
      <c r="N626" s="46">
        <f>IF(SO[[#This Row],[Collection date - override (dd/mm/yyyy)]] &lt;&gt; "", SO[[#This Row],[Collection date - override (dd/mm/yyyy)]], SO[[#This Row],[Due date (dd/mm/yyyy)]])</f>
        <v>0</v>
      </c>
      <c r="O626" s="46">
        <f t="shared" si="9"/>
        <v>52</v>
      </c>
    </row>
    <row r="627" spans="3:15" x14ac:dyDescent="0.25">
      <c r="C627" s="24"/>
      <c r="D627" s="20"/>
      <c r="E627" s="4"/>
      <c r="F627" s="37"/>
      <c r="G627" s="24"/>
      <c r="H627" s="51">
        <f>Assumptions!$D$15</f>
        <v>0.1</v>
      </c>
      <c r="I627" s="45">
        <f>IF(SO[[#This Row],[GST applies?]] = "Yes", (SO[[#This Row],[Value inc. GST]] / 1 + SO[[#This Row],[GST %]]) * SO[[#This Row],[GST %]], 0)</f>
        <v>0</v>
      </c>
      <c r="J627" s="31">
        <f>_xlfn.XLOOKUP(SO[[#This Row],[Customer name]], Customer_master[Customer name], Customer_master[EOM or Net], 0)</f>
        <v>0</v>
      </c>
      <c r="K627" s="31">
        <f>_xlfn.XLOOKUP(SO[[#This Row],[Customer name]], Customer_master[Customer name], Customer_master[Terms days], 0)</f>
        <v>0</v>
      </c>
      <c r="L6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7" s="4"/>
      <c r="N627" s="46">
        <f>IF(SO[[#This Row],[Collection date - override (dd/mm/yyyy)]] &lt;&gt; "", SO[[#This Row],[Collection date - override (dd/mm/yyyy)]], SO[[#This Row],[Due date (dd/mm/yyyy)]])</f>
        <v>0</v>
      </c>
      <c r="O627" s="46">
        <f t="shared" si="9"/>
        <v>52</v>
      </c>
    </row>
    <row r="628" spans="3:15" x14ac:dyDescent="0.25">
      <c r="C628" s="24"/>
      <c r="D628" s="20"/>
      <c r="E628" s="4"/>
      <c r="F628" s="37"/>
      <c r="G628" s="24"/>
      <c r="H628" s="51">
        <f>Assumptions!$D$15</f>
        <v>0.1</v>
      </c>
      <c r="I628" s="45">
        <f>IF(SO[[#This Row],[GST applies?]] = "Yes", (SO[[#This Row],[Value inc. GST]] / 1 + SO[[#This Row],[GST %]]) * SO[[#This Row],[GST %]], 0)</f>
        <v>0</v>
      </c>
      <c r="J628" s="31">
        <f>_xlfn.XLOOKUP(SO[[#This Row],[Customer name]], Customer_master[Customer name], Customer_master[EOM or Net], 0)</f>
        <v>0</v>
      </c>
      <c r="K628" s="31">
        <f>_xlfn.XLOOKUP(SO[[#This Row],[Customer name]], Customer_master[Customer name], Customer_master[Terms days], 0)</f>
        <v>0</v>
      </c>
      <c r="L6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8" s="4"/>
      <c r="N628" s="46">
        <f>IF(SO[[#This Row],[Collection date - override (dd/mm/yyyy)]] &lt;&gt; "", SO[[#This Row],[Collection date - override (dd/mm/yyyy)]], SO[[#This Row],[Due date (dd/mm/yyyy)]])</f>
        <v>0</v>
      </c>
      <c r="O628" s="46">
        <f t="shared" si="9"/>
        <v>52</v>
      </c>
    </row>
    <row r="629" spans="3:15" x14ac:dyDescent="0.25">
      <c r="C629" s="24"/>
      <c r="D629" s="20"/>
      <c r="E629" s="4"/>
      <c r="F629" s="37"/>
      <c r="G629" s="24"/>
      <c r="H629" s="51">
        <f>Assumptions!$D$15</f>
        <v>0.1</v>
      </c>
      <c r="I629" s="45">
        <f>IF(SO[[#This Row],[GST applies?]] = "Yes", (SO[[#This Row],[Value inc. GST]] / 1 + SO[[#This Row],[GST %]]) * SO[[#This Row],[GST %]], 0)</f>
        <v>0</v>
      </c>
      <c r="J629" s="31">
        <f>_xlfn.XLOOKUP(SO[[#This Row],[Customer name]], Customer_master[Customer name], Customer_master[EOM or Net], 0)</f>
        <v>0</v>
      </c>
      <c r="K629" s="31">
        <f>_xlfn.XLOOKUP(SO[[#This Row],[Customer name]], Customer_master[Customer name], Customer_master[Terms days], 0)</f>
        <v>0</v>
      </c>
      <c r="L6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9" s="4"/>
      <c r="N629" s="46">
        <f>IF(SO[[#This Row],[Collection date - override (dd/mm/yyyy)]] &lt;&gt; "", SO[[#This Row],[Collection date - override (dd/mm/yyyy)]], SO[[#This Row],[Due date (dd/mm/yyyy)]])</f>
        <v>0</v>
      </c>
      <c r="O629" s="46">
        <f t="shared" si="9"/>
        <v>52</v>
      </c>
    </row>
    <row r="630" spans="3:15" x14ac:dyDescent="0.25">
      <c r="C630" s="24"/>
      <c r="D630" s="20"/>
      <c r="E630" s="4"/>
      <c r="F630" s="37"/>
      <c r="G630" s="24"/>
      <c r="H630" s="51">
        <f>Assumptions!$D$15</f>
        <v>0.1</v>
      </c>
      <c r="I630" s="45">
        <f>IF(SO[[#This Row],[GST applies?]] = "Yes", (SO[[#This Row],[Value inc. GST]] / 1 + SO[[#This Row],[GST %]]) * SO[[#This Row],[GST %]], 0)</f>
        <v>0</v>
      </c>
      <c r="J630" s="31">
        <f>_xlfn.XLOOKUP(SO[[#This Row],[Customer name]], Customer_master[Customer name], Customer_master[EOM or Net], 0)</f>
        <v>0</v>
      </c>
      <c r="K630" s="31">
        <f>_xlfn.XLOOKUP(SO[[#This Row],[Customer name]], Customer_master[Customer name], Customer_master[Terms days], 0)</f>
        <v>0</v>
      </c>
      <c r="L6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0" s="4"/>
      <c r="N630" s="46">
        <f>IF(SO[[#This Row],[Collection date - override (dd/mm/yyyy)]] &lt;&gt; "", SO[[#This Row],[Collection date - override (dd/mm/yyyy)]], SO[[#This Row],[Due date (dd/mm/yyyy)]])</f>
        <v>0</v>
      </c>
      <c r="O630" s="46">
        <f t="shared" si="9"/>
        <v>52</v>
      </c>
    </row>
    <row r="631" spans="3:15" x14ac:dyDescent="0.25">
      <c r="C631" s="24"/>
      <c r="D631" s="20"/>
      <c r="E631" s="4"/>
      <c r="F631" s="37"/>
      <c r="G631" s="24"/>
      <c r="H631" s="51">
        <f>Assumptions!$D$15</f>
        <v>0.1</v>
      </c>
      <c r="I631" s="45">
        <f>IF(SO[[#This Row],[GST applies?]] = "Yes", (SO[[#This Row],[Value inc. GST]] / 1 + SO[[#This Row],[GST %]]) * SO[[#This Row],[GST %]], 0)</f>
        <v>0</v>
      </c>
      <c r="J631" s="31">
        <f>_xlfn.XLOOKUP(SO[[#This Row],[Customer name]], Customer_master[Customer name], Customer_master[EOM or Net], 0)</f>
        <v>0</v>
      </c>
      <c r="K631" s="31">
        <f>_xlfn.XLOOKUP(SO[[#This Row],[Customer name]], Customer_master[Customer name], Customer_master[Terms days], 0)</f>
        <v>0</v>
      </c>
      <c r="L6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1" s="4"/>
      <c r="N631" s="46">
        <f>IF(SO[[#This Row],[Collection date - override (dd/mm/yyyy)]] &lt;&gt; "", SO[[#This Row],[Collection date - override (dd/mm/yyyy)]], SO[[#This Row],[Due date (dd/mm/yyyy)]])</f>
        <v>0</v>
      </c>
      <c r="O631" s="46">
        <f t="shared" si="9"/>
        <v>52</v>
      </c>
    </row>
    <row r="632" spans="3:15" x14ac:dyDescent="0.25">
      <c r="C632" s="24"/>
      <c r="D632" s="20"/>
      <c r="E632" s="4"/>
      <c r="F632" s="37"/>
      <c r="G632" s="24"/>
      <c r="H632" s="51">
        <f>Assumptions!$D$15</f>
        <v>0.1</v>
      </c>
      <c r="I632" s="45">
        <f>IF(SO[[#This Row],[GST applies?]] = "Yes", (SO[[#This Row],[Value inc. GST]] / 1 + SO[[#This Row],[GST %]]) * SO[[#This Row],[GST %]], 0)</f>
        <v>0</v>
      </c>
      <c r="J632" s="31">
        <f>_xlfn.XLOOKUP(SO[[#This Row],[Customer name]], Customer_master[Customer name], Customer_master[EOM or Net], 0)</f>
        <v>0</v>
      </c>
      <c r="K632" s="31">
        <f>_xlfn.XLOOKUP(SO[[#This Row],[Customer name]], Customer_master[Customer name], Customer_master[Terms days], 0)</f>
        <v>0</v>
      </c>
      <c r="L6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2" s="4"/>
      <c r="N632" s="46">
        <f>IF(SO[[#This Row],[Collection date - override (dd/mm/yyyy)]] &lt;&gt; "", SO[[#This Row],[Collection date - override (dd/mm/yyyy)]], SO[[#This Row],[Due date (dd/mm/yyyy)]])</f>
        <v>0</v>
      </c>
      <c r="O632" s="46">
        <f t="shared" si="9"/>
        <v>52</v>
      </c>
    </row>
    <row r="633" spans="3:15" x14ac:dyDescent="0.25">
      <c r="C633" s="24"/>
      <c r="D633" s="20"/>
      <c r="E633" s="4"/>
      <c r="F633" s="37"/>
      <c r="G633" s="24"/>
      <c r="H633" s="51">
        <f>Assumptions!$D$15</f>
        <v>0.1</v>
      </c>
      <c r="I633" s="45">
        <f>IF(SO[[#This Row],[GST applies?]] = "Yes", (SO[[#This Row],[Value inc. GST]] / 1 + SO[[#This Row],[GST %]]) * SO[[#This Row],[GST %]], 0)</f>
        <v>0</v>
      </c>
      <c r="J633" s="31">
        <f>_xlfn.XLOOKUP(SO[[#This Row],[Customer name]], Customer_master[Customer name], Customer_master[EOM or Net], 0)</f>
        <v>0</v>
      </c>
      <c r="K633" s="31">
        <f>_xlfn.XLOOKUP(SO[[#This Row],[Customer name]], Customer_master[Customer name], Customer_master[Terms days], 0)</f>
        <v>0</v>
      </c>
      <c r="L6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3" s="4"/>
      <c r="N633" s="46">
        <f>IF(SO[[#This Row],[Collection date - override (dd/mm/yyyy)]] &lt;&gt; "", SO[[#This Row],[Collection date - override (dd/mm/yyyy)]], SO[[#This Row],[Due date (dd/mm/yyyy)]])</f>
        <v>0</v>
      </c>
      <c r="O633" s="46">
        <f t="shared" si="9"/>
        <v>52</v>
      </c>
    </row>
    <row r="634" spans="3:15" x14ac:dyDescent="0.25">
      <c r="C634" s="24"/>
      <c r="D634" s="20"/>
      <c r="E634" s="4"/>
      <c r="F634" s="37"/>
      <c r="G634" s="24"/>
      <c r="H634" s="51">
        <f>Assumptions!$D$15</f>
        <v>0.1</v>
      </c>
      <c r="I634" s="45">
        <f>IF(SO[[#This Row],[GST applies?]] = "Yes", (SO[[#This Row],[Value inc. GST]] / 1 + SO[[#This Row],[GST %]]) * SO[[#This Row],[GST %]], 0)</f>
        <v>0</v>
      </c>
      <c r="J634" s="31">
        <f>_xlfn.XLOOKUP(SO[[#This Row],[Customer name]], Customer_master[Customer name], Customer_master[EOM or Net], 0)</f>
        <v>0</v>
      </c>
      <c r="K634" s="31">
        <f>_xlfn.XLOOKUP(SO[[#This Row],[Customer name]], Customer_master[Customer name], Customer_master[Terms days], 0)</f>
        <v>0</v>
      </c>
      <c r="L6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4" s="4"/>
      <c r="N634" s="46">
        <f>IF(SO[[#This Row],[Collection date - override (dd/mm/yyyy)]] &lt;&gt; "", SO[[#This Row],[Collection date - override (dd/mm/yyyy)]], SO[[#This Row],[Due date (dd/mm/yyyy)]])</f>
        <v>0</v>
      </c>
      <c r="O634" s="46">
        <f t="shared" si="9"/>
        <v>52</v>
      </c>
    </row>
    <row r="635" spans="3:15" x14ac:dyDescent="0.25">
      <c r="C635" s="24"/>
      <c r="D635" s="20"/>
      <c r="E635" s="4"/>
      <c r="F635" s="37"/>
      <c r="G635" s="24"/>
      <c r="H635" s="51">
        <f>Assumptions!$D$15</f>
        <v>0.1</v>
      </c>
      <c r="I635" s="45">
        <f>IF(SO[[#This Row],[GST applies?]] = "Yes", (SO[[#This Row],[Value inc. GST]] / 1 + SO[[#This Row],[GST %]]) * SO[[#This Row],[GST %]], 0)</f>
        <v>0</v>
      </c>
      <c r="J635" s="31">
        <f>_xlfn.XLOOKUP(SO[[#This Row],[Customer name]], Customer_master[Customer name], Customer_master[EOM or Net], 0)</f>
        <v>0</v>
      </c>
      <c r="K635" s="31">
        <f>_xlfn.XLOOKUP(SO[[#This Row],[Customer name]], Customer_master[Customer name], Customer_master[Terms days], 0)</f>
        <v>0</v>
      </c>
      <c r="L6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5" s="4"/>
      <c r="N635" s="46">
        <f>IF(SO[[#This Row],[Collection date - override (dd/mm/yyyy)]] &lt;&gt; "", SO[[#This Row],[Collection date - override (dd/mm/yyyy)]], SO[[#This Row],[Due date (dd/mm/yyyy)]])</f>
        <v>0</v>
      </c>
      <c r="O635" s="46">
        <f t="shared" si="9"/>
        <v>52</v>
      </c>
    </row>
    <row r="636" spans="3:15" x14ac:dyDescent="0.25">
      <c r="C636" s="24"/>
      <c r="D636" s="20"/>
      <c r="E636" s="4"/>
      <c r="F636" s="37"/>
      <c r="G636" s="24"/>
      <c r="H636" s="51">
        <f>Assumptions!$D$15</f>
        <v>0.1</v>
      </c>
      <c r="I636" s="45">
        <f>IF(SO[[#This Row],[GST applies?]] = "Yes", (SO[[#This Row],[Value inc. GST]] / 1 + SO[[#This Row],[GST %]]) * SO[[#This Row],[GST %]], 0)</f>
        <v>0</v>
      </c>
      <c r="J636" s="31">
        <f>_xlfn.XLOOKUP(SO[[#This Row],[Customer name]], Customer_master[Customer name], Customer_master[EOM or Net], 0)</f>
        <v>0</v>
      </c>
      <c r="K636" s="31">
        <f>_xlfn.XLOOKUP(SO[[#This Row],[Customer name]], Customer_master[Customer name], Customer_master[Terms days], 0)</f>
        <v>0</v>
      </c>
      <c r="L6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6" s="4"/>
      <c r="N636" s="46">
        <f>IF(SO[[#This Row],[Collection date - override (dd/mm/yyyy)]] &lt;&gt; "", SO[[#This Row],[Collection date - override (dd/mm/yyyy)]], SO[[#This Row],[Due date (dd/mm/yyyy)]])</f>
        <v>0</v>
      </c>
      <c r="O636" s="46">
        <f t="shared" si="9"/>
        <v>52</v>
      </c>
    </row>
    <row r="637" spans="3:15" x14ac:dyDescent="0.25">
      <c r="C637" s="24"/>
      <c r="D637" s="20"/>
      <c r="E637" s="4"/>
      <c r="F637" s="37"/>
      <c r="G637" s="24"/>
      <c r="H637" s="51">
        <f>Assumptions!$D$15</f>
        <v>0.1</v>
      </c>
      <c r="I637" s="45">
        <f>IF(SO[[#This Row],[GST applies?]] = "Yes", (SO[[#This Row],[Value inc. GST]] / 1 + SO[[#This Row],[GST %]]) * SO[[#This Row],[GST %]], 0)</f>
        <v>0</v>
      </c>
      <c r="J637" s="31">
        <f>_xlfn.XLOOKUP(SO[[#This Row],[Customer name]], Customer_master[Customer name], Customer_master[EOM or Net], 0)</f>
        <v>0</v>
      </c>
      <c r="K637" s="31">
        <f>_xlfn.XLOOKUP(SO[[#This Row],[Customer name]], Customer_master[Customer name], Customer_master[Terms days], 0)</f>
        <v>0</v>
      </c>
      <c r="L6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7" s="4"/>
      <c r="N637" s="46">
        <f>IF(SO[[#This Row],[Collection date - override (dd/mm/yyyy)]] &lt;&gt; "", SO[[#This Row],[Collection date - override (dd/mm/yyyy)]], SO[[#This Row],[Due date (dd/mm/yyyy)]])</f>
        <v>0</v>
      </c>
      <c r="O637" s="46">
        <f t="shared" si="9"/>
        <v>52</v>
      </c>
    </row>
    <row r="638" spans="3:15" x14ac:dyDescent="0.25">
      <c r="C638" s="24"/>
      <c r="D638" s="20"/>
      <c r="E638" s="4"/>
      <c r="F638" s="37"/>
      <c r="G638" s="24"/>
      <c r="H638" s="51">
        <f>Assumptions!$D$15</f>
        <v>0.1</v>
      </c>
      <c r="I638" s="45">
        <f>IF(SO[[#This Row],[GST applies?]] = "Yes", (SO[[#This Row],[Value inc. GST]] / 1 + SO[[#This Row],[GST %]]) * SO[[#This Row],[GST %]], 0)</f>
        <v>0</v>
      </c>
      <c r="J638" s="31">
        <f>_xlfn.XLOOKUP(SO[[#This Row],[Customer name]], Customer_master[Customer name], Customer_master[EOM or Net], 0)</f>
        <v>0</v>
      </c>
      <c r="K638" s="31">
        <f>_xlfn.XLOOKUP(SO[[#This Row],[Customer name]], Customer_master[Customer name], Customer_master[Terms days], 0)</f>
        <v>0</v>
      </c>
      <c r="L6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8" s="4"/>
      <c r="N638" s="46">
        <f>IF(SO[[#This Row],[Collection date - override (dd/mm/yyyy)]] &lt;&gt; "", SO[[#This Row],[Collection date - override (dd/mm/yyyy)]], SO[[#This Row],[Due date (dd/mm/yyyy)]])</f>
        <v>0</v>
      </c>
      <c r="O638" s="46">
        <f t="shared" si="9"/>
        <v>52</v>
      </c>
    </row>
    <row r="639" spans="3:15" x14ac:dyDescent="0.25">
      <c r="C639" s="24"/>
      <c r="D639" s="20"/>
      <c r="E639" s="4"/>
      <c r="F639" s="37"/>
      <c r="G639" s="24"/>
      <c r="H639" s="51">
        <f>Assumptions!$D$15</f>
        <v>0.1</v>
      </c>
      <c r="I639" s="45">
        <f>IF(SO[[#This Row],[GST applies?]] = "Yes", (SO[[#This Row],[Value inc. GST]] / 1 + SO[[#This Row],[GST %]]) * SO[[#This Row],[GST %]], 0)</f>
        <v>0</v>
      </c>
      <c r="J639" s="31">
        <f>_xlfn.XLOOKUP(SO[[#This Row],[Customer name]], Customer_master[Customer name], Customer_master[EOM or Net], 0)</f>
        <v>0</v>
      </c>
      <c r="K639" s="31">
        <f>_xlfn.XLOOKUP(SO[[#This Row],[Customer name]], Customer_master[Customer name], Customer_master[Terms days], 0)</f>
        <v>0</v>
      </c>
      <c r="L6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9" s="4"/>
      <c r="N639" s="46">
        <f>IF(SO[[#This Row],[Collection date - override (dd/mm/yyyy)]] &lt;&gt; "", SO[[#This Row],[Collection date - override (dd/mm/yyyy)]], SO[[#This Row],[Due date (dd/mm/yyyy)]])</f>
        <v>0</v>
      </c>
      <c r="O639" s="46">
        <f t="shared" si="9"/>
        <v>52</v>
      </c>
    </row>
    <row r="640" spans="3:15" x14ac:dyDescent="0.25">
      <c r="C640" s="24"/>
      <c r="D640" s="20"/>
      <c r="E640" s="4"/>
      <c r="F640" s="37"/>
      <c r="G640" s="24"/>
      <c r="H640" s="51">
        <f>Assumptions!$D$15</f>
        <v>0.1</v>
      </c>
      <c r="I640" s="45">
        <f>IF(SO[[#This Row],[GST applies?]] = "Yes", (SO[[#This Row],[Value inc. GST]] / 1 + SO[[#This Row],[GST %]]) * SO[[#This Row],[GST %]], 0)</f>
        <v>0</v>
      </c>
      <c r="J640" s="31">
        <f>_xlfn.XLOOKUP(SO[[#This Row],[Customer name]], Customer_master[Customer name], Customer_master[EOM or Net], 0)</f>
        <v>0</v>
      </c>
      <c r="K640" s="31">
        <f>_xlfn.XLOOKUP(SO[[#This Row],[Customer name]], Customer_master[Customer name], Customer_master[Terms days], 0)</f>
        <v>0</v>
      </c>
      <c r="L6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0" s="4"/>
      <c r="N640" s="46">
        <f>IF(SO[[#This Row],[Collection date - override (dd/mm/yyyy)]] &lt;&gt; "", SO[[#This Row],[Collection date - override (dd/mm/yyyy)]], SO[[#This Row],[Due date (dd/mm/yyyy)]])</f>
        <v>0</v>
      </c>
      <c r="O640" s="46">
        <f t="shared" si="9"/>
        <v>52</v>
      </c>
    </row>
    <row r="641" spans="3:15" x14ac:dyDescent="0.25">
      <c r="C641" s="24"/>
      <c r="D641" s="20"/>
      <c r="E641" s="4"/>
      <c r="F641" s="37"/>
      <c r="G641" s="24"/>
      <c r="H641" s="51">
        <f>Assumptions!$D$15</f>
        <v>0.1</v>
      </c>
      <c r="I641" s="45">
        <f>IF(SO[[#This Row],[GST applies?]] = "Yes", (SO[[#This Row],[Value inc. GST]] / 1 + SO[[#This Row],[GST %]]) * SO[[#This Row],[GST %]], 0)</f>
        <v>0</v>
      </c>
      <c r="J641" s="31">
        <f>_xlfn.XLOOKUP(SO[[#This Row],[Customer name]], Customer_master[Customer name], Customer_master[EOM or Net], 0)</f>
        <v>0</v>
      </c>
      <c r="K641" s="31">
        <f>_xlfn.XLOOKUP(SO[[#This Row],[Customer name]], Customer_master[Customer name], Customer_master[Terms days], 0)</f>
        <v>0</v>
      </c>
      <c r="L6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1" s="4"/>
      <c r="N641" s="46">
        <f>IF(SO[[#This Row],[Collection date - override (dd/mm/yyyy)]] &lt;&gt; "", SO[[#This Row],[Collection date - override (dd/mm/yyyy)]], SO[[#This Row],[Due date (dd/mm/yyyy)]])</f>
        <v>0</v>
      </c>
      <c r="O641" s="46">
        <f t="shared" si="9"/>
        <v>52</v>
      </c>
    </row>
    <row r="642" spans="3:15" x14ac:dyDescent="0.25">
      <c r="C642" s="24"/>
      <c r="D642" s="20"/>
      <c r="E642" s="4"/>
      <c r="F642" s="37"/>
      <c r="G642" s="24"/>
      <c r="H642" s="51">
        <f>Assumptions!$D$15</f>
        <v>0.1</v>
      </c>
      <c r="I642" s="45">
        <f>IF(SO[[#This Row],[GST applies?]] = "Yes", (SO[[#This Row],[Value inc. GST]] / 1 + SO[[#This Row],[GST %]]) * SO[[#This Row],[GST %]], 0)</f>
        <v>0</v>
      </c>
      <c r="J642" s="31">
        <f>_xlfn.XLOOKUP(SO[[#This Row],[Customer name]], Customer_master[Customer name], Customer_master[EOM or Net], 0)</f>
        <v>0</v>
      </c>
      <c r="K642" s="31">
        <f>_xlfn.XLOOKUP(SO[[#This Row],[Customer name]], Customer_master[Customer name], Customer_master[Terms days], 0)</f>
        <v>0</v>
      </c>
      <c r="L6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2" s="4"/>
      <c r="N642" s="46">
        <f>IF(SO[[#This Row],[Collection date - override (dd/mm/yyyy)]] &lt;&gt; "", SO[[#This Row],[Collection date - override (dd/mm/yyyy)]], SO[[#This Row],[Due date (dd/mm/yyyy)]])</f>
        <v>0</v>
      </c>
      <c r="O642" s="46">
        <f t="shared" si="9"/>
        <v>52</v>
      </c>
    </row>
    <row r="643" spans="3:15" x14ac:dyDescent="0.25">
      <c r="C643" s="24"/>
      <c r="D643" s="20"/>
      <c r="E643" s="4"/>
      <c r="F643" s="37"/>
      <c r="G643" s="24"/>
      <c r="H643" s="51">
        <f>Assumptions!$D$15</f>
        <v>0.1</v>
      </c>
      <c r="I643" s="45">
        <f>IF(SO[[#This Row],[GST applies?]] = "Yes", (SO[[#This Row],[Value inc. GST]] / 1 + SO[[#This Row],[GST %]]) * SO[[#This Row],[GST %]], 0)</f>
        <v>0</v>
      </c>
      <c r="J643" s="31">
        <f>_xlfn.XLOOKUP(SO[[#This Row],[Customer name]], Customer_master[Customer name], Customer_master[EOM or Net], 0)</f>
        <v>0</v>
      </c>
      <c r="K643" s="31">
        <f>_xlfn.XLOOKUP(SO[[#This Row],[Customer name]], Customer_master[Customer name], Customer_master[Terms days], 0)</f>
        <v>0</v>
      </c>
      <c r="L6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3" s="4"/>
      <c r="N643" s="46">
        <f>IF(SO[[#This Row],[Collection date - override (dd/mm/yyyy)]] &lt;&gt; "", SO[[#This Row],[Collection date - override (dd/mm/yyyy)]], SO[[#This Row],[Due date (dd/mm/yyyy)]])</f>
        <v>0</v>
      </c>
      <c r="O643" s="46">
        <f t="shared" si="9"/>
        <v>52</v>
      </c>
    </row>
    <row r="644" spans="3:15" x14ac:dyDescent="0.25">
      <c r="C644" s="24"/>
      <c r="D644" s="20"/>
      <c r="E644" s="4"/>
      <c r="F644" s="37"/>
      <c r="G644" s="24"/>
      <c r="H644" s="51">
        <f>Assumptions!$D$15</f>
        <v>0.1</v>
      </c>
      <c r="I644" s="45">
        <f>IF(SO[[#This Row],[GST applies?]] = "Yes", (SO[[#This Row],[Value inc. GST]] / 1 + SO[[#This Row],[GST %]]) * SO[[#This Row],[GST %]], 0)</f>
        <v>0</v>
      </c>
      <c r="J644" s="31">
        <f>_xlfn.XLOOKUP(SO[[#This Row],[Customer name]], Customer_master[Customer name], Customer_master[EOM or Net], 0)</f>
        <v>0</v>
      </c>
      <c r="K644" s="31">
        <f>_xlfn.XLOOKUP(SO[[#This Row],[Customer name]], Customer_master[Customer name], Customer_master[Terms days], 0)</f>
        <v>0</v>
      </c>
      <c r="L6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4" s="4"/>
      <c r="N644" s="46">
        <f>IF(SO[[#This Row],[Collection date - override (dd/mm/yyyy)]] &lt;&gt; "", SO[[#This Row],[Collection date - override (dd/mm/yyyy)]], SO[[#This Row],[Due date (dd/mm/yyyy)]])</f>
        <v>0</v>
      </c>
      <c r="O644" s="46">
        <f t="shared" si="9"/>
        <v>52</v>
      </c>
    </row>
    <row r="645" spans="3:15" x14ac:dyDescent="0.25">
      <c r="C645" s="24"/>
      <c r="D645" s="20"/>
      <c r="E645" s="4"/>
      <c r="F645" s="37"/>
      <c r="G645" s="24"/>
      <c r="H645" s="51">
        <f>Assumptions!$D$15</f>
        <v>0.1</v>
      </c>
      <c r="I645" s="45">
        <f>IF(SO[[#This Row],[GST applies?]] = "Yes", (SO[[#This Row],[Value inc. GST]] / 1 + SO[[#This Row],[GST %]]) * SO[[#This Row],[GST %]], 0)</f>
        <v>0</v>
      </c>
      <c r="J645" s="31">
        <f>_xlfn.XLOOKUP(SO[[#This Row],[Customer name]], Customer_master[Customer name], Customer_master[EOM or Net], 0)</f>
        <v>0</v>
      </c>
      <c r="K645" s="31">
        <f>_xlfn.XLOOKUP(SO[[#This Row],[Customer name]], Customer_master[Customer name], Customer_master[Terms days], 0)</f>
        <v>0</v>
      </c>
      <c r="L6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5" s="4"/>
      <c r="N645" s="46">
        <f>IF(SO[[#This Row],[Collection date - override (dd/mm/yyyy)]] &lt;&gt; "", SO[[#This Row],[Collection date - override (dd/mm/yyyy)]], SO[[#This Row],[Due date (dd/mm/yyyy)]])</f>
        <v>0</v>
      </c>
      <c r="O645" s="46">
        <f t="shared" si="9"/>
        <v>52</v>
      </c>
    </row>
    <row r="646" spans="3:15" x14ac:dyDescent="0.25">
      <c r="C646" s="24"/>
      <c r="D646" s="20"/>
      <c r="E646" s="4"/>
      <c r="F646" s="37"/>
      <c r="G646" s="24"/>
      <c r="H646" s="51">
        <f>Assumptions!$D$15</f>
        <v>0.1</v>
      </c>
      <c r="I646" s="45">
        <f>IF(SO[[#This Row],[GST applies?]] = "Yes", (SO[[#This Row],[Value inc. GST]] / 1 + SO[[#This Row],[GST %]]) * SO[[#This Row],[GST %]], 0)</f>
        <v>0</v>
      </c>
      <c r="J646" s="31">
        <f>_xlfn.XLOOKUP(SO[[#This Row],[Customer name]], Customer_master[Customer name], Customer_master[EOM or Net], 0)</f>
        <v>0</v>
      </c>
      <c r="K646" s="31">
        <f>_xlfn.XLOOKUP(SO[[#This Row],[Customer name]], Customer_master[Customer name], Customer_master[Terms days], 0)</f>
        <v>0</v>
      </c>
      <c r="L6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6" s="4"/>
      <c r="N646" s="46">
        <f>IF(SO[[#This Row],[Collection date - override (dd/mm/yyyy)]] &lt;&gt; "", SO[[#This Row],[Collection date - override (dd/mm/yyyy)]], SO[[#This Row],[Due date (dd/mm/yyyy)]])</f>
        <v>0</v>
      </c>
      <c r="O646" s="46">
        <f t="shared" si="9"/>
        <v>52</v>
      </c>
    </row>
    <row r="647" spans="3:15" x14ac:dyDescent="0.25">
      <c r="C647" s="24"/>
      <c r="D647" s="20"/>
      <c r="E647" s="4"/>
      <c r="F647" s="37"/>
      <c r="G647" s="24"/>
      <c r="H647" s="51">
        <f>Assumptions!$D$15</f>
        <v>0.1</v>
      </c>
      <c r="I647" s="45">
        <f>IF(SO[[#This Row],[GST applies?]] = "Yes", (SO[[#This Row],[Value inc. GST]] / 1 + SO[[#This Row],[GST %]]) * SO[[#This Row],[GST %]], 0)</f>
        <v>0</v>
      </c>
      <c r="J647" s="31">
        <f>_xlfn.XLOOKUP(SO[[#This Row],[Customer name]], Customer_master[Customer name], Customer_master[EOM or Net], 0)</f>
        <v>0</v>
      </c>
      <c r="K647" s="31">
        <f>_xlfn.XLOOKUP(SO[[#This Row],[Customer name]], Customer_master[Customer name], Customer_master[Terms days], 0)</f>
        <v>0</v>
      </c>
      <c r="L6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7" s="4"/>
      <c r="N647" s="46">
        <f>IF(SO[[#This Row],[Collection date - override (dd/mm/yyyy)]] &lt;&gt; "", SO[[#This Row],[Collection date - override (dd/mm/yyyy)]], SO[[#This Row],[Due date (dd/mm/yyyy)]])</f>
        <v>0</v>
      </c>
      <c r="O647" s="46">
        <f t="shared" si="9"/>
        <v>52</v>
      </c>
    </row>
    <row r="648" spans="3:15" x14ac:dyDescent="0.25">
      <c r="C648" s="24"/>
      <c r="D648" s="20"/>
      <c r="E648" s="4"/>
      <c r="F648" s="37"/>
      <c r="G648" s="24"/>
      <c r="H648" s="51">
        <f>Assumptions!$D$15</f>
        <v>0.1</v>
      </c>
      <c r="I648" s="45">
        <f>IF(SO[[#This Row],[GST applies?]] = "Yes", (SO[[#This Row],[Value inc. GST]] / 1 + SO[[#This Row],[GST %]]) * SO[[#This Row],[GST %]], 0)</f>
        <v>0</v>
      </c>
      <c r="J648" s="31">
        <f>_xlfn.XLOOKUP(SO[[#This Row],[Customer name]], Customer_master[Customer name], Customer_master[EOM or Net], 0)</f>
        <v>0</v>
      </c>
      <c r="K648" s="31">
        <f>_xlfn.XLOOKUP(SO[[#This Row],[Customer name]], Customer_master[Customer name], Customer_master[Terms days], 0)</f>
        <v>0</v>
      </c>
      <c r="L6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8" s="4"/>
      <c r="N648" s="46">
        <f>IF(SO[[#This Row],[Collection date - override (dd/mm/yyyy)]] &lt;&gt; "", SO[[#This Row],[Collection date - override (dd/mm/yyyy)]], SO[[#This Row],[Due date (dd/mm/yyyy)]])</f>
        <v>0</v>
      </c>
      <c r="O648" s="46">
        <f t="shared" si="9"/>
        <v>52</v>
      </c>
    </row>
    <row r="649" spans="3:15" x14ac:dyDescent="0.25">
      <c r="C649" s="24"/>
      <c r="D649" s="20"/>
      <c r="E649" s="4"/>
      <c r="F649" s="37"/>
      <c r="G649" s="24"/>
      <c r="H649" s="51">
        <f>Assumptions!$D$15</f>
        <v>0.1</v>
      </c>
      <c r="I649" s="45">
        <f>IF(SO[[#This Row],[GST applies?]] = "Yes", (SO[[#This Row],[Value inc. GST]] / 1 + SO[[#This Row],[GST %]]) * SO[[#This Row],[GST %]], 0)</f>
        <v>0</v>
      </c>
      <c r="J649" s="31">
        <f>_xlfn.XLOOKUP(SO[[#This Row],[Customer name]], Customer_master[Customer name], Customer_master[EOM or Net], 0)</f>
        <v>0</v>
      </c>
      <c r="K649" s="31">
        <f>_xlfn.XLOOKUP(SO[[#This Row],[Customer name]], Customer_master[Customer name], Customer_master[Terms days], 0)</f>
        <v>0</v>
      </c>
      <c r="L6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9" s="4"/>
      <c r="N649" s="46">
        <f>IF(SO[[#This Row],[Collection date - override (dd/mm/yyyy)]] &lt;&gt; "", SO[[#This Row],[Collection date - override (dd/mm/yyyy)]], SO[[#This Row],[Due date (dd/mm/yyyy)]])</f>
        <v>0</v>
      </c>
      <c r="O649" s="46">
        <f t="shared" ref="O649:O712" si="10">IF(GST_Freq="Monthly",
    DATE(YEAR(E649), MONTH(E649) + 1, 21),
    IF(GST_Freq="Quarterly",
        IF(MOD(MONTH(E649) + 2 - MOD(MOD(MONTH(E649) - GST_First_Month, 12), 3), 12) = 0,
            DATE(YEAR(E649), MONTH(E649) + 4 - MOD(MOD(MONTH(E649) - GST_First_Month, 12), 3), 28),
            DATE(YEAR(E649), MONTH(E649) + 3 - MOD(MOD(MONTH(E649) - GST_First_Month, 12), 3), 28)
        ),
        "Invalid frequency"
    )
)</f>
        <v>52</v>
      </c>
    </row>
    <row r="650" spans="3:15" x14ac:dyDescent="0.25">
      <c r="C650" s="24"/>
      <c r="D650" s="20"/>
      <c r="E650" s="4"/>
      <c r="F650" s="37"/>
      <c r="G650" s="24"/>
      <c r="H650" s="51">
        <f>Assumptions!$D$15</f>
        <v>0.1</v>
      </c>
      <c r="I650" s="45">
        <f>IF(SO[[#This Row],[GST applies?]] = "Yes", (SO[[#This Row],[Value inc. GST]] / 1 + SO[[#This Row],[GST %]]) * SO[[#This Row],[GST %]], 0)</f>
        <v>0</v>
      </c>
      <c r="J650" s="31">
        <f>_xlfn.XLOOKUP(SO[[#This Row],[Customer name]], Customer_master[Customer name], Customer_master[EOM or Net], 0)</f>
        <v>0</v>
      </c>
      <c r="K650" s="31">
        <f>_xlfn.XLOOKUP(SO[[#This Row],[Customer name]], Customer_master[Customer name], Customer_master[Terms days], 0)</f>
        <v>0</v>
      </c>
      <c r="L6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0" s="4"/>
      <c r="N650" s="46">
        <f>IF(SO[[#This Row],[Collection date - override (dd/mm/yyyy)]] &lt;&gt; "", SO[[#This Row],[Collection date - override (dd/mm/yyyy)]], SO[[#This Row],[Due date (dd/mm/yyyy)]])</f>
        <v>0</v>
      </c>
      <c r="O650" s="46">
        <f t="shared" si="10"/>
        <v>52</v>
      </c>
    </row>
    <row r="651" spans="3:15" x14ac:dyDescent="0.25">
      <c r="C651" s="24"/>
      <c r="D651" s="20"/>
      <c r="E651" s="4"/>
      <c r="F651" s="37"/>
      <c r="G651" s="24"/>
      <c r="H651" s="51">
        <f>Assumptions!$D$15</f>
        <v>0.1</v>
      </c>
      <c r="I651" s="45">
        <f>IF(SO[[#This Row],[GST applies?]] = "Yes", (SO[[#This Row],[Value inc. GST]] / 1 + SO[[#This Row],[GST %]]) * SO[[#This Row],[GST %]], 0)</f>
        <v>0</v>
      </c>
      <c r="J651" s="31">
        <f>_xlfn.XLOOKUP(SO[[#This Row],[Customer name]], Customer_master[Customer name], Customer_master[EOM or Net], 0)</f>
        <v>0</v>
      </c>
      <c r="K651" s="31">
        <f>_xlfn.XLOOKUP(SO[[#This Row],[Customer name]], Customer_master[Customer name], Customer_master[Terms days], 0)</f>
        <v>0</v>
      </c>
      <c r="L6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1" s="4"/>
      <c r="N651" s="46">
        <f>IF(SO[[#This Row],[Collection date - override (dd/mm/yyyy)]] &lt;&gt; "", SO[[#This Row],[Collection date - override (dd/mm/yyyy)]], SO[[#This Row],[Due date (dd/mm/yyyy)]])</f>
        <v>0</v>
      </c>
      <c r="O651" s="46">
        <f t="shared" si="10"/>
        <v>52</v>
      </c>
    </row>
    <row r="652" spans="3:15" x14ac:dyDescent="0.25">
      <c r="C652" s="24"/>
      <c r="D652" s="20"/>
      <c r="E652" s="4"/>
      <c r="F652" s="37"/>
      <c r="G652" s="24"/>
      <c r="H652" s="51">
        <f>Assumptions!$D$15</f>
        <v>0.1</v>
      </c>
      <c r="I652" s="45">
        <f>IF(SO[[#This Row],[GST applies?]] = "Yes", (SO[[#This Row],[Value inc. GST]] / 1 + SO[[#This Row],[GST %]]) * SO[[#This Row],[GST %]], 0)</f>
        <v>0</v>
      </c>
      <c r="J652" s="31">
        <f>_xlfn.XLOOKUP(SO[[#This Row],[Customer name]], Customer_master[Customer name], Customer_master[EOM or Net], 0)</f>
        <v>0</v>
      </c>
      <c r="K652" s="31">
        <f>_xlfn.XLOOKUP(SO[[#This Row],[Customer name]], Customer_master[Customer name], Customer_master[Terms days], 0)</f>
        <v>0</v>
      </c>
      <c r="L6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2" s="4"/>
      <c r="N652" s="46">
        <f>IF(SO[[#This Row],[Collection date - override (dd/mm/yyyy)]] &lt;&gt; "", SO[[#This Row],[Collection date - override (dd/mm/yyyy)]], SO[[#This Row],[Due date (dd/mm/yyyy)]])</f>
        <v>0</v>
      </c>
      <c r="O652" s="46">
        <f t="shared" si="10"/>
        <v>52</v>
      </c>
    </row>
    <row r="653" spans="3:15" x14ac:dyDescent="0.25">
      <c r="C653" s="24"/>
      <c r="D653" s="20"/>
      <c r="E653" s="4"/>
      <c r="F653" s="37"/>
      <c r="G653" s="24"/>
      <c r="H653" s="51">
        <f>Assumptions!$D$15</f>
        <v>0.1</v>
      </c>
      <c r="I653" s="45">
        <f>IF(SO[[#This Row],[GST applies?]] = "Yes", (SO[[#This Row],[Value inc. GST]] / 1 + SO[[#This Row],[GST %]]) * SO[[#This Row],[GST %]], 0)</f>
        <v>0</v>
      </c>
      <c r="J653" s="31">
        <f>_xlfn.XLOOKUP(SO[[#This Row],[Customer name]], Customer_master[Customer name], Customer_master[EOM or Net], 0)</f>
        <v>0</v>
      </c>
      <c r="K653" s="31">
        <f>_xlfn.XLOOKUP(SO[[#This Row],[Customer name]], Customer_master[Customer name], Customer_master[Terms days], 0)</f>
        <v>0</v>
      </c>
      <c r="L6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3" s="4"/>
      <c r="N653" s="46">
        <f>IF(SO[[#This Row],[Collection date - override (dd/mm/yyyy)]] &lt;&gt; "", SO[[#This Row],[Collection date - override (dd/mm/yyyy)]], SO[[#This Row],[Due date (dd/mm/yyyy)]])</f>
        <v>0</v>
      </c>
      <c r="O653" s="46">
        <f t="shared" si="10"/>
        <v>52</v>
      </c>
    </row>
    <row r="654" spans="3:15" x14ac:dyDescent="0.25">
      <c r="C654" s="24"/>
      <c r="D654" s="20"/>
      <c r="E654" s="4"/>
      <c r="F654" s="37"/>
      <c r="G654" s="24"/>
      <c r="H654" s="51">
        <f>Assumptions!$D$15</f>
        <v>0.1</v>
      </c>
      <c r="I654" s="45">
        <f>IF(SO[[#This Row],[GST applies?]] = "Yes", (SO[[#This Row],[Value inc. GST]] / 1 + SO[[#This Row],[GST %]]) * SO[[#This Row],[GST %]], 0)</f>
        <v>0</v>
      </c>
      <c r="J654" s="31">
        <f>_xlfn.XLOOKUP(SO[[#This Row],[Customer name]], Customer_master[Customer name], Customer_master[EOM or Net], 0)</f>
        <v>0</v>
      </c>
      <c r="K654" s="31">
        <f>_xlfn.XLOOKUP(SO[[#This Row],[Customer name]], Customer_master[Customer name], Customer_master[Terms days], 0)</f>
        <v>0</v>
      </c>
      <c r="L6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4" s="4"/>
      <c r="N654" s="46">
        <f>IF(SO[[#This Row],[Collection date - override (dd/mm/yyyy)]] &lt;&gt; "", SO[[#This Row],[Collection date - override (dd/mm/yyyy)]], SO[[#This Row],[Due date (dd/mm/yyyy)]])</f>
        <v>0</v>
      </c>
      <c r="O654" s="46">
        <f t="shared" si="10"/>
        <v>52</v>
      </c>
    </row>
    <row r="655" spans="3:15" x14ac:dyDescent="0.25">
      <c r="C655" s="24"/>
      <c r="D655" s="20"/>
      <c r="E655" s="4"/>
      <c r="F655" s="37"/>
      <c r="G655" s="24"/>
      <c r="H655" s="51">
        <f>Assumptions!$D$15</f>
        <v>0.1</v>
      </c>
      <c r="I655" s="45">
        <f>IF(SO[[#This Row],[GST applies?]] = "Yes", (SO[[#This Row],[Value inc. GST]] / 1 + SO[[#This Row],[GST %]]) * SO[[#This Row],[GST %]], 0)</f>
        <v>0</v>
      </c>
      <c r="J655" s="31">
        <f>_xlfn.XLOOKUP(SO[[#This Row],[Customer name]], Customer_master[Customer name], Customer_master[EOM or Net], 0)</f>
        <v>0</v>
      </c>
      <c r="K655" s="31">
        <f>_xlfn.XLOOKUP(SO[[#This Row],[Customer name]], Customer_master[Customer name], Customer_master[Terms days], 0)</f>
        <v>0</v>
      </c>
      <c r="L6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5" s="4"/>
      <c r="N655" s="46">
        <f>IF(SO[[#This Row],[Collection date - override (dd/mm/yyyy)]] &lt;&gt; "", SO[[#This Row],[Collection date - override (dd/mm/yyyy)]], SO[[#This Row],[Due date (dd/mm/yyyy)]])</f>
        <v>0</v>
      </c>
      <c r="O655" s="46">
        <f t="shared" si="10"/>
        <v>52</v>
      </c>
    </row>
    <row r="656" spans="3:15" x14ac:dyDescent="0.25">
      <c r="C656" s="24"/>
      <c r="D656" s="20"/>
      <c r="E656" s="4"/>
      <c r="F656" s="37"/>
      <c r="G656" s="24"/>
      <c r="H656" s="51">
        <f>Assumptions!$D$15</f>
        <v>0.1</v>
      </c>
      <c r="I656" s="45">
        <f>IF(SO[[#This Row],[GST applies?]] = "Yes", (SO[[#This Row],[Value inc. GST]] / 1 + SO[[#This Row],[GST %]]) * SO[[#This Row],[GST %]], 0)</f>
        <v>0</v>
      </c>
      <c r="J656" s="31">
        <f>_xlfn.XLOOKUP(SO[[#This Row],[Customer name]], Customer_master[Customer name], Customer_master[EOM or Net], 0)</f>
        <v>0</v>
      </c>
      <c r="K656" s="31">
        <f>_xlfn.XLOOKUP(SO[[#This Row],[Customer name]], Customer_master[Customer name], Customer_master[Terms days], 0)</f>
        <v>0</v>
      </c>
      <c r="L6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6" s="4"/>
      <c r="N656" s="46">
        <f>IF(SO[[#This Row],[Collection date - override (dd/mm/yyyy)]] &lt;&gt; "", SO[[#This Row],[Collection date - override (dd/mm/yyyy)]], SO[[#This Row],[Due date (dd/mm/yyyy)]])</f>
        <v>0</v>
      </c>
      <c r="O656" s="46">
        <f t="shared" si="10"/>
        <v>52</v>
      </c>
    </row>
    <row r="657" spans="3:15" x14ac:dyDescent="0.25">
      <c r="C657" s="24"/>
      <c r="D657" s="20"/>
      <c r="E657" s="4"/>
      <c r="F657" s="37"/>
      <c r="G657" s="24"/>
      <c r="H657" s="51">
        <f>Assumptions!$D$15</f>
        <v>0.1</v>
      </c>
      <c r="I657" s="45">
        <f>IF(SO[[#This Row],[GST applies?]] = "Yes", (SO[[#This Row],[Value inc. GST]] / 1 + SO[[#This Row],[GST %]]) * SO[[#This Row],[GST %]], 0)</f>
        <v>0</v>
      </c>
      <c r="J657" s="31">
        <f>_xlfn.XLOOKUP(SO[[#This Row],[Customer name]], Customer_master[Customer name], Customer_master[EOM or Net], 0)</f>
        <v>0</v>
      </c>
      <c r="K657" s="31">
        <f>_xlfn.XLOOKUP(SO[[#This Row],[Customer name]], Customer_master[Customer name], Customer_master[Terms days], 0)</f>
        <v>0</v>
      </c>
      <c r="L6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7" s="4"/>
      <c r="N657" s="46">
        <f>IF(SO[[#This Row],[Collection date - override (dd/mm/yyyy)]] &lt;&gt; "", SO[[#This Row],[Collection date - override (dd/mm/yyyy)]], SO[[#This Row],[Due date (dd/mm/yyyy)]])</f>
        <v>0</v>
      </c>
      <c r="O657" s="46">
        <f t="shared" si="10"/>
        <v>52</v>
      </c>
    </row>
    <row r="658" spans="3:15" x14ac:dyDescent="0.25">
      <c r="C658" s="24"/>
      <c r="D658" s="20"/>
      <c r="E658" s="4"/>
      <c r="F658" s="37"/>
      <c r="G658" s="24"/>
      <c r="H658" s="51">
        <f>Assumptions!$D$15</f>
        <v>0.1</v>
      </c>
      <c r="I658" s="45">
        <f>IF(SO[[#This Row],[GST applies?]] = "Yes", (SO[[#This Row],[Value inc. GST]] / 1 + SO[[#This Row],[GST %]]) * SO[[#This Row],[GST %]], 0)</f>
        <v>0</v>
      </c>
      <c r="J658" s="31">
        <f>_xlfn.XLOOKUP(SO[[#This Row],[Customer name]], Customer_master[Customer name], Customer_master[EOM or Net], 0)</f>
        <v>0</v>
      </c>
      <c r="K658" s="31">
        <f>_xlfn.XLOOKUP(SO[[#This Row],[Customer name]], Customer_master[Customer name], Customer_master[Terms days], 0)</f>
        <v>0</v>
      </c>
      <c r="L6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8" s="4"/>
      <c r="N658" s="46">
        <f>IF(SO[[#This Row],[Collection date - override (dd/mm/yyyy)]] &lt;&gt; "", SO[[#This Row],[Collection date - override (dd/mm/yyyy)]], SO[[#This Row],[Due date (dd/mm/yyyy)]])</f>
        <v>0</v>
      </c>
      <c r="O658" s="46">
        <f t="shared" si="10"/>
        <v>52</v>
      </c>
    </row>
    <row r="659" spans="3:15" x14ac:dyDescent="0.25">
      <c r="C659" s="24"/>
      <c r="D659" s="20"/>
      <c r="E659" s="4"/>
      <c r="F659" s="37"/>
      <c r="G659" s="24"/>
      <c r="H659" s="51">
        <f>Assumptions!$D$15</f>
        <v>0.1</v>
      </c>
      <c r="I659" s="45">
        <f>IF(SO[[#This Row],[GST applies?]] = "Yes", (SO[[#This Row],[Value inc. GST]] / 1 + SO[[#This Row],[GST %]]) * SO[[#This Row],[GST %]], 0)</f>
        <v>0</v>
      </c>
      <c r="J659" s="31">
        <f>_xlfn.XLOOKUP(SO[[#This Row],[Customer name]], Customer_master[Customer name], Customer_master[EOM or Net], 0)</f>
        <v>0</v>
      </c>
      <c r="K659" s="31">
        <f>_xlfn.XLOOKUP(SO[[#This Row],[Customer name]], Customer_master[Customer name], Customer_master[Terms days], 0)</f>
        <v>0</v>
      </c>
      <c r="L6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9" s="4"/>
      <c r="N659" s="46">
        <f>IF(SO[[#This Row],[Collection date - override (dd/mm/yyyy)]] &lt;&gt; "", SO[[#This Row],[Collection date - override (dd/mm/yyyy)]], SO[[#This Row],[Due date (dd/mm/yyyy)]])</f>
        <v>0</v>
      </c>
      <c r="O659" s="46">
        <f t="shared" si="10"/>
        <v>52</v>
      </c>
    </row>
    <row r="660" spans="3:15" x14ac:dyDescent="0.25">
      <c r="C660" s="24"/>
      <c r="D660" s="20"/>
      <c r="E660" s="4"/>
      <c r="F660" s="37"/>
      <c r="G660" s="24"/>
      <c r="H660" s="51">
        <f>Assumptions!$D$15</f>
        <v>0.1</v>
      </c>
      <c r="I660" s="45">
        <f>IF(SO[[#This Row],[GST applies?]] = "Yes", (SO[[#This Row],[Value inc. GST]] / 1 + SO[[#This Row],[GST %]]) * SO[[#This Row],[GST %]], 0)</f>
        <v>0</v>
      </c>
      <c r="J660" s="31">
        <f>_xlfn.XLOOKUP(SO[[#This Row],[Customer name]], Customer_master[Customer name], Customer_master[EOM or Net], 0)</f>
        <v>0</v>
      </c>
      <c r="K660" s="31">
        <f>_xlfn.XLOOKUP(SO[[#This Row],[Customer name]], Customer_master[Customer name], Customer_master[Terms days], 0)</f>
        <v>0</v>
      </c>
      <c r="L6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0" s="4"/>
      <c r="N660" s="46">
        <f>IF(SO[[#This Row],[Collection date - override (dd/mm/yyyy)]] &lt;&gt; "", SO[[#This Row],[Collection date - override (dd/mm/yyyy)]], SO[[#This Row],[Due date (dd/mm/yyyy)]])</f>
        <v>0</v>
      </c>
      <c r="O660" s="46">
        <f t="shared" si="10"/>
        <v>52</v>
      </c>
    </row>
    <row r="661" spans="3:15" x14ac:dyDescent="0.25">
      <c r="C661" s="24"/>
      <c r="D661" s="20"/>
      <c r="E661" s="4"/>
      <c r="F661" s="37"/>
      <c r="G661" s="24"/>
      <c r="H661" s="51">
        <f>Assumptions!$D$15</f>
        <v>0.1</v>
      </c>
      <c r="I661" s="45">
        <f>IF(SO[[#This Row],[GST applies?]] = "Yes", (SO[[#This Row],[Value inc. GST]] / 1 + SO[[#This Row],[GST %]]) * SO[[#This Row],[GST %]], 0)</f>
        <v>0</v>
      </c>
      <c r="J661" s="31">
        <f>_xlfn.XLOOKUP(SO[[#This Row],[Customer name]], Customer_master[Customer name], Customer_master[EOM or Net], 0)</f>
        <v>0</v>
      </c>
      <c r="K661" s="31">
        <f>_xlfn.XLOOKUP(SO[[#This Row],[Customer name]], Customer_master[Customer name], Customer_master[Terms days], 0)</f>
        <v>0</v>
      </c>
      <c r="L6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1" s="4"/>
      <c r="N661" s="46">
        <f>IF(SO[[#This Row],[Collection date - override (dd/mm/yyyy)]] &lt;&gt; "", SO[[#This Row],[Collection date - override (dd/mm/yyyy)]], SO[[#This Row],[Due date (dd/mm/yyyy)]])</f>
        <v>0</v>
      </c>
      <c r="O661" s="46">
        <f t="shared" si="10"/>
        <v>52</v>
      </c>
    </row>
    <row r="662" spans="3:15" x14ac:dyDescent="0.25">
      <c r="C662" s="24"/>
      <c r="D662" s="20"/>
      <c r="E662" s="4"/>
      <c r="F662" s="37"/>
      <c r="G662" s="24"/>
      <c r="H662" s="51">
        <f>Assumptions!$D$15</f>
        <v>0.1</v>
      </c>
      <c r="I662" s="45">
        <f>IF(SO[[#This Row],[GST applies?]] = "Yes", (SO[[#This Row],[Value inc. GST]] / 1 + SO[[#This Row],[GST %]]) * SO[[#This Row],[GST %]], 0)</f>
        <v>0</v>
      </c>
      <c r="J662" s="31">
        <f>_xlfn.XLOOKUP(SO[[#This Row],[Customer name]], Customer_master[Customer name], Customer_master[EOM or Net], 0)</f>
        <v>0</v>
      </c>
      <c r="K662" s="31">
        <f>_xlfn.XLOOKUP(SO[[#This Row],[Customer name]], Customer_master[Customer name], Customer_master[Terms days], 0)</f>
        <v>0</v>
      </c>
      <c r="L6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2" s="4"/>
      <c r="N662" s="46">
        <f>IF(SO[[#This Row],[Collection date - override (dd/mm/yyyy)]] &lt;&gt; "", SO[[#This Row],[Collection date - override (dd/mm/yyyy)]], SO[[#This Row],[Due date (dd/mm/yyyy)]])</f>
        <v>0</v>
      </c>
      <c r="O662" s="46">
        <f t="shared" si="10"/>
        <v>52</v>
      </c>
    </row>
    <row r="663" spans="3:15" x14ac:dyDescent="0.25">
      <c r="C663" s="24"/>
      <c r="D663" s="20"/>
      <c r="E663" s="4"/>
      <c r="F663" s="37"/>
      <c r="G663" s="24"/>
      <c r="H663" s="51">
        <f>Assumptions!$D$15</f>
        <v>0.1</v>
      </c>
      <c r="I663" s="45">
        <f>IF(SO[[#This Row],[GST applies?]] = "Yes", (SO[[#This Row],[Value inc. GST]] / 1 + SO[[#This Row],[GST %]]) * SO[[#This Row],[GST %]], 0)</f>
        <v>0</v>
      </c>
      <c r="J663" s="31">
        <f>_xlfn.XLOOKUP(SO[[#This Row],[Customer name]], Customer_master[Customer name], Customer_master[EOM or Net], 0)</f>
        <v>0</v>
      </c>
      <c r="K663" s="31">
        <f>_xlfn.XLOOKUP(SO[[#This Row],[Customer name]], Customer_master[Customer name], Customer_master[Terms days], 0)</f>
        <v>0</v>
      </c>
      <c r="L6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3" s="4"/>
      <c r="N663" s="46">
        <f>IF(SO[[#This Row],[Collection date - override (dd/mm/yyyy)]] &lt;&gt; "", SO[[#This Row],[Collection date - override (dd/mm/yyyy)]], SO[[#This Row],[Due date (dd/mm/yyyy)]])</f>
        <v>0</v>
      </c>
      <c r="O663" s="46">
        <f t="shared" si="10"/>
        <v>52</v>
      </c>
    </row>
    <row r="664" spans="3:15" x14ac:dyDescent="0.25">
      <c r="C664" s="24"/>
      <c r="D664" s="20"/>
      <c r="E664" s="4"/>
      <c r="F664" s="37"/>
      <c r="G664" s="24"/>
      <c r="H664" s="51">
        <f>Assumptions!$D$15</f>
        <v>0.1</v>
      </c>
      <c r="I664" s="45">
        <f>IF(SO[[#This Row],[GST applies?]] = "Yes", (SO[[#This Row],[Value inc. GST]] / 1 + SO[[#This Row],[GST %]]) * SO[[#This Row],[GST %]], 0)</f>
        <v>0</v>
      </c>
      <c r="J664" s="31">
        <f>_xlfn.XLOOKUP(SO[[#This Row],[Customer name]], Customer_master[Customer name], Customer_master[EOM or Net], 0)</f>
        <v>0</v>
      </c>
      <c r="K664" s="31">
        <f>_xlfn.XLOOKUP(SO[[#This Row],[Customer name]], Customer_master[Customer name], Customer_master[Terms days], 0)</f>
        <v>0</v>
      </c>
      <c r="L6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4" s="4"/>
      <c r="N664" s="46">
        <f>IF(SO[[#This Row],[Collection date - override (dd/mm/yyyy)]] &lt;&gt; "", SO[[#This Row],[Collection date - override (dd/mm/yyyy)]], SO[[#This Row],[Due date (dd/mm/yyyy)]])</f>
        <v>0</v>
      </c>
      <c r="O664" s="46">
        <f t="shared" si="10"/>
        <v>52</v>
      </c>
    </row>
    <row r="665" spans="3:15" x14ac:dyDescent="0.25">
      <c r="C665" s="24"/>
      <c r="D665" s="20"/>
      <c r="E665" s="4"/>
      <c r="F665" s="37"/>
      <c r="G665" s="24"/>
      <c r="H665" s="51">
        <f>Assumptions!$D$15</f>
        <v>0.1</v>
      </c>
      <c r="I665" s="45">
        <f>IF(SO[[#This Row],[GST applies?]] = "Yes", (SO[[#This Row],[Value inc. GST]] / 1 + SO[[#This Row],[GST %]]) * SO[[#This Row],[GST %]], 0)</f>
        <v>0</v>
      </c>
      <c r="J665" s="31">
        <f>_xlfn.XLOOKUP(SO[[#This Row],[Customer name]], Customer_master[Customer name], Customer_master[EOM or Net], 0)</f>
        <v>0</v>
      </c>
      <c r="K665" s="31">
        <f>_xlfn.XLOOKUP(SO[[#This Row],[Customer name]], Customer_master[Customer name], Customer_master[Terms days], 0)</f>
        <v>0</v>
      </c>
      <c r="L6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5" s="4"/>
      <c r="N665" s="46">
        <f>IF(SO[[#This Row],[Collection date - override (dd/mm/yyyy)]] &lt;&gt; "", SO[[#This Row],[Collection date - override (dd/mm/yyyy)]], SO[[#This Row],[Due date (dd/mm/yyyy)]])</f>
        <v>0</v>
      </c>
      <c r="O665" s="46">
        <f t="shared" si="10"/>
        <v>52</v>
      </c>
    </row>
    <row r="666" spans="3:15" x14ac:dyDescent="0.25">
      <c r="C666" s="24"/>
      <c r="D666" s="20"/>
      <c r="E666" s="4"/>
      <c r="F666" s="37"/>
      <c r="G666" s="24"/>
      <c r="H666" s="51">
        <f>Assumptions!$D$15</f>
        <v>0.1</v>
      </c>
      <c r="I666" s="45">
        <f>IF(SO[[#This Row],[GST applies?]] = "Yes", (SO[[#This Row],[Value inc. GST]] / 1 + SO[[#This Row],[GST %]]) * SO[[#This Row],[GST %]], 0)</f>
        <v>0</v>
      </c>
      <c r="J666" s="31">
        <f>_xlfn.XLOOKUP(SO[[#This Row],[Customer name]], Customer_master[Customer name], Customer_master[EOM or Net], 0)</f>
        <v>0</v>
      </c>
      <c r="K666" s="31">
        <f>_xlfn.XLOOKUP(SO[[#This Row],[Customer name]], Customer_master[Customer name], Customer_master[Terms days], 0)</f>
        <v>0</v>
      </c>
      <c r="L6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6" s="4"/>
      <c r="N666" s="46">
        <f>IF(SO[[#This Row],[Collection date - override (dd/mm/yyyy)]] &lt;&gt; "", SO[[#This Row],[Collection date - override (dd/mm/yyyy)]], SO[[#This Row],[Due date (dd/mm/yyyy)]])</f>
        <v>0</v>
      </c>
      <c r="O666" s="46">
        <f t="shared" si="10"/>
        <v>52</v>
      </c>
    </row>
    <row r="667" spans="3:15" x14ac:dyDescent="0.25">
      <c r="C667" s="24"/>
      <c r="D667" s="20"/>
      <c r="E667" s="4"/>
      <c r="F667" s="37"/>
      <c r="G667" s="24"/>
      <c r="H667" s="51">
        <f>Assumptions!$D$15</f>
        <v>0.1</v>
      </c>
      <c r="I667" s="45">
        <f>IF(SO[[#This Row],[GST applies?]] = "Yes", (SO[[#This Row],[Value inc. GST]] / 1 + SO[[#This Row],[GST %]]) * SO[[#This Row],[GST %]], 0)</f>
        <v>0</v>
      </c>
      <c r="J667" s="31">
        <f>_xlfn.XLOOKUP(SO[[#This Row],[Customer name]], Customer_master[Customer name], Customer_master[EOM or Net], 0)</f>
        <v>0</v>
      </c>
      <c r="K667" s="31">
        <f>_xlfn.XLOOKUP(SO[[#This Row],[Customer name]], Customer_master[Customer name], Customer_master[Terms days], 0)</f>
        <v>0</v>
      </c>
      <c r="L6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7" s="4"/>
      <c r="N667" s="46">
        <f>IF(SO[[#This Row],[Collection date - override (dd/mm/yyyy)]] &lt;&gt; "", SO[[#This Row],[Collection date - override (dd/mm/yyyy)]], SO[[#This Row],[Due date (dd/mm/yyyy)]])</f>
        <v>0</v>
      </c>
      <c r="O667" s="46">
        <f t="shared" si="10"/>
        <v>52</v>
      </c>
    </row>
    <row r="668" spans="3:15" x14ac:dyDescent="0.25">
      <c r="C668" s="24"/>
      <c r="D668" s="20"/>
      <c r="E668" s="4"/>
      <c r="F668" s="37"/>
      <c r="G668" s="24"/>
      <c r="H668" s="51">
        <f>Assumptions!$D$15</f>
        <v>0.1</v>
      </c>
      <c r="I668" s="45">
        <f>IF(SO[[#This Row],[GST applies?]] = "Yes", (SO[[#This Row],[Value inc. GST]] / 1 + SO[[#This Row],[GST %]]) * SO[[#This Row],[GST %]], 0)</f>
        <v>0</v>
      </c>
      <c r="J668" s="31">
        <f>_xlfn.XLOOKUP(SO[[#This Row],[Customer name]], Customer_master[Customer name], Customer_master[EOM or Net], 0)</f>
        <v>0</v>
      </c>
      <c r="K668" s="31">
        <f>_xlfn.XLOOKUP(SO[[#This Row],[Customer name]], Customer_master[Customer name], Customer_master[Terms days], 0)</f>
        <v>0</v>
      </c>
      <c r="L6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8" s="4"/>
      <c r="N668" s="46">
        <f>IF(SO[[#This Row],[Collection date - override (dd/mm/yyyy)]] &lt;&gt; "", SO[[#This Row],[Collection date - override (dd/mm/yyyy)]], SO[[#This Row],[Due date (dd/mm/yyyy)]])</f>
        <v>0</v>
      </c>
      <c r="O668" s="46">
        <f t="shared" si="10"/>
        <v>52</v>
      </c>
    </row>
    <row r="669" spans="3:15" x14ac:dyDescent="0.25">
      <c r="C669" s="24"/>
      <c r="D669" s="20"/>
      <c r="E669" s="4"/>
      <c r="F669" s="37"/>
      <c r="G669" s="24"/>
      <c r="H669" s="51">
        <f>Assumptions!$D$15</f>
        <v>0.1</v>
      </c>
      <c r="I669" s="45">
        <f>IF(SO[[#This Row],[GST applies?]] = "Yes", (SO[[#This Row],[Value inc. GST]] / 1 + SO[[#This Row],[GST %]]) * SO[[#This Row],[GST %]], 0)</f>
        <v>0</v>
      </c>
      <c r="J669" s="31">
        <f>_xlfn.XLOOKUP(SO[[#This Row],[Customer name]], Customer_master[Customer name], Customer_master[EOM or Net], 0)</f>
        <v>0</v>
      </c>
      <c r="K669" s="31">
        <f>_xlfn.XLOOKUP(SO[[#This Row],[Customer name]], Customer_master[Customer name], Customer_master[Terms days], 0)</f>
        <v>0</v>
      </c>
      <c r="L6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9" s="4"/>
      <c r="N669" s="46">
        <f>IF(SO[[#This Row],[Collection date - override (dd/mm/yyyy)]] &lt;&gt; "", SO[[#This Row],[Collection date - override (dd/mm/yyyy)]], SO[[#This Row],[Due date (dd/mm/yyyy)]])</f>
        <v>0</v>
      </c>
      <c r="O669" s="46">
        <f t="shared" si="10"/>
        <v>52</v>
      </c>
    </row>
    <row r="670" spans="3:15" x14ac:dyDescent="0.25">
      <c r="C670" s="24"/>
      <c r="D670" s="20"/>
      <c r="E670" s="4"/>
      <c r="F670" s="37"/>
      <c r="G670" s="24"/>
      <c r="H670" s="51">
        <f>Assumptions!$D$15</f>
        <v>0.1</v>
      </c>
      <c r="I670" s="45">
        <f>IF(SO[[#This Row],[GST applies?]] = "Yes", (SO[[#This Row],[Value inc. GST]] / 1 + SO[[#This Row],[GST %]]) * SO[[#This Row],[GST %]], 0)</f>
        <v>0</v>
      </c>
      <c r="J670" s="31">
        <f>_xlfn.XLOOKUP(SO[[#This Row],[Customer name]], Customer_master[Customer name], Customer_master[EOM or Net], 0)</f>
        <v>0</v>
      </c>
      <c r="K670" s="31">
        <f>_xlfn.XLOOKUP(SO[[#This Row],[Customer name]], Customer_master[Customer name], Customer_master[Terms days], 0)</f>
        <v>0</v>
      </c>
      <c r="L6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0" s="4"/>
      <c r="N670" s="46">
        <f>IF(SO[[#This Row],[Collection date - override (dd/mm/yyyy)]] &lt;&gt; "", SO[[#This Row],[Collection date - override (dd/mm/yyyy)]], SO[[#This Row],[Due date (dd/mm/yyyy)]])</f>
        <v>0</v>
      </c>
      <c r="O670" s="46">
        <f t="shared" si="10"/>
        <v>52</v>
      </c>
    </row>
    <row r="671" spans="3:15" x14ac:dyDescent="0.25">
      <c r="C671" s="24"/>
      <c r="D671" s="20"/>
      <c r="E671" s="4"/>
      <c r="F671" s="37"/>
      <c r="G671" s="24"/>
      <c r="H671" s="51">
        <f>Assumptions!$D$15</f>
        <v>0.1</v>
      </c>
      <c r="I671" s="45">
        <f>IF(SO[[#This Row],[GST applies?]] = "Yes", (SO[[#This Row],[Value inc. GST]] / 1 + SO[[#This Row],[GST %]]) * SO[[#This Row],[GST %]], 0)</f>
        <v>0</v>
      </c>
      <c r="J671" s="31">
        <f>_xlfn.XLOOKUP(SO[[#This Row],[Customer name]], Customer_master[Customer name], Customer_master[EOM or Net], 0)</f>
        <v>0</v>
      </c>
      <c r="K671" s="31">
        <f>_xlfn.XLOOKUP(SO[[#This Row],[Customer name]], Customer_master[Customer name], Customer_master[Terms days], 0)</f>
        <v>0</v>
      </c>
      <c r="L6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1" s="4"/>
      <c r="N671" s="46">
        <f>IF(SO[[#This Row],[Collection date - override (dd/mm/yyyy)]] &lt;&gt; "", SO[[#This Row],[Collection date - override (dd/mm/yyyy)]], SO[[#This Row],[Due date (dd/mm/yyyy)]])</f>
        <v>0</v>
      </c>
      <c r="O671" s="46">
        <f t="shared" si="10"/>
        <v>52</v>
      </c>
    </row>
    <row r="672" spans="3:15" x14ac:dyDescent="0.25">
      <c r="C672" s="24"/>
      <c r="D672" s="20"/>
      <c r="E672" s="4"/>
      <c r="F672" s="37"/>
      <c r="G672" s="24"/>
      <c r="H672" s="51">
        <f>Assumptions!$D$15</f>
        <v>0.1</v>
      </c>
      <c r="I672" s="45">
        <f>IF(SO[[#This Row],[GST applies?]] = "Yes", (SO[[#This Row],[Value inc. GST]] / 1 + SO[[#This Row],[GST %]]) * SO[[#This Row],[GST %]], 0)</f>
        <v>0</v>
      </c>
      <c r="J672" s="31">
        <f>_xlfn.XLOOKUP(SO[[#This Row],[Customer name]], Customer_master[Customer name], Customer_master[EOM or Net], 0)</f>
        <v>0</v>
      </c>
      <c r="K672" s="31">
        <f>_xlfn.XLOOKUP(SO[[#This Row],[Customer name]], Customer_master[Customer name], Customer_master[Terms days], 0)</f>
        <v>0</v>
      </c>
      <c r="L6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2" s="4"/>
      <c r="N672" s="46">
        <f>IF(SO[[#This Row],[Collection date - override (dd/mm/yyyy)]] &lt;&gt; "", SO[[#This Row],[Collection date - override (dd/mm/yyyy)]], SO[[#This Row],[Due date (dd/mm/yyyy)]])</f>
        <v>0</v>
      </c>
      <c r="O672" s="46">
        <f t="shared" si="10"/>
        <v>52</v>
      </c>
    </row>
    <row r="673" spans="3:15" x14ac:dyDescent="0.25">
      <c r="C673" s="24"/>
      <c r="D673" s="20"/>
      <c r="E673" s="4"/>
      <c r="F673" s="37"/>
      <c r="G673" s="24"/>
      <c r="H673" s="51">
        <f>Assumptions!$D$15</f>
        <v>0.1</v>
      </c>
      <c r="I673" s="45">
        <f>IF(SO[[#This Row],[GST applies?]] = "Yes", (SO[[#This Row],[Value inc. GST]] / 1 + SO[[#This Row],[GST %]]) * SO[[#This Row],[GST %]], 0)</f>
        <v>0</v>
      </c>
      <c r="J673" s="31">
        <f>_xlfn.XLOOKUP(SO[[#This Row],[Customer name]], Customer_master[Customer name], Customer_master[EOM or Net], 0)</f>
        <v>0</v>
      </c>
      <c r="K673" s="31">
        <f>_xlfn.XLOOKUP(SO[[#This Row],[Customer name]], Customer_master[Customer name], Customer_master[Terms days], 0)</f>
        <v>0</v>
      </c>
      <c r="L6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3" s="4"/>
      <c r="N673" s="46">
        <f>IF(SO[[#This Row],[Collection date - override (dd/mm/yyyy)]] &lt;&gt; "", SO[[#This Row],[Collection date - override (dd/mm/yyyy)]], SO[[#This Row],[Due date (dd/mm/yyyy)]])</f>
        <v>0</v>
      </c>
      <c r="O673" s="46">
        <f t="shared" si="10"/>
        <v>52</v>
      </c>
    </row>
    <row r="674" spans="3:15" x14ac:dyDescent="0.25">
      <c r="C674" s="24"/>
      <c r="D674" s="20"/>
      <c r="E674" s="4"/>
      <c r="F674" s="37"/>
      <c r="G674" s="24"/>
      <c r="H674" s="51">
        <f>Assumptions!$D$15</f>
        <v>0.1</v>
      </c>
      <c r="I674" s="45">
        <f>IF(SO[[#This Row],[GST applies?]] = "Yes", (SO[[#This Row],[Value inc. GST]] / 1 + SO[[#This Row],[GST %]]) * SO[[#This Row],[GST %]], 0)</f>
        <v>0</v>
      </c>
      <c r="J674" s="31">
        <f>_xlfn.XLOOKUP(SO[[#This Row],[Customer name]], Customer_master[Customer name], Customer_master[EOM or Net], 0)</f>
        <v>0</v>
      </c>
      <c r="K674" s="31">
        <f>_xlfn.XLOOKUP(SO[[#This Row],[Customer name]], Customer_master[Customer name], Customer_master[Terms days], 0)</f>
        <v>0</v>
      </c>
      <c r="L6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4" s="4"/>
      <c r="N674" s="46">
        <f>IF(SO[[#This Row],[Collection date - override (dd/mm/yyyy)]] &lt;&gt; "", SO[[#This Row],[Collection date - override (dd/mm/yyyy)]], SO[[#This Row],[Due date (dd/mm/yyyy)]])</f>
        <v>0</v>
      </c>
      <c r="O674" s="46">
        <f t="shared" si="10"/>
        <v>52</v>
      </c>
    </row>
    <row r="675" spans="3:15" x14ac:dyDescent="0.25">
      <c r="C675" s="24"/>
      <c r="D675" s="20"/>
      <c r="E675" s="4"/>
      <c r="F675" s="37"/>
      <c r="G675" s="24"/>
      <c r="H675" s="51">
        <f>Assumptions!$D$15</f>
        <v>0.1</v>
      </c>
      <c r="I675" s="45">
        <f>IF(SO[[#This Row],[GST applies?]] = "Yes", (SO[[#This Row],[Value inc. GST]] / 1 + SO[[#This Row],[GST %]]) * SO[[#This Row],[GST %]], 0)</f>
        <v>0</v>
      </c>
      <c r="J675" s="31">
        <f>_xlfn.XLOOKUP(SO[[#This Row],[Customer name]], Customer_master[Customer name], Customer_master[EOM or Net], 0)</f>
        <v>0</v>
      </c>
      <c r="K675" s="31">
        <f>_xlfn.XLOOKUP(SO[[#This Row],[Customer name]], Customer_master[Customer name], Customer_master[Terms days], 0)</f>
        <v>0</v>
      </c>
      <c r="L6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5" s="4"/>
      <c r="N675" s="46">
        <f>IF(SO[[#This Row],[Collection date - override (dd/mm/yyyy)]] &lt;&gt; "", SO[[#This Row],[Collection date - override (dd/mm/yyyy)]], SO[[#This Row],[Due date (dd/mm/yyyy)]])</f>
        <v>0</v>
      </c>
      <c r="O675" s="46">
        <f t="shared" si="10"/>
        <v>52</v>
      </c>
    </row>
    <row r="676" spans="3:15" x14ac:dyDescent="0.25">
      <c r="C676" s="24"/>
      <c r="D676" s="20"/>
      <c r="E676" s="4"/>
      <c r="F676" s="37"/>
      <c r="G676" s="24"/>
      <c r="H676" s="51">
        <f>Assumptions!$D$15</f>
        <v>0.1</v>
      </c>
      <c r="I676" s="45">
        <f>IF(SO[[#This Row],[GST applies?]] = "Yes", (SO[[#This Row],[Value inc. GST]] / 1 + SO[[#This Row],[GST %]]) * SO[[#This Row],[GST %]], 0)</f>
        <v>0</v>
      </c>
      <c r="J676" s="31">
        <f>_xlfn.XLOOKUP(SO[[#This Row],[Customer name]], Customer_master[Customer name], Customer_master[EOM or Net], 0)</f>
        <v>0</v>
      </c>
      <c r="K676" s="31">
        <f>_xlfn.XLOOKUP(SO[[#This Row],[Customer name]], Customer_master[Customer name], Customer_master[Terms days], 0)</f>
        <v>0</v>
      </c>
      <c r="L6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6" s="4"/>
      <c r="N676" s="46">
        <f>IF(SO[[#This Row],[Collection date - override (dd/mm/yyyy)]] &lt;&gt; "", SO[[#This Row],[Collection date - override (dd/mm/yyyy)]], SO[[#This Row],[Due date (dd/mm/yyyy)]])</f>
        <v>0</v>
      </c>
      <c r="O676" s="46">
        <f t="shared" si="10"/>
        <v>52</v>
      </c>
    </row>
    <row r="677" spans="3:15" x14ac:dyDescent="0.25">
      <c r="C677" s="24"/>
      <c r="D677" s="20"/>
      <c r="E677" s="4"/>
      <c r="F677" s="37"/>
      <c r="G677" s="24"/>
      <c r="H677" s="51">
        <f>Assumptions!$D$15</f>
        <v>0.1</v>
      </c>
      <c r="I677" s="45">
        <f>IF(SO[[#This Row],[GST applies?]] = "Yes", (SO[[#This Row],[Value inc. GST]] / 1 + SO[[#This Row],[GST %]]) * SO[[#This Row],[GST %]], 0)</f>
        <v>0</v>
      </c>
      <c r="J677" s="31">
        <f>_xlfn.XLOOKUP(SO[[#This Row],[Customer name]], Customer_master[Customer name], Customer_master[EOM or Net], 0)</f>
        <v>0</v>
      </c>
      <c r="K677" s="31">
        <f>_xlfn.XLOOKUP(SO[[#This Row],[Customer name]], Customer_master[Customer name], Customer_master[Terms days], 0)</f>
        <v>0</v>
      </c>
      <c r="L6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7" s="4"/>
      <c r="N677" s="46">
        <f>IF(SO[[#This Row],[Collection date - override (dd/mm/yyyy)]] &lt;&gt; "", SO[[#This Row],[Collection date - override (dd/mm/yyyy)]], SO[[#This Row],[Due date (dd/mm/yyyy)]])</f>
        <v>0</v>
      </c>
      <c r="O677" s="46">
        <f t="shared" si="10"/>
        <v>52</v>
      </c>
    </row>
    <row r="678" spans="3:15" x14ac:dyDescent="0.25">
      <c r="C678" s="24"/>
      <c r="D678" s="20"/>
      <c r="E678" s="4"/>
      <c r="F678" s="37"/>
      <c r="G678" s="24"/>
      <c r="H678" s="51">
        <f>Assumptions!$D$15</f>
        <v>0.1</v>
      </c>
      <c r="I678" s="45">
        <f>IF(SO[[#This Row],[GST applies?]] = "Yes", (SO[[#This Row],[Value inc. GST]] / 1 + SO[[#This Row],[GST %]]) * SO[[#This Row],[GST %]], 0)</f>
        <v>0</v>
      </c>
      <c r="J678" s="31">
        <f>_xlfn.XLOOKUP(SO[[#This Row],[Customer name]], Customer_master[Customer name], Customer_master[EOM or Net], 0)</f>
        <v>0</v>
      </c>
      <c r="K678" s="31">
        <f>_xlfn.XLOOKUP(SO[[#This Row],[Customer name]], Customer_master[Customer name], Customer_master[Terms days], 0)</f>
        <v>0</v>
      </c>
      <c r="L6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8" s="4"/>
      <c r="N678" s="46">
        <f>IF(SO[[#This Row],[Collection date - override (dd/mm/yyyy)]] &lt;&gt; "", SO[[#This Row],[Collection date - override (dd/mm/yyyy)]], SO[[#This Row],[Due date (dd/mm/yyyy)]])</f>
        <v>0</v>
      </c>
      <c r="O678" s="46">
        <f t="shared" si="10"/>
        <v>52</v>
      </c>
    </row>
    <row r="679" spans="3:15" x14ac:dyDescent="0.25">
      <c r="C679" s="24"/>
      <c r="D679" s="20"/>
      <c r="E679" s="4"/>
      <c r="F679" s="37"/>
      <c r="G679" s="24"/>
      <c r="H679" s="51">
        <f>Assumptions!$D$15</f>
        <v>0.1</v>
      </c>
      <c r="I679" s="45">
        <f>IF(SO[[#This Row],[GST applies?]] = "Yes", (SO[[#This Row],[Value inc. GST]] / 1 + SO[[#This Row],[GST %]]) * SO[[#This Row],[GST %]], 0)</f>
        <v>0</v>
      </c>
      <c r="J679" s="31">
        <f>_xlfn.XLOOKUP(SO[[#This Row],[Customer name]], Customer_master[Customer name], Customer_master[EOM or Net], 0)</f>
        <v>0</v>
      </c>
      <c r="K679" s="31">
        <f>_xlfn.XLOOKUP(SO[[#This Row],[Customer name]], Customer_master[Customer name], Customer_master[Terms days], 0)</f>
        <v>0</v>
      </c>
      <c r="L6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9" s="4"/>
      <c r="N679" s="46">
        <f>IF(SO[[#This Row],[Collection date - override (dd/mm/yyyy)]] &lt;&gt; "", SO[[#This Row],[Collection date - override (dd/mm/yyyy)]], SO[[#This Row],[Due date (dd/mm/yyyy)]])</f>
        <v>0</v>
      </c>
      <c r="O679" s="46">
        <f t="shared" si="10"/>
        <v>52</v>
      </c>
    </row>
    <row r="680" spans="3:15" x14ac:dyDescent="0.25">
      <c r="C680" s="24"/>
      <c r="D680" s="20"/>
      <c r="E680" s="4"/>
      <c r="F680" s="37"/>
      <c r="G680" s="24"/>
      <c r="H680" s="51">
        <f>Assumptions!$D$15</f>
        <v>0.1</v>
      </c>
      <c r="I680" s="45">
        <f>IF(SO[[#This Row],[GST applies?]] = "Yes", (SO[[#This Row],[Value inc. GST]] / 1 + SO[[#This Row],[GST %]]) * SO[[#This Row],[GST %]], 0)</f>
        <v>0</v>
      </c>
      <c r="J680" s="31">
        <f>_xlfn.XLOOKUP(SO[[#This Row],[Customer name]], Customer_master[Customer name], Customer_master[EOM or Net], 0)</f>
        <v>0</v>
      </c>
      <c r="K680" s="31">
        <f>_xlfn.XLOOKUP(SO[[#This Row],[Customer name]], Customer_master[Customer name], Customer_master[Terms days], 0)</f>
        <v>0</v>
      </c>
      <c r="L6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0" s="4"/>
      <c r="N680" s="46">
        <f>IF(SO[[#This Row],[Collection date - override (dd/mm/yyyy)]] &lt;&gt; "", SO[[#This Row],[Collection date - override (dd/mm/yyyy)]], SO[[#This Row],[Due date (dd/mm/yyyy)]])</f>
        <v>0</v>
      </c>
      <c r="O680" s="46">
        <f t="shared" si="10"/>
        <v>52</v>
      </c>
    </row>
    <row r="681" spans="3:15" x14ac:dyDescent="0.25">
      <c r="C681" s="24"/>
      <c r="D681" s="20"/>
      <c r="E681" s="4"/>
      <c r="F681" s="37"/>
      <c r="G681" s="24"/>
      <c r="H681" s="51">
        <f>Assumptions!$D$15</f>
        <v>0.1</v>
      </c>
      <c r="I681" s="45">
        <f>IF(SO[[#This Row],[GST applies?]] = "Yes", (SO[[#This Row],[Value inc. GST]] / 1 + SO[[#This Row],[GST %]]) * SO[[#This Row],[GST %]], 0)</f>
        <v>0</v>
      </c>
      <c r="J681" s="31">
        <f>_xlfn.XLOOKUP(SO[[#This Row],[Customer name]], Customer_master[Customer name], Customer_master[EOM or Net], 0)</f>
        <v>0</v>
      </c>
      <c r="K681" s="31">
        <f>_xlfn.XLOOKUP(SO[[#This Row],[Customer name]], Customer_master[Customer name], Customer_master[Terms days], 0)</f>
        <v>0</v>
      </c>
      <c r="L6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1" s="4"/>
      <c r="N681" s="46">
        <f>IF(SO[[#This Row],[Collection date - override (dd/mm/yyyy)]] &lt;&gt; "", SO[[#This Row],[Collection date - override (dd/mm/yyyy)]], SO[[#This Row],[Due date (dd/mm/yyyy)]])</f>
        <v>0</v>
      </c>
      <c r="O681" s="46">
        <f t="shared" si="10"/>
        <v>52</v>
      </c>
    </row>
    <row r="682" spans="3:15" x14ac:dyDescent="0.25">
      <c r="C682" s="24"/>
      <c r="D682" s="20"/>
      <c r="E682" s="4"/>
      <c r="F682" s="37"/>
      <c r="G682" s="24"/>
      <c r="H682" s="51">
        <f>Assumptions!$D$15</f>
        <v>0.1</v>
      </c>
      <c r="I682" s="45">
        <f>IF(SO[[#This Row],[GST applies?]] = "Yes", (SO[[#This Row],[Value inc. GST]] / 1 + SO[[#This Row],[GST %]]) * SO[[#This Row],[GST %]], 0)</f>
        <v>0</v>
      </c>
      <c r="J682" s="31">
        <f>_xlfn.XLOOKUP(SO[[#This Row],[Customer name]], Customer_master[Customer name], Customer_master[EOM or Net], 0)</f>
        <v>0</v>
      </c>
      <c r="K682" s="31">
        <f>_xlfn.XLOOKUP(SO[[#This Row],[Customer name]], Customer_master[Customer name], Customer_master[Terms days], 0)</f>
        <v>0</v>
      </c>
      <c r="L6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2" s="4"/>
      <c r="N682" s="46">
        <f>IF(SO[[#This Row],[Collection date - override (dd/mm/yyyy)]] &lt;&gt; "", SO[[#This Row],[Collection date - override (dd/mm/yyyy)]], SO[[#This Row],[Due date (dd/mm/yyyy)]])</f>
        <v>0</v>
      </c>
      <c r="O682" s="46">
        <f t="shared" si="10"/>
        <v>52</v>
      </c>
    </row>
    <row r="683" spans="3:15" x14ac:dyDescent="0.25">
      <c r="C683" s="24"/>
      <c r="D683" s="20"/>
      <c r="E683" s="4"/>
      <c r="F683" s="37"/>
      <c r="G683" s="24"/>
      <c r="H683" s="51">
        <f>Assumptions!$D$15</f>
        <v>0.1</v>
      </c>
      <c r="I683" s="45">
        <f>IF(SO[[#This Row],[GST applies?]] = "Yes", (SO[[#This Row],[Value inc. GST]] / 1 + SO[[#This Row],[GST %]]) * SO[[#This Row],[GST %]], 0)</f>
        <v>0</v>
      </c>
      <c r="J683" s="31">
        <f>_xlfn.XLOOKUP(SO[[#This Row],[Customer name]], Customer_master[Customer name], Customer_master[EOM or Net], 0)</f>
        <v>0</v>
      </c>
      <c r="K683" s="31">
        <f>_xlfn.XLOOKUP(SO[[#This Row],[Customer name]], Customer_master[Customer name], Customer_master[Terms days], 0)</f>
        <v>0</v>
      </c>
      <c r="L6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3" s="4"/>
      <c r="N683" s="46">
        <f>IF(SO[[#This Row],[Collection date - override (dd/mm/yyyy)]] &lt;&gt; "", SO[[#This Row],[Collection date - override (dd/mm/yyyy)]], SO[[#This Row],[Due date (dd/mm/yyyy)]])</f>
        <v>0</v>
      </c>
      <c r="O683" s="46">
        <f t="shared" si="10"/>
        <v>52</v>
      </c>
    </row>
    <row r="684" spans="3:15" x14ac:dyDescent="0.25">
      <c r="C684" s="24"/>
      <c r="D684" s="20"/>
      <c r="E684" s="4"/>
      <c r="F684" s="37"/>
      <c r="G684" s="24"/>
      <c r="H684" s="51">
        <f>Assumptions!$D$15</f>
        <v>0.1</v>
      </c>
      <c r="I684" s="45">
        <f>IF(SO[[#This Row],[GST applies?]] = "Yes", (SO[[#This Row],[Value inc. GST]] / 1 + SO[[#This Row],[GST %]]) * SO[[#This Row],[GST %]], 0)</f>
        <v>0</v>
      </c>
      <c r="J684" s="31">
        <f>_xlfn.XLOOKUP(SO[[#This Row],[Customer name]], Customer_master[Customer name], Customer_master[EOM or Net], 0)</f>
        <v>0</v>
      </c>
      <c r="K684" s="31">
        <f>_xlfn.XLOOKUP(SO[[#This Row],[Customer name]], Customer_master[Customer name], Customer_master[Terms days], 0)</f>
        <v>0</v>
      </c>
      <c r="L6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4" s="4"/>
      <c r="N684" s="46">
        <f>IF(SO[[#This Row],[Collection date - override (dd/mm/yyyy)]] &lt;&gt; "", SO[[#This Row],[Collection date - override (dd/mm/yyyy)]], SO[[#This Row],[Due date (dd/mm/yyyy)]])</f>
        <v>0</v>
      </c>
      <c r="O684" s="46">
        <f t="shared" si="10"/>
        <v>52</v>
      </c>
    </row>
    <row r="685" spans="3:15" x14ac:dyDescent="0.25">
      <c r="C685" s="24"/>
      <c r="D685" s="20"/>
      <c r="E685" s="4"/>
      <c r="F685" s="37"/>
      <c r="G685" s="24"/>
      <c r="H685" s="51">
        <f>Assumptions!$D$15</f>
        <v>0.1</v>
      </c>
      <c r="I685" s="45">
        <f>IF(SO[[#This Row],[GST applies?]] = "Yes", (SO[[#This Row],[Value inc. GST]] / 1 + SO[[#This Row],[GST %]]) * SO[[#This Row],[GST %]], 0)</f>
        <v>0</v>
      </c>
      <c r="J685" s="31">
        <f>_xlfn.XLOOKUP(SO[[#This Row],[Customer name]], Customer_master[Customer name], Customer_master[EOM or Net], 0)</f>
        <v>0</v>
      </c>
      <c r="K685" s="31">
        <f>_xlfn.XLOOKUP(SO[[#This Row],[Customer name]], Customer_master[Customer name], Customer_master[Terms days], 0)</f>
        <v>0</v>
      </c>
      <c r="L6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5" s="4"/>
      <c r="N685" s="46">
        <f>IF(SO[[#This Row],[Collection date - override (dd/mm/yyyy)]] &lt;&gt; "", SO[[#This Row],[Collection date - override (dd/mm/yyyy)]], SO[[#This Row],[Due date (dd/mm/yyyy)]])</f>
        <v>0</v>
      </c>
      <c r="O685" s="46">
        <f t="shared" si="10"/>
        <v>52</v>
      </c>
    </row>
    <row r="686" spans="3:15" x14ac:dyDescent="0.25">
      <c r="C686" s="24"/>
      <c r="D686" s="20"/>
      <c r="E686" s="4"/>
      <c r="F686" s="37"/>
      <c r="G686" s="24"/>
      <c r="H686" s="51">
        <f>Assumptions!$D$15</f>
        <v>0.1</v>
      </c>
      <c r="I686" s="45">
        <f>IF(SO[[#This Row],[GST applies?]] = "Yes", (SO[[#This Row],[Value inc. GST]] / 1 + SO[[#This Row],[GST %]]) * SO[[#This Row],[GST %]], 0)</f>
        <v>0</v>
      </c>
      <c r="J686" s="31">
        <f>_xlfn.XLOOKUP(SO[[#This Row],[Customer name]], Customer_master[Customer name], Customer_master[EOM or Net], 0)</f>
        <v>0</v>
      </c>
      <c r="K686" s="31">
        <f>_xlfn.XLOOKUP(SO[[#This Row],[Customer name]], Customer_master[Customer name], Customer_master[Terms days], 0)</f>
        <v>0</v>
      </c>
      <c r="L6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6" s="4"/>
      <c r="N686" s="46">
        <f>IF(SO[[#This Row],[Collection date - override (dd/mm/yyyy)]] &lt;&gt; "", SO[[#This Row],[Collection date - override (dd/mm/yyyy)]], SO[[#This Row],[Due date (dd/mm/yyyy)]])</f>
        <v>0</v>
      </c>
      <c r="O686" s="46">
        <f t="shared" si="10"/>
        <v>52</v>
      </c>
    </row>
    <row r="687" spans="3:15" x14ac:dyDescent="0.25">
      <c r="C687" s="24"/>
      <c r="D687" s="20"/>
      <c r="E687" s="4"/>
      <c r="F687" s="37"/>
      <c r="G687" s="24"/>
      <c r="H687" s="51">
        <f>Assumptions!$D$15</f>
        <v>0.1</v>
      </c>
      <c r="I687" s="45">
        <f>IF(SO[[#This Row],[GST applies?]] = "Yes", (SO[[#This Row],[Value inc. GST]] / 1 + SO[[#This Row],[GST %]]) * SO[[#This Row],[GST %]], 0)</f>
        <v>0</v>
      </c>
      <c r="J687" s="31">
        <f>_xlfn.XLOOKUP(SO[[#This Row],[Customer name]], Customer_master[Customer name], Customer_master[EOM or Net], 0)</f>
        <v>0</v>
      </c>
      <c r="K687" s="31">
        <f>_xlfn.XLOOKUP(SO[[#This Row],[Customer name]], Customer_master[Customer name], Customer_master[Terms days], 0)</f>
        <v>0</v>
      </c>
      <c r="L6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7" s="4"/>
      <c r="N687" s="46">
        <f>IF(SO[[#This Row],[Collection date - override (dd/mm/yyyy)]] &lt;&gt; "", SO[[#This Row],[Collection date - override (dd/mm/yyyy)]], SO[[#This Row],[Due date (dd/mm/yyyy)]])</f>
        <v>0</v>
      </c>
      <c r="O687" s="46">
        <f t="shared" si="10"/>
        <v>52</v>
      </c>
    </row>
    <row r="688" spans="3:15" x14ac:dyDescent="0.25">
      <c r="C688" s="24"/>
      <c r="D688" s="20"/>
      <c r="E688" s="4"/>
      <c r="F688" s="37"/>
      <c r="G688" s="24"/>
      <c r="H688" s="51">
        <f>Assumptions!$D$15</f>
        <v>0.1</v>
      </c>
      <c r="I688" s="45">
        <f>IF(SO[[#This Row],[GST applies?]] = "Yes", (SO[[#This Row],[Value inc. GST]] / 1 + SO[[#This Row],[GST %]]) * SO[[#This Row],[GST %]], 0)</f>
        <v>0</v>
      </c>
      <c r="J688" s="31">
        <f>_xlfn.XLOOKUP(SO[[#This Row],[Customer name]], Customer_master[Customer name], Customer_master[EOM or Net], 0)</f>
        <v>0</v>
      </c>
      <c r="K688" s="31">
        <f>_xlfn.XLOOKUP(SO[[#This Row],[Customer name]], Customer_master[Customer name], Customer_master[Terms days], 0)</f>
        <v>0</v>
      </c>
      <c r="L6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8" s="4"/>
      <c r="N688" s="46">
        <f>IF(SO[[#This Row],[Collection date - override (dd/mm/yyyy)]] &lt;&gt; "", SO[[#This Row],[Collection date - override (dd/mm/yyyy)]], SO[[#This Row],[Due date (dd/mm/yyyy)]])</f>
        <v>0</v>
      </c>
      <c r="O688" s="46">
        <f t="shared" si="10"/>
        <v>52</v>
      </c>
    </row>
    <row r="689" spans="3:15" x14ac:dyDescent="0.25">
      <c r="C689" s="24"/>
      <c r="D689" s="20"/>
      <c r="E689" s="4"/>
      <c r="F689" s="37"/>
      <c r="G689" s="24"/>
      <c r="H689" s="51">
        <f>Assumptions!$D$15</f>
        <v>0.1</v>
      </c>
      <c r="I689" s="45">
        <f>IF(SO[[#This Row],[GST applies?]] = "Yes", (SO[[#This Row],[Value inc. GST]] / 1 + SO[[#This Row],[GST %]]) * SO[[#This Row],[GST %]], 0)</f>
        <v>0</v>
      </c>
      <c r="J689" s="31">
        <f>_xlfn.XLOOKUP(SO[[#This Row],[Customer name]], Customer_master[Customer name], Customer_master[EOM or Net], 0)</f>
        <v>0</v>
      </c>
      <c r="K689" s="31">
        <f>_xlfn.XLOOKUP(SO[[#This Row],[Customer name]], Customer_master[Customer name], Customer_master[Terms days], 0)</f>
        <v>0</v>
      </c>
      <c r="L6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9" s="4"/>
      <c r="N689" s="46">
        <f>IF(SO[[#This Row],[Collection date - override (dd/mm/yyyy)]] &lt;&gt; "", SO[[#This Row],[Collection date - override (dd/mm/yyyy)]], SO[[#This Row],[Due date (dd/mm/yyyy)]])</f>
        <v>0</v>
      </c>
      <c r="O689" s="46">
        <f t="shared" si="10"/>
        <v>52</v>
      </c>
    </row>
    <row r="690" spans="3:15" x14ac:dyDescent="0.25">
      <c r="C690" s="24"/>
      <c r="D690" s="20"/>
      <c r="E690" s="4"/>
      <c r="F690" s="37"/>
      <c r="G690" s="24"/>
      <c r="H690" s="51">
        <f>Assumptions!$D$15</f>
        <v>0.1</v>
      </c>
      <c r="I690" s="45">
        <f>IF(SO[[#This Row],[GST applies?]] = "Yes", (SO[[#This Row],[Value inc. GST]] / 1 + SO[[#This Row],[GST %]]) * SO[[#This Row],[GST %]], 0)</f>
        <v>0</v>
      </c>
      <c r="J690" s="31">
        <f>_xlfn.XLOOKUP(SO[[#This Row],[Customer name]], Customer_master[Customer name], Customer_master[EOM or Net], 0)</f>
        <v>0</v>
      </c>
      <c r="K690" s="31">
        <f>_xlfn.XLOOKUP(SO[[#This Row],[Customer name]], Customer_master[Customer name], Customer_master[Terms days], 0)</f>
        <v>0</v>
      </c>
      <c r="L6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0" s="4"/>
      <c r="N690" s="46">
        <f>IF(SO[[#This Row],[Collection date - override (dd/mm/yyyy)]] &lt;&gt; "", SO[[#This Row],[Collection date - override (dd/mm/yyyy)]], SO[[#This Row],[Due date (dd/mm/yyyy)]])</f>
        <v>0</v>
      </c>
      <c r="O690" s="46">
        <f t="shared" si="10"/>
        <v>52</v>
      </c>
    </row>
    <row r="691" spans="3:15" x14ac:dyDescent="0.25">
      <c r="C691" s="24"/>
      <c r="D691" s="20"/>
      <c r="E691" s="4"/>
      <c r="F691" s="37"/>
      <c r="G691" s="24"/>
      <c r="H691" s="51">
        <f>Assumptions!$D$15</f>
        <v>0.1</v>
      </c>
      <c r="I691" s="45">
        <f>IF(SO[[#This Row],[GST applies?]] = "Yes", (SO[[#This Row],[Value inc. GST]] / 1 + SO[[#This Row],[GST %]]) * SO[[#This Row],[GST %]], 0)</f>
        <v>0</v>
      </c>
      <c r="J691" s="31">
        <f>_xlfn.XLOOKUP(SO[[#This Row],[Customer name]], Customer_master[Customer name], Customer_master[EOM or Net], 0)</f>
        <v>0</v>
      </c>
      <c r="K691" s="31">
        <f>_xlfn.XLOOKUP(SO[[#This Row],[Customer name]], Customer_master[Customer name], Customer_master[Terms days], 0)</f>
        <v>0</v>
      </c>
      <c r="L6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1" s="4"/>
      <c r="N691" s="46">
        <f>IF(SO[[#This Row],[Collection date - override (dd/mm/yyyy)]] &lt;&gt; "", SO[[#This Row],[Collection date - override (dd/mm/yyyy)]], SO[[#This Row],[Due date (dd/mm/yyyy)]])</f>
        <v>0</v>
      </c>
      <c r="O691" s="46">
        <f t="shared" si="10"/>
        <v>52</v>
      </c>
    </row>
    <row r="692" spans="3:15" x14ac:dyDescent="0.25">
      <c r="C692" s="24"/>
      <c r="D692" s="20"/>
      <c r="E692" s="4"/>
      <c r="F692" s="37"/>
      <c r="G692" s="24"/>
      <c r="H692" s="51">
        <f>Assumptions!$D$15</f>
        <v>0.1</v>
      </c>
      <c r="I692" s="45">
        <f>IF(SO[[#This Row],[GST applies?]] = "Yes", (SO[[#This Row],[Value inc. GST]] / 1 + SO[[#This Row],[GST %]]) * SO[[#This Row],[GST %]], 0)</f>
        <v>0</v>
      </c>
      <c r="J692" s="31">
        <f>_xlfn.XLOOKUP(SO[[#This Row],[Customer name]], Customer_master[Customer name], Customer_master[EOM or Net], 0)</f>
        <v>0</v>
      </c>
      <c r="K692" s="31">
        <f>_xlfn.XLOOKUP(SO[[#This Row],[Customer name]], Customer_master[Customer name], Customer_master[Terms days], 0)</f>
        <v>0</v>
      </c>
      <c r="L6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2" s="4"/>
      <c r="N692" s="46">
        <f>IF(SO[[#This Row],[Collection date - override (dd/mm/yyyy)]] &lt;&gt; "", SO[[#This Row],[Collection date - override (dd/mm/yyyy)]], SO[[#This Row],[Due date (dd/mm/yyyy)]])</f>
        <v>0</v>
      </c>
      <c r="O692" s="46">
        <f t="shared" si="10"/>
        <v>52</v>
      </c>
    </row>
    <row r="693" spans="3:15" x14ac:dyDescent="0.25">
      <c r="C693" s="24"/>
      <c r="D693" s="20"/>
      <c r="E693" s="4"/>
      <c r="F693" s="37"/>
      <c r="G693" s="24"/>
      <c r="H693" s="51">
        <f>Assumptions!$D$15</f>
        <v>0.1</v>
      </c>
      <c r="I693" s="45">
        <f>IF(SO[[#This Row],[GST applies?]] = "Yes", (SO[[#This Row],[Value inc. GST]] / 1 + SO[[#This Row],[GST %]]) * SO[[#This Row],[GST %]], 0)</f>
        <v>0</v>
      </c>
      <c r="J693" s="31">
        <f>_xlfn.XLOOKUP(SO[[#This Row],[Customer name]], Customer_master[Customer name], Customer_master[EOM or Net], 0)</f>
        <v>0</v>
      </c>
      <c r="K693" s="31">
        <f>_xlfn.XLOOKUP(SO[[#This Row],[Customer name]], Customer_master[Customer name], Customer_master[Terms days], 0)</f>
        <v>0</v>
      </c>
      <c r="L6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3" s="4"/>
      <c r="N693" s="46">
        <f>IF(SO[[#This Row],[Collection date - override (dd/mm/yyyy)]] &lt;&gt; "", SO[[#This Row],[Collection date - override (dd/mm/yyyy)]], SO[[#This Row],[Due date (dd/mm/yyyy)]])</f>
        <v>0</v>
      </c>
      <c r="O693" s="46">
        <f t="shared" si="10"/>
        <v>52</v>
      </c>
    </row>
    <row r="694" spans="3:15" x14ac:dyDescent="0.25">
      <c r="C694" s="24"/>
      <c r="D694" s="20"/>
      <c r="E694" s="4"/>
      <c r="F694" s="37"/>
      <c r="G694" s="24"/>
      <c r="H694" s="51">
        <f>Assumptions!$D$15</f>
        <v>0.1</v>
      </c>
      <c r="I694" s="45">
        <f>IF(SO[[#This Row],[GST applies?]] = "Yes", (SO[[#This Row],[Value inc. GST]] / 1 + SO[[#This Row],[GST %]]) * SO[[#This Row],[GST %]], 0)</f>
        <v>0</v>
      </c>
      <c r="J694" s="31">
        <f>_xlfn.XLOOKUP(SO[[#This Row],[Customer name]], Customer_master[Customer name], Customer_master[EOM or Net], 0)</f>
        <v>0</v>
      </c>
      <c r="K694" s="31">
        <f>_xlfn.XLOOKUP(SO[[#This Row],[Customer name]], Customer_master[Customer name], Customer_master[Terms days], 0)</f>
        <v>0</v>
      </c>
      <c r="L6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4" s="4"/>
      <c r="N694" s="46">
        <f>IF(SO[[#This Row],[Collection date - override (dd/mm/yyyy)]] &lt;&gt; "", SO[[#This Row],[Collection date - override (dd/mm/yyyy)]], SO[[#This Row],[Due date (dd/mm/yyyy)]])</f>
        <v>0</v>
      </c>
      <c r="O694" s="46">
        <f t="shared" si="10"/>
        <v>52</v>
      </c>
    </row>
    <row r="695" spans="3:15" x14ac:dyDescent="0.25">
      <c r="C695" s="24"/>
      <c r="D695" s="20"/>
      <c r="E695" s="4"/>
      <c r="F695" s="37"/>
      <c r="G695" s="24"/>
      <c r="H695" s="51">
        <f>Assumptions!$D$15</f>
        <v>0.1</v>
      </c>
      <c r="I695" s="45">
        <f>IF(SO[[#This Row],[GST applies?]] = "Yes", (SO[[#This Row],[Value inc. GST]] / 1 + SO[[#This Row],[GST %]]) * SO[[#This Row],[GST %]], 0)</f>
        <v>0</v>
      </c>
      <c r="J695" s="31">
        <f>_xlfn.XLOOKUP(SO[[#This Row],[Customer name]], Customer_master[Customer name], Customer_master[EOM or Net], 0)</f>
        <v>0</v>
      </c>
      <c r="K695" s="31">
        <f>_xlfn.XLOOKUP(SO[[#This Row],[Customer name]], Customer_master[Customer name], Customer_master[Terms days], 0)</f>
        <v>0</v>
      </c>
      <c r="L6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5" s="4"/>
      <c r="N695" s="46">
        <f>IF(SO[[#This Row],[Collection date - override (dd/mm/yyyy)]] &lt;&gt; "", SO[[#This Row],[Collection date - override (dd/mm/yyyy)]], SO[[#This Row],[Due date (dd/mm/yyyy)]])</f>
        <v>0</v>
      </c>
      <c r="O695" s="46">
        <f t="shared" si="10"/>
        <v>52</v>
      </c>
    </row>
    <row r="696" spans="3:15" x14ac:dyDescent="0.25">
      <c r="C696" s="24"/>
      <c r="D696" s="20"/>
      <c r="E696" s="4"/>
      <c r="F696" s="37"/>
      <c r="G696" s="24"/>
      <c r="H696" s="51">
        <f>Assumptions!$D$15</f>
        <v>0.1</v>
      </c>
      <c r="I696" s="45">
        <f>IF(SO[[#This Row],[GST applies?]] = "Yes", (SO[[#This Row],[Value inc. GST]] / 1 + SO[[#This Row],[GST %]]) * SO[[#This Row],[GST %]], 0)</f>
        <v>0</v>
      </c>
      <c r="J696" s="31">
        <f>_xlfn.XLOOKUP(SO[[#This Row],[Customer name]], Customer_master[Customer name], Customer_master[EOM or Net], 0)</f>
        <v>0</v>
      </c>
      <c r="K696" s="31">
        <f>_xlfn.XLOOKUP(SO[[#This Row],[Customer name]], Customer_master[Customer name], Customer_master[Terms days], 0)</f>
        <v>0</v>
      </c>
      <c r="L6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6" s="4"/>
      <c r="N696" s="46">
        <f>IF(SO[[#This Row],[Collection date - override (dd/mm/yyyy)]] &lt;&gt; "", SO[[#This Row],[Collection date - override (dd/mm/yyyy)]], SO[[#This Row],[Due date (dd/mm/yyyy)]])</f>
        <v>0</v>
      </c>
      <c r="O696" s="46">
        <f t="shared" si="10"/>
        <v>52</v>
      </c>
    </row>
    <row r="697" spans="3:15" x14ac:dyDescent="0.25">
      <c r="C697" s="24"/>
      <c r="D697" s="20"/>
      <c r="E697" s="4"/>
      <c r="F697" s="37"/>
      <c r="G697" s="24"/>
      <c r="H697" s="51">
        <f>Assumptions!$D$15</f>
        <v>0.1</v>
      </c>
      <c r="I697" s="45">
        <f>IF(SO[[#This Row],[GST applies?]] = "Yes", (SO[[#This Row],[Value inc. GST]] / 1 + SO[[#This Row],[GST %]]) * SO[[#This Row],[GST %]], 0)</f>
        <v>0</v>
      </c>
      <c r="J697" s="31">
        <f>_xlfn.XLOOKUP(SO[[#This Row],[Customer name]], Customer_master[Customer name], Customer_master[EOM or Net], 0)</f>
        <v>0</v>
      </c>
      <c r="K697" s="31">
        <f>_xlfn.XLOOKUP(SO[[#This Row],[Customer name]], Customer_master[Customer name], Customer_master[Terms days], 0)</f>
        <v>0</v>
      </c>
      <c r="L6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7" s="4"/>
      <c r="N697" s="46">
        <f>IF(SO[[#This Row],[Collection date - override (dd/mm/yyyy)]] &lt;&gt; "", SO[[#This Row],[Collection date - override (dd/mm/yyyy)]], SO[[#This Row],[Due date (dd/mm/yyyy)]])</f>
        <v>0</v>
      </c>
      <c r="O697" s="46">
        <f t="shared" si="10"/>
        <v>52</v>
      </c>
    </row>
    <row r="698" spans="3:15" x14ac:dyDescent="0.25">
      <c r="C698" s="24"/>
      <c r="D698" s="20"/>
      <c r="E698" s="4"/>
      <c r="F698" s="37"/>
      <c r="G698" s="24"/>
      <c r="H698" s="51">
        <f>Assumptions!$D$15</f>
        <v>0.1</v>
      </c>
      <c r="I698" s="45">
        <f>IF(SO[[#This Row],[GST applies?]] = "Yes", (SO[[#This Row],[Value inc. GST]] / 1 + SO[[#This Row],[GST %]]) * SO[[#This Row],[GST %]], 0)</f>
        <v>0</v>
      </c>
      <c r="J698" s="31">
        <f>_xlfn.XLOOKUP(SO[[#This Row],[Customer name]], Customer_master[Customer name], Customer_master[EOM or Net], 0)</f>
        <v>0</v>
      </c>
      <c r="K698" s="31">
        <f>_xlfn.XLOOKUP(SO[[#This Row],[Customer name]], Customer_master[Customer name], Customer_master[Terms days], 0)</f>
        <v>0</v>
      </c>
      <c r="L6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8" s="4"/>
      <c r="N698" s="46">
        <f>IF(SO[[#This Row],[Collection date - override (dd/mm/yyyy)]] &lt;&gt; "", SO[[#This Row],[Collection date - override (dd/mm/yyyy)]], SO[[#This Row],[Due date (dd/mm/yyyy)]])</f>
        <v>0</v>
      </c>
      <c r="O698" s="46">
        <f t="shared" si="10"/>
        <v>52</v>
      </c>
    </row>
    <row r="699" spans="3:15" x14ac:dyDescent="0.25">
      <c r="C699" s="24"/>
      <c r="D699" s="20"/>
      <c r="E699" s="4"/>
      <c r="F699" s="37"/>
      <c r="G699" s="24"/>
      <c r="H699" s="51">
        <f>Assumptions!$D$15</f>
        <v>0.1</v>
      </c>
      <c r="I699" s="45">
        <f>IF(SO[[#This Row],[GST applies?]] = "Yes", (SO[[#This Row],[Value inc. GST]] / 1 + SO[[#This Row],[GST %]]) * SO[[#This Row],[GST %]], 0)</f>
        <v>0</v>
      </c>
      <c r="J699" s="31">
        <f>_xlfn.XLOOKUP(SO[[#This Row],[Customer name]], Customer_master[Customer name], Customer_master[EOM or Net], 0)</f>
        <v>0</v>
      </c>
      <c r="K699" s="31">
        <f>_xlfn.XLOOKUP(SO[[#This Row],[Customer name]], Customer_master[Customer name], Customer_master[Terms days], 0)</f>
        <v>0</v>
      </c>
      <c r="L6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9" s="4"/>
      <c r="N699" s="46">
        <f>IF(SO[[#This Row],[Collection date - override (dd/mm/yyyy)]] &lt;&gt; "", SO[[#This Row],[Collection date - override (dd/mm/yyyy)]], SO[[#This Row],[Due date (dd/mm/yyyy)]])</f>
        <v>0</v>
      </c>
      <c r="O699" s="46">
        <f t="shared" si="10"/>
        <v>52</v>
      </c>
    </row>
    <row r="700" spans="3:15" x14ac:dyDescent="0.25">
      <c r="C700" s="24"/>
      <c r="D700" s="20"/>
      <c r="E700" s="4"/>
      <c r="F700" s="37"/>
      <c r="G700" s="24"/>
      <c r="H700" s="51">
        <f>Assumptions!$D$15</f>
        <v>0.1</v>
      </c>
      <c r="I700" s="45">
        <f>IF(SO[[#This Row],[GST applies?]] = "Yes", (SO[[#This Row],[Value inc. GST]] / 1 + SO[[#This Row],[GST %]]) * SO[[#This Row],[GST %]], 0)</f>
        <v>0</v>
      </c>
      <c r="J700" s="31">
        <f>_xlfn.XLOOKUP(SO[[#This Row],[Customer name]], Customer_master[Customer name], Customer_master[EOM or Net], 0)</f>
        <v>0</v>
      </c>
      <c r="K700" s="31">
        <f>_xlfn.XLOOKUP(SO[[#This Row],[Customer name]], Customer_master[Customer name], Customer_master[Terms days], 0)</f>
        <v>0</v>
      </c>
      <c r="L7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0" s="4"/>
      <c r="N700" s="46">
        <f>IF(SO[[#This Row],[Collection date - override (dd/mm/yyyy)]] &lt;&gt; "", SO[[#This Row],[Collection date - override (dd/mm/yyyy)]], SO[[#This Row],[Due date (dd/mm/yyyy)]])</f>
        <v>0</v>
      </c>
      <c r="O700" s="46">
        <f t="shared" si="10"/>
        <v>52</v>
      </c>
    </row>
    <row r="701" spans="3:15" x14ac:dyDescent="0.25">
      <c r="C701" s="24"/>
      <c r="D701" s="20"/>
      <c r="E701" s="4"/>
      <c r="F701" s="37"/>
      <c r="G701" s="24"/>
      <c r="H701" s="51">
        <f>Assumptions!$D$15</f>
        <v>0.1</v>
      </c>
      <c r="I701" s="45">
        <f>IF(SO[[#This Row],[GST applies?]] = "Yes", (SO[[#This Row],[Value inc. GST]] / 1 + SO[[#This Row],[GST %]]) * SO[[#This Row],[GST %]], 0)</f>
        <v>0</v>
      </c>
      <c r="J701" s="31">
        <f>_xlfn.XLOOKUP(SO[[#This Row],[Customer name]], Customer_master[Customer name], Customer_master[EOM or Net], 0)</f>
        <v>0</v>
      </c>
      <c r="K701" s="31">
        <f>_xlfn.XLOOKUP(SO[[#This Row],[Customer name]], Customer_master[Customer name], Customer_master[Terms days], 0)</f>
        <v>0</v>
      </c>
      <c r="L7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1" s="4"/>
      <c r="N701" s="46">
        <f>IF(SO[[#This Row],[Collection date - override (dd/mm/yyyy)]] &lt;&gt; "", SO[[#This Row],[Collection date - override (dd/mm/yyyy)]], SO[[#This Row],[Due date (dd/mm/yyyy)]])</f>
        <v>0</v>
      </c>
      <c r="O701" s="46">
        <f t="shared" si="10"/>
        <v>52</v>
      </c>
    </row>
    <row r="702" spans="3:15" x14ac:dyDescent="0.25">
      <c r="C702" s="24"/>
      <c r="D702" s="20"/>
      <c r="E702" s="4"/>
      <c r="F702" s="37"/>
      <c r="G702" s="24"/>
      <c r="H702" s="51">
        <f>Assumptions!$D$15</f>
        <v>0.1</v>
      </c>
      <c r="I702" s="45">
        <f>IF(SO[[#This Row],[GST applies?]] = "Yes", (SO[[#This Row],[Value inc. GST]] / 1 + SO[[#This Row],[GST %]]) * SO[[#This Row],[GST %]], 0)</f>
        <v>0</v>
      </c>
      <c r="J702" s="31">
        <f>_xlfn.XLOOKUP(SO[[#This Row],[Customer name]], Customer_master[Customer name], Customer_master[EOM or Net], 0)</f>
        <v>0</v>
      </c>
      <c r="K702" s="31">
        <f>_xlfn.XLOOKUP(SO[[#This Row],[Customer name]], Customer_master[Customer name], Customer_master[Terms days], 0)</f>
        <v>0</v>
      </c>
      <c r="L7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2" s="4"/>
      <c r="N702" s="46">
        <f>IF(SO[[#This Row],[Collection date - override (dd/mm/yyyy)]] &lt;&gt; "", SO[[#This Row],[Collection date - override (dd/mm/yyyy)]], SO[[#This Row],[Due date (dd/mm/yyyy)]])</f>
        <v>0</v>
      </c>
      <c r="O702" s="46">
        <f t="shared" si="10"/>
        <v>52</v>
      </c>
    </row>
    <row r="703" spans="3:15" x14ac:dyDescent="0.25">
      <c r="C703" s="24"/>
      <c r="D703" s="20"/>
      <c r="E703" s="4"/>
      <c r="F703" s="37"/>
      <c r="G703" s="24"/>
      <c r="H703" s="51">
        <f>Assumptions!$D$15</f>
        <v>0.1</v>
      </c>
      <c r="I703" s="45">
        <f>IF(SO[[#This Row],[GST applies?]] = "Yes", (SO[[#This Row],[Value inc. GST]] / 1 + SO[[#This Row],[GST %]]) * SO[[#This Row],[GST %]], 0)</f>
        <v>0</v>
      </c>
      <c r="J703" s="31">
        <f>_xlfn.XLOOKUP(SO[[#This Row],[Customer name]], Customer_master[Customer name], Customer_master[EOM or Net], 0)</f>
        <v>0</v>
      </c>
      <c r="K703" s="31">
        <f>_xlfn.XLOOKUP(SO[[#This Row],[Customer name]], Customer_master[Customer name], Customer_master[Terms days], 0)</f>
        <v>0</v>
      </c>
      <c r="L7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3" s="4"/>
      <c r="N703" s="46">
        <f>IF(SO[[#This Row],[Collection date - override (dd/mm/yyyy)]] &lt;&gt; "", SO[[#This Row],[Collection date - override (dd/mm/yyyy)]], SO[[#This Row],[Due date (dd/mm/yyyy)]])</f>
        <v>0</v>
      </c>
      <c r="O703" s="46">
        <f t="shared" si="10"/>
        <v>52</v>
      </c>
    </row>
    <row r="704" spans="3:15" x14ac:dyDescent="0.25">
      <c r="C704" s="24"/>
      <c r="D704" s="20"/>
      <c r="E704" s="4"/>
      <c r="F704" s="37"/>
      <c r="G704" s="24"/>
      <c r="H704" s="51">
        <f>Assumptions!$D$15</f>
        <v>0.1</v>
      </c>
      <c r="I704" s="45">
        <f>IF(SO[[#This Row],[GST applies?]] = "Yes", (SO[[#This Row],[Value inc. GST]] / 1 + SO[[#This Row],[GST %]]) * SO[[#This Row],[GST %]], 0)</f>
        <v>0</v>
      </c>
      <c r="J704" s="31">
        <f>_xlfn.XLOOKUP(SO[[#This Row],[Customer name]], Customer_master[Customer name], Customer_master[EOM or Net], 0)</f>
        <v>0</v>
      </c>
      <c r="K704" s="31">
        <f>_xlfn.XLOOKUP(SO[[#This Row],[Customer name]], Customer_master[Customer name], Customer_master[Terms days], 0)</f>
        <v>0</v>
      </c>
      <c r="L7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4" s="4"/>
      <c r="N704" s="46">
        <f>IF(SO[[#This Row],[Collection date - override (dd/mm/yyyy)]] &lt;&gt; "", SO[[#This Row],[Collection date - override (dd/mm/yyyy)]], SO[[#This Row],[Due date (dd/mm/yyyy)]])</f>
        <v>0</v>
      </c>
      <c r="O704" s="46">
        <f t="shared" si="10"/>
        <v>52</v>
      </c>
    </row>
    <row r="705" spans="3:15" x14ac:dyDescent="0.25">
      <c r="C705" s="24"/>
      <c r="D705" s="20"/>
      <c r="E705" s="4"/>
      <c r="F705" s="37"/>
      <c r="G705" s="24"/>
      <c r="H705" s="51">
        <f>Assumptions!$D$15</f>
        <v>0.1</v>
      </c>
      <c r="I705" s="45">
        <f>IF(SO[[#This Row],[GST applies?]] = "Yes", (SO[[#This Row],[Value inc. GST]] / 1 + SO[[#This Row],[GST %]]) * SO[[#This Row],[GST %]], 0)</f>
        <v>0</v>
      </c>
      <c r="J705" s="31">
        <f>_xlfn.XLOOKUP(SO[[#This Row],[Customer name]], Customer_master[Customer name], Customer_master[EOM or Net], 0)</f>
        <v>0</v>
      </c>
      <c r="K705" s="31">
        <f>_xlfn.XLOOKUP(SO[[#This Row],[Customer name]], Customer_master[Customer name], Customer_master[Terms days], 0)</f>
        <v>0</v>
      </c>
      <c r="L7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5" s="4"/>
      <c r="N705" s="46">
        <f>IF(SO[[#This Row],[Collection date - override (dd/mm/yyyy)]] &lt;&gt; "", SO[[#This Row],[Collection date - override (dd/mm/yyyy)]], SO[[#This Row],[Due date (dd/mm/yyyy)]])</f>
        <v>0</v>
      </c>
      <c r="O705" s="46">
        <f t="shared" si="10"/>
        <v>52</v>
      </c>
    </row>
    <row r="706" spans="3:15" x14ac:dyDescent="0.25">
      <c r="C706" s="24"/>
      <c r="D706" s="20"/>
      <c r="E706" s="4"/>
      <c r="F706" s="37"/>
      <c r="G706" s="24"/>
      <c r="H706" s="51">
        <f>Assumptions!$D$15</f>
        <v>0.1</v>
      </c>
      <c r="I706" s="45">
        <f>IF(SO[[#This Row],[GST applies?]] = "Yes", (SO[[#This Row],[Value inc. GST]] / 1 + SO[[#This Row],[GST %]]) * SO[[#This Row],[GST %]], 0)</f>
        <v>0</v>
      </c>
      <c r="J706" s="31">
        <f>_xlfn.XLOOKUP(SO[[#This Row],[Customer name]], Customer_master[Customer name], Customer_master[EOM or Net], 0)</f>
        <v>0</v>
      </c>
      <c r="K706" s="31">
        <f>_xlfn.XLOOKUP(SO[[#This Row],[Customer name]], Customer_master[Customer name], Customer_master[Terms days], 0)</f>
        <v>0</v>
      </c>
      <c r="L7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6" s="4"/>
      <c r="N706" s="46">
        <f>IF(SO[[#This Row],[Collection date - override (dd/mm/yyyy)]] &lt;&gt; "", SO[[#This Row],[Collection date - override (dd/mm/yyyy)]], SO[[#This Row],[Due date (dd/mm/yyyy)]])</f>
        <v>0</v>
      </c>
      <c r="O706" s="46">
        <f t="shared" si="10"/>
        <v>52</v>
      </c>
    </row>
    <row r="707" spans="3:15" x14ac:dyDescent="0.25">
      <c r="C707" s="24"/>
      <c r="D707" s="20"/>
      <c r="E707" s="4"/>
      <c r="F707" s="37"/>
      <c r="G707" s="24"/>
      <c r="H707" s="51">
        <f>Assumptions!$D$15</f>
        <v>0.1</v>
      </c>
      <c r="I707" s="45">
        <f>IF(SO[[#This Row],[GST applies?]] = "Yes", (SO[[#This Row],[Value inc. GST]] / 1 + SO[[#This Row],[GST %]]) * SO[[#This Row],[GST %]], 0)</f>
        <v>0</v>
      </c>
      <c r="J707" s="31">
        <f>_xlfn.XLOOKUP(SO[[#This Row],[Customer name]], Customer_master[Customer name], Customer_master[EOM or Net], 0)</f>
        <v>0</v>
      </c>
      <c r="K707" s="31">
        <f>_xlfn.XLOOKUP(SO[[#This Row],[Customer name]], Customer_master[Customer name], Customer_master[Terms days], 0)</f>
        <v>0</v>
      </c>
      <c r="L7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7" s="4"/>
      <c r="N707" s="46">
        <f>IF(SO[[#This Row],[Collection date - override (dd/mm/yyyy)]] &lt;&gt; "", SO[[#This Row],[Collection date - override (dd/mm/yyyy)]], SO[[#This Row],[Due date (dd/mm/yyyy)]])</f>
        <v>0</v>
      </c>
      <c r="O707" s="46">
        <f t="shared" si="10"/>
        <v>52</v>
      </c>
    </row>
    <row r="708" spans="3:15" x14ac:dyDescent="0.25">
      <c r="C708" s="24"/>
      <c r="D708" s="20"/>
      <c r="E708" s="4"/>
      <c r="F708" s="37"/>
      <c r="G708" s="24"/>
      <c r="H708" s="51">
        <f>Assumptions!$D$15</f>
        <v>0.1</v>
      </c>
      <c r="I708" s="45">
        <f>IF(SO[[#This Row],[GST applies?]] = "Yes", (SO[[#This Row],[Value inc. GST]] / 1 + SO[[#This Row],[GST %]]) * SO[[#This Row],[GST %]], 0)</f>
        <v>0</v>
      </c>
      <c r="J708" s="31">
        <f>_xlfn.XLOOKUP(SO[[#This Row],[Customer name]], Customer_master[Customer name], Customer_master[EOM or Net], 0)</f>
        <v>0</v>
      </c>
      <c r="K708" s="31">
        <f>_xlfn.XLOOKUP(SO[[#This Row],[Customer name]], Customer_master[Customer name], Customer_master[Terms days], 0)</f>
        <v>0</v>
      </c>
      <c r="L7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8" s="4"/>
      <c r="N708" s="46">
        <f>IF(SO[[#This Row],[Collection date - override (dd/mm/yyyy)]] &lt;&gt; "", SO[[#This Row],[Collection date - override (dd/mm/yyyy)]], SO[[#This Row],[Due date (dd/mm/yyyy)]])</f>
        <v>0</v>
      </c>
      <c r="O708" s="46">
        <f t="shared" si="10"/>
        <v>52</v>
      </c>
    </row>
    <row r="709" spans="3:15" x14ac:dyDescent="0.25">
      <c r="C709" s="24"/>
      <c r="D709" s="20"/>
      <c r="E709" s="4"/>
      <c r="F709" s="37"/>
      <c r="G709" s="24"/>
      <c r="H709" s="51">
        <f>Assumptions!$D$15</f>
        <v>0.1</v>
      </c>
      <c r="I709" s="45">
        <f>IF(SO[[#This Row],[GST applies?]] = "Yes", (SO[[#This Row],[Value inc. GST]] / 1 + SO[[#This Row],[GST %]]) * SO[[#This Row],[GST %]], 0)</f>
        <v>0</v>
      </c>
      <c r="J709" s="31">
        <f>_xlfn.XLOOKUP(SO[[#This Row],[Customer name]], Customer_master[Customer name], Customer_master[EOM or Net], 0)</f>
        <v>0</v>
      </c>
      <c r="K709" s="31">
        <f>_xlfn.XLOOKUP(SO[[#This Row],[Customer name]], Customer_master[Customer name], Customer_master[Terms days], 0)</f>
        <v>0</v>
      </c>
      <c r="L7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9" s="4"/>
      <c r="N709" s="46">
        <f>IF(SO[[#This Row],[Collection date - override (dd/mm/yyyy)]] &lt;&gt; "", SO[[#This Row],[Collection date - override (dd/mm/yyyy)]], SO[[#This Row],[Due date (dd/mm/yyyy)]])</f>
        <v>0</v>
      </c>
      <c r="O709" s="46">
        <f t="shared" si="10"/>
        <v>52</v>
      </c>
    </row>
    <row r="710" spans="3:15" x14ac:dyDescent="0.25">
      <c r="C710" s="24"/>
      <c r="D710" s="20"/>
      <c r="E710" s="4"/>
      <c r="F710" s="37"/>
      <c r="G710" s="24"/>
      <c r="H710" s="51">
        <f>Assumptions!$D$15</f>
        <v>0.1</v>
      </c>
      <c r="I710" s="45">
        <f>IF(SO[[#This Row],[GST applies?]] = "Yes", (SO[[#This Row],[Value inc. GST]] / 1 + SO[[#This Row],[GST %]]) * SO[[#This Row],[GST %]], 0)</f>
        <v>0</v>
      </c>
      <c r="J710" s="31">
        <f>_xlfn.XLOOKUP(SO[[#This Row],[Customer name]], Customer_master[Customer name], Customer_master[EOM or Net], 0)</f>
        <v>0</v>
      </c>
      <c r="K710" s="31">
        <f>_xlfn.XLOOKUP(SO[[#This Row],[Customer name]], Customer_master[Customer name], Customer_master[Terms days], 0)</f>
        <v>0</v>
      </c>
      <c r="L7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0" s="4"/>
      <c r="N710" s="46">
        <f>IF(SO[[#This Row],[Collection date - override (dd/mm/yyyy)]] &lt;&gt; "", SO[[#This Row],[Collection date - override (dd/mm/yyyy)]], SO[[#This Row],[Due date (dd/mm/yyyy)]])</f>
        <v>0</v>
      </c>
      <c r="O710" s="46">
        <f t="shared" si="10"/>
        <v>52</v>
      </c>
    </row>
    <row r="711" spans="3:15" x14ac:dyDescent="0.25">
      <c r="C711" s="24"/>
      <c r="D711" s="20"/>
      <c r="E711" s="4"/>
      <c r="F711" s="37"/>
      <c r="G711" s="24"/>
      <c r="H711" s="51">
        <f>Assumptions!$D$15</f>
        <v>0.1</v>
      </c>
      <c r="I711" s="45">
        <f>IF(SO[[#This Row],[GST applies?]] = "Yes", (SO[[#This Row],[Value inc. GST]] / 1 + SO[[#This Row],[GST %]]) * SO[[#This Row],[GST %]], 0)</f>
        <v>0</v>
      </c>
      <c r="J711" s="31">
        <f>_xlfn.XLOOKUP(SO[[#This Row],[Customer name]], Customer_master[Customer name], Customer_master[EOM or Net], 0)</f>
        <v>0</v>
      </c>
      <c r="K711" s="31">
        <f>_xlfn.XLOOKUP(SO[[#This Row],[Customer name]], Customer_master[Customer name], Customer_master[Terms days], 0)</f>
        <v>0</v>
      </c>
      <c r="L7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1" s="4"/>
      <c r="N711" s="46">
        <f>IF(SO[[#This Row],[Collection date - override (dd/mm/yyyy)]] &lt;&gt; "", SO[[#This Row],[Collection date - override (dd/mm/yyyy)]], SO[[#This Row],[Due date (dd/mm/yyyy)]])</f>
        <v>0</v>
      </c>
      <c r="O711" s="46">
        <f t="shared" si="10"/>
        <v>52</v>
      </c>
    </row>
    <row r="712" spans="3:15" x14ac:dyDescent="0.25">
      <c r="C712" s="24"/>
      <c r="D712" s="20"/>
      <c r="E712" s="4"/>
      <c r="F712" s="37"/>
      <c r="G712" s="24"/>
      <c r="H712" s="51">
        <f>Assumptions!$D$15</f>
        <v>0.1</v>
      </c>
      <c r="I712" s="45">
        <f>IF(SO[[#This Row],[GST applies?]] = "Yes", (SO[[#This Row],[Value inc. GST]] / 1 + SO[[#This Row],[GST %]]) * SO[[#This Row],[GST %]], 0)</f>
        <v>0</v>
      </c>
      <c r="J712" s="31">
        <f>_xlfn.XLOOKUP(SO[[#This Row],[Customer name]], Customer_master[Customer name], Customer_master[EOM or Net], 0)</f>
        <v>0</v>
      </c>
      <c r="K712" s="31">
        <f>_xlfn.XLOOKUP(SO[[#This Row],[Customer name]], Customer_master[Customer name], Customer_master[Terms days], 0)</f>
        <v>0</v>
      </c>
      <c r="L7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2" s="4"/>
      <c r="N712" s="46">
        <f>IF(SO[[#This Row],[Collection date - override (dd/mm/yyyy)]] &lt;&gt; "", SO[[#This Row],[Collection date - override (dd/mm/yyyy)]], SO[[#This Row],[Due date (dd/mm/yyyy)]])</f>
        <v>0</v>
      </c>
      <c r="O712" s="46">
        <f t="shared" si="10"/>
        <v>52</v>
      </c>
    </row>
    <row r="713" spans="3:15" x14ac:dyDescent="0.25">
      <c r="C713" s="24"/>
      <c r="D713" s="20"/>
      <c r="E713" s="4"/>
      <c r="F713" s="37"/>
      <c r="G713" s="24"/>
      <c r="H713" s="51">
        <f>Assumptions!$D$15</f>
        <v>0.1</v>
      </c>
      <c r="I713" s="45">
        <f>IF(SO[[#This Row],[GST applies?]] = "Yes", (SO[[#This Row],[Value inc. GST]] / 1 + SO[[#This Row],[GST %]]) * SO[[#This Row],[GST %]], 0)</f>
        <v>0</v>
      </c>
      <c r="J713" s="31">
        <f>_xlfn.XLOOKUP(SO[[#This Row],[Customer name]], Customer_master[Customer name], Customer_master[EOM or Net], 0)</f>
        <v>0</v>
      </c>
      <c r="K713" s="31">
        <f>_xlfn.XLOOKUP(SO[[#This Row],[Customer name]], Customer_master[Customer name], Customer_master[Terms days], 0)</f>
        <v>0</v>
      </c>
      <c r="L7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3" s="4"/>
      <c r="N713" s="46">
        <f>IF(SO[[#This Row],[Collection date - override (dd/mm/yyyy)]] &lt;&gt; "", SO[[#This Row],[Collection date - override (dd/mm/yyyy)]], SO[[#This Row],[Due date (dd/mm/yyyy)]])</f>
        <v>0</v>
      </c>
      <c r="O713" s="46">
        <f t="shared" ref="O713:O776" si="11">IF(GST_Freq="Monthly",
    DATE(YEAR(E713), MONTH(E713) + 1, 21),
    IF(GST_Freq="Quarterly",
        IF(MOD(MONTH(E713) + 2 - MOD(MOD(MONTH(E713) - GST_First_Month, 12), 3), 12) = 0,
            DATE(YEAR(E713), MONTH(E713) + 4 - MOD(MOD(MONTH(E713) - GST_First_Month, 12), 3), 28),
            DATE(YEAR(E713), MONTH(E713) + 3 - MOD(MOD(MONTH(E713) - GST_First_Month, 12), 3), 28)
        ),
        "Invalid frequency"
    )
)</f>
        <v>52</v>
      </c>
    </row>
    <row r="714" spans="3:15" x14ac:dyDescent="0.25">
      <c r="C714" s="24"/>
      <c r="D714" s="20"/>
      <c r="E714" s="4"/>
      <c r="F714" s="37"/>
      <c r="G714" s="24"/>
      <c r="H714" s="51">
        <f>Assumptions!$D$15</f>
        <v>0.1</v>
      </c>
      <c r="I714" s="45">
        <f>IF(SO[[#This Row],[GST applies?]] = "Yes", (SO[[#This Row],[Value inc. GST]] / 1 + SO[[#This Row],[GST %]]) * SO[[#This Row],[GST %]], 0)</f>
        <v>0</v>
      </c>
      <c r="J714" s="31">
        <f>_xlfn.XLOOKUP(SO[[#This Row],[Customer name]], Customer_master[Customer name], Customer_master[EOM or Net], 0)</f>
        <v>0</v>
      </c>
      <c r="K714" s="31">
        <f>_xlfn.XLOOKUP(SO[[#This Row],[Customer name]], Customer_master[Customer name], Customer_master[Terms days], 0)</f>
        <v>0</v>
      </c>
      <c r="L7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4" s="4"/>
      <c r="N714" s="46">
        <f>IF(SO[[#This Row],[Collection date - override (dd/mm/yyyy)]] &lt;&gt; "", SO[[#This Row],[Collection date - override (dd/mm/yyyy)]], SO[[#This Row],[Due date (dd/mm/yyyy)]])</f>
        <v>0</v>
      </c>
      <c r="O714" s="46">
        <f t="shared" si="11"/>
        <v>52</v>
      </c>
    </row>
    <row r="715" spans="3:15" x14ac:dyDescent="0.25">
      <c r="C715" s="24"/>
      <c r="D715" s="20"/>
      <c r="E715" s="4"/>
      <c r="F715" s="37"/>
      <c r="G715" s="24"/>
      <c r="H715" s="51">
        <f>Assumptions!$D$15</f>
        <v>0.1</v>
      </c>
      <c r="I715" s="45">
        <f>IF(SO[[#This Row],[GST applies?]] = "Yes", (SO[[#This Row],[Value inc. GST]] / 1 + SO[[#This Row],[GST %]]) * SO[[#This Row],[GST %]], 0)</f>
        <v>0</v>
      </c>
      <c r="J715" s="31">
        <f>_xlfn.XLOOKUP(SO[[#This Row],[Customer name]], Customer_master[Customer name], Customer_master[EOM or Net], 0)</f>
        <v>0</v>
      </c>
      <c r="K715" s="31">
        <f>_xlfn.XLOOKUP(SO[[#This Row],[Customer name]], Customer_master[Customer name], Customer_master[Terms days], 0)</f>
        <v>0</v>
      </c>
      <c r="L7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5" s="4"/>
      <c r="N715" s="46">
        <f>IF(SO[[#This Row],[Collection date - override (dd/mm/yyyy)]] &lt;&gt; "", SO[[#This Row],[Collection date - override (dd/mm/yyyy)]], SO[[#This Row],[Due date (dd/mm/yyyy)]])</f>
        <v>0</v>
      </c>
      <c r="O715" s="46">
        <f t="shared" si="11"/>
        <v>52</v>
      </c>
    </row>
    <row r="716" spans="3:15" x14ac:dyDescent="0.25">
      <c r="C716" s="24"/>
      <c r="D716" s="20"/>
      <c r="E716" s="4"/>
      <c r="F716" s="37"/>
      <c r="G716" s="24"/>
      <c r="H716" s="51">
        <f>Assumptions!$D$15</f>
        <v>0.1</v>
      </c>
      <c r="I716" s="45">
        <f>IF(SO[[#This Row],[GST applies?]] = "Yes", (SO[[#This Row],[Value inc. GST]] / 1 + SO[[#This Row],[GST %]]) * SO[[#This Row],[GST %]], 0)</f>
        <v>0</v>
      </c>
      <c r="J716" s="31">
        <f>_xlfn.XLOOKUP(SO[[#This Row],[Customer name]], Customer_master[Customer name], Customer_master[EOM or Net], 0)</f>
        <v>0</v>
      </c>
      <c r="K716" s="31">
        <f>_xlfn.XLOOKUP(SO[[#This Row],[Customer name]], Customer_master[Customer name], Customer_master[Terms days], 0)</f>
        <v>0</v>
      </c>
      <c r="L7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6" s="4"/>
      <c r="N716" s="46">
        <f>IF(SO[[#This Row],[Collection date - override (dd/mm/yyyy)]] &lt;&gt; "", SO[[#This Row],[Collection date - override (dd/mm/yyyy)]], SO[[#This Row],[Due date (dd/mm/yyyy)]])</f>
        <v>0</v>
      </c>
      <c r="O716" s="46">
        <f t="shared" si="11"/>
        <v>52</v>
      </c>
    </row>
    <row r="717" spans="3:15" x14ac:dyDescent="0.25">
      <c r="C717" s="24"/>
      <c r="D717" s="20"/>
      <c r="E717" s="4"/>
      <c r="F717" s="37"/>
      <c r="G717" s="24"/>
      <c r="H717" s="51">
        <f>Assumptions!$D$15</f>
        <v>0.1</v>
      </c>
      <c r="I717" s="45">
        <f>IF(SO[[#This Row],[GST applies?]] = "Yes", (SO[[#This Row],[Value inc. GST]] / 1 + SO[[#This Row],[GST %]]) * SO[[#This Row],[GST %]], 0)</f>
        <v>0</v>
      </c>
      <c r="J717" s="31">
        <f>_xlfn.XLOOKUP(SO[[#This Row],[Customer name]], Customer_master[Customer name], Customer_master[EOM or Net], 0)</f>
        <v>0</v>
      </c>
      <c r="K717" s="31">
        <f>_xlfn.XLOOKUP(SO[[#This Row],[Customer name]], Customer_master[Customer name], Customer_master[Terms days], 0)</f>
        <v>0</v>
      </c>
      <c r="L7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7" s="4"/>
      <c r="N717" s="46">
        <f>IF(SO[[#This Row],[Collection date - override (dd/mm/yyyy)]] &lt;&gt; "", SO[[#This Row],[Collection date - override (dd/mm/yyyy)]], SO[[#This Row],[Due date (dd/mm/yyyy)]])</f>
        <v>0</v>
      </c>
      <c r="O717" s="46">
        <f t="shared" si="11"/>
        <v>52</v>
      </c>
    </row>
    <row r="718" spans="3:15" x14ac:dyDescent="0.25">
      <c r="C718" s="24"/>
      <c r="D718" s="20"/>
      <c r="E718" s="4"/>
      <c r="F718" s="37"/>
      <c r="G718" s="24"/>
      <c r="H718" s="51">
        <f>Assumptions!$D$15</f>
        <v>0.1</v>
      </c>
      <c r="I718" s="45">
        <f>IF(SO[[#This Row],[GST applies?]] = "Yes", (SO[[#This Row],[Value inc. GST]] / 1 + SO[[#This Row],[GST %]]) * SO[[#This Row],[GST %]], 0)</f>
        <v>0</v>
      </c>
      <c r="J718" s="31">
        <f>_xlfn.XLOOKUP(SO[[#This Row],[Customer name]], Customer_master[Customer name], Customer_master[EOM or Net], 0)</f>
        <v>0</v>
      </c>
      <c r="K718" s="31">
        <f>_xlfn.XLOOKUP(SO[[#This Row],[Customer name]], Customer_master[Customer name], Customer_master[Terms days], 0)</f>
        <v>0</v>
      </c>
      <c r="L7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8" s="4"/>
      <c r="N718" s="46">
        <f>IF(SO[[#This Row],[Collection date - override (dd/mm/yyyy)]] &lt;&gt; "", SO[[#This Row],[Collection date - override (dd/mm/yyyy)]], SO[[#This Row],[Due date (dd/mm/yyyy)]])</f>
        <v>0</v>
      </c>
      <c r="O718" s="46">
        <f t="shared" si="11"/>
        <v>52</v>
      </c>
    </row>
    <row r="719" spans="3:15" x14ac:dyDescent="0.25">
      <c r="C719" s="24"/>
      <c r="D719" s="20"/>
      <c r="E719" s="4"/>
      <c r="F719" s="37"/>
      <c r="G719" s="24"/>
      <c r="H719" s="51">
        <f>Assumptions!$D$15</f>
        <v>0.1</v>
      </c>
      <c r="I719" s="45">
        <f>IF(SO[[#This Row],[GST applies?]] = "Yes", (SO[[#This Row],[Value inc. GST]] / 1 + SO[[#This Row],[GST %]]) * SO[[#This Row],[GST %]], 0)</f>
        <v>0</v>
      </c>
      <c r="J719" s="31">
        <f>_xlfn.XLOOKUP(SO[[#This Row],[Customer name]], Customer_master[Customer name], Customer_master[EOM or Net], 0)</f>
        <v>0</v>
      </c>
      <c r="K719" s="31">
        <f>_xlfn.XLOOKUP(SO[[#This Row],[Customer name]], Customer_master[Customer name], Customer_master[Terms days], 0)</f>
        <v>0</v>
      </c>
      <c r="L7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9" s="4"/>
      <c r="N719" s="46">
        <f>IF(SO[[#This Row],[Collection date - override (dd/mm/yyyy)]] &lt;&gt; "", SO[[#This Row],[Collection date - override (dd/mm/yyyy)]], SO[[#This Row],[Due date (dd/mm/yyyy)]])</f>
        <v>0</v>
      </c>
      <c r="O719" s="46">
        <f t="shared" si="11"/>
        <v>52</v>
      </c>
    </row>
    <row r="720" spans="3:15" x14ac:dyDescent="0.25">
      <c r="C720" s="24"/>
      <c r="D720" s="20"/>
      <c r="E720" s="4"/>
      <c r="F720" s="37"/>
      <c r="G720" s="24"/>
      <c r="H720" s="51">
        <f>Assumptions!$D$15</f>
        <v>0.1</v>
      </c>
      <c r="I720" s="45">
        <f>IF(SO[[#This Row],[GST applies?]] = "Yes", (SO[[#This Row],[Value inc. GST]] / 1 + SO[[#This Row],[GST %]]) * SO[[#This Row],[GST %]], 0)</f>
        <v>0</v>
      </c>
      <c r="J720" s="31">
        <f>_xlfn.XLOOKUP(SO[[#This Row],[Customer name]], Customer_master[Customer name], Customer_master[EOM or Net], 0)</f>
        <v>0</v>
      </c>
      <c r="K720" s="31">
        <f>_xlfn.XLOOKUP(SO[[#This Row],[Customer name]], Customer_master[Customer name], Customer_master[Terms days], 0)</f>
        <v>0</v>
      </c>
      <c r="L7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0" s="4"/>
      <c r="N720" s="46">
        <f>IF(SO[[#This Row],[Collection date - override (dd/mm/yyyy)]] &lt;&gt; "", SO[[#This Row],[Collection date - override (dd/mm/yyyy)]], SO[[#This Row],[Due date (dd/mm/yyyy)]])</f>
        <v>0</v>
      </c>
      <c r="O720" s="46">
        <f t="shared" si="11"/>
        <v>52</v>
      </c>
    </row>
    <row r="721" spans="3:15" x14ac:dyDescent="0.25">
      <c r="C721" s="24"/>
      <c r="D721" s="20"/>
      <c r="E721" s="4"/>
      <c r="F721" s="37"/>
      <c r="G721" s="24"/>
      <c r="H721" s="51">
        <f>Assumptions!$D$15</f>
        <v>0.1</v>
      </c>
      <c r="I721" s="45">
        <f>IF(SO[[#This Row],[GST applies?]] = "Yes", (SO[[#This Row],[Value inc. GST]] / 1 + SO[[#This Row],[GST %]]) * SO[[#This Row],[GST %]], 0)</f>
        <v>0</v>
      </c>
      <c r="J721" s="31">
        <f>_xlfn.XLOOKUP(SO[[#This Row],[Customer name]], Customer_master[Customer name], Customer_master[EOM or Net], 0)</f>
        <v>0</v>
      </c>
      <c r="K721" s="31">
        <f>_xlfn.XLOOKUP(SO[[#This Row],[Customer name]], Customer_master[Customer name], Customer_master[Terms days], 0)</f>
        <v>0</v>
      </c>
      <c r="L7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1" s="4"/>
      <c r="N721" s="46">
        <f>IF(SO[[#This Row],[Collection date - override (dd/mm/yyyy)]] &lt;&gt; "", SO[[#This Row],[Collection date - override (dd/mm/yyyy)]], SO[[#This Row],[Due date (dd/mm/yyyy)]])</f>
        <v>0</v>
      </c>
      <c r="O721" s="46">
        <f t="shared" si="11"/>
        <v>52</v>
      </c>
    </row>
    <row r="722" spans="3:15" x14ac:dyDescent="0.25">
      <c r="C722" s="24"/>
      <c r="D722" s="20"/>
      <c r="E722" s="4"/>
      <c r="F722" s="37"/>
      <c r="G722" s="24"/>
      <c r="H722" s="51">
        <f>Assumptions!$D$15</f>
        <v>0.1</v>
      </c>
      <c r="I722" s="45">
        <f>IF(SO[[#This Row],[GST applies?]] = "Yes", (SO[[#This Row],[Value inc. GST]] / 1 + SO[[#This Row],[GST %]]) * SO[[#This Row],[GST %]], 0)</f>
        <v>0</v>
      </c>
      <c r="J722" s="31">
        <f>_xlfn.XLOOKUP(SO[[#This Row],[Customer name]], Customer_master[Customer name], Customer_master[EOM or Net], 0)</f>
        <v>0</v>
      </c>
      <c r="K722" s="31">
        <f>_xlfn.XLOOKUP(SO[[#This Row],[Customer name]], Customer_master[Customer name], Customer_master[Terms days], 0)</f>
        <v>0</v>
      </c>
      <c r="L7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2" s="4"/>
      <c r="N722" s="46">
        <f>IF(SO[[#This Row],[Collection date - override (dd/mm/yyyy)]] &lt;&gt; "", SO[[#This Row],[Collection date - override (dd/mm/yyyy)]], SO[[#This Row],[Due date (dd/mm/yyyy)]])</f>
        <v>0</v>
      </c>
      <c r="O722" s="46">
        <f t="shared" si="11"/>
        <v>52</v>
      </c>
    </row>
    <row r="723" spans="3:15" x14ac:dyDescent="0.25">
      <c r="C723" s="24"/>
      <c r="D723" s="20"/>
      <c r="E723" s="4"/>
      <c r="F723" s="37"/>
      <c r="G723" s="24"/>
      <c r="H723" s="51">
        <f>Assumptions!$D$15</f>
        <v>0.1</v>
      </c>
      <c r="I723" s="45">
        <f>IF(SO[[#This Row],[GST applies?]] = "Yes", (SO[[#This Row],[Value inc. GST]] / 1 + SO[[#This Row],[GST %]]) * SO[[#This Row],[GST %]], 0)</f>
        <v>0</v>
      </c>
      <c r="J723" s="31">
        <f>_xlfn.XLOOKUP(SO[[#This Row],[Customer name]], Customer_master[Customer name], Customer_master[EOM or Net], 0)</f>
        <v>0</v>
      </c>
      <c r="K723" s="31">
        <f>_xlfn.XLOOKUP(SO[[#This Row],[Customer name]], Customer_master[Customer name], Customer_master[Terms days], 0)</f>
        <v>0</v>
      </c>
      <c r="L7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3" s="4"/>
      <c r="N723" s="46">
        <f>IF(SO[[#This Row],[Collection date - override (dd/mm/yyyy)]] &lt;&gt; "", SO[[#This Row],[Collection date - override (dd/mm/yyyy)]], SO[[#This Row],[Due date (dd/mm/yyyy)]])</f>
        <v>0</v>
      </c>
      <c r="O723" s="46">
        <f t="shared" si="11"/>
        <v>52</v>
      </c>
    </row>
    <row r="724" spans="3:15" x14ac:dyDescent="0.25">
      <c r="C724" s="24"/>
      <c r="D724" s="20"/>
      <c r="E724" s="4"/>
      <c r="F724" s="37"/>
      <c r="G724" s="24"/>
      <c r="H724" s="51">
        <f>Assumptions!$D$15</f>
        <v>0.1</v>
      </c>
      <c r="I724" s="45">
        <f>IF(SO[[#This Row],[GST applies?]] = "Yes", (SO[[#This Row],[Value inc. GST]] / 1 + SO[[#This Row],[GST %]]) * SO[[#This Row],[GST %]], 0)</f>
        <v>0</v>
      </c>
      <c r="J724" s="31">
        <f>_xlfn.XLOOKUP(SO[[#This Row],[Customer name]], Customer_master[Customer name], Customer_master[EOM or Net], 0)</f>
        <v>0</v>
      </c>
      <c r="K724" s="31">
        <f>_xlfn.XLOOKUP(SO[[#This Row],[Customer name]], Customer_master[Customer name], Customer_master[Terms days], 0)</f>
        <v>0</v>
      </c>
      <c r="L7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4" s="4"/>
      <c r="N724" s="46">
        <f>IF(SO[[#This Row],[Collection date - override (dd/mm/yyyy)]] &lt;&gt; "", SO[[#This Row],[Collection date - override (dd/mm/yyyy)]], SO[[#This Row],[Due date (dd/mm/yyyy)]])</f>
        <v>0</v>
      </c>
      <c r="O724" s="46">
        <f t="shared" si="11"/>
        <v>52</v>
      </c>
    </row>
    <row r="725" spans="3:15" x14ac:dyDescent="0.25">
      <c r="C725" s="24"/>
      <c r="D725" s="20"/>
      <c r="E725" s="4"/>
      <c r="F725" s="37"/>
      <c r="G725" s="24"/>
      <c r="H725" s="51">
        <f>Assumptions!$D$15</f>
        <v>0.1</v>
      </c>
      <c r="I725" s="45">
        <f>IF(SO[[#This Row],[GST applies?]] = "Yes", (SO[[#This Row],[Value inc. GST]] / 1 + SO[[#This Row],[GST %]]) * SO[[#This Row],[GST %]], 0)</f>
        <v>0</v>
      </c>
      <c r="J725" s="31">
        <f>_xlfn.XLOOKUP(SO[[#This Row],[Customer name]], Customer_master[Customer name], Customer_master[EOM or Net], 0)</f>
        <v>0</v>
      </c>
      <c r="K725" s="31">
        <f>_xlfn.XLOOKUP(SO[[#This Row],[Customer name]], Customer_master[Customer name], Customer_master[Terms days], 0)</f>
        <v>0</v>
      </c>
      <c r="L7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5" s="4"/>
      <c r="N725" s="46">
        <f>IF(SO[[#This Row],[Collection date - override (dd/mm/yyyy)]] &lt;&gt; "", SO[[#This Row],[Collection date - override (dd/mm/yyyy)]], SO[[#This Row],[Due date (dd/mm/yyyy)]])</f>
        <v>0</v>
      </c>
      <c r="O725" s="46">
        <f t="shared" si="11"/>
        <v>52</v>
      </c>
    </row>
    <row r="726" spans="3:15" x14ac:dyDescent="0.25">
      <c r="C726" s="24"/>
      <c r="D726" s="20"/>
      <c r="E726" s="4"/>
      <c r="F726" s="37"/>
      <c r="G726" s="24"/>
      <c r="H726" s="51">
        <f>Assumptions!$D$15</f>
        <v>0.1</v>
      </c>
      <c r="I726" s="45">
        <f>IF(SO[[#This Row],[GST applies?]] = "Yes", (SO[[#This Row],[Value inc. GST]] / 1 + SO[[#This Row],[GST %]]) * SO[[#This Row],[GST %]], 0)</f>
        <v>0</v>
      </c>
      <c r="J726" s="31">
        <f>_xlfn.XLOOKUP(SO[[#This Row],[Customer name]], Customer_master[Customer name], Customer_master[EOM or Net], 0)</f>
        <v>0</v>
      </c>
      <c r="K726" s="31">
        <f>_xlfn.XLOOKUP(SO[[#This Row],[Customer name]], Customer_master[Customer name], Customer_master[Terms days], 0)</f>
        <v>0</v>
      </c>
      <c r="L7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6" s="4"/>
      <c r="N726" s="46">
        <f>IF(SO[[#This Row],[Collection date - override (dd/mm/yyyy)]] &lt;&gt; "", SO[[#This Row],[Collection date - override (dd/mm/yyyy)]], SO[[#This Row],[Due date (dd/mm/yyyy)]])</f>
        <v>0</v>
      </c>
      <c r="O726" s="46">
        <f t="shared" si="11"/>
        <v>52</v>
      </c>
    </row>
    <row r="727" spans="3:15" x14ac:dyDescent="0.25">
      <c r="C727" s="24"/>
      <c r="D727" s="20"/>
      <c r="E727" s="4"/>
      <c r="F727" s="37"/>
      <c r="G727" s="24"/>
      <c r="H727" s="51">
        <f>Assumptions!$D$15</f>
        <v>0.1</v>
      </c>
      <c r="I727" s="45">
        <f>IF(SO[[#This Row],[GST applies?]] = "Yes", (SO[[#This Row],[Value inc. GST]] / 1 + SO[[#This Row],[GST %]]) * SO[[#This Row],[GST %]], 0)</f>
        <v>0</v>
      </c>
      <c r="J727" s="31">
        <f>_xlfn.XLOOKUP(SO[[#This Row],[Customer name]], Customer_master[Customer name], Customer_master[EOM or Net], 0)</f>
        <v>0</v>
      </c>
      <c r="K727" s="31">
        <f>_xlfn.XLOOKUP(SO[[#This Row],[Customer name]], Customer_master[Customer name], Customer_master[Terms days], 0)</f>
        <v>0</v>
      </c>
      <c r="L7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7" s="4"/>
      <c r="N727" s="46">
        <f>IF(SO[[#This Row],[Collection date - override (dd/mm/yyyy)]] &lt;&gt; "", SO[[#This Row],[Collection date - override (dd/mm/yyyy)]], SO[[#This Row],[Due date (dd/mm/yyyy)]])</f>
        <v>0</v>
      </c>
      <c r="O727" s="46">
        <f t="shared" si="11"/>
        <v>52</v>
      </c>
    </row>
    <row r="728" spans="3:15" x14ac:dyDescent="0.25">
      <c r="C728" s="24"/>
      <c r="D728" s="20"/>
      <c r="E728" s="4"/>
      <c r="F728" s="37"/>
      <c r="G728" s="24"/>
      <c r="H728" s="51">
        <f>Assumptions!$D$15</f>
        <v>0.1</v>
      </c>
      <c r="I728" s="45">
        <f>IF(SO[[#This Row],[GST applies?]] = "Yes", (SO[[#This Row],[Value inc. GST]] / 1 + SO[[#This Row],[GST %]]) * SO[[#This Row],[GST %]], 0)</f>
        <v>0</v>
      </c>
      <c r="J728" s="31">
        <f>_xlfn.XLOOKUP(SO[[#This Row],[Customer name]], Customer_master[Customer name], Customer_master[EOM or Net], 0)</f>
        <v>0</v>
      </c>
      <c r="K728" s="31">
        <f>_xlfn.XLOOKUP(SO[[#This Row],[Customer name]], Customer_master[Customer name], Customer_master[Terms days], 0)</f>
        <v>0</v>
      </c>
      <c r="L7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8" s="4"/>
      <c r="N728" s="46">
        <f>IF(SO[[#This Row],[Collection date - override (dd/mm/yyyy)]] &lt;&gt; "", SO[[#This Row],[Collection date - override (dd/mm/yyyy)]], SO[[#This Row],[Due date (dd/mm/yyyy)]])</f>
        <v>0</v>
      </c>
      <c r="O728" s="46">
        <f t="shared" si="11"/>
        <v>52</v>
      </c>
    </row>
    <row r="729" spans="3:15" x14ac:dyDescent="0.25">
      <c r="C729" s="24"/>
      <c r="D729" s="20"/>
      <c r="E729" s="4"/>
      <c r="F729" s="37"/>
      <c r="G729" s="24"/>
      <c r="H729" s="51">
        <f>Assumptions!$D$15</f>
        <v>0.1</v>
      </c>
      <c r="I729" s="45">
        <f>IF(SO[[#This Row],[GST applies?]] = "Yes", (SO[[#This Row],[Value inc. GST]] / 1 + SO[[#This Row],[GST %]]) * SO[[#This Row],[GST %]], 0)</f>
        <v>0</v>
      </c>
      <c r="J729" s="31">
        <f>_xlfn.XLOOKUP(SO[[#This Row],[Customer name]], Customer_master[Customer name], Customer_master[EOM or Net], 0)</f>
        <v>0</v>
      </c>
      <c r="K729" s="31">
        <f>_xlfn.XLOOKUP(SO[[#This Row],[Customer name]], Customer_master[Customer name], Customer_master[Terms days], 0)</f>
        <v>0</v>
      </c>
      <c r="L7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9" s="4"/>
      <c r="N729" s="46">
        <f>IF(SO[[#This Row],[Collection date - override (dd/mm/yyyy)]] &lt;&gt; "", SO[[#This Row],[Collection date - override (dd/mm/yyyy)]], SO[[#This Row],[Due date (dd/mm/yyyy)]])</f>
        <v>0</v>
      </c>
      <c r="O729" s="46">
        <f t="shared" si="11"/>
        <v>52</v>
      </c>
    </row>
    <row r="730" spans="3:15" x14ac:dyDescent="0.25">
      <c r="C730" s="24"/>
      <c r="D730" s="20"/>
      <c r="E730" s="4"/>
      <c r="F730" s="37"/>
      <c r="G730" s="24"/>
      <c r="H730" s="51">
        <f>Assumptions!$D$15</f>
        <v>0.1</v>
      </c>
      <c r="I730" s="45">
        <f>IF(SO[[#This Row],[GST applies?]] = "Yes", (SO[[#This Row],[Value inc. GST]] / 1 + SO[[#This Row],[GST %]]) * SO[[#This Row],[GST %]], 0)</f>
        <v>0</v>
      </c>
      <c r="J730" s="31">
        <f>_xlfn.XLOOKUP(SO[[#This Row],[Customer name]], Customer_master[Customer name], Customer_master[EOM or Net], 0)</f>
        <v>0</v>
      </c>
      <c r="K730" s="31">
        <f>_xlfn.XLOOKUP(SO[[#This Row],[Customer name]], Customer_master[Customer name], Customer_master[Terms days], 0)</f>
        <v>0</v>
      </c>
      <c r="L7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0" s="4"/>
      <c r="N730" s="46">
        <f>IF(SO[[#This Row],[Collection date - override (dd/mm/yyyy)]] &lt;&gt; "", SO[[#This Row],[Collection date - override (dd/mm/yyyy)]], SO[[#This Row],[Due date (dd/mm/yyyy)]])</f>
        <v>0</v>
      </c>
      <c r="O730" s="46">
        <f t="shared" si="11"/>
        <v>52</v>
      </c>
    </row>
    <row r="731" spans="3:15" x14ac:dyDescent="0.25">
      <c r="C731" s="24"/>
      <c r="D731" s="20"/>
      <c r="E731" s="4"/>
      <c r="F731" s="37"/>
      <c r="G731" s="24"/>
      <c r="H731" s="51">
        <f>Assumptions!$D$15</f>
        <v>0.1</v>
      </c>
      <c r="I731" s="45">
        <f>IF(SO[[#This Row],[GST applies?]] = "Yes", (SO[[#This Row],[Value inc. GST]] / 1 + SO[[#This Row],[GST %]]) * SO[[#This Row],[GST %]], 0)</f>
        <v>0</v>
      </c>
      <c r="J731" s="31">
        <f>_xlfn.XLOOKUP(SO[[#This Row],[Customer name]], Customer_master[Customer name], Customer_master[EOM or Net], 0)</f>
        <v>0</v>
      </c>
      <c r="K731" s="31">
        <f>_xlfn.XLOOKUP(SO[[#This Row],[Customer name]], Customer_master[Customer name], Customer_master[Terms days], 0)</f>
        <v>0</v>
      </c>
      <c r="L7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1" s="4"/>
      <c r="N731" s="46">
        <f>IF(SO[[#This Row],[Collection date - override (dd/mm/yyyy)]] &lt;&gt; "", SO[[#This Row],[Collection date - override (dd/mm/yyyy)]], SO[[#This Row],[Due date (dd/mm/yyyy)]])</f>
        <v>0</v>
      </c>
      <c r="O731" s="46">
        <f t="shared" si="11"/>
        <v>52</v>
      </c>
    </row>
    <row r="732" spans="3:15" x14ac:dyDescent="0.25">
      <c r="C732" s="24"/>
      <c r="D732" s="20"/>
      <c r="E732" s="4"/>
      <c r="F732" s="37"/>
      <c r="G732" s="24"/>
      <c r="H732" s="51">
        <f>Assumptions!$D$15</f>
        <v>0.1</v>
      </c>
      <c r="I732" s="45">
        <f>IF(SO[[#This Row],[GST applies?]] = "Yes", (SO[[#This Row],[Value inc. GST]] / 1 + SO[[#This Row],[GST %]]) * SO[[#This Row],[GST %]], 0)</f>
        <v>0</v>
      </c>
      <c r="J732" s="31">
        <f>_xlfn.XLOOKUP(SO[[#This Row],[Customer name]], Customer_master[Customer name], Customer_master[EOM or Net], 0)</f>
        <v>0</v>
      </c>
      <c r="K732" s="31">
        <f>_xlfn.XLOOKUP(SO[[#This Row],[Customer name]], Customer_master[Customer name], Customer_master[Terms days], 0)</f>
        <v>0</v>
      </c>
      <c r="L7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2" s="4"/>
      <c r="N732" s="46">
        <f>IF(SO[[#This Row],[Collection date - override (dd/mm/yyyy)]] &lt;&gt; "", SO[[#This Row],[Collection date - override (dd/mm/yyyy)]], SO[[#This Row],[Due date (dd/mm/yyyy)]])</f>
        <v>0</v>
      </c>
      <c r="O732" s="46">
        <f t="shared" si="11"/>
        <v>52</v>
      </c>
    </row>
    <row r="733" spans="3:15" x14ac:dyDescent="0.25">
      <c r="C733" s="24"/>
      <c r="D733" s="20"/>
      <c r="E733" s="4"/>
      <c r="F733" s="37"/>
      <c r="G733" s="24"/>
      <c r="H733" s="51">
        <f>Assumptions!$D$15</f>
        <v>0.1</v>
      </c>
      <c r="I733" s="45">
        <f>IF(SO[[#This Row],[GST applies?]] = "Yes", (SO[[#This Row],[Value inc. GST]] / 1 + SO[[#This Row],[GST %]]) * SO[[#This Row],[GST %]], 0)</f>
        <v>0</v>
      </c>
      <c r="J733" s="31">
        <f>_xlfn.XLOOKUP(SO[[#This Row],[Customer name]], Customer_master[Customer name], Customer_master[EOM or Net], 0)</f>
        <v>0</v>
      </c>
      <c r="K733" s="31">
        <f>_xlfn.XLOOKUP(SO[[#This Row],[Customer name]], Customer_master[Customer name], Customer_master[Terms days], 0)</f>
        <v>0</v>
      </c>
      <c r="L7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3" s="4"/>
      <c r="N733" s="46">
        <f>IF(SO[[#This Row],[Collection date - override (dd/mm/yyyy)]] &lt;&gt; "", SO[[#This Row],[Collection date - override (dd/mm/yyyy)]], SO[[#This Row],[Due date (dd/mm/yyyy)]])</f>
        <v>0</v>
      </c>
      <c r="O733" s="46">
        <f t="shared" si="11"/>
        <v>52</v>
      </c>
    </row>
    <row r="734" spans="3:15" x14ac:dyDescent="0.25">
      <c r="C734" s="24"/>
      <c r="D734" s="20"/>
      <c r="E734" s="4"/>
      <c r="F734" s="37"/>
      <c r="G734" s="24"/>
      <c r="H734" s="51">
        <f>Assumptions!$D$15</f>
        <v>0.1</v>
      </c>
      <c r="I734" s="45">
        <f>IF(SO[[#This Row],[GST applies?]] = "Yes", (SO[[#This Row],[Value inc. GST]] / 1 + SO[[#This Row],[GST %]]) * SO[[#This Row],[GST %]], 0)</f>
        <v>0</v>
      </c>
      <c r="J734" s="31">
        <f>_xlfn.XLOOKUP(SO[[#This Row],[Customer name]], Customer_master[Customer name], Customer_master[EOM or Net], 0)</f>
        <v>0</v>
      </c>
      <c r="K734" s="31">
        <f>_xlfn.XLOOKUP(SO[[#This Row],[Customer name]], Customer_master[Customer name], Customer_master[Terms days], 0)</f>
        <v>0</v>
      </c>
      <c r="L7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4" s="4"/>
      <c r="N734" s="46">
        <f>IF(SO[[#This Row],[Collection date - override (dd/mm/yyyy)]] &lt;&gt; "", SO[[#This Row],[Collection date - override (dd/mm/yyyy)]], SO[[#This Row],[Due date (dd/mm/yyyy)]])</f>
        <v>0</v>
      </c>
      <c r="O734" s="46">
        <f t="shared" si="11"/>
        <v>52</v>
      </c>
    </row>
    <row r="735" spans="3:15" x14ac:dyDescent="0.25">
      <c r="C735" s="24"/>
      <c r="D735" s="20"/>
      <c r="E735" s="4"/>
      <c r="F735" s="37"/>
      <c r="G735" s="24"/>
      <c r="H735" s="51">
        <f>Assumptions!$D$15</f>
        <v>0.1</v>
      </c>
      <c r="I735" s="45">
        <f>IF(SO[[#This Row],[GST applies?]] = "Yes", (SO[[#This Row],[Value inc. GST]] / 1 + SO[[#This Row],[GST %]]) * SO[[#This Row],[GST %]], 0)</f>
        <v>0</v>
      </c>
      <c r="J735" s="31">
        <f>_xlfn.XLOOKUP(SO[[#This Row],[Customer name]], Customer_master[Customer name], Customer_master[EOM or Net], 0)</f>
        <v>0</v>
      </c>
      <c r="K735" s="31">
        <f>_xlfn.XLOOKUP(SO[[#This Row],[Customer name]], Customer_master[Customer name], Customer_master[Terms days], 0)</f>
        <v>0</v>
      </c>
      <c r="L7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5" s="4"/>
      <c r="N735" s="46">
        <f>IF(SO[[#This Row],[Collection date - override (dd/mm/yyyy)]] &lt;&gt; "", SO[[#This Row],[Collection date - override (dd/mm/yyyy)]], SO[[#This Row],[Due date (dd/mm/yyyy)]])</f>
        <v>0</v>
      </c>
      <c r="O735" s="46">
        <f t="shared" si="11"/>
        <v>52</v>
      </c>
    </row>
    <row r="736" spans="3:15" x14ac:dyDescent="0.25">
      <c r="C736" s="24"/>
      <c r="D736" s="20"/>
      <c r="E736" s="4"/>
      <c r="F736" s="37"/>
      <c r="G736" s="24"/>
      <c r="H736" s="51">
        <f>Assumptions!$D$15</f>
        <v>0.1</v>
      </c>
      <c r="I736" s="45">
        <f>IF(SO[[#This Row],[GST applies?]] = "Yes", (SO[[#This Row],[Value inc. GST]] / 1 + SO[[#This Row],[GST %]]) * SO[[#This Row],[GST %]], 0)</f>
        <v>0</v>
      </c>
      <c r="J736" s="31">
        <f>_xlfn.XLOOKUP(SO[[#This Row],[Customer name]], Customer_master[Customer name], Customer_master[EOM or Net], 0)</f>
        <v>0</v>
      </c>
      <c r="K736" s="31">
        <f>_xlfn.XLOOKUP(SO[[#This Row],[Customer name]], Customer_master[Customer name], Customer_master[Terms days], 0)</f>
        <v>0</v>
      </c>
      <c r="L7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6" s="4"/>
      <c r="N736" s="46">
        <f>IF(SO[[#This Row],[Collection date - override (dd/mm/yyyy)]] &lt;&gt; "", SO[[#This Row],[Collection date - override (dd/mm/yyyy)]], SO[[#This Row],[Due date (dd/mm/yyyy)]])</f>
        <v>0</v>
      </c>
      <c r="O736" s="46">
        <f t="shared" si="11"/>
        <v>52</v>
      </c>
    </row>
    <row r="737" spans="3:15" x14ac:dyDescent="0.25">
      <c r="C737" s="24"/>
      <c r="D737" s="20"/>
      <c r="E737" s="4"/>
      <c r="F737" s="37"/>
      <c r="G737" s="24"/>
      <c r="H737" s="51">
        <f>Assumptions!$D$15</f>
        <v>0.1</v>
      </c>
      <c r="I737" s="45">
        <f>IF(SO[[#This Row],[GST applies?]] = "Yes", (SO[[#This Row],[Value inc. GST]] / 1 + SO[[#This Row],[GST %]]) * SO[[#This Row],[GST %]], 0)</f>
        <v>0</v>
      </c>
      <c r="J737" s="31">
        <f>_xlfn.XLOOKUP(SO[[#This Row],[Customer name]], Customer_master[Customer name], Customer_master[EOM or Net], 0)</f>
        <v>0</v>
      </c>
      <c r="K737" s="31">
        <f>_xlfn.XLOOKUP(SO[[#This Row],[Customer name]], Customer_master[Customer name], Customer_master[Terms days], 0)</f>
        <v>0</v>
      </c>
      <c r="L7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7" s="4"/>
      <c r="N737" s="46">
        <f>IF(SO[[#This Row],[Collection date - override (dd/mm/yyyy)]] &lt;&gt; "", SO[[#This Row],[Collection date - override (dd/mm/yyyy)]], SO[[#This Row],[Due date (dd/mm/yyyy)]])</f>
        <v>0</v>
      </c>
      <c r="O737" s="46">
        <f t="shared" si="11"/>
        <v>52</v>
      </c>
    </row>
    <row r="738" spans="3:15" x14ac:dyDescent="0.25">
      <c r="C738" s="24"/>
      <c r="D738" s="20"/>
      <c r="E738" s="4"/>
      <c r="F738" s="37"/>
      <c r="G738" s="24"/>
      <c r="H738" s="51">
        <f>Assumptions!$D$15</f>
        <v>0.1</v>
      </c>
      <c r="I738" s="45">
        <f>IF(SO[[#This Row],[GST applies?]] = "Yes", (SO[[#This Row],[Value inc. GST]] / 1 + SO[[#This Row],[GST %]]) * SO[[#This Row],[GST %]], 0)</f>
        <v>0</v>
      </c>
      <c r="J738" s="31">
        <f>_xlfn.XLOOKUP(SO[[#This Row],[Customer name]], Customer_master[Customer name], Customer_master[EOM or Net], 0)</f>
        <v>0</v>
      </c>
      <c r="K738" s="31">
        <f>_xlfn.XLOOKUP(SO[[#This Row],[Customer name]], Customer_master[Customer name], Customer_master[Terms days], 0)</f>
        <v>0</v>
      </c>
      <c r="L7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8" s="4"/>
      <c r="N738" s="46">
        <f>IF(SO[[#This Row],[Collection date - override (dd/mm/yyyy)]] &lt;&gt; "", SO[[#This Row],[Collection date - override (dd/mm/yyyy)]], SO[[#This Row],[Due date (dd/mm/yyyy)]])</f>
        <v>0</v>
      </c>
      <c r="O738" s="46">
        <f t="shared" si="11"/>
        <v>52</v>
      </c>
    </row>
    <row r="739" spans="3:15" x14ac:dyDescent="0.25">
      <c r="C739" s="24"/>
      <c r="D739" s="20"/>
      <c r="E739" s="4"/>
      <c r="F739" s="37"/>
      <c r="G739" s="24"/>
      <c r="H739" s="51">
        <f>Assumptions!$D$15</f>
        <v>0.1</v>
      </c>
      <c r="I739" s="45">
        <f>IF(SO[[#This Row],[GST applies?]] = "Yes", (SO[[#This Row],[Value inc. GST]] / 1 + SO[[#This Row],[GST %]]) * SO[[#This Row],[GST %]], 0)</f>
        <v>0</v>
      </c>
      <c r="J739" s="31">
        <f>_xlfn.XLOOKUP(SO[[#This Row],[Customer name]], Customer_master[Customer name], Customer_master[EOM or Net], 0)</f>
        <v>0</v>
      </c>
      <c r="K739" s="31">
        <f>_xlfn.XLOOKUP(SO[[#This Row],[Customer name]], Customer_master[Customer name], Customer_master[Terms days], 0)</f>
        <v>0</v>
      </c>
      <c r="L7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9" s="4"/>
      <c r="N739" s="46">
        <f>IF(SO[[#This Row],[Collection date - override (dd/mm/yyyy)]] &lt;&gt; "", SO[[#This Row],[Collection date - override (dd/mm/yyyy)]], SO[[#This Row],[Due date (dd/mm/yyyy)]])</f>
        <v>0</v>
      </c>
      <c r="O739" s="46">
        <f t="shared" si="11"/>
        <v>52</v>
      </c>
    </row>
    <row r="740" spans="3:15" x14ac:dyDescent="0.25">
      <c r="C740" s="24"/>
      <c r="D740" s="20"/>
      <c r="E740" s="4"/>
      <c r="F740" s="37"/>
      <c r="G740" s="24"/>
      <c r="H740" s="51">
        <f>Assumptions!$D$15</f>
        <v>0.1</v>
      </c>
      <c r="I740" s="45">
        <f>IF(SO[[#This Row],[GST applies?]] = "Yes", (SO[[#This Row],[Value inc. GST]] / 1 + SO[[#This Row],[GST %]]) * SO[[#This Row],[GST %]], 0)</f>
        <v>0</v>
      </c>
      <c r="J740" s="31">
        <f>_xlfn.XLOOKUP(SO[[#This Row],[Customer name]], Customer_master[Customer name], Customer_master[EOM or Net], 0)</f>
        <v>0</v>
      </c>
      <c r="K740" s="31">
        <f>_xlfn.XLOOKUP(SO[[#This Row],[Customer name]], Customer_master[Customer name], Customer_master[Terms days], 0)</f>
        <v>0</v>
      </c>
      <c r="L7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0" s="4"/>
      <c r="N740" s="46">
        <f>IF(SO[[#This Row],[Collection date - override (dd/mm/yyyy)]] &lt;&gt; "", SO[[#This Row],[Collection date - override (dd/mm/yyyy)]], SO[[#This Row],[Due date (dd/mm/yyyy)]])</f>
        <v>0</v>
      </c>
      <c r="O740" s="46">
        <f t="shared" si="11"/>
        <v>52</v>
      </c>
    </row>
    <row r="741" spans="3:15" x14ac:dyDescent="0.25">
      <c r="C741" s="24"/>
      <c r="D741" s="20"/>
      <c r="E741" s="4"/>
      <c r="F741" s="37"/>
      <c r="G741" s="24"/>
      <c r="H741" s="51">
        <f>Assumptions!$D$15</f>
        <v>0.1</v>
      </c>
      <c r="I741" s="45">
        <f>IF(SO[[#This Row],[GST applies?]] = "Yes", (SO[[#This Row],[Value inc. GST]] / 1 + SO[[#This Row],[GST %]]) * SO[[#This Row],[GST %]], 0)</f>
        <v>0</v>
      </c>
      <c r="J741" s="31">
        <f>_xlfn.XLOOKUP(SO[[#This Row],[Customer name]], Customer_master[Customer name], Customer_master[EOM or Net], 0)</f>
        <v>0</v>
      </c>
      <c r="K741" s="31">
        <f>_xlfn.XLOOKUP(SO[[#This Row],[Customer name]], Customer_master[Customer name], Customer_master[Terms days], 0)</f>
        <v>0</v>
      </c>
      <c r="L7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1" s="4"/>
      <c r="N741" s="46">
        <f>IF(SO[[#This Row],[Collection date - override (dd/mm/yyyy)]] &lt;&gt; "", SO[[#This Row],[Collection date - override (dd/mm/yyyy)]], SO[[#This Row],[Due date (dd/mm/yyyy)]])</f>
        <v>0</v>
      </c>
      <c r="O741" s="46">
        <f t="shared" si="11"/>
        <v>52</v>
      </c>
    </row>
    <row r="742" spans="3:15" x14ac:dyDescent="0.25">
      <c r="C742" s="24"/>
      <c r="D742" s="20"/>
      <c r="E742" s="4"/>
      <c r="F742" s="37"/>
      <c r="G742" s="24"/>
      <c r="H742" s="51">
        <f>Assumptions!$D$15</f>
        <v>0.1</v>
      </c>
      <c r="I742" s="45">
        <f>IF(SO[[#This Row],[GST applies?]] = "Yes", (SO[[#This Row],[Value inc. GST]] / 1 + SO[[#This Row],[GST %]]) * SO[[#This Row],[GST %]], 0)</f>
        <v>0</v>
      </c>
      <c r="J742" s="31">
        <f>_xlfn.XLOOKUP(SO[[#This Row],[Customer name]], Customer_master[Customer name], Customer_master[EOM or Net], 0)</f>
        <v>0</v>
      </c>
      <c r="K742" s="31">
        <f>_xlfn.XLOOKUP(SO[[#This Row],[Customer name]], Customer_master[Customer name], Customer_master[Terms days], 0)</f>
        <v>0</v>
      </c>
      <c r="L7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2" s="4"/>
      <c r="N742" s="46">
        <f>IF(SO[[#This Row],[Collection date - override (dd/mm/yyyy)]] &lt;&gt; "", SO[[#This Row],[Collection date - override (dd/mm/yyyy)]], SO[[#This Row],[Due date (dd/mm/yyyy)]])</f>
        <v>0</v>
      </c>
      <c r="O742" s="46">
        <f t="shared" si="11"/>
        <v>52</v>
      </c>
    </row>
    <row r="743" spans="3:15" x14ac:dyDescent="0.25">
      <c r="C743" s="24"/>
      <c r="D743" s="20"/>
      <c r="E743" s="4"/>
      <c r="F743" s="37"/>
      <c r="G743" s="24"/>
      <c r="H743" s="51">
        <f>Assumptions!$D$15</f>
        <v>0.1</v>
      </c>
      <c r="I743" s="45">
        <f>IF(SO[[#This Row],[GST applies?]] = "Yes", (SO[[#This Row],[Value inc. GST]] / 1 + SO[[#This Row],[GST %]]) * SO[[#This Row],[GST %]], 0)</f>
        <v>0</v>
      </c>
      <c r="J743" s="31">
        <f>_xlfn.XLOOKUP(SO[[#This Row],[Customer name]], Customer_master[Customer name], Customer_master[EOM or Net], 0)</f>
        <v>0</v>
      </c>
      <c r="K743" s="31">
        <f>_xlfn.XLOOKUP(SO[[#This Row],[Customer name]], Customer_master[Customer name], Customer_master[Terms days], 0)</f>
        <v>0</v>
      </c>
      <c r="L7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3" s="4"/>
      <c r="N743" s="46">
        <f>IF(SO[[#This Row],[Collection date - override (dd/mm/yyyy)]] &lt;&gt; "", SO[[#This Row],[Collection date - override (dd/mm/yyyy)]], SO[[#This Row],[Due date (dd/mm/yyyy)]])</f>
        <v>0</v>
      </c>
      <c r="O743" s="46">
        <f t="shared" si="11"/>
        <v>52</v>
      </c>
    </row>
    <row r="744" spans="3:15" x14ac:dyDescent="0.25">
      <c r="C744" s="24"/>
      <c r="D744" s="20"/>
      <c r="E744" s="4"/>
      <c r="F744" s="37"/>
      <c r="G744" s="24"/>
      <c r="H744" s="51">
        <f>Assumptions!$D$15</f>
        <v>0.1</v>
      </c>
      <c r="I744" s="45">
        <f>IF(SO[[#This Row],[GST applies?]] = "Yes", (SO[[#This Row],[Value inc. GST]] / 1 + SO[[#This Row],[GST %]]) * SO[[#This Row],[GST %]], 0)</f>
        <v>0</v>
      </c>
      <c r="J744" s="31">
        <f>_xlfn.XLOOKUP(SO[[#This Row],[Customer name]], Customer_master[Customer name], Customer_master[EOM or Net], 0)</f>
        <v>0</v>
      </c>
      <c r="K744" s="31">
        <f>_xlfn.XLOOKUP(SO[[#This Row],[Customer name]], Customer_master[Customer name], Customer_master[Terms days], 0)</f>
        <v>0</v>
      </c>
      <c r="L7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4" s="4"/>
      <c r="N744" s="46">
        <f>IF(SO[[#This Row],[Collection date - override (dd/mm/yyyy)]] &lt;&gt; "", SO[[#This Row],[Collection date - override (dd/mm/yyyy)]], SO[[#This Row],[Due date (dd/mm/yyyy)]])</f>
        <v>0</v>
      </c>
      <c r="O744" s="46">
        <f t="shared" si="11"/>
        <v>52</v>
      </c>
    </row>
    <row r="745" spans="3:15" x14ac:dyDescent="0.25">
      <c r="C745" s="24"/>
      <c r="D745" s="20"/>
      <c r="E745" s="4"/>
      <c r="F745" s="37"/>
      <c r="G745" s="24"/>
      <c r="H745" s="51">
        <f>Assumptions!$D$15</f>
        <v>0.1</v>
      </c>
      <c r="I745" s="45">
        <f>IF(SO[[#This Row],[GST applies?]] = "Yes", (SO[[#This Row],[Value inc. GST]] / 1 + SO[[#This Row],[GST %]]) * SO[[#This Row],[GST %]], 0)</f>
        <v>0</v>
      </c>
      <c r="J745" s="31">
        <f>_xlfn.XLOOKUP(SO[[#This Row],[Customer name]], Customer_master[Customer name], Customer_master[EOM or Net], 0)</f>
        <v>0</v>
      </c>
      <c r="K745" s="31">
        <f>_xlfn.XLOOKUP(SO[[#This Row],[Customer name]], Customer_master[Customer name], Customer_master[Terms days], 0)</f>
        <v>0</v>
      </c>
      <c r="L7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5" s="4"/>
      <c r="N745" s="46">
        <f>IF(SO[[#This Row],[Collection date - override (dd/mm/yyyy)]] &lt;&gt; "", SO[[#This Row],[Collection date - override (dd/mm/yyyy)]], SO[[#This Row],[Due date (dd/mm/yyyy)]])</f>
        <v>0</v>
      </c>
      <c r="O745" s="46">
        <f t="shared" si="11"/>
        <v>52</v>
      </c>
    </row>
    <row r="746" spans="3:15" x14ac:dyDescent="0.25">
      <c r="C746" s="24"/>
      <c r="D746" s="20"/>
      <c r="E746" s="4"/>
      <c r="F746" s="37"/>
      <c r="G746" s="24"/>
      <c r="H746" s="51">
        <f>Assumptions!$D$15</f>
        <v>0.1</v>
      </c>
      <c r="I746" s="45">
        <f>IF(SO[[#This Row],[GST applies?]] = "Yes", (SO[[#This Row],[Value inc. GST]] / 1 + SO[[#This Row],[GST %]]) * SO[[#This Row],[GST %]], 0)</f>
        <v>0</v>
      </c>
      <c r="J746" s="31">
        <f>_xlfn.XLOOKUP(SO[[#This Row],[Customer name]], Customer_master[Customer name], Customer_master[EOM or Net], 0)</f>
        <v>0</v>
      </c>
      <c r="K746" s="31">
        <f>_xlfn.XLOOKUP(SO[[#This Row],[Customer name]], Customer_master[Customer name], Customer_master[Terms days], 0)</f>
        <v>0</v>
      </c>
      <c r="L7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6" s="4"/>
      <c r="N746" s="46">
        <f>IF(SO[[#This Row],[Collection date - override (dd/mm/yyyy)]] &lt;&gt; "", SO[[#This Row],[Collection date - override (dd/mm/yyyy)]], SO[[#This Row],[Due date (dd/mm/yyyy)]])</f>
        <v>0</v>
      </c>
      <c r="O746" s="46">
        <f t="shared" si="11"/>
        <v>52</v>
      </c>
    </row>
    <row r="747" spans="3:15" x14ac:dyDescent="0.25">
      <c r="C747" s="24"/>
      <c r="D747" s="20"/>
      <c r="E747" s="4"/>
      <c r="F747" s="37"/>
      <c r="G747" s="24"/>
      <c r="H747" s="51">
        <f>Assumptions!$D$15</f>
        <v>0.1</v>
      </c>
      <c r="I747" s="45">
        <f>IF(SO[[#This Row],[GST applies?]] = "Yes", (SO[[#This Row],[Value inc. GST]] / 1 + SO[[#This Row],[GST %]]) * SO[[#This Row],[GST %]], 0)</f>
        <v>0</v>
      </c>
      <c r="J747" s="31">
        <f>_xlfn.XLOOKUP(SO[[#This Row],[Customer name]], Customer_master[Customer name], Customer_master[EOM or Net], 0)</f>
        <v>0</v>
      </c>
      <c r="K747" s="31">
        <f>_xlfn.XLOOKUP(SO[[#This Row],[Customer name]], Customer_master[Customer name], Customer_master[Terms days], 0)</f>
        <v>0</v>
      </c>
      <c r="L7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7" s="4"/>
      <c r="N747" s="46">
        <f>IF(SO[[#This Row],[Collection date - override (dd/mm/yyyy)]] &lt;&gt; "", SO[[#This Row],[Collection date - override (dd/mm/yyyy)]], SO[[#This Row],[Due date (dd/mm/yyyy)]])</f>
        <v>0</v>
      </c>
      <c r="O747" s="46">
        <f t="shared" si="11"/>
        <v>52</v>
      </c>
    </row>
    <row r="748" spans="3:15" x14ac:dyDescent="0.25">
      <c r="C748" s="24"/>
      <c r="D748" s="20"/>
      <c r="E748" s="4"/>
      <c r="F748" s="37"/>
      <c r="G748" s="24"/>
      <c r="H748" s="51">
        <f>Assumptions!$D$15</f>
        <v>0.1</v>
      </c>
      <c r="I748" s="45">
        <f>IF(SO[[#This Row],[GST applies?]] = "Yes", (SO[[#This Row],[Value inc. GST]] / 1 + SO[[#This Row],[GST %]]) * SO[[#This Row],[GST %]], 0)</f>
        <v>0</v>
      </c>
      <c r="J748" s="31">
        <f>_xlfn.XLOOKUP(SO[[#This Row],[Customer name]], Customer_master[Customer name], Customer_master[EOM or Net], 0)</f>
        <v>0</v>
      </c>
      <c r="K748" s="31">
        <f>_xlfn.XLOOKUP(SO[[#This Row],[Customer name]], Customer_master[Customer name], Customer_master[Terms days], 0)</f>
        <v>0</v>
      </c>
      <c r="L7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8" s="4"/>
      <c r="N748" s="46">
        <f>IF(SO[[#This Row],[Collection date - override (dd/mm/yyyy)]] &lt;&gt; "", SO[[#This Row],[Collection date - override (dd/mm/yyyy)]], SO[[#This Row],[Due date (dd/mm/yyyy)]])</f>
        <v>0</v>
      </c>
      <c r="O748" s="46">
        <f t="shared" si="11"/>
        <v>52</v>
      </c>
    </row>
    <row r="749" spans="3:15" x14ac:dyDescent="0.25">
      <c r="C749" s="24"/>
      <c r="D749" s="20"/>
      <c r="E749" s="4"/>
      <c r="F749" s="37"/>
      <c r="G749" s="24"/>
      <c r="H749" s="51">
        <f>Assumptions!$D$15</f>
        <v>0.1</v>
      </c>
      <c r="I749" s="45">
        <f>IF(SO[[#This Row],[GST applies?]] = "Yes", (SO[[#This Row],[Value inc. GST]] / 1 + SO[[#This Row],[GST %]]) * SO[[#This Row],[GST %]], 0)</f>
        <v>0</v>
      </c>
      <c r="J749" s="31">
        <f>_xlfn.XLOOKUP(SO[[#This Row],[Customer name]], Customer_master[Customer name], Customer_master[EOM or Net], 0)</f>
        <v>0</v>
      </c>
      <c r="K749" s="31">
        <f>_xlfn.XLOOKUP(SO[[#This Row],[Customer name]], Customer_master[Customer name], Customer_master[Terms days], 0)</f>
        <v>0</v>
      </c>
      <c r="L7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9" s="4"/>
      <c r="N749" s="46">
        <f>IF(SO[[#This Row],[Collection date - override (dd/mm/yyyy)]] &lt;&gt; "", SO[[#This Row],[Collection date - override (dd/mm/yyyy)]], SO[[#This Row],[Due date (dd/mm/yyyy)]])</f>
        <v>0</v>
      </c>
      <c r="O749" s="46">
        <f t="shared" si="11"/>
        <v>52</v>
      </c>
    </row>
    <row r="750" spans="3:15" x14ac:dyDescent="0.25">
      <c r="C750" s="24"/>
      <c r="D750" s="20"/>
      <c r="E750" s="4"/>
      <c r="F750" s="37"/>
      <c r="G750" s="24"/>
      <c r="H750" s="51">
        <f>Assumptions!$D$15</f>
        <v>0.1</v>
      </c>
      <c r="I750" s="45">
        <f>IF(SO[[#This Row],[GST applies?]] = "Yes", (SO[[#This Row],[Value inc. GST]] / 1 + SO[[#This Row],[GST %]]) * SO[[#This Row],[GST %]], 0)</f>
        <v>0</v>
      </c>
      <c r="J750" s="31">
        <f>_xlfn.XLOOKUP(SO[[#This Row],[Customer name]], Customer_master[Customer name], Customer_master[EOM or Net], 0)</f>
        <v>0</v>
      </c>
      <c r="K750" s="31">
        <f>_xlfn.XLOOKUP(SO[[#This Row],[Customer name]], Customer_master[Customer name], Customer_master[Terms days], 0)</f>
        <v>0</v>
      </c>
      <c r="L7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0" s="4"/>
      <c r="N750" s="46">
        <f>IF(SO[[#This Row],[Collection date - override (dd/mm/yyyy)]] &lt;&gt; "", SO[[#This Row],[Collection date - override (dd/mm/yyyy)]], SO[[#This Row],[Due date (dd/mm/yyyy)]])</f>
        <v>0</v>
      </c>
      <c r="O750" s="46">
        <f t="shared" si="11"/>
        <v>52</v>
      </c>
    </row>
    <row r="751" spans="3:15" x14ac:dyDescent="0.25">
      <c r="C751" s="24"/>
      <c r="D751" s="20"/>
      <c r="E751" s="4"/>
      <c r="F751" s="37"/>
      <c r="G751" s="24"/>
      <c r="H751" s="51">
        <f>Assumptions!$D$15</f>
        <v>0.1</v>
      </c>
      <c r="I751" s="45">
        <f>IF(SO[[#This Row],[GST applies?]] = "Yes", (SO[[#This Row],[Value inc. GST]] / 1 + SO[[#This Row],[GST %]]) * SO[[#This Row],[GST %]], 0)</f>
        <v>0</v>
      </c>
      <c r="J751" s="31">
        <f>_xlfn.XLOOKUP(SO[[#This Row],[Customer name]], Customer_master[Customer name], Customer_master[EOM or Net], 0)</f>
        <v>0</v>
      </c>
      <c r="K751" s="31">
        <f>_xlfn.XLOOKUP(SO[[#This Row],[Customer name]], Customer_master[Customer name], Customer_master[Terms days], 0)</f>
        <v>0</v>
      </c>
      <c r="L7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1" s="4"/>
      <c r="N751" s="46">
        <f>IF(SO[[#This Row],[Collection date - override (dd/mm/yyyy)]] &lt;&gt; "", SO[[#This Row],[Collection date - override (dd/mm/yyyy)]], SO[[#This Row],[Due date (dd/mm/yyyy)]])</f>
        <v>0</v>
      </c>
      <c r="O751" s="46">
        <f t="shared" si="11"/>
        <v>52</v>
      </c>
    </row>
    <row r="752" spans="3:15" x14ac:dyDescent="0.25">
      <c r="C752" s="24"/>
      <c r="D752" s="20"/>
      <c r="E752" s="4"/>
      <c r="F752" s="37"/>
      <c r="G752" s="24"/>
      <c r="H752" s="51">
        <f>Assumptions!$D$15</f>
        <v>0.1</v>
      </c>
      <c r="I752" s="45">
        <f>IF(SO[[#This Row],[GST applies?]] = "Yes", (SO[[#This Row],[Value inc. GST]] / 1 + SO[[#This Row],[GST %]]) * SO[[#This Row],[GST %]], 0)</f>
        <v>0</v>
      </c>
      <c r="J752" s="31">
        <f>_xlfn.XLOOKUP(SO[[#This Row],[Customer name]], Customer_master[Customer name], Customer_master[EOM or Net], 0)</f>
        <v>0</v>
      </c>
      <c r="K752" s="31">
        <f>_xlfn.XLOOKUP(SO[[#This Row],[Customer name]], Customer_master[Customer name], Customer_master[Terms days], 0)</f>
        <v>0</v>
      </c>
      <c r="L7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2" s="4"/>
      <c r="N752" s="46">
        <f>IF(SO[[#This Row],[Collection date - override (dd/mm/yyyy)]] &lt;&gt; "", SO[[#This Row],[Collection date - override (dd/mm/yyyy)]], SO[[#This Row],[Due date (dd/mm/yyyy)]])</f>
        <v>0</v>
      </c>
      <c r="O752" s="46">
        <f t="shared" si="11"/>
        <v>52</v>
      </c>
    </row>
    <row r="753" spans="3:15" x14ac:dyDescent="0.25">
      <c r="C753" s="24"/>
      <c r="D753" s="20"/>
      <c r="E753" s="4"/>
      <c r="F753" s="37"/>
      <c r="G753" s="24"/>
      <c r="H753" s="51">
        <f>Assumptions!$D$15</f>
        <v>0.1</v>
      </c>
      <c r="I753" s="45">
        <f>IF(SO[[#This Row],[GST applies?]] = "Yes", (SO[[#This Row],[Value inc. GST]] / 1 + SO[[#This Row],[GST %]]) * SO[[#This Row],[GST %]], 0)</f>
        <v>0</v>
      </c>
      <c r="J753" s="31">
        <f>_xlfn.XLOOKUP(SO[[#This Row],[Customer name]], Customer_master[Customer name], Customer_master[EOM or Net], 0)</f>
        <v>0</v>
      </c>
      <c r="K753" s="31">
        <f>_xlfn.XLOOKUP(SO[[#This Row],[Customer name]], Customer_master[Customer name], Customer_master[Terms days], 0)</f>
        <v>0</v>
      </c>
      <c r="L7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3" s="4"/>
      <c r="N753" s="46">
        <f>IF(SO[[#This Row],[Collection date - override (dd/mm/yyyy)]] &lt;&gt; "", SO[[#This Row],[Collection date - override (dd/mm/yyyy)]], SO[[#This Row],[Due date (dd/mm/yyyy)]])</f>
        <v>0</v>
      </c>
      <c r="O753" s="46">
        <f t="shared" si="11"/>
        <v>52</v>
      </c>
    </row>
    <row r="754" spans="3:15" x14ac:dyDescent="0.25">
      <c r="C754" s="24"/>
      <c r="D754" s="20"/>
      <c r="E754" s="4"/>
      <c r="F754" s="37"/>
      <c r="G754" s="24"/>
      <c r="H754" s="51">
        <f>Assumptions!$D$15</f>
        <v>0.1</v>
      </c>
      <c r="I754" s="45">
        <f>IF(SO[[#This Row],[GST applies?]] = "Yes", (SO[[#This Row],[Value inc. GST]] / 1 + SO[[#This Row],[GST %]]) * SO[[#This Row],[GST %]], 0)</f>
        <v>0</v>
      </c>
      <c r="J754" s="31">
        <f>_xlfn.XLOOKUP(SO[[#This Row],[Customer name]], Customer_master[Customer name], Customer_master[EOM or Net], 0)</f>
        <v>0</v>
      </c>
      <c r="K754" s="31">
        <f>_xlfn.XLOOKUP(SO[[#This Row],[Customer name]], Customer_master[Customer name], Customer_master[Terms days], 0)</f>
        <v>0</v>
      </c>
      <c r="L7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4" s="4"/>
      <c r="N754" s="46">
        <f>IF(SO[[#This Row],[Collection date - override (dd/mm/yyyy)]] &lt;&gt; "", SO[[#This Row],[Collection date - override (dd/mm/yyyy)]], SO[[#This Row],[Due date (dd/mm/yyyy)]])</f>
        <v>0</v>
      </c>
      <c r="O754" s="46">
        <f t="shared" si="11"/>
        <v>52</v>
      </c>
    </row>
    <row r="755" spans="3:15" x14ac:dyDescent="0.25">
      <c r="C755" s="24"/>
      <c r="D755" s="20"/>
      <c r="E755" s="4"/>
      <c r="F755" s="37"/>
      <c r="G755" s="24"/>
      <c r="H755" s="51">
        <f>Assumptions!$D$15</f>
        <v>0.1</v>
      </c>
      <c r="I755" s="45">
        <f>IF(SO[[#This Row],[GST applies?]] = "Yes", (SO[[#This Row],[Value inc. GST]] / 1 + SO[[#This Row],[GST %]]) * SO[[#This Row],[GST %]], 0)</f>
        <v>0</v>
      </c>
      <c r="J755" s="31">
        <f>_xlfn.XLOOKUP(SO[[#This Row],[Customer name]], Customer_master[Customer name], Customer_master[EOM or Net], 0)</f>
        <v>0</v>
      </c>
      <c r="K755" s="31">
        <f>_xlfn.XLOOKUP(SO[[#This Row],[Customer name]], Customer_master[Customer name], Customer_master[Terms days], 0)</f>
        <v>0</v>
      </c>
      <c r="L7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5" s="4"/>
      <c r="N755" s="46">
        <f>IF(SO[[#This Row],[Collection date - override (dd/mm/yyyy)]] &lt;&gt; "", SO[[#This Row],[Collection date - override (dd/mm/yyyy)]], SO[[#This Row],[Due date (dd/mm/yyyy)]])</f>
        <v>0</v>
      </c>
      <c r="O755" s="46">
        <f t="shared" si="11"/>
        <v>52</v>
      </c>
    </row>
    <row r="756" spans="3:15" x14ac:dyDescent="0.25">
      <c r="C756" s="24"/>
      <c r="D756" s="20"/>
      <c r="E756" s="4"/>
      <c r="F756" s="37"/>
      <c r="G756" s="24"/>
      <c r="H756" s="51">
        <f>Assumptions!$D$15</f>
        <v>0.1</v>
      </c>
      <c r="I756" s="45">
        <f>IF(SO[[#This Row],[GST applies?]] = "Yes", (SO[[#This Row],[Value inc. GST]] / 1 + SO[[#This Row],[GST %]]) * SO[[#This Row],[GST %]], 0)</f>
        <v>0</v>
      </c>
      <c r="J756" s="31">
        <f>_xlfn.XLOOKUP(SO[[#This Row],[Customer name]], Customer_master[Customer name], Customer_master[EOM or Net], 0)</f>
        <v>0</v>
      </c>
      <c r="K756" s="31">
        <f>_xlfn.XLOOKUP(SO[[#This Row],[Customer name]], Customer_master[Customer name], Customer_master[Terms days], 0)</f>
        <v>0</v>
      </c>
      <c r="L7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6" s="4"/>
      <c r="N756" s="46">
        <f>IF(SO[[#This Row],[Collection date - override (dd/mm/yyyy)]] &lt;&gt; "", SO[[#This Row],[Collection date - override (dd/mm/yyyy)]], SO[[#This Row],[Due date (dd/mm/yyyy)]])</f>
        <v>0</v>
      </c>
      <c r="O756" s="46">
        <f t="shared" si="11"/>
        <v>52</v>
      </c>
    </row>
    <row r="757" spans="3:15" x14ac:dyDescent="0.25">
      <c r="C757" s="24"/>
      <c r="D757" s="20"/>
      <c r="E757" s="4"/>
      <c r="F757" s="37"/>
      <c r="G757" s="24"/>
      <c r="H757" s="51">
        <f>Assumptions!$D$15</f>
        <v>0.1</v>
      </c>
      <c r="I757" s="45">
        <f>IF(SO[[#This Row],[GST applies?]] = "Yes", (SO[[#This Row],[Value inc. GST]] / 1 + SO[[#This Row],[GST %]]) * SO[[#This Row],[GST %]], 0)</f>
        <v>0</v>
      </c>
      <c r="J757" s="31">
        <f>_xlfn.XLOOKUP(SO[[#This Row],[Customer name]], Customer_master[Customer name], Customer_master[EOM or Net], 0)</f>
        <v>0</v>
      </c>
      <c r="K757" s="31">
        <f>_xlfn.XLOOKUP(SO[[#This Row],[Customer name]], Customer_master[Customer name], Customer_master[Terms days], 0)</f>
        <v>0</v>
      </c>
      <c r="L7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7" s="4"/>
      <c r="N757" s="46">
        <f>IF(SO[[#This Row],[Collection date - override (dd/mm/yyyy)]] &lt;&gt; "", SO[[#This Row],[Collection date - override (dd/mm/yyyy)]], SO[[#This Row],[Due date (dd/mm/yyyy)]])</f>
        <v>0</v>
      </c>
      <c r="O757" s="46">
        <f t="shared" si="11"/>
        <v>52</v>
      </c>
    </row>
    <row r="758" spans="3:15" x14ac:dyDescent="0.25">
      <c r="C758" s="24"/>
      <c r="D758" s="20"/>
      <c r="E758" s="4"/>
      <c r="F758" s="37"/>
      <c r="G758" s="24"/>
      <c r="H758" s="51">
        <f>Assumptions!$D$15</f>
        <v>0.1</v>
      </c>
      <c r="I758" s="45">
        <f>IF(SO[[#This Row],[GST applies?]] = "Yes", (SO[[#This Row],[Value inc. GST]] / 1 + SO[[#This Row],[GST %]]) * SO[[#This Row],[GST %]], 0)</f>
        <v>0</v>
      </c>
      <c r="J758" s="31">
        <f>_xlfn.XLOOKUP(SO[[#This Row],[Customer name]], Customer_master[Customer name], Customer_master[EOM or Net], 0)</f>
        <v>0</v>
      </c>
      <c r="K758" s="31">
        <f>_xlfn.XLOOKUP(SO[[#This Row],[Customer name]], Customer_master[Customer name], Customer_master[Terms days], 0)</f>
        <v>0</v>
      </c>
      <c r="L7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8" s="4"/>
      <c r="N758" s="46">
        <f>IF(SO[[#This Row],[Collection date - override (dd/mm/yyyy)]] &lt;&gt; "", SO[[#This Row],[Collection date - override (dd/mm/yyyy)]], SO[[#This Row],[Due date (dd/mm/yyyy)]])</f>
        <v>0</v>
      </c>
      <c r="O758" s="46">
        <f t="shared" si="11"/>
        <v>52</v>
      </c>
    </row>
    <row r="759" spans="3:15" x14ac:dyDescent="0.25">
      <c r="C759" s="24"/>
      <c r="D759" s="20"/>
      <c r="E759" s="4"/>
      <c r="F759" s="37"/>
      <c r="G759" s="24"/>
      <c r="H759" s="51">
        <f>Assumptions!$D$15</f>
        <v>0.1</v>
      </c>
      <c r="I759" s="45">
        <f>IF(SO[[#This Row],[GST applies?]] = "Yes", (SO[[#This Row],[Value inc. GST]] / 1 + SO[[#This Row],[GST %]]) * SO[[#This Row],[GST %]], 0)</f>
        <v>0</v>
      </c>
      <c r="J759" s="31">
        <f>_xlfn.XLOOKUP(SO[[#This Row],[Customer name]], Customer_master[Customer name], Customer_master[EOM or Net], 0)</f>
        <v>0</v>
      </c>
      <c r="K759" s="31">
        <f>_xlfn.XLOOKUP(SO[[#This Row],[Customer name]], Customer_master[Customer name], Customer_master[Terms days], 0)</f>
        <v>0</v>
      </c>
      <c r="L7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9" s="4"/>
      <c r="N759" s="46">
        <f>IF(SO[[#This Row],[Collection date - override (dd/mm/yyyy)]] &lt;&gt; "", SO[[#This Row],[Collection date - override (dd/mm/yyyy)]], SO[[#This Row],[Due date (dd/mm/yyyy)]])</f>
        <v>0</v>
      </c>
      <c r="O759" s="46">
        <f t="shared" si="11"/>
        <v>52</v>
      </c>
    </row>
    <row r="760" spans="3:15" x14ac:dyDescent="0.25">
      <c r="C760" s="24"/>
      <c r="D760" s="20"/>
      <c r="E760" s="4"/>
      <c r="F760" s="37"/>
      <c r="G760" s="24"/>
      <c r="H760" s="51">
        <f>Assumptions!$D$15</f>
        <v>0.1</v>
      </c>
      <c r="I760" s="45">
        <f>IF(SO[[#This Row],[GST applies?]] = "Yes", (SO[[#This Row],[Value inc. GST]] / 1 + SO[[#This Row],[GST %]]) * SO[[#This Row],[GST %]], 0)</f>
        <v>0</v>
      </c>
      <c r="J760" s="31">
        <f>_xlfn.XLOOKUP(SO[[#This Row],[Customer name]], Customer_master[Customer name], Customer_master[EOM or Net], 0)</f>
        <v>0</v>
      </c>
      <c r="K760" s="31">
        <f>_xlfn.XLOOKUP(SO[[#This Row],[Customer name]], Customer_master[Customer name], Customer_master[Terms days], 0)</f>
        <v>0</v>
      </c>
      <c r="L7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0" s="4"/>
      <c r="N760" s="46">
        <f>IF(SO[[#This Row],[Collection date - override (dd/mm/yyyy)]] &lt;&gt; "", SO[[#This Row],[Collection date - override (dd/mm/yyyy)]], SO[[#This Row],[Due date (dd/mm/yyyy)]])</f>
        <v>0</v>
      </c>
      <c r="O760" s="46">
        <f t="shared" si="11"/>
        <v>52</v>
      </c>
    </row>
    <row r="761" spans="3:15" x14ac:dyDescent="0.25">
      <c r="C761" s="24"/>
      <c r="D761" s="20"/>
      <c r="E761" s="4"/>
      <c r="F761" s="37"/>
      <c r="G761" s="24"/>
      <c r="H761" s="51">
        <f>Assumptions!$D$15</f>
        <v>0.1</v>
      </c>
      <c r="I761" s="45">
        <f>IF(SO[[#This Row],[GST applies?]] = "Yes", (SO[[#This Row],[Value inc. GST]] / 1 + SO[[#This Row],[GST %]]) * SO[[#This Row],[GST %]], 0)</f>
        <v>0</v>
      </c>
      <c r="J761" s="31">
        <f>_xlfn.XLOOKUP(SO[[#This Row],[Customer name]], Customer_master[Customer name], Customer_master[EOM or Net], 0)</f>
        <v>0</v>
      </c>
      <c r="K761" s="31">
        <f>_xlfn.XLOOKUP(SO[[#This Row],[Customer name]], Customer_master[Customer name], Customer_master[Terms days], 0)</f>
        <v>0</v>
      </c>
      <c r="L7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1" s="4"/>
      <c r="N761" s="46">
        <f>IF(SO[[#This Row],[Collection date - override (dd/mm/yyyy)]] &lt;&gt; "", SO[[#This Row],[Collection date - override (dd/mm/yyyy)]], SO[[#This Row],[Due date (dd/mm/yyyy)]])</f>
        <v>0</v>
      </c>
      <c r="O761" s="46">
        <f t="shared" si="11"/>
        <v>52</v>
      </c>
    </row>
    <row r="762" spans="3:15" x14ac:dyDescent="0.25">
      <c r="C762" s="24"/>
      <c r="D762" s="20"/>
      <c r="E762" s="4"/>
      <c r="F762" s="37"/>
      <c r="G762" s="24"/>
      <c r="H762" s="51">
        <f>Assumptions!$D$15</f>
        <v>0.1</v>
      </c>
      <c r="I762" s="45">
        <f>IF(SO[[#This Row],[GST applies?]] = "Yes", (SO[[#This Row],[Value inc. GST]] / 1 + SO[[#This Row],[GST %]]) * SO[[#This Row],[GST %]], 0)</f>
        <v>0</v>
      </c>
      <c r="J762" s="31">
        <f>_xlfn.XLOOKUP(SO[[#This Row],[Customer name]], Customer_master[Customer name], Customer_master[EOM or Net], 0)</f>
        <v>0</v>
      </c>
      <c r="K762" s="31">
        <f>_xlfn.XLOOKUP(SO[[#This Row],[Customer name]], Customer_master[Customer name], Customer_master[Terms days], 0)</f>
        <v>0</v>
      </c>
      <c r="L7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2" s="4"/>
      <c r="N762" s="46">
        <f>IF(SO[[#This Row],[Collection date - override (dd/mm/yyyy)]] &lt;&gt; "", SO[[#This Row],[Collection date - override (dd/mm/yyyy)]], SO[[#This Row],[Due date (dd/mm/yyyy)]])</f>
        <v>0</v>
      </c>
      <c r="O762" s="46">
        <f t="shared" si="11"/>
        <v>52</v>
      </c>
    </row>
    <row r="763" spans="3:15" x14ac:dyDescent="0.25">
      <c r="C763" s="24"/>
      <c r="D763" s="20"/>
      <c r="E763" s="4"/>
      <c r="F763" s="37"/>
      <c r="G763" s="24"/>
      <c r="H763" s="51">
        <f>Assumptions!$D$15</f>
        <v>0.1</v>
      </c>
      <c r="I763" s="45">
        <f>IF(SO[[#This Row],[GST applies?]] = "Yes", (SO[[#This Row],[Value inc. GST]] / 1 + SO[[#This Row],[GST %]]) * SO[[#This Row],[GST %]], 0)</f>
        <v>0</v>
      </c>
      <c r="J763" s="31">
        <f>_xlfn.XLOOKUP(SO[[#This Row],[Customer name]], Customer_master[Customer name], Customer_master[EOM or Net], 0)</f>
        <v>0</v>
      </c>
      <c r="K763" s="31">
        <f>_xlfn.XLOOKUP(SO[[#This Row],[Customer name]], Customer_master[Customer name], Customer_master[Terms days], 0)</f>
        <v>0</v>
      </c>
      <c r="L7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3" s="4"/>
      <c r="N763" s="46">
        <f>IF(SO[[#This Row],[Collection date - override (dd/mm/yyyy)]] &lt;&gt; "", SO[[#This Row],[Collection date - override (dd/mm/yyyy)]], SO[[#This Row],[Due date (dd/mm/yyyy)]])</f>
        <v>0</v>
      </c>
      <c r="O763" s="46">
        <f t="shared" si="11"/>
        <v>52</v>
      </c>
    </row>
    <row r="764" spans="3:15" x14ac:dyDescent="0.25">
      <c r="C764" s="24"/>
      <c r="D764" s="20"/>
      <c r="E764" s="4"/>
      <c r="F764" s="37"/>
      <c r="G764" s="24"/>
      <c r="H764" s="51">
        <f>Assumptions!$D$15</f>
        <v>0.1</v>
      </c>
      <c r="I764" s="45">
        <f>IF(SO[[#This Row],[GST applies?]] = "Yes", (SO[[#This Row],[Value inc. GST]] / 1 + SO[[#This Row],[GST %]]) * SO[[#This Row],[GST %]], 0)</f>
        <v>0</v>
      </c>
      <c r="J764" s="31">
        <f>_xlfn.XLOOKUP(SO[[#This Row],[Customer name]], Customer_master[Customer name], Customer_master[EOM or Net], 0)</f>
        <v>0</v>
      </c>
      <c r="K764" s="31">
        <f>_xlfn.XLOOKUP(SO[[#This Row],[Customer name]], Customer_master[Customer name], Customer_master[Terms days], 0)</f>
        <v>0</v>
      </c>
      <c r="L7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4" s="4"/>
      <c r="N764" s="46">
        <f>IF(SO[[#This Row],[Collection date - override (dd/mm/yyyy)]] &lt;&gt; "", SO[[#This Row],[Collection date - override (dd/mm/yyyy)]], SO[[#This Row],[Due date (dd/mm/yyyy)]])</f>
        <v>0</v>
      </c>
      <c r="O764" s="46">
        <f t="shared" si="11"/>
        <v>52</v>
      </c>
    </row>
    <row r="765" spans="3:15" x14ac:dyDescent="0.25">
      <c r="C765" s="24"/>
      <c r="D765" s="20"/>
      <c r="E765" s="4"/>
      <c r="F765" s="37"/>
      <c r="G765" s="24"/>
      <c r="H765" s="51">
        <f>Assumptions!$D$15</f>
        <v>0.1</v>
      </c>
      <c r="I765" s="45">
        <f>IF(SO[[#This Row],[GST applies?]] = "Yes", (SO[[#This Row],[Value inc. GST]] / 1 + SO[[#This Row],[GST %]]) * SO[[#This Row],[GST %]], 0)</f>
        <v>0</v>
      </c>
      <c r="J765" s="31">
        <f>_xlfn.XLOOKUP(SO[[#This Row],[Customer name]], Customer_master[Customer name], Customer_master[EOM or Net], 0)</f>
        <v>0</v>
      </c>
      <c r="K765" s="31">
        <f>_xlfn.XLOOKUP(SO[[#This Row],[Customer name]], Customer_master[Customer name], Customer_master[Terms days], 0)</f>
        <v>0</v>
      </c>
      <c r="L7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5" s="4"/>
      <c r="N765" s="46">
        <f>IF(SO[[#This Row],[Collection date - override (dd/mm/yyyy)]] &lt;&gt; "", SO[[#This Row],[Collection date - override (dd/mm/yyyy)]], SO[[#This Row],[Due date (dd/mm/yyyy)]])</f>
        <v>0</v>
      </c>
      <c r="O765" s="46">
        <f t="shared" si="11"/>
        <v>52</v>
      </c>
    </row>
    <row r="766" spans="3:15" x14ac:dyDescent="0.25">
      <c r="C766" s="24"/>
      <c r="D766" s="20"/>
      <c r="E766" s="4"/>
      <c r="F766" s="37"/>
      <c r="G766" s="24"/>
      <c r="H766" s="51">
        <f>Assumptions!$D$15</f>
        <v>0.1</v>
      </c>
      <c r="I766" s="45">
        <f>IF(SO[[#This Row],[GST applies?]] = "Yes", (SO[[#This Row],[Value inc. GST]] / 1 + SO[[#This Row],[GST %]]) * SO[[#This Row],[GST %]], 0)</f>
        <v>0</v>
      </c>
      <c r="J766" s="31">
        <f>_xlfn.XLOOKUP(SO[[#This Row],[Customer name]], Customer_master[Customer name], Customer_master[EOM or Net], 0)</f>
        <v>0</v>
      </c>
      <c r="K766" s="31">
        <f>_xlfn.XLOOKUP(SO[[#This Row],[Customer name]], Customer_master[Customer name], Customer_master[Terms days], 0)</f>
        <v>0</v>
      </c>
      <c r="L7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6" s="4"/>
      <c r="N766" s="46">
        <f>IF(SO[[#This Row],[Collection date - override (dd/mm/yyyy)]] &lt;&gt; "", SO[[#This Row],[Collection date - override (dd/mm/yyyy)]], SO[[#This Row],[Due date (dd/mm/yyyy)]])</f>
        <v>0</v>
      </c>
      <c r="O766" s="46">
        <f t="shared" si="11"/>
        <v>52</v>
      </c>
    </row>
    <row r="767" spans="3:15" x14ac:dyDescent="0.25">
      <c r="C767" s="24"/>
      <c r="D767" s="20"/>
      <c r="E767" s="4"/>
      <c r="F767" s="37"/>
      <c r="G767" s="24"/>
      <c r="H767" s="51">
        <f>Assumptions!$D$15</f>
        <v>0.1</v>
      </c>
      <c r="I767" s="45">
        <f>IF(SO[[#This Row],[GST applies?]] = "Yes", (SO[[#This Row],[Value inc. GST]] / 1 + SO[[#This Row],[GST %]]) * SO[[#This Row],[GST %]], 0)</f>
        <v>0</v>
      </c>
      <c r="J767" s="31">
        <f>_xlfn.XLOOKUP(SO[[#This Row],[Customer name]], Customer_master[Customer name], Customer_master[EOM or Net], 0)</f>
        <v>0</v>
      </c>
      <c r="K767" s="31">
        <f>_xlfn.XLOOKUP(SO[[#This Row],[Customer name]], Customer_master[Customer name], Customer_master[Terms days], 0)</f>
        <v>0</v>
      </c>
      <c r="L7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7" s="4"/>
      <c r="N767" s="46">
        <f>IF(SO[[#This Row],[Collection date - override (dd/mm/yyyy)]] &lt;&gt; "", SO[[#This Row],[Collection date - override (dd/mm/yyyy)]], SO[[#This Row],[Due date (dd/mm/yyyy)]])</f>
        <v>0</v>
      </c>
      <c r="O767" s="46">
        <f t="shared" si="11"/>
        <v>52</v>
      </c>
    </row>
    <row r="768" spans="3:15" x14ac:dyDescent="0.25">
      <c r="C768" s="24"/>
      <c r="D768" s="20"/>
      <c r="E768" s="4"/>
      <c r="F768" s="37"/>
      <c r="G768" s="24"/>
      <c r="H768" s="51">
        <f>Assumptions!$D$15</f>
        <v>0.1</v>
      </c>
      <c r="I768" s="45">
        <f>IF(SO[[#This Row],[GST applies?]] = "Yes", (SO[[#This Row],[Value inc. GST]] / 1 + SO[[#This Row],[GST %]]) * SO[[#This Row],[GST %]], 0)</f>
        <v>0</v>
      </c>
      <c r="J768" s="31">
        <f>_xlfn.XLOOKUP(SO[[#This Row],[Customer name]], Customer_master[Customer name], Customer_master[EOM or Net], 0)</f>
        <v>0</v>
      </c>
      <c r="K768" s="31">
        <f>_xlfn.XLOOKUP(SO[[#This Row],[Customer name]], Customer_master[Customer name], Customer_master[Terms days], 0)</f>
        <v>0</v>
      </c>
      <c r="L7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8" s="4"/>
      <c r="N768" s="46">
        <f>IF(SO[[#This Row],[Collection date - override (dd/mm/yyyy)]] &lt;&gt; "", SO[[#This Row],[Collection date - override (dd/mm/yyyy)]], SO[[#This Row],[Due date (dd/mm/yyyy)]])</f>
        <v>0</v>
      </c>
      <c r="O768" s="46">
        <f t="shared" si="11"/>
        <v>52</v>
      </c>
    </row>
    <row r="769" spans="3:15" x14ac:dyDescent="0.25">
      <c r="C769" s="24"/>
      <c r="D769" s="20"/>
      <c r="E769" s="4"/>
      <c r="F769" s="37"/>
      <c r="G769" s="24"/>
      <c r="H769" s="51">
        <f>Assumptions!$D$15</f>
        <v>0.1</v>
      </c>
      <c r="I769" s="45">
        <f>IF(SO[[#This Row],[GST applies?]] = "Yes", (SO[[#This Row],[Value inc. GST]] / 1 + SO[[#This Row],[GST %]]) * SO[[#This Row],[GST %]], 0)</f>
        <v>0</v>
      </c>
      <c r="J769" s="31">
        <f>_xlfn.XLOOKUP(SO[[#This Row],[Customer name]], Customer_master[Customer name], Customer_master[EOM or Net], 0)</f>
        <v>0</v>
      </c>
      <c r="K769" s="31">
        <f>_xlfn.XLOOKUP(SO[[#This Row],[Customer name]], Customer_master[Customer name], Customer_master[Terms days], 0)</f>
        <v>0</v>
      </c>
      <c r="L7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9" s="4"/>
      <c r="N769" s="46">
        <f>IF(SO[[#This Row],[Collection date - override (dd/mm/yyyy)]] &lt;&gt; "", SO[[#This Row],[Collection date - override (dd/mm/yyyy)]], SO[[#This Row],[Due date (dd/mm/yyyy)]])</f>
        <v>0</v>
      </c>
      <c r="O769" s="46">
        <f t="shared" si="11"/>
        <v>52</v>
      </c>
    </row>
    <row r="770" spans="3:15" x14ac:dyDescent="0.25">
      <c r="C770" s="24"/>
      <c r="D770" s="20"/>
      <c r="E770" s="4"/>
      <c r="F770" s="37"/>
      <c r="G770" s="24"/>
      <c r="H770" s="51">
        <f>Assumptions!$D$15</f>
        <v>0.1</v>
      </c>
      <c r="I770" s="45">
        <f>IF(SO[[#This Row],[GST applies?]] = "Yes", (SO[[#This Row],[Value inc. GST]] / 1 + SO[[#This Row],[GST %]]) * SO[[#This Row],[GST %]], 0)</f>
        <v>0</v>
      </c>
      <c r="J770" s="31">
        <f>_xlfn.XLOOKUP(SO[[#This Row],[Customer name]], Customer_master[Customer name], Customer_master[EOM or Net], 0)</f>
        <v>0</v>
      </c>
      <c r="K770" s="31">
        <f>_xlfn.XLOOKUP(SO[[#This Row],[Customer name]], Customer_master[Customer name], Customer_master[Terms days], 0)</f>
        <v>0</v>
      </c>
      <c r="L7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0" s="4"/>
      <c r="N770" s="46">
        <f>IF(SO[[#This Row],[Collection date - override (dd/mm/yyyy)]] &lt;&gt; "", SO[[#This Row],[Collection date - override (dd/mm/yyyy)]], SO[[#This Row],[Due date (dd/mm/yyyy)]])</f>
        <v>0</v>
      </c>
      <c r="O770" s="46">
        <f t="shared" si="11"/>
        <v>52</v>
      </c>
    </row>
    <row r="771" spans="3:15" x14ac:dyDescent="0.25">
      <c r="C771" s="24"/>
      <c r="D771" s="20"/>
      <c r="E771" s="4"/>
      <c r="F771" s="37"/>
      <c r="G771" s="24"/>
      <c r="H771" s="51">
        <f>Assumptions!$D$15</f>
        <v>0.1</v>
      </c>
      <c r="I771" s="45">
        <f>IF(SO[[#This Row],[GST applies?]] = "Yes", (SO[[#This Row],[Value inc. GST]] / 1 + SO[[#This Row],[GST %]]) * SO[[#This Row],[GST %]], 0)</f>
        <v>0</v>
      </c>
      <c r="J771" s="31">
        <f>_xlfn.XLOOKUP(SO[[#This Row],[Customer name]], Customer_master[Customer name], Customer_master[EOM or Net], 0)</f>
        <v>0</v>
      </c>
      <c r="K771" s="31">
        <f>_xlfn.XLOOKUP(SO[[#This Row],[Customer name]], Customer_master[Customer name], Customer_master[Terms days], 0)</f>
        <v>0</v>
      </c>
      <c r="L7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1" s="4"/>
      <c r="N771" s="46">
        <f>IF(SO[[#This Row],[Collection date - override (dd/mm/yyyy)]] &lt;&gt; "", SO[[#This Row],[Collection date - override (dd/mm/yyyy)]], SO[[#This Row],[Due date (dd/mm/yyyy)]])</f>
        <v>0</v>
      </c>
      <c r="O771" s="46">
        <f t="shared" si="11"/>
        <v>52</v>
      </c>
    </row>
    <row r="772" spans="3:15" x14ac:dyDescent="0.25">
      <c r="C772" s="24"/>
      <c r="D772" s="20"/>
      <c r="E772" s="4"/>
      <c r="F772" s="37"/>
      <c r="G772" s="24"/>
      <c r="H772" s="51">
        <f>Assumptions!$D$15</f>
        <v>0.1</v>
      </c>
      <c r="I772" s="45">
        <f>IF(SO[[#This Row],[GST applies?]] = "Yes", (SO[[#This Row],[Value inc. GST]] / 1 + SO[[#This Row],[GST %]]) * SO[[#This Row],[GST %]], 0)</f>
        <v>0</v>
      </c>
      <c r="J772" s="31">
        <f>_xlfn.XLOOKUP(SO[[#This Row],[Customer name]], Customer_master[Customer name], Customer_master[EOM or Net], 0)</f>
        <v>0</v>
      </c>
      <c r="K772" s="31">
        <f>_xlfn.XLOOKUP(SO[[#This Row],[Customer name]], Customer_master[Customer name], Customer_master[Terms days], 0)</f>
        <v>0</v>
      </c>
      <c r="L7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2" s="4"/>
      <c r="N772" s="46">
        <f>IF(SO[[#This Row],[Collection date - override (dd/mm/yyyy)]] &lt;&gt; "", SO[[#This Row],[Collection date - override (dd/mm/yyyy)]], SO[[#This Row],[Due date (dd/mm/yyyy)]])</f>
        <v>0</v>
      </c>
      <c r="O772" s="46">
        <f t="shared" si="11"/>
        <v>52</v>
      </c>
    </row>
    <row r="773" spans="3:15" x14ac:dyDescent="0.25">
      <c r="C773" s="24"/>
      <c r="D773" s="20"/>
      <c r="E773" s="4"/>
      <c r="F773" s="37"/>
      <c r="G773" s="24"/>
      <c r="H773" s="51">
        <f>Assumptions!$D$15</f>
        <v>0.1</v>
      </c>
      <c r="I773" s="45">
        <f>IF(SO[[#This Row],[GST applies?]] = "Yes", (SO[[#This Row],[Value inc. GST]] / 1 + SO[[#This Row],[GST %]]) * SO[[#This Row],[GST %]], 0)</f>
        <v>0</v>
      </c>
      <c r="J773" s="31">
        <f>_xlfn.XLOOKUP(SO[[#This Row],[Customer name]], Customer_master[Customer name], Customer_master[EOM or Net], 0)</f>
        <v>0</v>
      </c>
      <c r="K773" s="31">
        <f>_xlfn.XLOOKUP(SO[[#This Row],[Customer name]], Customer_master[Customer name], Customer_master[Terms days], 0)</f>
        <v>0</v>
      </c>
      <c r="L7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3" s="4"/>
      <c r="N773" s="46">
        <f>IF(SO[[#This Row],[Collection date - override (dd/mm/yyyy)]] &lt;&gt; "", SO[[#This Row],[Collection date - override (dd/mm/yyyy)]], SO[[#This Row],[Due date (dd/mm/yyyy)]])</f>
        <v>0</v>
      </c>
      <c r="O773" s="46">
        <f t="shared" si="11"/>
        <v>52</v>
      </c>
    </row>
    <row r="774" spans="3:15" x14ac:dyDescent="0.25">
      <c r="C774" s="24"/>
      <c r="D774" s="20"/>
      <c r="E774" s="4"/>
      <c r="F774" s="37"/>
      <c r="G774" s="24"/>
      <c r="H774" s="51">
        <f>Assumptions!$D$15</f>
        <v>0.1</v>
      </c>
      <c r="I774" s="45">
        <f>IF(SO[[#This Row],[GST applies?]] = "Yes", (SO[[#This Row],[Value inc. GST]] / 1 + SO[[#This Row],[GST %]]) * SO[[#This Row],[GST %]], 0)</f>
        <v>0</v>
      </c>
      <c r="J774" s="31">
        <f>_xlfn.XLOOKUP(SO[[#This Row],[Customer name]], Customer_master[Customer name], Customer_master[EOM or Net], 0)</f>
        <v>0</v>
      </c>
      <c r="K774" s="31">
        <f>_xlfn.XLOOKUP(SO[[#This Row],[Customer name]], Customer_master[Customer name], Customer_master[Terms days], 0)</f>
        <v>0</v>
      </c>
      <c r="L7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4" s="4"/>
      <c r="N774" s="46">
        <f>IF(SO[[#This Row],[Collection date - override (dd/mm/yyyy)]] &lt;&gt; "", SO[[#This Row],[Collection date - override (dd/mm/yyyy)]], SO[[#This Row],[Due date (dd/mm/yyyy)]])</f>
        <v>0</v>
      </c>
      <c r="O774" s="46">
        <f t="shared" si="11"/>
        <v>52</v>
      </c>
    </row>
    <row r="775" spans="3:15" x14ac:dyDescent="0.25">
      <c r="C775" s="24"/>
      <c r="D775" s="20"/>
      <c r="E775" s="4"/>
      <c r="F775" s="37"/>
      <c r="G775" s="24"/>
      <c r="H775" s="51">
        <f>Assumptions!$D$15</f>
        <v>0.1</v>
      </c>
      <c r="I775" s="45">
        <f>IF(SO[[#This Row],[GST applies?]] = "Yes", (SO[[#This Row],[Value inc. GST]] / 1 + SO[[#This Row],[GST %]]) * SO[[#This Row],[GST %]], 0)</f>
        <v>0</v>
      </c>
      <c r="J775" s="31">
        <f>_xlfn.XLOOKUP(SO[[#This Row],[Customer name]], Customer_master[Customer name], Customer_master[EOM or Net], 0)</f>
        <v>0</v>
      </c>
      <c r="K775" s="31">
        <f>_xlfn.XLOOKUP(SO[[#This Row],[Customer name]], Customer_master[Customer name], Customer_master[Terms days], 0)</f>
        <v>0</v>
      </c>
      <c r="L7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5" s="4"/>
      <c r="N775" s="46">
        <f>IF(SO[[#This Row],[Collection date - override (dd/mm/yyyy)]] &lt;&gt; "", SO[[#This Row],[Collection date - override (dd/mm/yyyy)]], SO[[#This Row],[Due date (dd/mm/yyyy)]])</f>
        <v>0</v>
      </c>
      <c r="O775" s="46">
        <f t="shared" si="11"/>
        <v>52</v>
      </c>
    </row>
    <row r="776" spans="3:15" x14ac:dyDescent="0.25">
      <c r="C776" s="24"/>
      <c r="D776" s="20"/>
      <c r="E776" s="4"/>
      <c r="F776" s="37"/>
      <c r="G776" s="24"/>
      <c r="H776" s="51">
        <f>Assumptions!$D$15</f>
        <v>0.1</v>
      </c>
      <c r="I776" s="45">
        <f>IF(SO[[#This Row],[GST applies?]] = "Yes", (SO[[#This Row],[Value inc. GST]] / 1 + SO[[#This Row],[GST %]]) * SO[[#This Row],[GST %]], 0)</f>
        <v>0</v>
      </c>
      <c r="J776" s="31">
        <f>_xlfn.XLOOKUP(SO[[#This Row],[Customer name]], Customer_master[Customer name], Customer_master[EOM or Net], 0)</f>
        <v>0</v>
      </c>
      <c r="K776" s="31">
        <f>_xlfn.XLOOKUP(SO[[#This Row],[Customer name]], Customer_master[Customer name], Customer_master[Terms days], 0)</f>
        <v>0</v>
      </c>
      <c r="L7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6" s="4"/>
      <c r="N776" s="46">
        <f>IF(SO[[#This Row],[Collection date - override (dd/mm/yyyy)]] &lt;&gt; "", SO[[#This Row],[Collection date - override (dd/mm/yyyy)]], SO[[#This Row],[Due date (dd/mm/yyyy)]])</f>
        <v>0</v>
      </c>
      <c r="O776" s="46">
        <f t="shared" si="11"/>
        <v>52</v>
      </c>
    </row>
    <row r="777" spans="3:15" x14ac:dyDescent="0.25">
      <c r="C777" s="24"/>
      <c r="D777" s="20"/>
      <c r="E777" s="4"/>
      <c r="F777" s="37"/>
      <c r="G777" s="24"/>
      <c r="H777" s="51">
        <f>Assumptions!$D$15</f>
        <v>0.1</v>
      </c>
      <c r="I777" s="45">
        <f>IF(SO[[#This Row],[GST applies?]] = "Yes", (SO[[#This Row],[Value inc. GST]] / 1 + SO[[#This Row],[GST %]]) * SO[[#This Row],[GST %]], 0)</f>
        <v>0</v>
      </c>
      <c r="J777" s="31">
        <f>_xlfn.XLOOKUP(SO[[#This Row],[Customer name]], Customer_master[Customer name], Customer_master[EOM or Net], 0)</f>
        <v>0</v>
      </c>
      <c r="K777" s="31">
        <f>_xlfn.XLOOKUP(SO[[#This Row],[Customer name]], Customer_master[Customer name], Customer_master[Terms days], 0)</f>
        <v>0</v>
      </c>
      <c r="L7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7" s="4"/>
      <c r="N777" s="46">
        <f>IF(SO[[#This Row],[Collection date - override (dd/mm/yyyy)]] &lt;&gt; "", SO[[#This Row],[Collection date - override (dd/mm/yyyy)]], SO[[#This Row],[Due date (dd/mm/yyyy)]])</f>
        <v>0</v>
      </c>
      <c r="O777" s="46">
        <f t="shared" ref="O777:O840" si="12">IF(GST_Freq="Monthly",
    DATE(YEAR(E777), MONTH(E777) + 1, 21),
    IF(GST_Freq="Quarterly",
        IF(MOD(MONTH(E777) + 2 - MOD(MOD(MONTH(E777) - GST_First_Month, 12), 3), 12) = 0,
            DATE(YEAR(E777), MONTH(E777) + 4 - MOD(MOD(MONTH(E777) - GST_First_Month, 12), 3), 28),
            DATE(YEAR(E777), MONTH(E777) + 3 - MOD(MOD(MONTH(E777) - GST_First_Month, 12), 3), 28)
        ),
        "Invalid frequency"
    )
)</f>
        <v>52</v>
      </c>
    </row>
    <row r="778" spans="3:15" x14ac:dyDescent="0.25">
      <c r="C778" s="24"/>
      <c r="D778" s="20"/>
      <c r="E778" s="4"/>
      <c r="F778" s="37"/>
      <c r="G778" s="24"/>
      <c r="H778" s="51">
        <f>Assumptions!$D$15</f>
        <v>0.1</v>
      </c>
      <c r="I778" s="45">
        <f>IF(SO[[#This Row],[GST applies?]] = "Yes", (SO[[#This Row],[Value inc. GST]] / 1 + SO[[#This Row],[GST %]]) * SO[[#This Row],[GST %]], 0)</f>
        <v>0</v>
      </c>
      <c r="J778" s="31">
        <f>_xlfn.XLOOKUP(SO[[#This Row],[Customer name]], Customer_master[Customer name], Customer_master[EOM or Net], 0)</f>
        <v>0</v>
      </c>
      <c r="K778" s="31">
        <f>_xlfn.XLOOKUP(SO[[#This Row],[Customer name]], Customer_master[Customer name], Customer_master[Terms days], 0)</f>
        <v>0</v>
      </c>
      <c r="L7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8" s="4"/>
      <c r="N778" s="46">
        <f>IF(SO[[#This Row],[Collection date - override (dd/mm/yyyy)]] &lt;&gt; "", SO[[#This Row],[Collection date - override (dd/mm/yyyy)]], SO[[#This Row],[Due date (dd/mm/yyyy)]])</f>
        <v>0</v>
      </c>
      <c r="O778" s="46">
        <f t="shared" si="12"/>
        <v>52</v>
      </c>
    </row>
    <row r="779" spans="3:15" x14ac:dyDescent="0.25">
      <c r="C779" s="24"/>
      <c r="D779" s="20"/>
      <c r="E779" s="4"/>
      <c r="F779" s="37"/>
      <c r="G779" s="24"/>
      <c r="H779" s="51">
        <f>Assumptions!$D$15</f>
        <v>0.1</v>
      </c>
      <c r="I779" s="45">
        <f>IF(SO[[#This Row],[GST applies?]] = "Yes", (SO[[#This Row],[Value inc. GST]] / 1 + SO[[#This Row],[GST %]]) * SO[[#This Row],[GST %]], 0)</f>
        <v>0</v>
      </c>
      <c r="J779" s="31">
        <f>_xlfn.XLOOKUP(SO[[#This Row],[Customer name]], Customer_master[Customer name], Customer_master[EOM or Net], 0)</f>
        <v>0</v>
      </c>
      <c r="K779" s="31">
        <f>_xlfn.XLOOKUP(SO[[#This Row],[Customer name]], Customer_master[Customer name], Customer_master[Terms days], 0)</f>
        <v>0</v>
      </c>
      <c r="L7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9" s="4"/>
      <c r="N779" s="46">
        <f>IF(SO[[#This Row],[Collection date - override (dd/mm/yyyy)]] &lt;&gt; "", SO[[#This Row],[Collection date - override (dd/mm/yyyy)]], SO[[#This Row],[Due date (dd/mm/yyyy)]])</f>
        <v>0</v>
      </c>
      <c r="O779" s="46">
        <f t="shared" si="12"/>
        <v>52</v>
      </c>
    </row>
    <row r="780" spans="3:15" x14ac:dyDescent="0.25">
      <c r="C780" s="24"/>
      <c r="D780" s="20"/>
      <c r="E780" s="4"/>
      <c r="F780" s="37"/>
      <c r="G780" s="24"/>
      <c r="H780" s="51">
        <f>Assumptions!$D$15</f>
        <v>0.1</v>
      </c>
      <c r="I780" s="45">
        <f>IF(SO[[#This Row],[GST applies?]] = "Yes", (SO[[#This Row],[Value inc. GST]] / 1 + SO[[#This Row],[GST %]]) * SO[[#This Row],[GST %]], 0)</f>
        <v>0</v>
      </c>
      <c r="J780" s="31">
        <f>_xlfn.XLOOKUP(SO[[#This Row],[Customer name]], Customer_master[Customer name], Customer_master[EOM or Net], 0)</f>
        <v>0</v>
      </c>
      <c r="K780" s="31">
        <f>_xlfn.XLOOKUP(SO[[#This Row],[Customer name]], Customer_master[Customer name], Customer_master[Terms days], 0)</f>
        <v>0</v>
      </c>
      <c r="L7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0" s="4"/>
      <c r="N780" s="46">
        <f>IF(SO[[#This Row],[Collection date - override (dd/mm/yyyy)]] &lt;&gt; "", SO[[#This Row],[Collection date - override (dd/mm/yyyy)]], SO[[#This Row],[Due date (dd/mm/yyyy)]])</f>
        <v>0</v>
      </c>
      <c r="O780" s="46">
        <f t="shared" si="12"/>
        <v>52</v>
      </c>
    </row>
    <row r="781" spans="3:15" x14ac:dyDescent="0.25">
      <c r="C781" s="24"/>
      <c r="D781" s="20"/>
      <c r="E781" s="4"/>
      <c r="F781" s="37"/>
      <c r="G781" s="24"/>
      <c r="H781" s="51">
        <f>Assumptions!$D$15</f>
        <v>0.1</v>
      </c>
      <c r="I781" s="45">
        <f>IF(SO[[#This Row],[GST applies?]] = "Yes", (SO[[#This Row],[Value inc. GST]] / 1 + SO[[#This Row],[GST %]]) * SO[[#This Row],[GST %]], 0)</f>
        <v>0</v>
      </c>
      <c r="J781" s="31">
        <f>_xlfn.XLOOKUP(SO[[#This Row],[Customer name]], Customer_master[Customer name], Customer_master[EOM or Net], 0)</f>
        <v>0</v>
      </c>
      <c r="K781" s="31">
        <f>_xlfn.XLOOKUP(SO[[#This Row],[Customer name]], Customer_master[Customer name], Customer_master[Terms days], 0)</f>
        <v>0</v>
      </c>
      <c r="L7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1" s="4"/>
      <c r="N781" s="46">
        <f>IF(SO[[#This Row],[Collection date - override (dd/mm/yyyy)]] &lt;&gt; "", SO[[#This Row],[Collection date - override (dd/mm/yyyy)]], SO[[#This Row],[Due date (dd/mm/yyyy)]])</f>
        <v>0</v>
      </c>
      <c r="O781" s="46">
        <f t="shared" si="12"/>
        <v>52</v>
      </c>
    </row>
    <row r="782" spans="3:15" x14ac:dyDescent="0.25">
      <c r="C782" s="24"/>
      <c r="D782" s="20"/>
      <c r="E782" s="4"/>
      <c r="F782" s="37"/>
      <c r="G782" s="24"/>
      <c r="H782" s="51">
        <f>Assumptions!$D$15</f>
        <v>0.1</v>
      </c>
      <c r="I782" s="45">
        <f>IF(SO[[#This Row],[GST applies?]] = "Yes", (SO[[#This Row],[Value inc. GST]] / 1 + SO[[#This Row],[GST %]]) * SO[[#This Row],[GST %]], 0)</f>
        <v>0</v>
      </c>
      <c r="J782" s="31">
        <f>_xlfn.XLOOKUP(SO[[#This Row],[Customer name]], Customer_master[Customer name], Customer_master[EOM or Net], 0)</f>
        <v>0</v>
      </c>
      <c r="K782" s="31">
        <f>_xlfn.XLOOKUP(SO[[#This Row],[Customer name]], Customer_master[Customer name], Customer_master[Terms days], 0)</f>
        <v>0</v>
      </c>
      <c r="L7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2" s="4"/>
      <c r="N782" s="46">
        <f>IF(SO[[#This Row],[Collection date - override (dd/mm/yyyy)]] &lt;&gt; "", SO[[#This Row],[Collection date - override (dd/mm/yyyy)]], SO[[#This Row],[Due date (dd/mm/yyyy)]])</f>
        <v>0</v>
      </c>
      <c r="O782" s="46">
        <f t="shared" si="12"/>
        <v>52</v>
      </c>
    </row>
    <row r="783" spans="3:15" x14ac:dyDescent="0.25">
      <c r="C783" s="24"/>
      <c r="D783" s="20"/>
      <c r="E783" s="4"/>
      <c r="F783" s="37"/>
      <c r="G783" s="24"/>
      <c r="H783" s="51">
        <f>Assumptions!$D$15</f>
        <v>0.1</v>
      </c>
      <c r="I783" s="45">
        <f>IF(SO[[#This Row],[GST applies?]] = "Yes", (SO[[#This Row],[Value inc. GST]] / 1 + SO[[#This Row],[GST %]]) * SO[[#This Row],[GST %]], 0)</f>
        <v>0</v>
      </c>
      <c r="J783" s="31">
        <f>_xlfn.XLOOKUP(SO[[#This Row],[Customer name]], Customer_master[Customer name], Customer_master[EOM or Net], 0)</f>
        <v>0</v>
      </c>
      <c r="K783" s="31">
        <f>_xlfn.XLOOKUP(SO[[#This Row],[Customer name]], Customer_master[Customer name], Customer_master[Terms days], 0)</f>
        <v>0</v>
      </c>
      <c r="L7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3" s="4"/>
      <c r="N783" s="46">
        <f>IF(SO[[#This Row],[Collection date - override (dd/mm/yyyy)]] &lt;&gt; "", SO[[#This Row],[Collection date - override (dd/mm/yyyy)]], SO[[#This Row],[Due date (dd/mm/yyyy)]])</f>
        <v>0</v>
      </c>
      <c r="O783" s="46">
        <f t="shared" si="12"/>
        <v>52</v>
      </c>
    </row>
    <row r="784" spans="3:15" x14ac:dyDescent="0.25">
      <c r="C784" s="24"/>
      <c r="D784" s="20"/>
      <c r="E784" s="4"/>
      <c r="F784" s="37"/>
      <c r="G784" s="24"/>
      <c r="H784" s="51">
        <f>Assumptions!$D$15</f>
        <v>0.1</v>
      </c>
      <c r="I784" s="45">
        <f>IF(SO[[#This Row],[GST applies?]] = "Yes", (SO[[#This Row],[Value inc. GST]] / 1 + SO[[#This Row],[GST %]]) * SO[[#This Row],[GST %]], 0)</f>
        <v>0</v>
      </c>
      <c r="J784" s="31">
        <f>_xlfn.XLOOKUP(SO[[#This Row],[Customer name]], Customer_master[Customer name], Customer_master[EOM or Net], 0)</f>
        <v>0</v>
      </c>
      <c r="K784" s="31">
        <f>_xlfn.XLOOKUP(SO[[#This Row],[Customer name]], Customer_master[Customer name], Customer_master[Terms days], 0)</f>
        <v>0</v>
      </c>
      <c r="L7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4" s="4"/>
      <c r="N784" s="46">
        <f>IF(SO[[#This Row],[Collection date - override (dd/mm/yyyy)]] &lt;&gt; "", SO[[#This Row],[Collection date - override (dd/mm/yyyy)]], SO[[#This Row],[Due date (dd/mm/yyyy)]])</f>
        <v>0</v>
      </c>
      <c r="O784" s="46">
        <f t="shared" si="12"/>
        <v>52</v>
      </c>
    </row>
    <row r="785" spans="3:15" x14ac:dyDescent="0.25">
      <c r="C785" s="24"/>
      <c r="D785" s="20"/>
      <c r="E785" s="4"/>
      <c r="F785" s="37"/>
      <c r="G785" s="24"/>
      <c r="H785" s="51">
        <f>Assumptions!$D$15</f>
        <v>0.1</v>
      </c>
      <c r="I785" s="45">
        <f>IF(SO[[#This Row],[GST applies?]] = "Yes", (SO[[#This Row],[Value inc. GST]] / 1 + SO[[#This Row],[GST %]]) * SO[[#This Row],[GST %]], 0)</f>
        <v>0</v>
      </c>
      <c r="J785" s="31">
        <f>_xlfn.XLOOKUP(SO[[#This Row],[Customer name]], Customer_master[Customer name], Customer_master[EOM or Net], 0)</f>
        <v>0</v>
      </c>
      <c r="K785" s="31">
        <f>_xlfn.XLOOKUP(SO[[#This Row],[Customer name]], Customer_master[Customer name], Customer_master[Terms days], 0)</f>
        <v>0</v>
      </c>
      <c r="L7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5" s="4"/>
      <c r="N785" s="46">
        <f>IF(SO[[#This Row],[Collection date - override (dd/mm/yyyy)]] &lt;&gt; "", SO[[#This Row],[Collection date - override (dd/mm/yyyy)]], SO[[#This Row],[Due date (dd/mm/yyyy)]])</f>
        <v>0</v>
      </c>
      <c r="O785" s="46">
        <f t="shared" si="12"/>
        <v>52</v>
      </c>
    </row>
    <row r="786" spans="3:15" x14ac:dyDescent="0.25">
      <c r="C786" s="24"/>
      <c r="D786" s="20"/>
      <c r="E786" s="4"/>
      <c r="F786" s="37"/>
      <c r="G786" s="24"/>
      <c r="H786" s="51">
        <f>Assumptions!$D$15</f>
        <v>0.1</v>
      </c>
      <c r="I786" s="45">
        <f>IF(SO[[#This Row],[GST applies?]] = "Yes", (SO[[#This Row],[Value inc. GST]] / 1 + SO[[#This Row],[GST %]]) * SO[[#This Row],[GST %]], 0)</f>
        <v>0</v>
      </c>
      <c r="J786" s="31">
        <f>_xlfn.XLOOKUP(SO[[#This Row],[Customer name]], Customer_master[Customer name], Customer_master[EOM or Net], 0)</f>
        <v>0</v>
      </c>
      <c r="K786" s="31">
        <f>_xlfn.XLOOKUP(SO[[#This Row],[Customer name]], Customer_master[Customer name], Customer_master[Terms days], 0)</f>
        <v>0</v>
      </c>
      <c r="L7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6" s="4"/>
      <c r="N786" s="46">
        <f>IF(SO[[#This Row],[Collection date - override (dd/mm/yyyy)]] &lt;&gt; "", SO[[#This Row],[Collection date - override (dd/mm/yyyy)]], SO[[#This Row],[Due date (dd/mm/yyyy)]])</f>
        <v>0</v>
      </c>
      <c r="O786" s="46">
        <f t="shared" si="12"/>
        <v>52</v>
      </c>
    </row>
    <row r="787" spans="3:15" x14ac:dyDescent="0.25">
      <c r="C787" s="24"/>
      <c r="D787" s="20"/>
      <c r="E787" s="4"/>
      <c r="F787" s="37"/>
      <c r="G787" s="24"/>
      <c r="H787" s="51">
        <f>Assumptions!$D$15</f>
        <v>0.1</v>
      </c>
      <c r="I787" s="45">
        <f>IF(SO[[#This Row],[GST applies?]] = "Yes", (SO[[#This Row],[Value inc. GST]] / 1 + SO[[#This Row],[GST %]]) * SO[[#This Row],[GST %]], 0)</f>
        <v>0</v>
      </c>
      <c r="J787" s="31">
        <f>_xlfn.XLOOKUP(SO[[#This Row],[Customer name]], Customer_master[Customer name], Customer_master[EOM or Net], 0)</f>
        <v>0</v>
      </c>
      <c r="K787" s="31">
        <f>_xlfn.XLOOKUP(SO[[#This Row],[Customer name]], Customer_master[Customer name], Customer_master[Terms days], 0)</f>
        <v>0</v>
      </c>
      <c r="L7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7" s="4"/>
      <c r="N787" s="46">
        <f>IF(SO[[#This Row],[Collection date - override (dd/mm/yyyy)]] &lt;&gt; "", SO[[#This Row],[Collection date - override (dd/mm/yyyy)]], SO[[#This Row],[Due date (dd/mm/yyyy)]])</f>
        <v>0</v>
      </c>
      <c r="O787" s="46">
        <f t="shared" si="12"/>
        <v>52</v>
      </c>
    </row>
    <row r="788" spans="3:15" x14ac:dyDescent="0.25">
      <c r="C788" s="24"/>
      <c r="D788" s="20"/>
      <c r="E788" s="4"/>
      <c r="F788" s="37"/>
      <c r="G788" s="24"/>
      <c r="H788" s="51">
        <f>Assumptions!$D$15</f>
        <v>0.1</v>
      </c>
      <c r="I788" s="45">
        <f>IF(SO[[#This Row],[GST applies?]] = "Yes", (SO[[#This Row],[Value inc. GST]] / 1 + SO[[#This Row],[GST %]]) * SO[[#This Row],[GST %]], 0)</f>
        <v>0</v>
      </c>
      <c r="J788" s="31">
        <f>_xlfn.XLOOKUP(SO[[#This Row],[Customer name]], Customer_master[Customer name], Customer_master[EOM or Net], 0)</f>
        <v>0</v>
      </c>
      <c r="K788" s="31">
        <f>_xlfn.XLOOKUP(SO[[#This Row],[Customer name]], Customer_master[Customer name], Customer_master[Terms days], 0)</f>
        <v>0</v>
      </c>
      <c r="L7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8" s="4"/>
      <c r="N788" s="46">
        <f>IF(SO[[#This Row],[Collection date - override (dd/mm/yyyy)]] &lt;&gt; "", SO[[#This Row],[Collection date - override (dd/mm/yyyy)]], SO[[#This Row],[Due date (dd/mm/yyyy)]])</f>
        <v>0</v>
      </c>
      <c r="O788" s="46">
        <f t="shared" si="12"/>
        <v>52</v>
      </c>
    </row>
    <row r="789" spans="3:15" x14ac:dyDescent="0.25">
      <c r="C789" s="24"/>
      <c r="D789" s="20"/>
      <c r="E789" s="4"/>
      <c r="F789" s="37"/>
      <c r="G789" s="24"/>
      <c r="H789" s="51">
        <f>Assumptions!$D$15</f>
        <v>0.1</v>
      </c>
      <c r="I789" s="45">
        <f>IF(SO[[#This Row],[GST applies?]] = "Yes", (SO[[#This Row],[Value inc. GST]] / 1 + SO[[#This Row],[GST %]]) * SO[[#This Row],[GST %]], 0)</f>
        <v>0</v>
      </c>
      <c r="J789" s="31">
        <f>_xlfn.XLOOKUP(SO[[#This Row],[Customer name]], Customer_master[Customer name], Customer_master[EOM or Net], 0)</f>
        <v>0</v>
      </c>
      <c r="K789" s="31">
        <f>_xlfn.XLOOKUP(SO[[#This Row],[Customer name]], Customer_master[Customer name], Customer_master[Terms days], 0)</f>
        <v>0</v>
      </c>
      <c r="L7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9" s="4"/>
      <c r="N789" s="46">
        <f>IF(SO[[#This Row],[Collection date - override (dd/mm/yyyy)]] &lt;&gt; "", SO[[#This Row],[Collection date - override (dd/mm/yyyy)]], SO[[#This Row],[Due date (dd/mm/yyyy)]])</f>
        <v>0</v>
      </c>
      <c r="O789" s="46">
        <f t="shared" si="12"/>
        <v>52</v>
      </c>
    </row>
    <row r="790" spans="3:15" x14ac:dyDescent="0.25">
      <c r="C790" s="24"/>
      <c r="D790" s="20"/>
      <c r="E790" s="4"/>
      <c r="F790" s="37"/>
      <c r="G790" s="24"/>
      <c r="H790" s="51">
        <f>Assumptions!$D$15</f>
        <v>0.1</v>
      </c>
      <c r="I790" s="45">
        <f>IF(SO[[#This Row],[GST applies?]] = "Yes", (SO[[#This Row],[Value inc. GST]] / 1 + SO[[#This Row],[GST %]]) * SO[[#This Row],[GST %]], 0)</f>
        <v>0</v>
      </c>
      <c r="J790" s="31">
        <f>_xlfn.XLOOKUP(SO[[#This Row],[Customer name]], Customer_master[Customer name], Customer_master[EOM or Net], 0)</f>
        <v>0</v>
      </c>
      <c r="K790" s="31">
        <f>_xlfn.XLOOKUP(SO[[#This Row],[Customer name]], Customer_master[Customer name], Customer_master[Terms days], 0)</f>
        <v>0</v>
      </c>
      <c r="L7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0" s="4"/>
      <c r="N790" s="46">
        <f>IF(SO[[#This Row],[Collection date - override (dd/mm/yyyy)]] &lt;&gt; "", SO[[#This Row],[Collection date - override (dd/mm/yyyy)]], SO[[#This Row],[Due date (dd/mm/yyyy)]])</f>
        <v>0</v>
      </c>
      <c r="O790" s="46">
        <f t="shared" si="12"/>
        <v>52</v>
      </c>
    </row>
    <row r="791" spans="3:15" x14ac:dyDescent="0.25">
      <c r="C791" s="24"/>
      <c r="D791" s="20"/>
      <c r="E791" s="4"/>
      <c r="F791" s="37"/>
      <c r="G791" s="24"/>
      <c r="H791" s="51">
        <f>Assumptions!$D$15</f>
        <v>0.1</v>
      </c>
      <c r="I791" s="45">
        <f>IF(SO[[#This Row],[GST applies?]] = "Yes", (SO[[#This Row],[Value inc. GST]] / 1 + SO[[#This Row],[GST %]]) * SO[[#This Row],[GST %]], 0)</f>
        <v>0</v>
      </c>
      <c r="J791" s="31">
        <f>_xlfn.XLOOKUP(SO[[#This Row],[Customer name]], Customer_master[Customer name], Customer_master[EOM or Net], 0)</f>
        <v>0</v>
      </c>
      <c r="K791" s="31">
        <f>_xlfn.XLOOKUP(SO[[#This Row],[Customer name]], Customer_master[Customer name], Customer_master[Terms days], 0)</f>
        <v>0</v>
      </c>
      <c r="L7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1" s="4"/>
      <c r="N791" s="46">
        <f>IF(SO[[#This Row],[Collection date - override (dd/mm/yyyy)]] &lt;&gt; "", SO[[#This Row],[Collection date - override (dd/mm/yyyy)]], SO[[#This Row],[Due date (dd/mm/yyyy)]])</f>
        <v>0</v>
      </c>
      <c r="O791" s="46">
        <f t="shared" si="12"/>
        <v>52</v>
      </c>
    </row>
    <row r="792" spans="3:15" x14ac:dyDescent="0.25">
      <c r="C792" s="24"/>
      <c r="D792" s="20"/>
      <c r="E792" s="4"/>
      <c r="F792" s="37"/>
      <c r="G792" s="24"/>
      <c r="H792" s="51">
        <f>Assumptions!$D$15</f>
        <v>0.1</v>
      </c>
      <c r="I792" s="45">
        <f>IF(SO[[#This Row],[GST applies?]] = "Yes", (SO[[#This Row],[Value inc. GST]] / 1 + SO[[#This Row],[GST %]]) * SO[[#This Row],[GST %]], 0)</f>
        <v>0</v>
      </c>
      <c r="J792" s="31">
        <f>_xlfn.XLOOKUP(SO[[#This Row],[Customer name]], Customer_master[Customer name], Customer_master[EOM or Net], 0)</f>
        <v>0</v>
      </c>
      <c r="K792" s="31">
        <f>_xlfn.XLOOKUP(SO[[#This Row],[Customer name]], Customer_master[Customer name], Customer_master[Terms days], 0)</f>
        <v>0</v>
      </c>
      <c r="L7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2" s="4"/>
      <c r="N792" s="46">
        <f>IF(SO[[#This Row],[Collection date - override (dd/mm/yyyy)]] &lt;&gt; "", SO[[#This Row],[Collection date - override (dd/mm/yyyy)]], SO[[#This Row],[Due date (dd/mm/yyyy)]])</f>
        <v>0</v>
      </c>
      <c r="O792" s="46">
        <f t="shared" si="12"/>
        <v>52</v>
      </c>
    </row>
    <row r="793" spans="3:15" x14ac:dyDescent="0.25">
      <c r="C793" s="24"/>
      <c r="D793" s="20"/>
      <c r="E793" s="4"/>
      <c r="F793" s="37"/>
      <c r="G793" s="24"/>
      <c r="H793" s="51">
        <f>Assumptions!$D$15</f>
        <v>0.1</v>
      </c>
      <c r="I793" s="45">
        <f>IF(SO[[#This Row],[GST applies?]] = "Yes", (SO[[#This Row],[Value inc. GST]] / 1 + SO[[#This Row],[GST %]]) * SO[[#This Row],[GST %]], 0)</f>
        <v>0</v>
      </c>
      <c r="J793" s="31">
        <f>_xlfn.XLOOKUP(SO[[#This Row],[Customer name]], Customer_master[Customer name], Customer_master[EOM or Net], 0)</f>
        <v>0</v>
      </c>
      <c r="K793" s="31">
        <f>_xlfn.XLOOKUP(SO[[#This Row],[Customer name]], Customer_master[Customer name], Customer_master[Terms days], 0)</f>
        <v>0</v>
      </c>
      <c r="L7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3" s="4"/>
      <c r="N793" s="46">
        <f>IF(SO[[#This Row],[Collection date - override (dd/mm/yyyy)]] &lt;&gt; "", SO[[#This Row],[Collection date - override (dd/mm/yyyy)]], SO[[#This Row],[Due date (dd/mm/yyyy)]])</f>
        <v>0</v>
      </c>
      <c r="O793" s="46">
        <f t="shared" si="12"/>
        <v>52</v>
      </c>
    </row>
    <row r="794" spans="3:15" x14ac:dyDescent="0.25">
      <c r="C794" s="24"/>
      <c r="D794" s="20"/>
      <c r="E794" s="4"/>
      <c r="F794" s="37"/>
      <c r="G794" s="24"/>
      <c r="H794" s="51">
        <f>Assumptions!$D$15</f>
        <v>0.1</v>
      </c>
      <c r="I794" s="45">
        <f>IF(SO[[#This Row],[GST applies?]] = "Yes", (SO[[#This Row],[Value inc. GST]] / 1 + SO[[#This Row],[GST %]]) * SO[[#This Row],[GST %]], 0)</f>
        <v>0</v>
      </c>
      <c r="J794" s="31">
        <f>_xlfn.XLOOKUP(SO[[#This Row],[Customer name]], Customer_master[Customer name], Customer_master[EOM or Net], 0)</f>
        <v>0</v>
      </c>
      <c r="K794" s="31">
        <f>_xlfn.XLOOKUP(SO[[#This Row],[Customer name]], Customer_master[Customer name], Customer_master[Terms days], 0)</f>
        <v>0</v>
      </c>
      <c r="L7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4" s="4"/>
      <c r="N794" s="46">
        <f>IF(SO[[#This Row],[Collection date - override (dd/mm/yyyy)]] &lt;&gt; "", SO[[#This Row],[Collection date - override (dd/mm/yyyy)]], SO[[#This Row],[Due date (dd/mm/yyyy)]])</f>
        <v>0</v>
      </c>
      <c r="O794" s="46">
        <f t="shared" si="12"/>
        <v>52</v>
      </c>
    </row>
    <row r="795" spans="3:15" x14ac:dyDescent="0.25">
      <c r="C795" s="24"/>
      <c r="D795" s="20"/>
      <c r="E795" s="4"/>
      <c r="F795" s="37"/>
      <c r="G795" s="24"/>
      <c r="H795" s="51">
        <f>Assumptions!$D$15</f>
        <v>0.1</v>
      </c>
      <c r="I795" s="45">
        <f>IF(SO[[#This Row],[GST applies?]] = "Yes", (SO[[#This Row],[Value inc. GST]] / 1 + SO[[#This Row],[GST %]]) * SO[[#This Row],[GST %]], 0)</f>
        <v>0</v>
      </c>
      <c r="J795" s="31">
        <f>_xlfn.XLOOKUP(SO[[#This Row],[Customer name]], Customer_master[Customer name], Customer_master[EOM or Net], 0)</f>
        <v>0</v>
      </c>
      <c r="K795" s="31">
        <f>_xlfn.XLOOKUP(SO[[#This Row],[Customer name]], Customer_master[Customer name], Customer_master[Terms days], 0)</f>
        <v>0</v>
      </c>
      <c r="L7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5" s="4"/>
      <c r="N795" s="46">
        <f>IF(SO[[#This Row],[Collection date - override (dd/mm/yyyy)]] &lt;&gt; "", SO[[#This Row],[Collection date - override (dd/mm/yyyy)]], SO[[#This Row],[Due date (dd/mm/yyyy)]])</f>
        <v>0</v>
      </c>
      <c r="O795" s="46">
        <f t="shared" si="12"/>
        <v>52</v>
      </c>
    </row>
    <row r="796" spans="3:15" x14ac:dyDescent="0.25">
      <c r="C796" s="24"/>
      <c r="D796" s="20"/>
      <c r="E796" s="4"/>
      <c r="F796" s="37"/>
      <c r="G796" s="24"/>
      <c r="H796" s="51">
        <f>Assumptions!$D$15</f>
        <v>0.1</v>
      </c>
      <c r="I796" s="45">
        <f>IF(SO[[#This Row],[GST applies?]] = "Yes", (SO[[#This Row],[Value inc. GST]] / 1 + SO[[#This Row],[GST %]]) * SO[[#This Row],[GST %]], 0)</f>
        <v>0</v>
      </c>
      <c r="J796" s="31">
        <f>_xlfn.XLOOKUP(SO[[#This Row],[Customer name]], Customer_master[Customer name], Customer_master[EOM or Net], 0)</f>
        <v>0</v>
      </c>
      <c r="K796" s="31">
        <f>_xlfn.XLOOKUP(SO[[#This Row],[Customer name]], Customer_master[Customer name], Customer_master[Terms days], 0)</f>
        <v>0</v>
      </c>
      <c r="L7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6" s="4"/>
      <c r="N796" s="46">
        <f>IF(SO[[#This Row],[Collection date - override (dd/mm/yyyy)]] &lt;&gt; "", SO[[#This Row],[Collection date - override (dd/mm/yyyy)]], SO[[#This Row],[Due date (dd/mm/yyyy)]])</f>
        <v>0</v>
      </c>
      <c r="O796" s="46">
        <f t="shared" si="12"/>
        <v>52</v>
      </c>
    </row>
    <row r="797" spans="3:15" x14ac:dyDescent="0.25">
      <c r="C797" s="24"/>
      <c r="D797" s="20"/>
      <c r="E797" s="4"/>
      <c r="F797" s="37"/>
      <c r="G797" s="24"/>
      <c r="H797" s="51">
        <f>Assumptions!$D$15</f>
        <v>0.1</v>
      </c>
      <c r="I797" s="45">
        <f>IF(SO[[#This Row],[GST applies?]] = "Yes", (SO[[#This Row],[Value inc. GST]] / 1 + SO[[#This Row],[GST %]]) * SO[[#This Row],[GST %]], 0)</f>
        <v>0</v>
      </c>
      <c r="J797" s="31">
        <f>_xlfn.XLOOKUP(SO[[#This Row],[Customer name]], Customer_master[Customer name], Customer_master[EOM or Net], 0)</f>
        <v>0</v>
      </c>
      <c r="K797" s="31">
        <f>_xlfn.XLOOKUP(SO[[#This Row],[Customer name]], Customer_master[Customer name], Customer_master[Terms days], 0)</f>
        <v>0</v>
      </c>
      <c r="L7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7" s="4"/>
      <c r="N797" s="46">
        <f>IF(SO[[#This Row],[Collection date - override (dd/mm/yyyy)]] &lt;&gt; "", SO[[#This Row],[Collection date - override (dd/mm/yyyy)]], SO[[#This Row],[Due date (dd/mm/yyyy)]])</f>
        <v>0</v>
      </c>
      <c r="O797" s="46">
        <f t="shared" si="12"/>
        <v>52</v>
      </c>
    </row>
    <row r="798" spans="3:15" x14ac:dyDescent="0.25">
      <c r="C798" s="24"/>
      <c r="D798" s="20"/>
      <c r="E798" s="4"/>
      <c r="F798" s="37"/>
      <c r="G798" s="24"/>
      <c r="H798" s="51">
        <f>Assumptions!$D$15</f>
        <v>0.1</v>
      </c>
      <c r="I798" s="45">
        <f>IF(SO[[#This Row],[GST applies?]] = "Yes", (SO[[#This Row],[Value inc. GST]] / 1 + SO[[#This Row],[GST %]]) * SO[[#This Row],[GST %]], 0)</f>
        <v>0</v>
      </c>
      <c r="J798" s="31">
        <f>_xlfn.XLOOKUP(SO[[#This Row],[Customer name]], Customer_master[Customer name], Customer_master[EOM or Net], 0)</f>
        <v>0</v>
      </c>
      <c r="K798" s="31">
        <f>_xlfn.XLOOKUP(SO[[#This Row],[Customer name]], Customer_master[Customer name], Customer_master[Terms days], 0)</f>
        <v>0</v>
      </c>
      <c r="L7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8" s="4"/>
      <c r="N798" s="46">
        <f>IF(SO[[#This Row],[Collection date - override (dd/mm/yyyy)]] &lt;&gt; "", SO[[#This Row],[Collection date - override (dd/mm/yyyy)]], SO[[#This Row],[Due date (dd/mm/yyyy)]])</f>
        <v>0</v>
      </c>
      <c r="O798" s="46">
        <f t="shared" si="12"/>
        <v>52</v>
      </c>
    </row>
    <row r="799" spans="3:15" x14ac:dyDescent="0.25">
      <c r="C799" s="24"/>
      <c r="D799" s="20"/>
      <c r="E799" s="4"/>
      <c r="F799" s="37"/>
      <c r="G799" s="24"/>
      <c r="H799" s="51">
        <f>Assumptions!$D$15</f>
        <v>0.1</v>
      </c>
      <c r="I799" s="45">
        <f>IF(SO[[#This Row],[GST applies?]] = "Yes", (SO[[#This Row],[Value inc. GST]] / 1 + SO[[#This Row],[GST %]]) * SO[[#This Row],[GST %]], 0)</f>
        <v>0</v>
      </c>
      <c r="J799" s="31">
        <f>_xlfn.XLOOKUP(SO[[#This Row],[Customer name]], Customer_master[Customer name], Customer_master[EOM or Net], 0)</f>
        <v>0</v>
      </c>
      <c r="K799" s="31">
        <f>_xlfn.XLOOKUP(SO[[#This Row],[Customer name]], Customer_master[Customer name], Customer_master[Terms days], 0)</f>
        <v>0</v>
      </c>
      <c r="L7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9" s="4"/>
      <c r="N799" s="46">
        <f>IF(SO[[#This Row],[Collection date - override (dd/mm/yyyy)]] &lt;&gt; "", SO[[#This Row],[Collection date - override (dd/mm/yyyy)]], SO[[#This Row],[Due date (dd/mm/yyyy)]])</f>
        <v>0</v>
      </c>
      <c r="O799" s="46">
        <f t="shared" si="12"/>
        <v>52</v>
      </c>
    </row>
    <row r="800" spans="3:15" x14ac:dyDescent="0.25">
      <c r="C800" s="24"/>
      <c r="D800" s="20"/>
      <c r="E800" s="4"/>
      <c r="F800" s="37"/>
      <c r="G800" s="24"/>
      <c r="H800" s="51">
        <f>Assumptions!$D$15</f>
        <v>0.1</v>
      </c>
      <c r="I800" s="45">
        <f>IF(SO[[#This Row],[GST applies?]] = "Yes", (SO[[#This Row],[Value inc. GST]] / 1 + SO[[#This Row],[GST %]]) * SO[[#This Row],[GST %]], 0)</f>
        <v>0</v>
      </c>
      <c r="J800" s="31">
        <f>_xlfn.XLOOKUP(SO[[#This Row],[Customer name]], Customer_master[Customer name], Customer_master[EOM or Net], 0)</f>
        <v>0</v>
      </c>
      <c r="K800" s="31">
        <f>_xlfn.XLOOKUP(SO[[#This Row],[Customer name]], Customer_master[Customer name], Customer_master[Terms days], 0)</f>
        <v>0</v>
      </c>
      <c r="L8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0" s="4"/>
      <c r="N800" s="46">
        <f>IF(SO[[#This Row],[Collection date - override (dd/mm/yyyy)]] &lt;&gt; "", SO[[#This Row],[Collection date - override (dd/mm/yyyy)]], SO[[#This Row],[Due date (dd/mm/yyyy)]])</f>
        <v>0</v>
      </c>
      <c r="O800" s="46">
        <f t="shared" si="12"/>
        <v>52</v>
      </c>
    </row>
    <row r="801" spans="3:15" x14ac:dyDescent="0.25">
      <c r="C801" s="24"/>
      <c r="D801" s="20"/>
      <c r="E801" s="4"/>
      <c r="F801" s="37"/>
      <c r="G801" s="24"/>
      <c r="H801" s="51">
        <f>Assumptions!$D$15</f>
        <v>0.1</v>
      </c>
      <c r="I801" s="45">
        <f>IF(SO[[#This Row],[GST applies?]] = "Yes", (SO[[#This Row],[Value inc. GST]] / 1 + SO[[#This Row],[GST %]]) * SO[[#This Row],[GST %]], 0)</f>
        <v>0</v>
      </c>
      <c r="J801" s="31">
        <f>_xlfn.XLOOKUP(SO[[#This Row],[Customer name]], Customer_master[Customer name], Customer_master[EOM or Net], 0)</f>
        <v>0</v>
      </c>
      <c r="K801" s="31">
        <f>_xlfn.XLOOKUP(SO[[#This Row],[Customer name]], Customer_master[Customer name], Customer_master[Terms days], 0)</f>
        <v>0</v>
      </c>
      <c r="L8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1" s="4"/>
      <c r="N801" s="46">
        <f>IF(SO[[#This Row],[Collection date - override (dd/mm/yyyy)]] &lt;&gt; "", SO[[#This Row],[Collection date - override (dd/mm/yyyy)]], SO[[#This Row],[Due date (dd/mm/yyyy)]])</f>
        <v>0</v>
      </c>
      <c r="O801" s="46">
        <f t="shared" si="12"/>
        <v>52</v>
      </c>
    </row>
    <row r="802" spans="3:15" x14ac:dyDescent="0.25">
      <c r="C802" s="24"/>
      <c r="D802" s="20"/>
      <c r="E802" s="4"/>
      <c r="F802" s="37"/>
      <c r="G802" s="24"/>
      <c r="H802" s="51">
        <f>Assumptions!$D$15</f>
        <v>0.1</v>
      </c>
      <c r="I802" s="45">
        <f>IF(SO[[#This Row],[GST applies?]] = "Yes", (SO[[#This Row],[Value inc. GST]] / 1 + SO[[#This Row],[GST %]]) * SO[[#This Row],[GST %]], 0)</f>
        <v>0</v>
      </c>
      <c r="J802" s="31">
        <f>_xlfn.XLOOKUP(SO[[#This Row],[Customer name]], Customer_master[Customer name], Customer_master[EOM or Net], 0)</f>
        <v>0</v>
      </c>
      <c r="K802" s="31">
        <f>_xlfn.XLOOKUP(SO[[#This Row],[Customer name]], Customer_master[Customer name], Customer_master[Terms days], 0)</f>
        <v>0</v>
      </c>
      <c r="L8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2" s="4"/>
      <c r="N802" s="46">
        <f>IF(SO[[#This Row],[Collection date - override (dd/mm/yyyy)]] &lt;&gt; "", SO[[#This Row],[Collection date - override (dd/mm/yyyy)]], SO[[#This Row],[Due date (dd/mm/yyyy)]])</f>
        <v>0</v>
      </c>
      <c r="O802" s="46">
        <f t="shared" si="12"/>
        <v>52</v>
      </c>
    </row>
    <row r="803" spans="3:15" x14ac:dyDescent="0.25">
      <c r="C803" s="24"/>
      <c r="D803" s="20"/>
      <c r="E803" s="4"/>
      <c r="F803" s="37"/>
      <c r="G803" s="24"/>
      <c r="H803" s="51">
        <f>Assumptions!$D$15</f>
        <v>0.1</v>
      </c>
      <c r="I803" s="45">
        <f>IF(SO[[#This Row],[GST applies?]] = "Yes", (SO[[#This Row],[Value inc. GST]] / 1 + SO[[#This Row],[GST %]]) * SO[[#This Row],[GST %]], 0)</f>
        <v>0</v>
      </c>
      <c r="J803" s="31">
        <f>_xlfn.XLOOKUP(SO[[#This Row],[Customer name]], Customer_master[Customer name], Customer_master[EOM or Net], 0)</f>
        <v>0</v>
      </c>
      <c r="K803" s="31">
        <f>_xlfn.XLOOKUP(SO[[#This Row],[Customer name]], Customer_master[Customer name], Customer_master[Terms days], 0)</f>
        <v>0</v>
      </c>
      <c r="L8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3" s="4"/>
      <c r="N803" s="46">
        <f>IF(SO[[#This Row],[Collection date - override (dd/mm/yyyy)]] &lt;&gt; "", SO[[#This Row],[Collection date - override (dd/mm/yyyy)]], SO[[#This Row],[Due date (dd/mm/yyyy)]])</f>
        <v>0</v>
      </c>
      <c r="O803" s="46">
        <f t="shared" si="12"/>
        <v>52</v>
      </c>
    </row>
    <row r="804" spans="3:15" x14ac:dyDescent="0.25">
      <c r="C804" s="24"/>
      <c r="D804" s="20"/>
      <c r="E804" s="4"/>
      <c r="F804" s="37"/>
      <c r="G804" s="24"/>
      <c r="H804" s="51">
        <f>Assumptions!$D$15</f>
        <v>0.1</v>
      </c>
      <c r="I804" s="45">
        <f>IF(SO[[#This Row],[GST applies?]] = "Yes", (SO[[#This Row],[Value inc. GST]] / 1 + SO[[#This Row],[GST %]]) * SO[[#This Row],[GST %]], 0)</f>
        <v>0</v>
      </c>
      <c r="J804" s="31">
        <f>_xlfn.XLOOKUP(SO[[#This Row],[Customer name]], Customer_master[Customer name], Customer_master[EOM or Net], 0)</f>
        <v>0</v>
      </c>
      <c r="K804" s="31">
        <f>_xlfn.XLOOKUP(SO[[#This Row],[Customer name]], Customer_master[Customer name], Customer_master[Terms days], 0)</f>
        <v>0</v>
      </c>
      <c r="L8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4" s="4"/>
      <c r="N804" s="46">
        <f>IF(SO[[#This Row],[Collection date - override (dd/mm/yyyy)]] &lt;&gt; "", SO[[#This Row],[Collection date - override (dd/mm/yyyy)]], SO[[#This Row],[Due date (dd/mm/yyyy)]])</f>
        <v>0</v>
      </c>
      <c r="O804" s="46">
        <f t="shared" si="12"/>
        <v>52</v>
      </c>
    </row>
    <row r="805" spans="3:15" x14ac:dyDescent="0.25">
      <c r="C805" s="24"/>
      <c r="D805" s="20"/>
      <c r="E805" s="4"/>
      <c r="F805" s="37"/>
      <c r="G805" s="24"/>
      <c r="H805" s="51">
        <f>Assumptions!$D$15</f>
        <v>0.1</v>
      </c>
      <c r="I805" s="45">
        <f>IF(SO[[#This Row],[GST applies?]] = "Yes", (SO[[#This Row],[Value inc. GST]] / 1 + SO[[#This Row],[GST %]]) * SO[[#This Row],[GST %]], 0)</f>
        <v>0</v>
      </c>
      <c r="J805" s="31">
        <f>_xlfn.XLOOKUP(SO[[#This Row],[Customer name]], Customer_master[Customer name], Customer_master[EOM or Net], 0)</f>
        <v>0</v>
      </c>
      <c r="K805" s="31">
        <f>_xlfn.XLOOKUP(SO[[#This Row],[Customer name]], Customer_master[Customer name], Customer_master[Terms days], 0)</f>
        <v>0</v>
      </c>
      <c r="L8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5" s="4"/>
      <c r="N805" s="46">
        <f>IF(SO[[#This Row],[Collection date - override (dd/mm/yyyy)]] &lt;&gt; "", SO[[#This Row],[Collection date - override (dd/mm/yyyy)]], SO[[#This Row],[Due date (dd/mm/yyyy)]])</f>
        <v>0</v>
      </c>
      <c r="O805" s="46">
        <f t="shared" si="12"/>
        <v>52</v>
      </c>
    </row>
    <row r="806" spans="3:15" x14ac:dyDescent="0.25">
      <c r="C806" s="24"/>
      <c r="D806" s="20"/>
      <c r="E806" s="4"/>
      <c r="F806" s="37"/>
      <c r="G806" s="24"/>
      <c r="H806" s="51">
        <f>Assumptions!$D$15</f>
        <v>0.1</v>
      </c>
      <c r="I806" s="45">
        <f>IF(SO[[#This Row],[GST applies?]] = "Yes", (SO[[#This Row],[Value inc. GST]] / 1 + SO[[#This Row],[GST %]]) * SO[[#This Row],[GST %]], 0)</f>
        <v>0</v>
      </c>
      <c r="J806" s="31">
        <f>_xlfn.XLOOKUP(SO[[#This Row],[Customer name]], Customer_master[Customer name], Customer_master[EOM or Net], 0)</f>
        <v>0</v>
      </c>
      <c r="K806" s="31">
        <f>_xlfn.XLOOKUP(SO[[#This Row],[Customer name]], Customer_master[Customer name], Customer_master[Terms days], 0)</f>
        <v>0</v>
      </c>
      <c r="L8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6" s="4"/>
      <c r="N806" s="46">
        <f>IF(SO[[#This Row],[Collection date - override (dd/mm/yyyy)]] &lt;&gt; "", SO[[#This Row],[Collection date - override (dd/mm/yyyy)]], SO[[#This Row],[Due date (dd/mm/yyyy)]])</f>
        <v>0</v>
      </c>
      <c r="O806" s="46">
        <f t="shared" si="12"/>
        <v>52</v>
      </c>
    </row>
    <row r="807" spans="3:15" x14ac:dyDescent="0.25">
      <c r="C807" s="24"/>
      <c r="D807" s="20"/>
      <c r="E807" s="4"/>
      <c r="F807" s="37"/>
      <c r="G807" s="24"/>
      <c r="H807" s="51">
        <f>Assumptions!$D$15</f>
        <v>0.1</v>
      </c>
      <c r="I807" s="45">
        <f>IF(SO[[#This Row],[GST applies?]] = "Yes", (SO[[#This Row],[Value inc. GST]] / 1 + SO[[#This Row],[GST %]]) * SO[[#This Row],[GST %]], 0)</f>
        <v>0</v>
      </c>
      <c r="J807" s="31">
        <f>_xlfn.XLOOKUP(SO[[#This Row],[Customer name]], Customer_master[Customer name], Customer_master[EOM or Net], 0)</f>
        <v>0</v>
      </c>
      <c r="K807" s="31">
        <f>_xlfn.XLOOKUP(SO[[#This Row],[Customer name]], Customer_master[Customer name], Customer_master[Terms days], 0)</f>
        <v>0</v>
      </c>
      <c r="L8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7" s="4"/>
      <c r="N807" s="46">
        <f>IF(SO[[#This Row],[Collection date - override (dd/mm/yyyy)]] &lt;&gt; "", SO[[#This Row],[Collection date - override (dd/mm/yyyy)]], SO[[#This Row],[Due date (dd/mm/yyyy)]])</f>
        <v>0</v>
      </c>
      <c r="O807" s="46">
        <f t="shared" si="12"/>
        <v>52</v>
      </c>
    </row>
    <row r="808" spans="3:15" x14ac:dyDescent="0.25">
      <c r="C808" s="24"/>
      <c r="D808" s="20"/>
      <c r="E808" s="4"/>
      <c r="F808" s="37"/>
      <c r="G808" s="24"/>
      <c r="H808" s="51">
        <f>Assumptions!$D$15</f>
        <v>0.1</v>
      </c>
      <c r="I808" s="45">
        <f>IF(SO[[#This Row],[GST applies?]] = "Yes", (SO[[#This Row],[Value inc. GST]] / 1 + SO[[#This Row],[GST %]]) * SO[[#This Row],[GST %]], 0)</f>
        <v>0</v>
      </c>
      <c r="J808" s="31">
        <f>_xlfn.XLOOKUP(SO[[#This Row],[Customer name]], Customer_master[Customer name], Customer_master[EOM or Net], 0)</f>
        <v>0</v>
      </c>
      <c r="K808" s="31">
        <f>_xlfn.XLOOKUP(SO[[#This Row],[Customer name]], Customer_master[Customer name], Customer_master[Terms days], 0)</f>
        <v>0</v>
      </c>
      <c r="L8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8" s="4"/>
      <c r="N808" s="46">
        <f>IF(SO[[#This Row],[Collection date - override (dd/mm/yyyy)]] &lt;&gt; "", SO[[#This Row],[Collection date - override (dd/mm/yyyy)]], SO[[#This Row],[Due date (dd/mm/yyyy)]])</f>
        <v>0</v>
      </c>
      <c r="O808" s="46">
        <f t="shared" si="12"/>
        <v>52</v>
      </c>
    </row>
    <row r="809" spans="3:15" x14ac:dyDescent="0.25">
      <c r="C809" s="24"/>
      <c r="D809" s="20"/>
      <c r="E809" s="4"/>
      <c r="F809" s="37"/>
      <c r="G809" s="24"/>
      <c r="H809" s="51">
        <f>Assumptions!$D$15</f>
        <v>0.1</v>
      </c>
      <c r="I809" s="45">
        <f>IF(SO[[#This Row],[GST applies?]] = "Yes", (SO[[#This Row],[Value inc. GST]] / 1 + SO[[#This Row],[GST %]]) * SO[[#This Row],[GST %]], 0)</f>
        <v>0</v>
      </c>
      <c r="J809" s="31">
        <f>_xlfn.XLOOKUP(SO[[#This Row],[Customer name]], Customer_master[Customer name], Customer_master[EOM or Net], 0)</f>
        <v>0</v>
      </c>
      <c r="K809" s="31">
        <f>_xlfn.XLOOKUP(SO[[#This Row],[Customer name]], Customer_master[Customer name], Customer_master[Terms days], 0)</f>
        <v>0</v>
      </c>
      <c r="L8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9" s="4"/>
      <c r="N809" s="46">
        <f>IF(SO[[#This Row],[Collection date - override (dd/mm/yyyy)]] &lt;&gt; "", SO[[#This Row],[Collection date - override (dd/mm/yyyy)]], SO[[#This Row],[Due date (dd/mm/yyyy)]])</f>
        <v>0</v>
      </c>
      <c r="O809" s="46">
        <f t="shared" si="12"/>
        <v>52</v>
      </c>
    </row>
    <row r="810" spans="3:15" x14ac:dyDescent="0.25">
      <c r="C810" s="24"/>
      <c r="D810" s="20"/>
      <c r="E810" s="4"/>
      <c r="F810" s="37"/>
      <c r="G810" s="24"/>
      <c r="H810" s="51">
        <f>Assumptions!$D$15</f>
        <v>0.1</v>
      </c>
      <c r="I810" s="45">
        <f>IF(SO[[#This Row],[GST applies?]] = "Yes", (SO[[#This Row],[Value inc. GST]] / 1 + SO[[#This Row],[GST %]]) * SO[[#This Row],[GST %]], 0)</f>
        <v>0</v>
      </c>
      <c r="J810" s="31">
        <f>_xlfn.XLOOKUP(SO[[#This Row],[Customer name]], Customer_master[Customer name], Customer_master[EOM or Net], 0)</f>
        <v>0</v>
      </c>
      <c r="K810" s="31">
        <f>_xlfn.XLOOKUP(SO[[#This Row],[Customer name]], Customer_master[Customer name], Customer_master[Terms days], 0)</f>
        <v>0</v>
      </c>
      <c r="L8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0" s="4"/>
      <c r="N810" s="46">
        <f>IF(SO[[#This Row],[Collection date - override (dd/mm/yyyy)]] &lt;&gt; "", SO[[#This Row],[Collection date - override (dd/mm/yyyy)]], SO[[#This Row],[Due date (dd/mm/yyyy)]])</f>
        <v>0</v>
      </c>
      <c r="O810" s="46">
        <f t="shared" si="12"/>
        <v>52</v>
      </c>
    </row>
    <row r="811" spans="3:15" x14ac:dyDescent="0.25">
      <c r="C811" s="24"/>
      <c r="D811" s="20"/>
      <c r="E811" s="4"/>
      <c r="F811" s="37"/>
      <c r="G811" s="24"/>
      <c r="H811" s="51">
        <f>Assumptions!$D$15</f>
        <v>0.1</v>
      </c>
      <c r="I811" s="45">
        <f>IF(SO[[#This Row],[GST applies?]] = "Yes", (SO[[#This Row],[Value inc. GST]] / 1 + SO[[#This Row],[GST %]]) * SO[[#This Row],[GST %]], 0)</f>
        <v>0</v>
      </c>
      <c r="J811" s="31">
        <f>_xlfn.XLOOKUP(SO[[#This Row],[Customer name]], Customer_master[Customer name], Customer_master[EOM or Net], 0)</f>
        <v>0</v>
      </c>
      <c r="K811" s="31">
        <f>_xlfn.XLOOKUP(SO[[#This Row],[Customer name]], Customer_master[Customer name], Customer_master[Terms days], 0)</f>
        <v>0</v>
      </c>
      <c r="L8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1" s="4"/>
      <c r="N811" s="46">
        <f>IF(SO[[#This Row],[Collection date - override (dd/mm/yyyy)]] &lt;&gt; "", SO[[#This Row],[Collection date - override (dd/mm/yyyy)]], SO[[#This Row],[Due date (dd/mm/yyyy)]])</f>
        <v>0</v>
      </c>
      <c r="O811" s="46">
        <f t="shared" si="12"/>
        <v>52</v>
      </c>
    </row>
    <row r="812" spans="3:15" x14ac:dyDescent="0.25">
      <c r="C812" s="24"/>
      <c r="D812" s="20"/>
      <c r="E812" s="4"/>
      <c r="F812" s="37"/>
      <c r="G812" s="24"/>
      <c r="H812" s="51">
        <f>Assumptions!$D$15</f>
        <v>0.1</v>
      </c>
      <c r="I812" s="45">
        <f>IF(SO[[#This Row],[GST applies?]] = "Yes", (SO[[#This Row],[Value inc. GST]] / 1 + SO[[#This Row],[GST %]]) * SO[[#This Row],[GST %]], 0)</f>
        <v>0</v>
      </c>
      <c r="J812" s="31">
        <f>_xlfn.XLOOKUP(SO[[#This Row],[Customer name]], Customer_master[Customer name], Customer_master[EOM or Net], 0)</f>
        <v>0</v>
      </c>
      <c r="K812" s="31">
        <f>_xlfn.XLOOKUP(SO[[#This Row],[Customer name]], Customer_master[Customer name], Customer_master[Terms days], 0)</f>
        <v>0</v>
      </c>
      <c r="L8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2" s="4"/>
      <c r="N812" s="46">
        <f>IF(SO[[#This Row],[Collection date - override (dd/mm/yyyy)]] &lt;&gt; "", SO[[#This Row],[Collection date - override (dd/mm/yyyy)]], SO[[#This Row],[Due date (dd/mm/yyyy)]])</f>
        <v>0</v>
      </c>
      <c r="O812" s="46">
        <f t="shared" si="12"/>
        <v>52</v>
      </c>
    </row>
    <row r="813" spans="3:15" x14ac:dyDescent="0.25">
      <c r="C813" s="24"/>
      <c r="D813" s="20"/>
      <c r="E813" s="4"/>
      <c r="F813" s="37"/>
      <c r="G813" s="24"/>
      <c r="H813" s="51">
        <f>Assumptions!$D$15</f>
        <v>0.1</v>
      </c>
      <c r="I813" s="45">
        <f>IF(SO[[#This Row],[GST applies?]] = "Yes", (SO[[#This Row],[Value inc. GST]] / 1 + SO[[#This Row],[GST %]]) * SO[[#This Row],[GST %]], 0)</f>
        <v>0</v>
      </c>
      <c r="J813" s="31">
        <f>_xlfn.XLOOKUP(SO[[#This Row],[Customer name]], Customer_master[Customer name], Customer_master[EOM or Net], 0)</f>
        <v>0</v>
      </c>
      <c r="K813" s="31">
        <f>_xlfn.XLOOKUP(SO[[#This Row],[Customer name]], Customer_master[Customer name], Customer_master[Terms days], 0)</f>
        <v>0</v>
      </c>
      <c r="L8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3" s="4"/>
      <c r="N813" s="46">
        <f>IF(SO[[#This Row],[Collection date - override (dd/mm/yyyy)]] &lt;&gt; "", SO[[#This Row],[Collection date - override (dd/mm/yyyy)]], SO[[#This Row],[Due date (dd/mm/yyyy)]])</f>
        <v>0</v>
      </c>
      <c r="O813" s="46">
        <f t="shared" si="12"/>
        <v>52</v>
      </c>
    </row>
    <row r="814" spans="3:15" x14ac:dyDescent="0.25">
      <c r="C814" s="24"/>
      <c r="D814" s="20"/>
      <c r="E814" s="4"/>
      <c r="F814" s="37"/>
      <c r="G814" s="24"/>
      <c r="H814" s="51">
        <f>Assumptions!$D$15</f>
        <v>0.1</v>
      </c>
      <c r="I814" s="45">
        <f>IF(SO[[#This Row],[GST applies?]] = "Yes", (SO[[#This Row],[Value inc. GST]] / 1 + SO[[#This Row],[GST %]]) * SO[[#This Row],[GST %]], 0)</f>
        <v>0</v>
      </c>
      <c r="J814" s="31">
        <f>_xlfn.XLOOKUP(SO[[#This Row],[Customer name]], Customer_master[Customer name], Customer_master[EOM or Net], 0)</f>
        <v>0</v>
      </c>
      <c r="K814" s="31">
        <f>_xlfn.XLOOKUP(SO[[#This Row],[Customer name]], Customer_master[Customer name], Customer_master[Terms days], 0)</f>
        <v>0</v>
      </c>
      <c r="L8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4" s="4"/>
      <c r="N814" s="46">
        <f>IF(SO[[#This Row],[Collection date - override (dd/mm/yyyy)]] &lt;&gt; "", SO[[#This Row],[Collection date - override (dd/mm/yyyy)]], SO[[#This Row],[Due date (dd/mm/yyyy)]])</f>
        <v>0</v>
      </c>
      <c r="O814" s="46">
        <f t="shared" si="12"/>
        <v>52</v>
      </c>
    </row>
    <row r="815" spans="3:15" x14ac:dyDescent="0.25">
      <c r="C815" s="24"/>
      <c r="D815" s="20"/>
      <c r="E815" s="4"/>
      <c r="F815" s="37"/>
      <c r="G815" s="24"/>
      <c r="H815" s="51">
        <f>Assumptions!$D$15</f>
        <v>0.1</v>
      </c>
      <c r="I815" s="45">
        <f>IF(SO[[#This Row],[GST applies?]] = "Yes", (SO[[#This Row],[Value inc. GST]] / 1 + SO[[#This Row],[GST %]]) * SO[[#This Row],[GST %]], 0)</f>
        <v>0</v>
      </c>
      <c r="J815" s="31">
        <f>_xlfn.XLOOKUP(SO[[#This Row],[Customer name]], Customer_master[Customer name], Customer_master[EOM or Net], 0)</f>
        <v>0</v>
      </c>
      <c r="K815" s="31">
        <f>_xlfn.XLOOKUP(SO[[#This Row],[Customer name]], Customer_master[Customer name], Customer_master[Terms days], 0)</f>
        <v>0</v>
      </c>
      <c r="L8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5" s="4"/>
      <c r="N815" s="46">
        <f>IF(SO[[#This Row],[Collection date - override (dd/mm/yyyy)]] &lt;&gt; "", SO[[#This Row],[Collection date - override (dd/mm/yyyy)]], SO[[#This Row],[Due date (dd/mm/yyyy)]])</f>
        <v>0</v>
      </c>
      <c r="O815" s="46">
        <f t="shared" si="12"/>
        <v>52</v>
      </c>
    </row>
    <row r="816" spans="3:15" x14ac:dyDescent="0.25">
      <c r="C816" s="24"/>
      <c r="D816" s="20"/>
      <c r="E816" s="4"/>
      <c r="F816" s="37"/>
      <c r="G816" s="24"/>
      <c r="H816" s="51">
        <f>Assumptions!$D$15</f>
        <v>0.1</v>
      </c>
      <c r="I816" s="45">
        <f>IF(SO[[#This Row],[GST applies?]] = "Yes", (SO[[#This Row],[Value inc. GST]] / 1 + SO[[#This Row],[GST %]]) * SO[[#This Row],[GST %]], 0)</f>
        <v>0</v>
      </c>
      <c r="J816" s="31">
        <f>_xlfn.XLOOKUP(SO[[#This Row],[Customer name]], Customer_master[Customer name], Customer_master[EOM or Net], 0)</f>
        <v>0</v>
      </c>
      <c r="K816" s="31">
        <f>_xlfn.XLOOKUP(SO[[#This Row],[Customer name]], Customer_master[Customer name], Customer_master[Terms days], 0)</f>
        <v>0</v>
      </c>
      <c r="L8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6" s="4"/>
      <c r="N816" s="46">
        <f>IF(SO[[#This Row],[Collection date - override (dd/mm/yyyy)]] &lt;&gt; "", SO[[#This Row],[Collection date - override (dd/mm/yyyy)]], SO[[#This Row],[Due date (dd/mm/yyyy)]])</f>
        <v>0</v>
      </c>
      <c r="O816" s="46">
        <f t="shared" si="12"/>
        <v>52</v>
      </c>
    </row>
    <row r="817" spans="3:15" x14ac:dyDescent="0.25">
      <c r="C817" s="24"/>
      <c r="D817" s="20"/>
      <c r="E817" s="4"/>
      <c r="F817" s="37"/>
      <c r="G817" s="24"/>
      <c r="H817" s="51">
        <f>Assumptions!$D$15</f>
        <v>0.1</v>
      </c>
      <c r="I817" s="45">
        <f>IF(SO[[#This Row],[GST applies?]] = "Yes", (SO[[#This Row],[Value inc. GST]] / 1 + SO[[#This Row],[GST %]]) * SO[[#This Row],[GST %]], 0)</f>
        <v>0</v>
      </c>
      <c r="J817" s="31">
        <f>_xlfn.XLOOKUP(SO[[#This Row],[Customer name]], Customer_master[Customer name], Customer_master[EOM or Net], 0)</f>
        <v>0</v>
      </c>
      <c r="K817" s="31">
        <f>_xlfn.XLOOKUP(SO[[#This Row],[Customer name]], Customer_master[Customer name], Customer_master[Terms days], 0)</f>
        <v>0</v>
      </c>
      <c r="L8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7" s="4"/>
      <c r="N817" s="46">
        <f>IF(SO[[#This Row],[Collection date - override (dd/mm/yyyy)]] &lt;&gt; "", SO[[#This Row],[Collection date - override (dd/mm/yyyy)]], SO[[#This Row],[Due date (dd/mm/yyyy)]])</f>
        <v>0</v>
      </c>
      <c r="O817" s="46">
        <f t="shared" si="12"/>
        <v>52</v>
      </c>
    </row>
    <row r="818" spans="3:15" x14ac:dyDescent="0.25">
      <c r="C818" s="24"/>
      <c r="D818" s="20"/>
      <c r="E818" s="4"/>
      <c r="F818" s="37"/>
      <c r="G818" s="24"/>
      <c r="H818" s="51">
        <f>Assumptions!$D$15</f>
        <v>0.1</v>
      </c>
      <c r="I818" s="45">
        <f>IF(SO[[#This Row],[GST applies?]] = "Yes", (SO[[#This Row],[Value inc. GST]] / 1 + SO[[#This Row],[GST %]]) * SO[[#This Row],[GST %]], 0)</f>
        <v>0</v>
      </c>
      <c r="J818" s="31">
        <f>_xlfn.XLOOKUP(SO[[#This Row],[Customer name]], Customer_master[Customer name], Customer_master[EOM or Net], 0)</f>
        <v>0</v>
      </c>
      <c r="K818" s="31">
        <f>_xlfn.XLOOKUP(SO[[#This Row],[Customer name]], Customer_master[Customer name], Customer_master[Terms days], 0)</f>
        <v>0</v>
      </c>
      <c r="L8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8" s="4"/>
      <c r="N818" s="46">
        <f>IF(SO[[#This Row],[Collection date - override (dd/mm/yyyy)]] &lt;&gt; "", SO[[#This Row],[Collection date - override (dd/mm/yyyy)]], SO[[#This Row],[Due date (dd/mm/yyyy)]])</f>
        <v>0</v>
      </c>
      <c r="O818" s="46">
        <f t="shared" si="12"/>
        <v>52</v>
      </c>
    </row>
    <row r="819" spans="3:15" x14ac:dyDescent="0.25">
      <c r="C819" s="24"/>
      <c r="D819" s="20"/>
      <c r="E819" s="4"/>
      <c r="F819" s="37"/>
      <c r="G819" s="24"/>
      <c r="H819" s="51">
        <f>Assumptions!$D$15</f>
        <v>0.1</v>
      </c>
      <c r="I819" s="45">
        <f>IF(SO[[#This Row],[GST applies?]] = "Yes", (SO[[#This Row],[Value inc. GST]] / 1 + SO[[#This Row],[GST %]]) * SO[[#This Row],[GST %]], 0)</f>
        <v>0</v>
      </c>
      <c r="J819" s="31">
        <f>_xlfn.XLOOKUP(SO[[#This Row],[Customer name]], Customer_master[Customer name], Customer_master[EOM or Net], 0)</f>
        <v>0</v>
      </c>
      <c r="K819" s="31">
        <f>_xlfn.XLOOKUP(SO[[#This Row],[Customer name]], Customer_master[Customer name], Customer_master[Terms days], 0)</f>
        <v>0</v>
      </c>
      <c r="L8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9" s="4"/>
      <c r="N819" s="46">
        <f>IF(SO[[#This Row],[Collection date - override (dd/mm/yyyy)]] &lt;&gt; "", SO[[#This Row],[Collection date - override (dd/mm/yyyy)]], SO[[#This Row],[Due date (dd/mm/yyyy)]])</f>
        <v>0</v>
      </c>
      <c r="O819" s="46">
        <f t="shared" si="12"/>
        <v>52</v>
      </c>
    </row>
    <row r="820" spans="3:15" x14ac:dyDescent="0.25">
      <c r="C820" s="24"/>
      <c r="D820" s="20"/>
      <c r="E820" s="4"/>
      <c r="F820" s="37"/>
      <c r="G820" s="24"/>
      <c r="H820" s="51">
        <f>Assumptions!$D$15</f>
        <v>0.1</v>
      </c>
      <c r="I820" s="45">
        <f>IF(SO[[#This Row],[GST applies?]] = "Yes", (SO[[#This Row],[Value inc. GST]] / 1 + SO[[#This Row],[GST %]]) * SO[[#This Row],[GST %]], 0)</f>
        <v>0</v>
      </c>
      <c r="J820" s="31">
        <f>_xlfn.XLOOKUP(SO[[#This Row],[Customer name]], Customer_master[Customer name], Customer_master[EOM or Net], 0)</f>
        <v>0</v>
      </c>
      <c r="K820" s="31">
        <f>_xlfn.XLOOKUP(SO[[#This Row],[Customer name]], Customer_master[Customer name], Customer_master[Terms days], 0)</f>
        <v>0</v>
      </c>
      <c r="L8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0" s="4"/>
      <c r="N820" s="46">
        <f>IF(SO[[#This Row],[Collection date - override (dd/mm/yyyy)]] &lt;&gt; "", SO[[#This Row],[Collection date - override (dd/mm/yyyy)]], SO[[#This Row],[Due date (dd/mm/yyyy)]])</f>
        <v>0</v>
      </c>
      <c r="O820" s="46">
        <f t="shared" si="12"/>
        <v>52</v>
      </c>
    </row>
    <row r="821" spans="3:15" x14ac:dyDescent="0.25">
      <c r="C821" s="24"/>
      <c r="D821" s="20"/>
      <c r="E821" s="4"/>
      <c r="F821" s="37"/>
      <c r="G821" s="24"/>
      <c r="H821" s="51">
        <f>Assumptions!$D$15</f>
        <v>0.1</v>
      </c>
      <c r="I821" s="45">
        <f>IF(SO[[#This Row],[GST applies?]] = "Yes", (SO[[#This Row],[Value inc. GST]] / 1 + SO[[#This Row],[GST %]]) * SO[[#This Row],[GST %]], 0)</f>
        <v>0</v>
      </c>
      <c r="J821" s="31">
        <f>_xlfn.XLOOKUP(SO[[#This Row],[Customer name]], Customer_master[Customer name], Customer_master[EOM or Net], 0)</f>
        <v>0</v>
      </c>
      <c r="K821" s="31">
        <f>_xlfn.XLOOKUP(SO[[#This Row],[Customer name]], Customer_master[Customer name], Customer_master[Terms days], 0)</f>
        <v>0</v>
      </c>
      <c r="L8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1" s="4"/>
      <c r="N821" s="46">
        <f>IF(SO[[#This Row],[Collection date - override (dd/mm/yyyy)]] &lt;&gt; "", SO[[#This Row],[Collection date - override (dd/mm/yyyy)]], SO[[#This Row],[Due date (dd/mm/yyyy)]])</f>
        <v>0</v>
      </c>
      <c r="O821" s="46">
        <f t="shared" si="12"/>
        <v>52</v>
      </c>
    </row>
    <row r="822" spans="3:15" x14ac:dyDescent="0.25">
      <c r="C822" s="24"/>
      <c r="D822" s="20"/>
      <c r="E822" s="4"/>
      <c r="F822" s="37"/>
      <c r="G822" s="24"/>
      <c r="H822" s="51">
        <f>Assumptions!$D$15</f>
        <v>0.1</v>
      </c>
      <c r="I822" s="45">
        <f>IF(SO[[#This Row],[GST applies?]] = "Yes", (SO[[#This Row],[Value inc. GST]] / 1 + SO[[#This Row],[GST %]]) * SO[[#This Row],[GST %]], 0)</f>
        <v>0</v>
      </c>
      <c r="J822" s="31">
        <f>_xlfn.XLOOKUP(SO[[#This Row],[Customer name]], Customer_master[Customer name], Customer_master[EOM or Net], 0)</f>
        <v>0</v>
      </c>
      <c r="K822" s="31">
        <f>_xlfn.XLOOKUP(SO[[#This Row],[Customer name]], Customer_master[Customer name], Customer_master[Terms days], 0)</f>
        <v>0</v>
      </c>
      <c r="L8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2" s="4"/>
      <c r="N822" s="46">
        <f>IF(SO[[#This Row],[Collection date - override (dd/mm/yyyy)]] &lt;&gt; "", SO[[#This Row],[Collection date - override (dd/mm/yyyy)]], SO[[#This Row],[Due date (dd/mm/yyyy)]])</f>
        <v>0</v>
      </c>
      <c r="O822" s="46">
        <f t="shared" si="12"/>
        <v>52</v>
      </c>
    </row>
    <row r="823" spans="3:15" x14ac:dyDescent="0.25">
      <c r="C823" s="24"/>
      <c r="D823" s="20"/>
      <c r="E823" s="4"/>
      <c r="F823" s="37"/>
      <c r="G823" s="24"/>
      <c r="H823" s="51">
        <f>Assumptions!$D$15</f>
        <v>0.1</v>
      </c>
      <c r="I823" s="45">
        <f>IF(SO[[#This Row],[GST applies?]] = "Yes", (SO[[#This Row],[Value inc. GST]] / 1 + SO[[#This Row],[GST %]]) * SO[[#This Row],[GST %]], 0)</f>
        <v>0</v>
      </c>
      <c r="J823" s="31">
        <f>_xlfn.XLOOKUP(SO[[#This Row],[Customer name]], Customer_master[Customer name], Customer_master[EOM or Net], 0)</f>
        <v>0</v>
      </c>
      <c r="K823" s="31">
        <f>_xlfn.XLOOKUP(SO[[#This Row],[Customer name]], Customer_master[Customer name], Customer_master[Terms days], 0)</f>
        <v>0</v>
      </c>
      <c r="L8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3" s="4"/>
      <c r="N823" s="46">
        <f>IF(SO[[#This Row],[Collection date - override (dd/mm/yyyy)]] &lt;&gt; "", SO[[#This Row],[Collection date - override (dd/mm/yyyy)]], SO[[#This Row],[Due date (dd/mm/yyyy)]])</f>
        <v>0</v>
      </c>
      <c r="O823" s="46">
        <f t="shared" si="12"/>
        <v>52</v>
      </c>
    </row>
    <row r="824" spans="3:15" x14ac:dyDescent="0.25">
      <c r="C824" s="24"/>
      <c r="D824" s="20"/>
      <c r="E824" s="4"/>
      <c r="F824" s="37"/>
      <c r="G824" s="24"/>
      <c r="H824" s="51">
        <f>Assumptions!$D$15</f>
        <v>0.1</v>
      </c>
      <c r="I824" s="45">
        <f>IF(SO[[#This Row],[GST applies?]] = "Yes", (SO[[#This Row],[Value inc. GST]] / 1 + SO[[#This Row],[GST %]]) * SO[[#This Row],[GST %]], 0)</f>
        <v>0</v>
      </c>
      <c r="J824" s="31">
        <f>_xlfn.XLOOKUP(SO[[#This Row],[Customer name]], Customer_master[Customer name], Customer_master[EOM or Net], 0)</f>
        <v>0</v>
      </c>
      <c r="K824" s="31">
        <f>_xlfn.XLOOKUP(SO[[#This Row],[Customer name]], Customer_master[Customer name], Customer_master[Terms days], 0)</f>
        <v>0</v>
      </c>
      <c r="L8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4" s="4"/>
      <c r="N824" s="46">
        <f>IF(SO[[#This Row],[Collection date - override (dd/mm/yyyy)]] &lt;&gt; "", SO[[#This Row],[Collection date - override (dd/mm/yyyy)]], SO[[#This Row],[Due date (dd/mm/yyyy)]])</f>
        <v>0</v>
      </c>
      <c r="O824" s="46">
        <f t="shared" si="12"/>
        <v>52</v>
      </c>
    </row>
    <row r="825" spans="3:15" x14ac:dyDescent="0.25">
      <c r="C825" s="24"/>
      <c r="D825" s="20"/>
      <c r="E825" s="4"/>
      <c r="F825" s="37"/>
      <c r="G825" s="24"/>
      <c r="H825" s="51">
        <f>Assumptions!$D$15</f>
        <v>0.1</v>
      </c>
      <c r="I825" s="45">
        <f>IF(SO[[#This Row],[GST applies?]] = "Yes", (SO[[#This Row],[Value inc. GST]] / 1 + SO[[#This Row],[GST %]]) * SO[[#This Row],[GST %]], 0)</f>
        <v>0</v>
      </c>
      <c r="J825" s="31">
        <f>_xlfn.XLOOKUP(SO[[#This Row],[Customer name]], Customer_master[Customer name], Customer_master[EOM or Net], 0)</f>
        <v>0</v>
      </c>
      <c r="K825" s="31">
        <f>_xlfn.XLOOKUP(SO[[#This Row],[Customer name]], Customer_master[Customer name], Customer_master[Terms days], 0)</f>
        <v>0</v>
      </c>
      <c r="L8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5" s="4"/>
      <c r="N825" s="46">
        <f>IF(SO[[#This Row],[Collection date - override (dd/mm/yyyy)]] &lt;&gt; "", SO[[#This Row],[Collection date - override (dd/mm/yyyy)]], SO[[#This Row],[Due date (dd/mm/yyyy)]])</f>
        <v>0</v>
      </c>
      <c r="O825" s="46">
        <f t="shared" si="12"/>
        <v>52</v>
      </c>
    </row>
    <row r="826" spans="3:15" x14ac:dyDescent="0.25">
      <c r="C826" s="24"/>
      <c r="D826" s="20"/>
      <c r="E826" s="4"/>
      <c r="F826" s="37"/>
      <c r="G826" s="24"/>
      <c r="H826" s="51">
        <f>Assumptions!$D$15</f>
        <v>0.1</v>
      </c>
      <c r="I826" s="45">
        <f>IF(SO[[#This Row],[GST applies?]] = "Yes", (SO[[#This Row],[Value inc. GST]] / 1 + SO[[#This Row],[GST %]]) * SO[[#This Row],[GST %]], 0)</f>
        <v>0</v>
      </c>
      <c r="J826" s="31">
        <f>_xlfn.XLOOKUP(SO[[#This Row],[Customer name]], Customer_master[Customer name], Customer_master[EOM or Net], 0)</f>
        <v>0</v>
      </c>
      <c r="K826" s="31">
        <f>_xlfn.XLOOKUP(SO[[#This Row],[Customer name]], Customer_master[Customer name], Customer_master[Terms days], 0)</f>
        <v>0</v>
      </c>
      <c r="L8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6" s="4"/>
      <c r="N826" s="46">
        <f>IF(SO[[#This Row],[Collection date - override (dd/mm/yyyy)]] &lt;&gt; "", SO[[#This Row],[Collection date - override (dd/mm/yyyy)]], SO[[#This Row],[Due date (dd/mm/yyyy)]])</f>
        <v>0</v>
      </c>
      <c r="O826" s="46">
        <f t="shared" si="12"/>
        <v>52</v>
      </c>
    </row>
    <row r="827" spans="3:15" x14ac:dyDescent="0.25">
      <c r="C827" s="24"/>
      <c r="D827" s="20"/>
      <c r="E827" s="4"/>
      <c r="F827" s="37"/>
      <c r="G827" s="24"/>
      <c r="H827" s="51">
        <f>Assumptions!$D$15</f>
        <v>0.1</v>
      </c>
      <c r="I827" s="45">
        <f>IF(SO[[#This Row],[GST applies?]] = "Yes", (SO[[#This Row],[Value inc. GST]] / 1 + SO[[#This Row],[GST %]]) * SO[[#This Row],[GST %]], 0)</f>
        <v>0</v>
      </c>
      <c r="J827" s="31">
        <f>_xlfn.XLOOKUP(SO[[#This Row],[Customer name]], Customer_master[Customer name], Customer_master[EOM or Net], 0)</f>
        <v>0</v>
      </c>
      <c r="K827" s="31">
        <f>_xlfn.XLOOKUP(SO[[#This Row],[Customer name]], Customer_master[Customer name], Customer_master[Terms days], 0)</f>
        <v>0</v>
      </c>
      <c r="L8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7" s="4"/>
      <c r="N827" s="46">
        <f>IF(SO[[#This Row],[Collection date - override (dd/mm/yyyy)]] &lt;&gt; "", SO[[#This Row],[Collection date - override (dd/mm/yyyy)]], SO[[#This Row],[Due date (dd/mm/yyyy)]])</f>
        <v>0</v>
      </c>
      <c r="O827" s="46">
        <f t="shared" si="12"/>
        <v>52</v>
      </c>
    </row>
    <row r="828" spans="3:15" x14ac:dyDescent="0.25">
      <c r="C828" s="24"/>
      <c r="D828" s="20"/>
      <c r="E828" s="4"/>
      <c r="F828" s="37"/>
      <c r="G828" s="24"/>
      <c r="H828" s="51">
        <f>Assumptions!$D$15</f>
        <v>0.1</v>
      </c>
      <c r="I828" s="45">
        <f>IF(SO[[#This Row],[GST applies?]] = "Yes", (SO[[#This Row],[Value inc. GST]] / 1 + SO[[#This Row],[GST %]]) * SO[[#This Row],[GST %]], 0)</f>
        <v>0</v>
      </c>
      <c r="J828" s="31">
        <f>_xlfn.XLOOKUP(SO[[#This Row],[Customer name]], Customer_master[Customer name], Customer_master[EOM or Net], 0)</f>
        <v>0</v>
      </c>
      <c r="K828" s="31">
        <f>_xlfn.XLOOKUP(SO[[#This Row],[Customer name]], Customer_master[Customer name], Customer_master[Terms days], 0)</f>
        <v>0</v>
      </c>
      <c r="L8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8" s="4"/>
      <c r="N828" s="46">
        <f>IF(SO[[#This Row],[Collection date - override (dd/mm/yyyy)]] &lt;&gt; "", SO[[#This Row],[Collection date - override (dd/mm/yyyy)]], SO[[#This Row],[Due date (dd/mm/yyyy)]])</f>
        <v>0</v>
      </c>
      <c r="O828" s="46">
        <f t="shared" si="12"/>
        <v>52</v>
      </c>
    </row>
    <row r="829" spans="3:15" x14ac:dyDescent="0.25">
      <c r="C829" s="24"/>
      <c r="D829" s="20"/>
      <c r="E829" s="4"/>
      <c r="F829" s="37"/>
      <c r="G829" s="24"/>
      <c r="H829" s="51">
        <f>Assumptions!$D$15</f>
        <v>0.1</v>
      </c>
      <c r="I829" s="45">
        <f>IF(SO[[#This Row],[GST applies?]] = "Yes", (SO[[#This Row],[Value inc. GST]] / 1 + SO[[#This Row],[GST %]]) * SO[[#This Row],[GST %]], 0)</f>
        <v>0</v>
      </c>
      <c r="J829" s="31">
        <f>_xlfn.XLOOKUP(SO[[#This Row],[Customer name]], Customer_master[Customer name], Customer_master[EOM or Net], 0)</f>
        <v>0</v>
      </c>
      <c r="K829" s="31">
        <f>_xlfn.XLOOKUP(SO[[#This Row],[Customer name]], Customer_master[Customer name], Customer_master[Terms days], 0)</f>
        <v>0</v>
      </c>
      <c r="L8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9" s="4"/>
      <c r="N829" s="46">
        <f>IF(SO[[#This Row],[Collection date - override (dd/mm/yyyy)]] &lt;&gt; "", SO[[#This Row],[Collection date - override (dd/mm/yyyy)]], SO[[#This Row],[Due date (dd/mm/yyyy)]])</f>
        <v>0</v>
      </c>
      <c r="O829" s="46">
        <f t="shared" si="12"/>
        <v>52</v>
      </c>
    </row>
    <row r="830" spans="3:15" x14ac:dyDescent="0.25">
      <c r="C830" s="24"/>
      <c r="D830" s="20"/>
      <c r="E830" s="4"/>
      <c r="F830" s="37"/>
      <c r="G830" s="24"/>
      <c r="H830" s="51">
        <f>Assumptions!$D$15</f>
        <v>0.1</v>
      </c>
      <c r="I830" s="45">
        <f>IF(SO[[#This Row],[GST applies?]] = "Yes", (SO[[#This Row],[Value inc. GST]] / 1 + SO[[#This Row],[GST %]]) * SO[[#This Row],[GST %]], 0)</f>
        <v>0</v>
      </c>
      <c r="J830" s="31">
        <f>_xlfn.XLOOKUP(SO[[#This Row],[Customer name]], Customer_master[Customer name], Customer_master[EOM or Net], 0)</f>
        <v>0</v>
      </c>
      <c r="K830" s="31">
        <f>_xlfn.XLOOKUP(SO[[#This Row],[Customer name]], Customer_master[Customer name], Customer_master[Terms days], 0)</f>
        <v>0</v>
      </c>
      <c r="L8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0" s="4"/>
      <c r="N830" s="46">
        <f>IF(SO[[#This Row],[Collection date - override (dd/mm/yyyy)]] &lt;&gt; "", SO[[#This Row],[Collection date - override (dd/mm/yyyy)]], SO[[#This Row],[Due date (dd/mm/yyyy)]])</f>
        <v>0</v>
      </c>
      <c r="O830" s="46">
        <f t="shared" si="12"/>
        <v>52</v>
      </c>
    </row>
    <row r="831" spans="3:15" x14ac:dyDescent="0.25">
      <c r="C831" s="24"/>
      <c r="D831" s="20"/>
      <c r="E831" s="4"/>
      <c r="F831" s="37"/>
      <c r="G831" s="24"/>
      <c r="H831" s="51">
        <f>Assumptions!$D$15</f>
        <v>0.1</v>
      </c>
      <c r="I831" s="45">
        <f>IF(SO[[#This Row],[GST applies?]] = "Yes", (SO[[#This Row],[Value inc. GST]] / 1 + SO[[#This Row],[GST %]]) * SO[[#This Row],[GST %]], 0)</f>
        <v>0</v>
      </c>
      <c r="J831" s="31">
        <f>_xlfn.XLOOKUP(SO[[#This Row],[Customer name]], Customer_master[Customer name], Customer_master[EOM or Net], 0)</f>
        <v>0</v>
      </c>
      <c r="K831" s="31">
        <f>_xlfn.XLOOKUP(SO[[#This Row],[Customer name]], Customer_master[Customer name], Customer_master[Terms days], 0)</f>
        <v>0</v>
      </c>
      <c r="L8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1" s="4"/>
      <c r="N831" s="46">
        <f>IF(SO[[#This Row],[Collection date - override (dd/mm/yyyy)]] &lt;&gt; "", SO[[#This Row],[Collection date - override (dd/mm/yyyy)]], SO[[#This Row],[Due date (dd/mm/yyyy)]])</f>
        <v>0</v>
      </c>
      <c r="O831" s="46">
        <f t="shared" si="12"/>
        <v>52</v>
      </c>
    </row>
    <row r="832" spans="3:15" x14ac:dyDescent="0.25">
      <c r="C832" s="24"/>
      <c r="D832" s="20"/>
      <c r="E832" s="4"/>
      <c r="F832" s="37"/>
      <c r="G832" s="24"/>
      <c r="H832" s="51">
        <f>Assumptions!$D$15</f>
        <v>0.1</v>
      </c>
      <c r="I832" s="45">
        <f>IF(SO[[#This Row],[GST applies?]] = "Yes", (SO[[#This Row],[Value inc. GST]] / 1 + SO[[#This Row],[GST %]]) * SO[[#This Row],[GST %]], 0)</f>
        <v>0</v>
      </c>
      <c r="J832" s="31">
        <f>_xlfn.XLOOKUP(SO[[#This Row],[Customer name]], Customer_master[Customer name], Customer_master[EOM or Net], 0)</f>
        <v>0</v>
      </c>
      <c r="K832" s="31">
        <f>_xlfn.XLOOKUP(SO[[#This Row],[Customer name]], Customer_master[Customer name], Customer_master[Terms days], 0)</f>
        <v>0</v>
      </c>
      <c r="L8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2" s="4"/>
      <c r="N832" s="46">
        <f>IF(SO[[#This Row],[Collection date - override (dd/mm/yyyy)]] &lt;&gt; "", SO[[#This Row],[Collection date - override (dd/mm/yyyy)]], SO[[#This Row],[Due date (dd/mm/yyyy)]])</f>
        <v>0</v>
      </c>
      <c r="O832" s="46">
        <f t="shared" si="12"/>
        <v>52</v>
      </c>
    </row>
    <row r="833" spans="3:15" x14ac:dyDescent="0.25">
      <c r="C833" s="24"/>
      <c r="D833" s="20"/>
      <c r="E833" s="4"/>
      <c r="F833" s="37"/>
      <c r="G833" s="24"/>
      <c r="H833" s="51">
        <f>Assumptions!$D$15</f>
        <v>0.1</v>
      </c>
      <c r="I833" s="45">
        <f>IF(SO[[#This Row],[GST applies?]] = "Yes", (SO[[#This Row],[Value inc. GST]] / 1 + SO[[#This Row],[GST %]]) * SO[[#This Row],[GST %]], 0)</f>
        <v>0</v>
      </c>
      <c r="J833" s="31">
        <f>_xlfn.XLOOKUP(SO[[#This Row],[Customer name]], Customer_master[Customer name], Customer_master[EOM or Net], 0)</f>
        <v>0</v>
      </c>
      <c r="K833" s="31">
        <f>_xlfn.XLOOKUP(SO[[#This Row],[Customer name]], Customer_master[Customer name], Customer_master[Terms days], 0)</f>
        <v>0</v>
      </c>
      <c r="L8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3" s="4"/>
      <c r="N833" s="46">
        <f>IF(SO[[#This Row],[Collection date - override (dd/mm/yyyy)]] &lt;&gt; "", SO[[#This Row],[Collection date - override (dd/mm/yyyy)]], SO[[#This Row],[Due date (dd/mm/yyyy)]])</f>
        <v>0</v>
      </c>
      <c r="O833" s="46">
        <f t="shared" si="12"/>
        <v>52</v>
      </c>
    </row>
    <row r="834" spans="3:15" x14ac:dyDescent="0.25">
      <c r="C834" s="24"/>
      <c r="D834" s="20"/>
      <c r="E834" s="4"/>
      <c r="F834" s="37"/>
      <c r="G834" s="24"/>
      <c r="H834" s="51">
        <f>Assumptions!$D$15</f>
        <v>0.1</v>
      </c>
      <c r="I834" s="45">
        <f>IF(SO[[#This Row],[GST applies?]] = "Yes", (SO[[#This Row],[Value inc. GST]] / 1 + SO[[#This Row],[GST %]]) * SO[[#This Row],[GST %]], 0)</f>
        <v>0</v>
      </c>
      <c r="J834" s="31">
        <f>_xlfn.XLOOKUP(SO[[#This Row],[Customer name]], Customer_master[Customer name], Customer_master[EOM or Net], 0)</f>
        <v>0</v>
      </c>
      <c r="K834" s="31">
        <f>_xlfn.XLOOKUP(SO[[#This Row],[Customer name]], Customer_master[Customer name], Customer_master[Terms days], 0)</f>
        <v>0</v>
      </c>
      <c r="L8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4" s="4"/>
      <c r="N834" s="46">
        <f>IF(SO[[#This Row],[Collection date - override (dd/mm/yyyy)]] &lt;&gt; "", SO[[#This Row],[Collection date - override (dd/mm/yyyy)]], SO[[#This Row],[Due date (dd/mm/yyyy)]])</f>
        <v>0</v>
      </c>
      <c r="O834" s="46">
        <f t="shared" si="12"/>
        <v>52</v>
      </c>
    </row>
    <row r="835" spans="3:15" x14ac:dyDescent="0.25">
      <c r="C835" s="24"/>
      <c r="D835" s="20"/>
      <c r="E835" s="4"/>
      <c r="F835" s="37"/>
      <c r="G835" s="24"/>
      <c r="H835" s="51">
        <f>Assumptions!$D$15</f>
        <v>0.1</v>
      </c>
      <c r="I835" s="45">
        <f>IF(SO[[#This Row],[GST applies?]] = "Yes", (SO[[#This Row],[Value inc. GST]] / 1 + SO[[#This Row],[GST %]]) * SO[[#This Row],[GST %]], 0)</f>
        <v>0</v>
      </c>
      <c r="J835" s="31">
        <f>_xlfn.XLOOKUP(SO[[#This Row],[Customer name]], Customer_master[Customer name], Customer_master[EOM or Net], 0)</f>
        <v>0</v>
      </c>
      <c r="K835" s="31">
        <f>_xlfn.XLOOKUP(SO[[#This Row],[Customer name]], Customer_master[Customer name], Customer_master[Terms days], 0)</f>
        <v>0</v>
      </c>
      <c r="L8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5" s="4"/>
      <c r="N835" s="46">
        <f>IF(SO[[#This Row],[Collection date - override (dd/mm/yyyy)]] &lt;&gt; "", SO[[#This Row],[Collection date - override (dd/mm/yyyy)]], SO[[#This Row],[Due date (dd/mm/yyyy)]])</f>
        <v>0</v>
      </c>
      <c r="O835" s="46">
        <f t="shared" si="12"/>
        <v>52</v>
      </c>
    </row>
    <row r="836" spans="3:15" x14ac:dyDescent="0.25">
      <c r="C836" s="24"/>
      <c r="D836" s="20"/>
      <c r="E836" s="4"/>
      <c r="F836" s="37"/>
      <c r="G836" s="24"/>
      <c r="H836" s="51">
        <f>Assumptions!$D$15</f>
        <v>0.1</v>
      </c>
      <c r="I836" s="45">
        <f>IF(SO[[#This Row],[GST applies?]] = "Yes", (SO[[#This Row],[Value inc. GST]] / 1 + SO[[#This Row],[GST %]]) * SO[[#This Row],[GST %]], 0)</f>
        <v>0</v>
      </c>
      <c r="J836" s="31">
        <f>_xlfn.XLOOKUP(SO[[#This Row],[Customer name]], Customer_master[Customer name], Customer_master[EOM or Net], 0)</f>
        <v>0</v>
      </c>
      <c r="K836" s="31">
        <f>_xlfn.XLOOKUP(SO[[#This Row],[Customer name]], Customer_master[Customer name], Customer_master[Terms days], 0)</f>
        <v>0</v>
      </c>
      <c r="L8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6" s="4"/>
      <c r="N836" s="46">
        <f>IF(SO[[#This Row],[Collection date - override (dd/mm/yyyy)]] &lt;&gt; "", SO[[#This Row],[Collection date - override (dd/mm/yyyy)]], SO[[#This Row],[Due date (dd/mm/yyyy)]])</f>
        <v>0</v>
      </c>
      <c r="O836" s="46">
        <f t="shared" si="12"/>
        <v>52</v>
      </c>
    </row>
    <row r="837" spans="3:15" x14ac:dyDescent="0.25">
      <c r="C837" s="24"/>
      <c r="D837" s="20"/>
      <c r="E837" s="4"/>
      <c r="F837" s="37"/>
      <c r="G837" s="24"/>
      <c r="H837" s="51">
        <f>Assumptions!$D$15</f>
        <v>0.1</v>
      </c>
      <c r="I837" s="45">
        <f>IF(SO[[#This Row],[GST applies?]] = "Yes", (SO[[#This Row],[Value inc. GST]] / 1 + SO[[#This Row],[GST %]]) * SO[[#This Row],[GST %]], 0)</f>
        <v>0</v>
      </c>
      <c r="J837" s="31">
        <f>_xlfn.XLOOKUP(SO[[#This Row],[Customer name]], Customer_master[Customer name], Customer_master[EOM or Net], 0)</f>
        <v>0</v>
      </c>
      <c r="K837" s="31">
        <f>_xlfn.XLOOKUP(SO[[#This Row],[Customer name]], Customer_master[Customer name], Customer_master[Terms days], 0)</f>
        <v>0</v>
      </c>
      <c r="L8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7" s="4"/>
      <c r="N837" s="46">
        <f>IF(SO[[#This Row],[Collection date - override (dd/mm/yyyy)]] &lt;&gt; "", SO[[#This Row],[Collection date - override (dd/mm/yyyy)]], SO[[#This Row],[Due date (dd/mm/yyyy)]])</f>
        <v>0</v>
      </c>
      <c r="O837" s="46">
        <f t="shared" si="12"/>
        <v>52</v>
      </c>
    </row>
    <row r="838" spans="3:15" x14ac:dyDescent="0.25">
      <c r="C838" s="24"/>
      <c r="D838" s="20"/>
      <c r="E838" s="4"/>
      <c r="F838" s="37"/>
      <c r="G838" s="24"/>
      <c r="H838" s="51">
        <f>Assumptions!$D$15</f>
        <v>0.1</v>
      </c>
      <c r="I838" s="45">
        <f>IF(SO[[#This Row],[GST applies?]] = "Yes", (SO[[#This Row],[Value inc. GST]] / 1 + SO[[#This Row],[GST %]]) * SO[[#This Row],[GST %]], 0)</f>
        <v>0</v>
      </c>
      <c r="J838" s="31">
        <f>_xlfn.XLOOKUP(SO[[#This Row],[Customer name]], Customer_master[Customer name], Customer_master[EOM or Net], 0)</f>
        <v>0</v>
      </c>
      <c r="K838" s="31">
        <f>_xlfn.XLOOKUP(SO[[#This Row],[Customer name]], Customer_master[Customer name], Customer_master[Terms days], 0)</f>
        <v>0</v>
      </c>
      <c r="L8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8" s="4"/>
      <c r="N838" s="46">
        <f>IF(SO[[#This Row],[Collection date - override (dd/mm/yyyy)]] &lt;&gt; "", SO[[#This Row],[Collection date - override (dd/mm/yyyy)]], SO[[#This Row],[Due date (dd/mm/yyyy)]])</f>
        <v>0</v>
      </c>
      <c r="O838" s="46">
        <f t="shared" si="12"/>
        <v>52</v>
      </c>
    </row>
    <row r="839" spans="3:15" x14ac:dyDescent="0.25">
      <c r="C839" s="24"/>
      <c r="D839" s="20"/>
      <c r="E839" s="4"/>
      <c r="F839" s="37"/>
      <c r="G839" s="24"/>
      <c r="H839" s="51">
        <f>Assumptions!$D$15</f>
        <v>0.1</v>
      </c>
      <c r="I839" s="45">
        <f>IF(SO[[#This Row],[GST applies?]] = "Yes", (SO[[#This Row],[Value inc. GST]] / 1 + SO[[#This Row],[GST %]]) * SO[[#This Row],[GST %]], 0)</f>
        <v>0</v>
      </c>
      <c r="J839" s="31">
        <f>_xlfn.XLOOKUP(SO[[#This Row],[Customer name]], Customer_master[Customer name], Customer_master[EOM or Net], 0)</f>
        <v>0</v>
      </c>
      <c r="K839" s="31">
        <f>_xlfn.XLOOKUP(SO[[#This Row],[Customer name]], Customer_master[Customer name], Customer_master[Terms days], 0)</f>
        <v>0</v>
      </c>
      <c r="L8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9" s="4"/>
      <c r="N839" s="46">
        <f>IF(SO[[#This Row],[Collection date - override (dd/mm/yyyy)]] &lt;&gt; "", SO[[#This Row],[Collection date - override (dd/mm/yyyy)]], SO[[#This Row],[Due date (dd/mm/yyyy)]])</f>
        <v>0</v>
      </c>
      <c r="O839" s="46">
        <f t="shared" si="12"/>
        <v>52</v>
      </c>
    </row>
    <row r="840" spans="3:15" x14ac:dyDescent="0.25">
      <c r="C840" s="24"/>
      <c r="D840" s="20"/>
      <c r="E840" s="4"/>
      <c r="F840" s="37"/>
      <c r="G840" s="24"/>
      <c r="H840" s="51">
        <f>Assumptions!$D$15</f>
        <v>0.1</v>
      </c>
      <c r="I840" s="45">
        <f>IF(SO[[#This Row],[GST applies?]] = "Yes", (SO[[#This Row],[Value inc. GST]] / 1 + SO[[#This Row],[GST %]]) * SO[[#This Row],[GST %]], 0)</f>
        <v>0</v>
      </c>
      <c r="J840" s="31">
        <f>_xlfn.XLOOKUP(SO[[#This Row],[Customer name]], Customer_master[Customer name], Customer_master[EOM or Net], 0)</f>
        <v>0</v>
      </c>
      <c r="K840" s="31">
        <f>_xlfn.XLOOKUP(SO[[#This Row],[Customer name]], Customer_master[Customer name], Customer_master[Terms days], 0)</f>
        <v>0</v>
      </c>
      <c r="L8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0" s="4"/>
      <c r="N840" s="46">
        <f>IF(SO[[#This Row],[Collection date - override (dd/mm/yyyy)]] &lt;&gt; "", SO[[#This Row],[Collection date - override (dd/mm/yyyy)]], SO[[#This Row],[Due date (dd/mm/yyyy)]])</f>
        <v>0</v>
      </c>
      <c r="O840" s="46">
        <f t="shared" si="12"/>
        <v>52</v>
      </c>
    </row>
    <row r="841" spans="3:15" x14ac:dyDescent="0.25">
      <c r="C841" s="24"/>
      <c r="D841" s="20"/>
      <c r="E841" s="4"/>
      <c r="F841" s="37"/>
      <c r="G841" s="24"/>
      <c r="H841" s="51">
        <f>Assumptions!$D$15</f>
        <v>0.1</v>
      </c>
      <c r="I841" s="45">
        <f>IF(SO[[#This Row],[GST applies?]] = "Yes", (SO[[#This Row],[Value inc. GST]] / 1 + SO[[#This Row],[GST %]]) * SO[[#This Row],[GST %]], 0)</f>
        <v>0</v>
      </c>
      <c r="J841" s="31">
        <f>_xlfn.XLOOKUP(SO[[#This Row],[Customer name]], Customer_master[Customer name], Customer_master[EOM or Net], 0)</f>
        <v>0</v>
      </c>
      <c r="K841" s="31">
        <f>_xlfn.XLOOKUP(SO[[#This Row],[Customer name]], Customer_master[Customer name], Customer_master[Terms days], 0)</f>
        <v>0</v>
      </c>
      <c r="L8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1" s="4"/>
      <c r="N841" s="46">
        <f>IF(SO[[#This Row],[Collection date - override (dd/mm/yyyy)]] &lt;&gt; "", SO[[#This Row],[Collection date - override (dd/mm/yyyy)]], SO[[#This Row],[Due date (dd/mm/yyyy)]])</f>
        <v>0</v>
      </c>
      <c r="O841" s="46">
        <f t="shared" ref="O841:O904" si="13">IF(GST_Freq="Monthly",
    DATE(YEAR(E841), MONTH(E841) + 1, 21),
    IF(GST_Freq="Quarterly",
        IF(MOD(MONTH(E841) + 2 - MOD(MOD(MONTH(E841) - GST_First_Month, 12), 3), 12) = 0,
            DATE(YEAR(E841), MONTH(E841) + 4 - MOD(MOD(MONTH(E841) - GST_First_Month, 12), 3), 28),
            DATE(YEAR(E841), MONTH(E841) + 3 - MOD(MOD(MONTH(E841) - GST_First_Month, 12), 3), 28)
        ),
        "Invalid frequency"
    )
)</f>
        <v>52</v>
      </c>
    </row>
    <row r="842" spans="3:15" x14ac:dyDescent="0.25">
      <c r="C842" s="24"/>
      <c r="D842" s="20"/>
      <c r="E842" s="4"/>
      <c r="F842" s="37"/>
      <c r="G842" s="24"/>
      <c r="H842" s="51">
        <f>Assumptions!$D$15</f>
        <v>0.1</v>
      </c>
      <c r="I842" s="45">
        <f>IF(SO[[#This Row],[GST applies?]] = "Yes", (SO[[#This Row],[Value inc. GST]] / 1 + SO[[#This Row],[GST %]]) * SO[[#This Row],[GST %]], 0)</f>
        <v>0</v>
      </c>
      <c r="J842" s="31">
        <f>_xlfn.XLOOKUP(SO[[#This Row],[Customer name]], Customer_master[Customer name], Customer_master[EOM or Net], 0)</f>
        <v>0</v>
      </c>
      <c r="K842" s="31">
        <f>_xlfn.XLOOKUP(SO[[#This Row],[Customer name]], Customer_master[Customer name], Customer_master[Terms days], 0)</f>
        <v>0</v>
      </c>
      <c r="L8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2" s="4"/>
      <c r="N842" s="46">
        <f>IF(SO[[#This Row],[Collection date - override (dd/mm/yyyy)]] &lt;&gt; "", SO[[#This Row],[Collection date - override (dd/mm/yyyy)]], SO[[#This Row],[Due date (dd/mm/yyyy)]])</f>
        <v>0</v>
      </c>
      <c r="O842" s="46">
        <f t="shared" si="13"/>
        <v>52</v>
      </c>
    </row>
    <row r="843" spans="3:15" x14ac:dyDescent="0.25">
      <c r="C843" s="24"/>
      <c r="D843" s="20"/>
      <c r="E843" s="4"/>
      <c r="F843" s="37"/>
      <c r="G843" s="24"/>
      <c r="H843" s="51">
        <f>Assumptions!$D$15</f>
        <v>0.1</v>
      </c>
      <c r="I843" s="45">
        <f>IF(SO[[#This Row],[GST applies?]] = "Yes", (SO[[#This Row],[Value inc. GST]] / 1 + SO[[#This Row],[GST %]]) * SO[[#This Row],[GST %]], 0)</f>
        <v>0</v>
      </c>
      <c r="J843" s="31">
        <f>_xlfn.XLOOKUP(SO[[#This Row],[Customer name]], Customer_master[Customer name], Customer_master[EOM or Net], 0)</f>
        <v>0</v>
      </c>
      <c r="K843" s="31">
        <f>_xlfn.XLOOKUP(SO[[#This Row],[Customer name]], Customer_master[Customer name], Customer_master[Terms days], 0)</f>
        <v>0</v>
      </c>
      <c r="L8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3" s="4"/>
      <c r="N843" s="46">
        <f>IF(SO[[#This Row],[Collection date - override (dd/mm/yyyy)]] &lt;&gt; "", SO[[#This Row],[Collection date - override (dd/mm/yyyy)]], SO[[#This Row],[Due date (dd/mm/yyyy)]])</f>
        <v>0</v>
      </c>
      <c r="O843" s="46">
        <f t="shared" si="13"/>
        <v>52</v>
      </c>
    </row>
    <row r="844" spans="3:15" x14ac:dyDescent="0.25">
      <c r="C844" s="24"/>
      <c r="D844" s="20"/>
      <c r="E844" s="4"/>
      <c r="F844" s="37"/>
      <c r="G844" s="24"/>
      <c r="H844" s="51">
        <f>Assumptions!$D$15</f>
        <v>0.1</v>
      </c>
      <c r="I844" s="45">
        <f>IF(SO[[#This Row],[GST applies?]] = "Yes", (SO[[#This Row],[Value inc. GST]] / 1 + SO[[#This Row],[GST %]]) * SO[[#This Row],[GST %]], 0)</f>
        <v>0</v>
      </c>
      <c r="J844" s="31">
        <f>_xlfn.XLOOKUP(SO[[#This Row],[Customer name]], Customer_master[Customer name], Customer_master[EOM or Net], 0)</f>
        <v>0</v>
      </c>
      <c r="K844" s="31">
        <f>_xlfn.XLOOKUP(SO[[#This Row],[Customer name]], Customer_master[Customer name], Customer_master[Terms days], 0)</f>
        <v>0</v>
      </c>
      <c r="L8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4" s="4"/>
      <c r="N844" s="46">
        <f>IF(SO[[#This Row],[Collection date - override (dd/mm/yyyy)]] &lt;&gt; "", SO[[#This Row],[Collection date - override (dd/mm/yyyy)]], SO[[#This Row],[Due date (dd/mm/yyyy)]])</f>
        <v>0</v>
      </c>
      <c r="O844" s="46">
        <f t="shared" si="13"/>
        <v>52</v>
      </c>
    </row>
    <row r="845" spans="3:15" x14ac:dyDescent="0.25">
      <c r="C845" s="24"/>
      <c r="D845" s="20"/>
      <c r="E845" s="4"/>
      <c r="F845" s="37"/>
      <c r="G845" s="24"/>
      <c r="H845" s="51">
        <f>Assumptions!$D$15</f>
        <v>0.1</v>
      </c>
      <c r="I845" s="45">
        <f>IF(SO[[#This Row],[GST applies?]] = "Yes", (SO[[#This Row],[Value inc. GST]] / 1 + SO[[#This Row],[GST %]]) * SO[[#This Row],[GST %]], 0)</f>
        <v>0</v>
      </c>
      <c r="J845" s="31">
        <f>_xlfn.XLOOKUP(SO[[#This Row],[Customer name]], Customer_master[Customer name], Customer_master[EOM or Net], 0)</f>
        <v>0</v>
      </c>
      <c r="K845" s="31">
        <f>_xlfn.XLOOKUP(SO[[#This Row],[Customer name]], Customer_master[Customer name], Customer_master[Terms days], 0)</f>
        <v>0</v>
      </c>
      <c r="L8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5" s="4"/>
      <c r="N845" s="46">
        <f>IF(SO[[#This Row],[Collection date - override (dd/mm/yyyy)]] &lt;&gt; "", SO[[#This Row],[Collection date - override (dd/mm/yyyy)]], SO[[#This Row],[Due date (dd/mm/yyyy)]])</f>
        <v>0</v>
      </c>
      <c r="O845" s="46">
        <f t="shared" si="13"/>
        <v>52</v>
      </c>
    </row>
    <row r="846" spans="3:15" x14ac:dyDescent="0.25">
      <c r="C846" s="24"/>
      <c r="D846" s="20"/>
      <c r="E846" s="4"/>
      <c r="F846" s="37"/>
      <c r="G846" s="24"/>
      <c r="H846" s="51">
        <f>Assumptions!$D$15</f>
        <v>0.1</v>
      </c>
      <c r="I846" s="45">
        <f>IF(SO[[#This Row],[GST applies?]] = "Yes", (SO[[#This Row],[Value inc. GST]] / 1 + SO[[#This Row],[GST %]]) * SO[[#This Row],[GST %]], 0)</f>
        <v>0</v>
      </c>
      <c r="J846" s="31">
        <f>_xlfn.XLOOKUP(SO[[#This Row],[Customer name]], Customer_master[Customer name], Customer_master[EOM or Net], 0)</f>
        <v>0</v>
      </c>
      <c r="K846" s="31">
        <f>_xlfn.XLOOKUP(SO[[#This Row],[Customer name]], Customer_master[Customer name], Customer_master[Terms days], 0)</f>
        <v>0</v>
      </c>
      <c r="L8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6" s="4"/>
      <c r="N846" s="46">
        <f>IF(SO[[#This Row],[Collection date - override (dd/mm/yyyy)]] &lt;&gt; "", SO[[#This Row],[Collection date - override (dd/mm/yyyy)]], SO[[#This Row],[Due date (dd/mm/yyyy)]])</f>
        <v>0</v>
      </c>
      <c r="O846" s="46">
        <f t="shared" si="13"/>
        <v>52</v>
      </c>
    </row>
    <row r="847" spans="3:15" x14ac:dyDescent="0.25">
      <c r="C847" s="24"/>
      <c r="D847" s="20"/>
      <c r="E847" s="4"/>
      <c r="F847" s="37"/>
      <c r="G847" s="24"/>
      <c r="H847" s="51">
        <f>Assumptions!$D$15</f>
        <v>0.1</v>
      </c>
      <c r="I847" s="45">
        <f>IF(SO[[#This Row],[GST applies?]] = "Yes", (SO[[#This Row],[Value inc. GST]] / 1 + SO[[#This Row],[GST %]]) * SO[[#This Row],[GST %]], 0)</f>
        <v>0</v>
      </c>
      <c r="J847" s="31">
        <f>_xlfn.XLOOKUP(SO[[#This Row],[Customer name]], Customer_master[Customer name], Customer_master[EOM or Net], 0)</f>
        <v>0</v>
      </c>
      <c r="K847" s="31">
        <f>_xlfn.XLOOKUP(SO[[#This Row],[Customer name]], Customer_master[Customer name], Customer_master[Terms days], 0)</f>
        <v>0</v>
      </c>
      <c r="L8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7" s="4"/>
      <c r="N847" s="46">
        <f>IF(SO[[#This Row],[Collection date - override (dd/mm/yyyy)]] &lt;&gt; "", SO[[#This Row],[Collection date - override (dd/mm/yyyy)]], SO[[#This Row],[Due date (dd/mm/yyyy)]])</f>
        <v>0</v>
      </c>
      <c r="O847" s="46">
        <f t="shared" si="13"/>
        <v>52</v>
      </c>
    </row>
    <row r="848" spans="3:15" x14ac:dyDescent="0.25">
      <c r="C848" s="24"/>
      <c r="D848" s="20"/>
      <c r="E848" s="4"/>
      <c r="F848" s="37"/>
      <c r="G848" s="24"/>
      <c r="H848" s="51">
        <f>Assumptions!$D$15</f>
        <v>0.1</v>
      </c>
      <c r="I848" s="45">
        <f>IF(SO[[#This Row],[GST applies?]] = "Yes", (SO[[#This Row],[Value inc. GST]] / 1 + SO[[#This Row],[GST %]]) * SO[[#This Row],[GST %]], 0)</f>
        <v>0</v>
      </c>
      <c r="J848" s="31">
        <f>_xlfn.XLOOKUP(SO[[#This Row],[Customer name]], Customer_master[Customer name], Customer_master[EOM or Net], 0)</f>
        <v>0</v>
      </c>
      <c r="K848" s="31">
        <f>_xlfn.XLOOKUP(SO[[#This Row],[Customer name]], Customer_master[Customer name], Customer_master[Terms days], 0)</f>
        <v>0</v>
      </c>
      <c r="L8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8" s="4"/>
      <c r="N848" s="46">
        <f>IF(SO[[#This Row],[Collection date - override (dd/mm/yyyy)]] &lt;&gt; "", SO[[#This Row],[Collection date - override (dd/mm/yyyy)]], SO[[#This Row],[Due date (dd/mm/yyyy)]])</f>
        <v>0</v>
      </c>
      <c r="O848" s="46">
        <f t="shared" si="13"/>
        <v>52</v>
      </c>
    </row>
    <row r="849" spans="3:15" x14ac:dyDescent="0.25">
      <c r="C849" s="24"/>
      <c r="D849" s="20"/>
      <c r="E849" s="4"/>
      <c r="F849" s="37"/>
      <c r="G849" s="24"/>
      <c r="H849" s="51">
        <f>Assumptions!$D$15</f>
        <v>0.1</v>
      </c>
      <c r="I849" s="45">
        <f>IF(SO[[#This Row],[GST applies?]] = "Yes", (SO[[#This Row],[Value inc. GST]] / 1 + SO[[#This Row],[GST %]]) * SO[[#This Row],[GST %]], 0)</f>
        <v>0</v>
      </c>
      <c r="J849" s="31">
        <f>_xlfn.XLOOKUP(SO[[#This Row],[Customer name]], Customer_master[Customer name], Customer_master[EOM or Net], 0)</f>
        <v>0</v>
      </c>
      <c r="K849" s="31">
        <f>_xlfn.XLOOKUP(SO[[#This Row],[Customer name]], Customer_master[Customer name], Customer_master[Terms days], 0)</f>
        <v>0</v>
      </c>
      <c r="L8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9" s="4"/>
      <c r="N849" s="46">
        <f>IF(SO[[#This Row],[Collection date - override (dd/mm/yyyy)]] &lt;&gt; "", SO[[#This Row],[Collection date - override (dd/mm/yyyy)]], SO[[#This Row],[Due date (dd/mm/yyyy)]])</f>
        <v>0</v>
      </c>
      <c r="O849" s="46">
        <f t="shared" si="13"/>
        <v>52</v>
      </c>
    </row>
    <row r="850" spans="3:15" x14ac:dyDescent="0.25">
      <c r="C850" s="24"/>
      <c r="D850" s="20"/>
      <c r="E850" s="4"/>
      <c r="F850" s="37"/>
      <c r="G850" s="24"/>
      <c r="H850" s="51">
        <f>Assumptions!$D$15</f>
        <v>0.1</v>
      </c>
      <c r="I850" s="45">
        <f>IF(SO[[#This Row],[GST applies?]] = "Yes", (SO[[#This Row],[Value inc. GST]] / 1 + SO[[#This Row],[GST %]]) * SO[[#This Row],[GST %]], 0)</f>
        <v>0</v>
      </c>
      <c r="J850" s="31">
        <f>_xlfn.XLOOKUP(SO[[#This Row],[Customer name]], Customer_master[Customer name], Customer_master[EOM or Net], 0)</f>
        <v>0</v>
      </c>
      <c r="K850" s="31">
        <f>_xlfn.XLOOKUP(SO[[#This Row],[Customer name]], Customer_master[Customer name], Customer_master[Terms days], 0)</f>
        <v>0</v>
      </c>
      <c r="L8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0" s="4"/>
      <c r="N850" s="46">
        <f>IF(SO[[#This Row],[Collection date - override (dd/mm/yyyy)]] &lt;&gt; "", SO[[#This Row],[Collection date - override (dd/mm/yyyy)]], SO[[#This Row],[Due date (dd/mm/yyyy)]])</f>
        <v>0</v>
      </c>
      <c r="O850" s="46">
        <f t="shared" si="13"/>
        <v>52</v>
      </c>
    </row>
    <row r="851" spans="3:15" x14ac:dyDescent="0.25">
      <c r="C851" s="24"/>
      <c r="D851" s="20"/>
      <c r="E851" s="4"/>
      <c r="F851" s="37"/>
      <c r="G851" s="24"/>
      <c r="H851" s="51">
        <f>Assumptions!$D$15</f>
        <v>0.1</v>
      </c>
      <c r="I851" s="45">
        <f>IF(SO[[#This Row],[GST applies?]] = "Yes", (SO[[#This Row],[Value inc. GST]] / 1 + SO[[#This Row],[GST %]]) * SO[[#This Row],[GST %]], 0)</f>
        <v>0</v>
      </c>
      <c r="J851" s="31">
        <f>_xlfn.XLOOKUP(SO[[#This Row],[Customer name]], Customer_master[Customer name], Customer_master[EOM or Net], 0)</f>
        <v>0</v>
      </c>
      <c r="K851" s="31">
        <f>_xlfn.XLOOKUP(SO[[#This Row],[Customer name]], Customer_master[Customer name], Customer_master[Terms days], 0)</f>
        <v>0</v>
      </c>
      <c r="L8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1" s="4"/>
      <c r="N851" s="46">
        <f>IF(SO[[#This Row],[Collection date - override (dd/mm/yyyy)]] &lt;&gt; "", SO[[#This Row],[Collection date - override (dd/mm/yyyy)]], SO[[#This Row],[Due date (dd/mm/yyyy)]])</f>
        <v>0</v>
      </c>
      <c r="O851" s="46">
        <f t="shared" si="13"/>
        <v>52</v>
      </c>
    </row>
    <row r="852" spans="3:15" x14ac:dyDescent="0.25">
      <c r="C852" s="24"/>
      <c r="D852" s="20"/>
      <c r="E852" s="4"/>
      <c r="F852" s="37"/>
      <c r="G852" s="24"/>
      <c r="H852" s="51">
        <f>Assumptions!$D$15</f>
        <v>0.1</v>
      </c>
      <c r="I852" s="45">
        <f>IF(SO[[#This Row],[GST applies?]] = "Yes", (SO[[#This Row],[Value inc. GST]] / 1 + SO[[#This Row],[GST %]]) * SO[[#This Row],[GST %]], 0)</f>
        <v>0</v>
      </c>
      <c r="J852" s="31">
        <f>_xlfn.XLOOKUP(SO[[#This Row],[Customer name]], Customer_master[Customer name], Customer_master[EOM or Net], 0)</f>
        <v>0</v>
      </c>
      <c r="K852" s="31">
        <f>_xlfn.XLOOKUP(SO[[#This Row],[Customer name]], Customer_master[Customer name], Customer_master[Terms days], 0)</f>
        <v>0</v>
      </c>
      <c r="L8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2" s="4"/>
      <c r="N852" s="46">
        <f>IF(SO[[#This Row],[Collection date - override (dd/mm/yyyy)]] &lt;&gt; "", SO[[#This Row],[Collection date - override (dd/mm/yyyy)]], SO[[#This Row],[Due date (dd/mm/yyyy)]])</f>
        <v>0</v>
      </c>
      <c r="O852" s="46">
        <f t="shared" si="13"/>
        <v>52</v>
      </c>
    </row>
    <row r="853" spans="3:15" x14ac:dyDescent="0.25">
      <c r="C853" s="24"/>
      <c r="D853" s="20"/>
      <c r="E853" s="4"/>
      <c r="F853" s="37"/>
      <c r="G853" s="24"/>
      <c r="H853" s="51">
        <f>Assumptions!$D$15</f>
        <v>0.1</v>
      </c>
      <c r="I853" s="45">
        <f>IF(SO[[#This Row],[GST applies?]] = "Yes", (SO[[#This Row],[Value inc. GST]] / 1 + SO[[#This Row],[GST %]]) * SO[[#This Row],[GST %]], 0)</f>
        <v>0</v>
      </c>
      <c r="J853" s="31">
        <f>_xlfn.XLOOKUP(SO[[#This Row],[Customer name]], Customer_master[Customer name], Customer_master[EOM or Net], 0)</f>
        <v>0</v>
      </c>
      <c r="K853" s="31">
        <f>_xlfn.XLOOKUP(SO[[#This Row],[Customer name]], Customer_master[Customer name], Customer_master[Terms days], 0)</f>
        <v>0</v>
      </c>
      <c r="L8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3" s="4"/>
      <c r="N853" s="46">
        <f>IF(SO[[#This Row],[Collection date - override (dd/mm/yyyy)]] &lt;&gt; "", SO[[#This Row],[Collection date - override (dd/mm/yyyy)]], SO[[#This Row],[Due date (dd/mm/yyyy)]])</f>
        <v>0</v>
      </c>
      <c r="O853" s="46">
        <f t="shared" si="13"/>
        <v>52</v>
      </c>
    </row>
    <row r="854" spans="3:15" x14ac:dyDescent="0.25">
      <c r="C854" s="24"/>
      <c r="D854" s="20"/>
      <c r="E854" s="4"/>
      <c r="F854" s="37"/>
      <c r="G854" s="24"/>
      <c r="H854" s="51">
        <f>Assumptions!$D$15</f>
        <v>0.1</v>
      </c>
      <c r="I854" s="45">
        <f>IF(SO[[#This Row],[GST applies?]] = "Yes", (SO[[#This Row],[Value inc. GST]] / 1 + SO[[#This Row],[GST %]]) * SO[[#This Row],[GST %]], 0)</f>
        <v>0</v>
      </c>
      <c r="J854" s="31">
        <f>_xlfn.XLOOKUP(SO[[#This Row],[Customer name]], Customer_master[Customer name], Customer_master[EOM or Net], 0)</f>
        <v>0</v>
      </c>
      <c r="K854" s="31">
        <f>_xlfn.XLOOKUP(SO[[#This Row],[Customer name]], Customer_master[Customer name], Customer_master[Terms days], 0)</f>
        <v>0</v>
      </c>
      <c r="L8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4" s="4"/>
      <c r="N854" s="46">
        <f>IF(SO[[#This Row],[Collection date - override (dd/mm/yyyy)]] &lt;&gt; "", SO[[#This Row],[Collection date - override (dd/mm/yyyy)]], SO[[#This Row],[Due date (dd/mm/yyyy)]])</f>
        <v>0</v>
      </c>
      <c r="O854" s="46">
        <f t="shared" si="13"/>
        <v>52</v>
      </c>
    </row>
    <row r="855" spans="3:15" x14ac:dyDescent="0.25">
      <c r="C855" s="24"/>
      <c r="D855" s="20"/>
      <c r="E855" s="4"/>
      <c r="F855" s="37"/>
      <c r="G855" s="24"/>
      <c r="H855" s="51">
        <f>Assumptions!$D$15</f>
        <v>0.1</v>
      </c>
      <c r="I855" s="45">
        <f>IF(SO[[#This Row],[GST applies?]] = "Yes", (SO[[#This Row],[Value inc. GST]] / 1 + SO[[#This Row],[GST %]]) * SO[[#This Row],[GST %]], 0)</f>
        <v>0</v>
      </c>
      <c r="J855" s="31">
        <f>_xlfn.XLOOKUP(SO[[#This Row],[Customer name]], Customer_master[Customer name], Customer_master[EOM or Net], 0)</f>
        <v>0</v>
      </c>
      <c r="K855" s="31">
        <f>_xlfn.XLOOKUP(SO[[#This Row],[Customer name]], Customer_master[Customer name], Customer_master[Terms days], 0)</f>
        <v>0</v>
      </c>
      <c r="L8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5" s="4"/>
      <c r="N855" s="46">
        <f>IF(SO[[#This Row],[Collection date - override (dd/mm/yyyy)]] &lt;&gt; "", SO[[#This Row],[Collection date - override (dd/mm/yyyy)]], SO[[#This Row],[Due date (dd/mm/yyyy)]])</f>
        <v>0</v>
      </c>
      <c r="O855" s="46">
        <f t="shared" si="13"/>
        <v>52</v>
      </c>
    </row>
    <row r="856" spans="3:15" x14ac:dyDescent="0.25">
      <c r="C856" s="24"/>
      <c r="D856" s="20"/>
      <c r="E856" s="4"/>
      <c r="F856" s="37"/>
      <c r="G856" s="24"/>
      <c r="H856" s="51">
        <f>Assumptions!$D$15</f>
        <v>0.1</v>
      </c>
      <c r="I856" s="45">
        <f>IF(SO[[#This Row],[GST applies?]] = "Yes", (SO[[#This Row],[Value inc. GST]] / 1 + SO[[#This Row],[GST %]]) * SO[[#This Row],[GST %]], 0)</f>
        <v>0</v>
      </c>
      <c r="J856" s="31">
        <f>_xlfn.XLOOKUP(SO[[#This Row],[Customer name]], Customer_master[Customer name], Customer_master[EOM or Net], 0)</f>
        <v>0</v>
      </c>
      <c r="K856" s="31">
        <f>_xlfn.XLOOKUP(SO[[#This Row],[Customer name]], Customer_master[Customer name], Customer_master[Terms days], 0)</f>
        <v>0</v>
      </c>
      <c r="L8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6" s="4"/>
      <c r="N856" s="46">
        <f>IF(SO[[#This Row],[Collection date - override (dd/mm/yyyy)]] &lt;&gt; "", SO[[#This Row],[Collection date - override (dd/mm/yyyy)]], SO[[#This Row],[Due date (dd/mm/yyyy)]])</f>
        <v>0</v>
      </c>
      <c r="O856" s="46">
        <f t="shared" si="13"/>
        <v>52</v>
      </c>
    </row>
    <row r="857" spans="3:15" x14ac:dyDescent="0.25">
      <c r="C857" s="24"/>
      <c r="D857" s="20"/>
      <c r="E857" s="4"/>
      <c r="F857" s="37"/>
      <c r="G857" s="24"/>
      <c r="H857" s="51">
        <f>Assumptions!$D$15</f>
        <v>0.1</v>
      </c>
      <c r="I857" s="45">
        <f>IF(SO[[#This Row],[GST applies?]] = "Yes", (SO[[#This Row],[Value inc. GST]] / 1 + SO[[#This Row],[GST %]]) * SO[[#This Row],[GST %]], 0)</f>
        <v>0</v>
      </c>
      <c r="J857" s="31">
        <f>_xlfn.XLOOKUP(SO[[#This Row],[Customer name]], Customer_master[Customer name], Customer_master[EOM or Net], 0)</f>
        <v>0</v>
      </c>
      <c r="K857" s="31">
        <f>_xlfn.XLOOKUP(SO[[#This Row],[Customer name]], Customer_master[Customer name], Customer_master[Terms days], 0)</f>
        <v>0</v>
      </c>
      <c r="L8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7" s="4"/>
      <c r="N857" s="46">
        <f>IF(SO[[#This Row],[Collection date - override (dd/mm/yyyy)]] &lt;&gt; "", SO[[#This Row],[Collection date - override (dd/mm/yyyy)]], SO[[#This Row],[Due date (dd/mm/yyyy)]])</f>
        <v>0</v>
      </c>
      <c r="O857" s="46">
        <f t="shared" si="13"/>
        <v>52</v>
      </c>
    </row>
    <row r="858" spans="3:15" x14ac:dyDescent="0.25">
      <c r="C858" s="24"/>
      <c r="D858" s="20"/>
      <c r="E858" s="4"/>
      <c r="F858" s="37"/>
      <c r="G858" s="24"/>
      <c r="H858" s="51">
        <f>Assumptions!$D$15</f>
        <v>0.1</v>
      </c>
      <c r="I858" s="45">
        <f>IF(SO[[#This Row],[GST applies?]] = "Yes", (SO[[#This Row],[Value inc. GST]] / 1 + SO[[#This Row],[GST %]]) * SO[[#This Row],[GST %]], 0)</f>
        <v>0</v>
      </c>
      <c r="J858" s="31">
        <f>_xlfn.XLOOKUP(SO[[#This Row],[Customer name]], Customer_master[Customer name], Customer_master[EOM or Net], 0)</f>
        <v>0</v>
      </c>
      <c r="K858" s="31">
        <f>_xlfn.XLOOKUP(SO[[#This Row],[Customer name]], Customer_master[Customer name], Customer_master[Terms days], 0)</f>
        <v>0</v>
      </c>
      <c r="L8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8" s="4"/>
      <c r="N858" s="46">
        <f>IF(SO[[#This Row],[Collection date - override (dd/mm/yyyy)]] &lt;&gt; "", SO[[#This Row],[Collection date - override (dd/mm/yyyy)]], SO[[#This Row],[Due date (dd/mm/yyyy)]])</f>
        <v>0</v>
      </c>
      <c r="O858" s="46">
        <f t="shared" si="13"/>
        <v>52</v>
      </c>
    </row>
    <row r="859" spans="3:15" x14ac:dyDescent="0.25">
      <c r="C859" s="24"/>
      <c r="D859" s="20"/>
      <c r="E859" s="4"/>
      <c r="F859" s="37"/>
      <c r="G859" s="24"/>
      <c r="H859" s="51">
        <f>Assumptions!$D$15</f>
        <v>0.1</v>
      </c>
      <c r="I859" s="45">
        <f>IF(SO[[#This Row],[GST applies?]] = "Yes", (SO[[#This Row],[Value inc. GST]] / 1 + SO[[#This Row],[GST %]]) * SO[[#This Row],[GST %]], 0)</f>
        <v>0</v>
      </c>
      <c r="J859" s="31">
        <f>_xlfn.XLOOKUP(SO[[#This Row],[Customer name]], Customer_master[Customer name], Customer_master[EOM or Net], 0)</f>
        <v>0</v>
      </c>
      <c r="K859" s="31">
        <f>_xlfn.XLOOKUP(SO[[#This Row],[Customer name]], Customer_master[Customer name], Customer_master[Terms days], 0)</f>
        <v>0</v>
      </c>
      <c r="L8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9" s="4"/>
      <c r="N859" s="46">
        <f>IF(SO[[#This Row],[Collection date - override (dd/mm/yyyy)]] &lt;&gt; "", SO[[#This Row],[Collection date - override (dd/mm/yyyy)]], SO[[#This Row],[Due date (dd/mm/yyyy)]])</f>
        <v>0</v>
      </c>
      <c r="O859" s="46">
        <f t="shared" si="13"/>
        <v>52</v>
      </c>
    </row>
    <row r="860" spans="3:15" x14ac:dyDescent="0.25">
      <c r="C860" s="24"/>
      <c r="D860" s="20"/>
      <c r="E860" s="4"/>
      <c r="F860" s="37"/>
      <c r="G860" s="24"/>
      <c r="H860" s="51">
        <f>Assumptions!$D$15</f>
        <v>0.1</v>
      </c>
      <c r="I860" s="45">
        <f>IF(SO[[#This Row],[GST applies?]] = "Yes", (SO[[#This Row],[Value inc. GST]] / 1 + SO[[#This Row],[GST %]]) * SO[[#This Row],[GST %]], 0)</f>
        <v>0</v>
      </c>
      <c r="J860" s="31">
        <f>_xlfn.XLOOKUP(SO[[#This Row],[Customer name]], Customer_master[Customer name], Customer_master[EOM or Net], 0)</f>
        <v>0</v>
      </c>
      <c r="K860" s="31">
        <f>_xlfn.XLOOKUP(SO[[#This Row],[Customer name]], Customer_master[Customer name], Customer_master[Terms days], 0)</f>
        <v>0</v>
      </c>
      <c r="L8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0" s="4"/>
      <c r="N860" s="46">
        <f>IF(SO[[#This Row],[Collection date - override (dd/mm/yyyy)]] &lt;&gt; "", SO[[#This Row],[Collection date - override (dd/mm/yyyy)]], SO[[#This Row],[Due date (dd/mm/yyyy)]])</f>
        <v>0</v>
      </c>
      <c r="O860" s="46">
        <f t="shared" si="13"/>
        <v>52</v>
      </c>
    </row>
    <row r="861" spans="3:15" x14ac:dyDescent="0.25">
      <c r="C861" s="24"/>
      <c r="D861" s="20"/>
      <c r="E861" s="4"/>
      <c r="F861" s="37"/>
      <c r="G861" s="24"/>
      <c r="H861" s="51">
        <f>Assumptions!$D$15</f>
        <v>0.1</v>
      </c>
      <c r="I861" s="45">
        <f>IF(SO[[#This Row],[GST applies?]] = "Yes", (SO[[#This Row],[Value inc. GST]] / 1 + SO[[#This Row],[GST %]]) * SO[[#This Row],[GST %]], 0)</f>
        <v>0</v>
      </c>
      <c r="J861" s="31">
        <f>_xlfn.XLOOKUP(SO[[#This Row],[Customer name]], Customer_master[Customer name], Customer_master[EOM or Net], 0)</f>
        <v>0</v>
      </c>
      <c r="K861" s="31">
        <f>_xlfn.XLOOKUP(SO[[#This Row],[Customer name]], Customer_master[Customer name], Customer_master[Terms days], 0)</f>
        <v>0</v>
      </c>
      <c r="L8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1" s="4"/>
      <c r="N861" s="46">
        <f>IF(SO[[#This Row],[Collection date - override (dd/mm/yyyy)]] &lt;&gt; "", SO[[#This Row],[Collection date - override (dd/mm/yyyy)]], SO[[#This Row],[Due date (dd/mm/yyyy)]])</f>
        <v>0</v>
      </c>
      <c r="O861" s="46">
        <f t="shared" si="13"/>
        <v>52</v>
      </c>
    </row>
    <row r="862" spans="3:15" x14ac:dyDescent="0.25">
      <c r="C862" s="24"/>
      <c r="D862" s="20"/>
      <c r="E862" s="4"/>
      <c r="F862" s="37"/>
      <c r="G862" s="24"/>
      <c r="H862" s="51">
        <f>Assumptions!$D$15</f>
        <v>0.1</v>
      </c>
      <c r="I862" s="45">
        <f>IF(SO[[#This Row],[GST applies?]] = "Yes", (SO[[#This Row],[Value inc. GST]] / 1 + SO[[#This Row],[GST %]]) * SO[[#This Row],[GST %]], 0)</f>
        <v>0</v>
      </c>
      <c r="J862" s="31">
        <f>_xlfn.XLOOKUP(SO[[#This Row],[Customer name]], Customer_master[Customer name], Customer_master[EOM or Net], 0)</f>
        <v>0</v>
      </c>
      <c r="K862" s="31">
        <f>_xlfn.XLOOKUP(SO[[#This Row],[Customer name]], Customer_master[Customer name], Customer_master[Terms days], 0)</f>
        <v>0</v>
      </c>
      <c r="L8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2" s="4"/>
      <c r="N862" s="46">
        <f>IF(SO[[#This Row],[Collection date - override (dd/mm/yyyy)]] &lt;&gt; "", SO[[#This Row],[Collection date - override (dd/mm/yyyy)]], SO[[#This Row],[Due date (dd/mm/yyyy)]])</f>
        <v>0</v>
      </c>
      <c r="O862" s="46">
        <f t="shared" si="13"/>
        <v>52</v>
      </c>
    </row>
    <row r="863" spans="3:15" x14ac:dyDescent="0.25">
      <c r="C863" s="24"/>
      <c r="D863" s="20"/>
      <c r="E863" s="4"/>
      <c r="F863" s="37"/>
      <c r="G863" s="24"/>
      <c r="H863" s="51">
        <f>Assumptions!$D$15</f>
        <v>0.1</v>
      </c>
      <c r="I863" s="45">
        <f>IF(SO[[#This Row],[GST applies?]] = "Yes", (SO[[#This Row],[Value inc. GST]] / 1 + SO[[#This Row],[GST %]]) * SO[[#This Row],[GST %]], 0)</f>
        <v>0</v>
      </c>
      <c r="J863" s="31">
        <f>_xlfn.XLOOKUP(SO[[#This Row],[Customer name]], Customer_master[Customer name], Customer_master[EOM or Net], 0)</f>
        <v>0</v>
      </c>
      <c r="K863" s="31">
        <f>_xlfn.XLOOKUP(SO[[#This Row],[Customer name]], Customer_master[Customer name], Customer_master[Terms days], 0)</f>
        <v>0</v>
      </c>
      <c r="L8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3" s="4"/>
      <c r="N863" s="46">
        <f>IF(SO[[#This Row],[Collection date - override (dd/mm/yyyy)]] &lt;&gt; "", SO[[#This Row],[Collection date - override (dd/mm/yyyy)]], SO[[#This Row],[Due date (dd/mm/yyyy)]])</f>
        <v>0</v>
      </c>
      <c r="O863" s="46">
        <f t="shared" si="13"/>
        <v>52</v>
      </c>
    </row>
    <row r="864" spans="3:15" x14ac:dyDescent="0.25">
      <c r="C864" s="24"/>
      <c r="D864" s="20"/>
      <c r="E864" s="4"/>
      <c r="F864" s="37"/>
      <c r="G864" s="24"/>
      <c r="H864" s="51">
        <f>Assumptions!$D$15</f>
        <v>0.1</v>
      </c>
      <c r="I864" s="45">
        <f>IF(SO[[#This Row],[GST applies?]] = "Yes", (SO[[#This Row],[Value inc. GST]] / 1 + SO[[#This Row],[GST %]]) * SO[[#This Row],[GST %]], 0)</f>
        <v>0</v>
      </c>
      <c r="J864" s="31">
        <f>_xlfn.XLOOKUP(SO[[#This Row],[Customer name]], Customer_master[Customer name], Customer_master[EOM or Net], 0)</f>
        <v>0</v>
      </c>
      <c r="K864" s="31">
        <f>_xlfn.XLOOKUP(SO[[#This Row],[Customer name]], Customer_master[Customer name], Customer_master[Terms days], 0)</f>
        <v>0</v>
      </c>
      <c r="L8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4" s="4"/>
      <c r="N864" s="46">
        <f>IF(SO[[#This Row],[Collection date - override (dd/mm/yyyy)]] &lt;&gt; "", SO[[#This Row],[Collection date - override (dd/mm/yyyy)]], SO[[#This Row],[Due date (dd/mm/yyyy)]])</f>
        <v>0</v>
      </c>
      <c r="O864" s="46">
        <f t="shared" si="13"/>
        <v>52</v>
      </c>
    </row>
    <row r="865" spans="3:15" x14ac:dyDescent="0.25">
      <c r="C865" s="24"/>
      <c r="D865" s="20"/>
      <c r="E865" s="4"/>
      <c r="F865" s="37"/>
      <c r="G865" s="24"/>
      <c r="H865" s="51">
        <f>Assumptions!$D$15</f>
        <v>0.1</v>
      </c>
      <c r="I865" s="45">
        <f>IF(SO[[#This Row],[GST applies?]] = "Yes", (SO[[#This Row],[Value inc. GST]] / 1 + SO[[#This Row],[GST %]]) * SO[[#This Row],[GST %]], 0)</f>
        <v>0</v>
      </c>
      <c r="J865" s="31">
        <f>_xlfn.XLOOKUP(SO[[#This Row],[Customer name]], Customer_master[Customer name], Customer_master[EOM or Net], 0)</f>
        <v>0</v>
      </c>
      <c r="K865" s="31">
        <f>_xlfn.XLOOKUP(SO[[#This Row],[Customer name]], Customer_master[Customer name], Customer_master[Terms days], 0)</f>
        <v>0</v>
      </c>
      <c r="L8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5" s="4"/>
      <c r="N865" s="46">
        <f>IF(SO[[#This Row],[Collection date - override (dd/mm/yyyy)]] &lt;&gt; "", SO[[#This Row],[Collection date - override (dd/mm/yyyy)]], SO[[#This Row],[Due date (dd/mm/yyyy)]])</f>
        <v>0</v>
      </c>
      <c r="O865" s="46">
        <f t="shared" si="13"/>
        <v>52</v>
      </c>
    </row>
    <row r="866" spans="3:15" x14ac:dyDescent="0.25">
      <c r="C866" s="24"/>
      <c r="D866" s="20"/>
      <c r="E866" s="4"/>
      <c r="F866" s="37"/>
      <c r="G866" s="24"/>
      <c r="H866" s="51">
        <f>Assumptions!$D$15</f>
        <v>0.1</v>
      </c>
      <c r="I866" s="45">
        <f>IF(SO[[#This Row],[GST applies?]] = "Yes", (SO[[#This Row],[Value inc. GST]] / 1 + SO[[#This Row],[GST %]]) * SO[[#This Row],[GST %]], 0)</f>
        <v>0</v>
      </c>
      <c r="J866" s="31">
        <f>_xlfn.XLOOKUP(SO[[#This Row],[Customer name]], Customer_master[Customer name], Customer_master[EOM or Net], 0)</f>
        <v>0</v>
      </c>
      <c r="K866" s="31">
        <f>_xlfn.XLOOKUP(SO[[#This Row],[Customer name]], Customer_master[Customer name], Customer_master[Terms days], 0)</f>
        <v>0</v>
      </c>
      <c r="L8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6" s="4"/>
      <c r="N866" s="46">
        <f>IF(SO[[#This Row],[Collection date - override (dd/mm/yyyy)]] &lt;&gt; "", SO[[#This Row],[Collection date - override (dd/mm/yyyy)]], SO[[#This Row],[Due date (dd/mm/yyyy)]])</f>
        <v>0</v>
      </c>
      <c r="O866" s="46">
        <f t="shared" si="13"/>
        <v>52</v>
      </c>
    </row>
    <row r="867" spans="3:15" x14ac:dyDescent="0.25">
      <c r="C867" s="24"/>
      <c r="D867" s="20"/>
      <c r="E867" s="4"/>
      <c r="F867" s="37"/>
      <c r="G867" s="24"/>
      <c r="H867" s="51">
        <f>Assumptions!$D$15</f>
        <v>0.1</v>
      </c>
      <c r="I867" s="45">
        <f>IF(SO[[#This Row],[GST applies?]] = "Yes", (SO[[#This Row],[Value inc. GST]] / 1 + SO[[#This Row],[GST %]]) * SO[[#This Row],[GST %]], 0)</f>
        <v>0</v>
      </c>
      <c r="J867" s="31">
        <f>_xlfn.XLOOKUP(SO[[#This Row],[Customer name]], Customer_master[Customer name], Customer_master[EOM or Net], 0)</f>
        <v>0</v>
      </c>
      <c r="K867" s="31">
        <f>_xlfn.XLOOKUP(SO[[#This Row],[Customer name]], Customer_master[Customer name], Customer_master[Terms days], 0)</f>
        <v>0</v>
      </c>
      <c r="L8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7" s="4"/>
      <c r="N867" s="46">
        <f>IF(SO[[#This Row],[Collection date - override (dd/mm/yyyy)]] &lt;&gt; "", SO[[#This Row],[Collection date - override (dd/mm/yyyy)]], SO[[#This Row],[Due date (dd/mm/yyyy)]])</f>
        <v>0</v>
      </c>
      <c r="O867" s="46">
        <f t="shared" si="13"/>
        <v>52</v>
      </c>
    </row>
    <row r="868" spans="3:15" x14ac:dyDescent="0.25">
      <c r="C868" s="24"/>
      <c r="D868" s="20"/>
      <c r="E868" s="4"/>
      <c r="F868" s="37"/>
      <c r="G868" s="24"/>
      <c r="H868" s="51">
        <f>Assumptions!$D$15</f>
        <v>0.1</v>
      </c>
      <c r="I868" s="45">
        <f>IF(SO[[#This Row],[GST applies?]] = "Yes", (SO[[#This Row],[Value inc. GST]] / 1 + SO[[#This Row],[GST %]]) * SO[[#This Row],[GST %]], 0)</f>
        <v>0</v>
      </c>
      <c r="J868" s="31">
        <f>_xlfn.XLOOKUP(SO[[#This Row],[Customer name]], Customer_master[Customer name], Customer_master[EOM or Net], 0)</f>
        <v>0</v>
      </c>
      <c r="K868" s="31">
        <f>_xlfn.XLOOKUP(SO[[#This Row],[Customer name]], Customer_master[Customer name], Customer_master[Terms days], 0)</f>
        <v>0</v>
      </c>
      <c r="L8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8" s="4"/>
      <c r="N868" s="46">
        <f>IF(SO[[#This Row],[Collection date - override (dd/mm/yyyy)]] &lt;&gt; "", SO[[#This Row],[Collection date - override (dd/mm/yyyy)]], SO[[#This Row],[Due date (dd/mm/yyyy)]])</f>
        <v>0</v>
      </c>
      <c r="O868" s="46">
        <f t="shared" si="13"/>
        <v>52</v>
      </c>
    </row>
    <row r="869" spans="3:15" x14ac:dyDescent="0.25">
      <c r="C869" s="24"/>
      <c r="D869" s="20"/>
      <c r="E869" s="4"/>
      <c r="F869" s="37"/>
      <c r="G869" s="24"/>
      <c r="H869" s="51">
        <f>Assumptions!$D$15</f>
        <v>0.1</v>
      </c>
      <c r="I869" s="45">
        <f>IF(SO[[#This Row],[GST applies?]] = "Yes", (SO[[#This Row],[Value inc. GST]] / 1 + SO[[#This Row],[GST %]]) * SO[[#This Row],[GST %]], 0)</f>
        <v>0</v>
      </c>
      <c r="J869" s="31">
        <f>_xlfn.XLOOKUP(SO[[#This Row],[Customer name]], Customer_master[Customer name], Customer_master[EOM or Net], 0)</f>
        <v>0</v>
      </c>
      <c r="K869" s="31">
        <f>_xlfn.XLOOKUP(SO[[#This Row],[Customer name]], Customer_master[Customer name], Customer_master[Terms days], 0)</f>
        <v>0</v>
      </c>
      <c r="L8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9" s="4"/>
      <c r="N869" s="46">
        <f>IF(SO[[#This Row],[Collection date - override (dd/mm/yyyy)]] &lt;&gt; "", SO[[#This Row],[Collection date - override (dd/mm/yyyy)]], SO[[#This Row],[Due date (dd/mm/yyyy)]])</f>
        <v>0</v>
      </c>
      <c r="O869" s="46">
        <f t="shared" si="13"/>
        <v>52</v>
      </c>
    </row>
    <row r="870" spans="3:15" x14ac:dyDescent="0.25">
      <c r="C870" s="24"/>
      <c r="D870" s="20"/>
      <c r="E870" s="4"/>
      <c r="F870" s="37"/>
      <c r="G870" s="24"/>
      <c r="H870" s="51">
        <f>Assumptions!$D$15</f>
        <v>0.1</v>
      </c>
      <c r="I870" s="45">
        <f>IF(SO[[#This Row],[GST applies?]] = "Yes", (SO[[#This Row],[Value inc. GST]] / 1 + SO[[#This Row],[GST %]]) * SO[[#This Row],[GST %]], 0)</f>
        <v>0</v>
      </c>
      <c r="J870" s="31">
        <f>_xlfn.XLOOKUP(SO[[#This Row],[Customer name]], Customer_master[Customer name], Customer_master[EOM or Net], 0)</f>
        <v>0</v>
      </c>
      <c r="K870" s="31">
        <f>_xlfn.XLOOKUP(SO[[#This Row],[Customer name]], Customer_master[Customer name], Customer_master[Terms days], 0)</f>
        <v>0</v>
      </c>
      <c r="L8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0" s="4"/>
      <c r="N870" s="46">
        <f>IF(SO[[#This Row],[Collection date - override (dd/mm/yyyy)]] &lt;&gt; "", SO[[#This Row],[Collection date - override (dd/mm/yyyy)]], SO[[#This Row],[Due date (dd/mm/yyyy)]])</f>
        <v>0</v>
      </c>
      <c r="O870" s="46">
        <f t="shared" si="13"/>
        <v>52</v>
      </c>
    </row>
    <row r="871" spans="3:15" x14ac:dyDescent="0.25">
      <c r="C871" s="24"/>
      <c r="D871" s="20"/>
      <c r="E871" s="4"/>
      <c r="F871" s="37"/>
      <c r="G871" s="24"/>
      <c r="H871" s="51">
        <f>Assumptions!$D$15</f>
        <v>0.1</v>
      </c>
      <c r="I871" s="45">
        <f>IF(SO[[#This Row],[GST applies?]] = "Yes", (SO[[#This Row],[Value inc. GST]] / 1 + SO[[#This Row],[GST %]]) * SO[[#This Row],[GST %]], 0)</f>
        <v>0</v>
      </c>
      <c r="J871" s="31">
        <f>_xlfn.XLOOKUP(SO[[#This Row],[Customer name]], Customer_master[Customer name], Customer_master[EOM or Net], 0)</f>
        <v>0</v>
      </c>
      <c r="K871" s="31">
        <f>_xlfn.XLOOKUP(SO[[#This Row],[Customer name]], Customer_master[Customer name], Customer_master[Terms days], 0)</f>
        <v>0</v>
      </c>
      <c r="L8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1" s="4"/>
      <c r="N871" s="46">
        <f>IF(SO[[#This Row],[Collection date - override (dd/mm/yyyy)]] &lt;&gt; "", SO[[#This Row],[Collection date - override (dd/mm/yyyy)]], SO[[#This Row],[Due date (dd/mm/yyyy)]])</f>
        <v>0</v>
      </c>
      <c r="O871" s="46">
        <f t="shared" si="13"/>
        <v>52</v>
      </c>
    </row>
    <row r="872" spans="3:15" x14ac:dyDescent="0.25">
      <c r="C872" s="24"/>
      <c r="D872" s="20"/>
      <c r="E872" s="4"/>
      <c r="F872" s="37"/>
      <c r="G872" s="24"/>
      <c r="H872" s="51">
        <f>Assumptions!$D$15</f>
        <v>0.1</v>
      </c>
      <c r="I872" s="45">
        <f>IF(SO[[#This Row],[GST applies?]] = "Yes", (SO[[#This Row],[Value inc. GST]] / 1 + SO[[#This Row],[GST %]]) * SO[[#This Row],[GST %]], 0)</f>
        <v>0</v>
      </c>
      <c r="J872" s="31">
        <f>_xlfn.XLOOKUP(SO[[#This Row],[Customer name]], Customer_master[Customer name], Customer_master[EOM or Net], 0)</f>
        <v>0</v>
      </c>
      <c r="K872" s="31">
        <f>_xlfn.XLOOKUP(SO[[#This Row],[Customer name]], Customer_master[Customer name], Customer_master[Terms days], 0)</f>
        <v>0</v>
      </c>
      <c r="L8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2" s="4"/>
      <c r="N872" s="46">
        <f>IF(SO[[#This Row],[Collection date - override (dd/mm/yyyy)]] &lt;&gt; "", SO[[#This Row],[Collection date - override (dd/mm/yyyy)]], SO[[#This Row],[Due date (dd/mm/yyyy)]])</f>
        <v>0</v>
      </c>
      <c r="O872" s="46">
        <f t="shared" si="13"/>
        <v>52</v>
      </c>
    </row>
    <row r="873" spans="3:15" x14ac:dyDescent="0.25">
      <c r="C873" s="24"/>
      <c r="D873" s="20"/>
      <c r="E873" s="4"/>
      <c r="F873" s="37"/>
      <c r="G873" s="24"/>
      <c r="H873" s="51">
        <f>Assumptions!$D$15</f>
        <v>0.1</v>
      </c>
      <c r="I873" s="45">
        <f>IF(SO[[#This Row],[GST applies?]] = "Yes", (SO[[#This Row],[Value inc. GST]] / 1 + SO[[#This Row],[GST %]]) * SO[[#This Row],[GST %]], 0)</f>
        <v>0</v>
      </c>
      <c r="J873" s="31">
        <f>_xlfn.XLOOKUP(SO[[#This Row],[Customer name]], Customer_master[Customer name], Customer_master[EOM or Net], 0)</f>
        <v>0</v>
      </c>
      <c r="K873" s="31">
        <f>_xlfn.XLOOKUP(SO[[#This Row],[Customer name]], Customer_master[Customer name], Customer_master[Terms days], 0)</f>
        <v>0</v>
      </c>
      <c r="L8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3" s="4"/>
      <c r="N873" s="46">
        <f>IF(SO[[#This Row],[Collection date - override (dd/mm/yyyy)]] &lt;&gt; "", SO[[#This Row],[Collection date - override (dd/mm/yyyy)]], SO[[#This Row],[Due date (dd/mm/yyyy)]])</f>
        <v>0</v>
      </c>
      <c r="O873" s="46">
        <f t="shared" si="13"/>
        <v>52</v>
      </c>
    </row>
    <row r="874" spans="3:15" x14ac:dyDescent="0.25">
      <c r="C874" s="24"/>
      <c r="D874" s="20"/>
      <c r="E874" s="4"/>
      <c r="F874" s="37"/>
      <c r="G874" s="24"/>
      <c r="H874" s="51">
        <f>Assumptions!$D$15</f>
        <v>0.1</v>
      </c>
      <c r="I874" s="45">
        <f>IF(SO[[#This Row],[GST applies?]] = "Yes", (SO[[#This Row],[Value inc. GST]] / 1 + SO[[#This Row],[GST %]]) * SO[[#This Row],[GST %]], 0)</f>
        <v>0</v>
      </c>
      <c r="J874" s="31">
        <f>_xlfn.XLOOKUP(SO[[#This Row],[Customer name]], Customer_master[Customer name], Customer_master[EOM or Net], 0)</f>
        <v>0</v>
      </c>
      <c r="K874" s="31">
        <f>_xlfn.XLOOKUP(SO[[#This Row],[Customer name]], Customer_master[Customer name], Customer_master[Terms days], 0)</f>
        <v>0</v>
      </c>
      <c r="L8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4" s="4"/>
      <c r="N874" s="46">
        <f>IF(SO[[#This Row],[Collection date - override (dd/mm/yyyy)]] &lt;&gt; "", SO[[#This Row],[Collection date - override (dd/mm/yyyy)]], SO[[#This Row],[Due date (dd/mm/yyyy)]])</f>
        <v>0</v>
      </c>
      <c r="O874" s="46">
        <f t="shared" si="13"/>
        <v>52</v>
      </c>
    </row>
    <row r="875" spans="3:15" x14ac:dyDescent="0.25">
      <c r="C875" s="24"/>
      <c r="D875" s="20"/>
      <c r="E875" s="4"/>
      <c r="F875" s="37"/>
      <c r="G875" s="24"/>
      <c r="H875" s="51">
        <f>Assumptions!$D$15</f>
        <v>0.1</v>
      </c>
      <c r="I875" s="45">
        <f>IF(SO[[#This Row],[GST applies?]] = "Yes", (SO[[#This Row],[Value inc. GST]] / 1 + SO[[#This Row],[GST %]]) * SO[[#This Row],[GST %]], 0)</f>
        <v>0</v>
      </c>
      <c r="J875" s="31">
        <f>_xlfn.XLOOKUP(SO[[#This Row],[Customer name]], Customer_master[Customer name], Customer_master[EOM or Net], 0)</f>
        <v>0</v>
      </c>
      <c r="K875" s="31">
        <f>_xlfn.XLOOKUP(SO[[#This Row],[Customer name]], Customer_master[Customer name], Customer_master[Terms days], 0)</f>
        <v>0</v>
      </c>
      <c r="L8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5" s="4"/>
      <c r="N875" s="46">
        <f>IF(SO[[#This Row],[Collection date - override (dd/mm/yyyy)]] &lt;&gt; "", SO[[#This Row],[Collection date - override (dd/mm/yyyy)]], SO[[#This Row],[Due date (dd/mm/yyyy)]])</f>
        <v>0</v>
      </c>
      <c r="O875" s="46">
        <f t="shared" si="13"/>
        <v>52</v>
      </c>
    </row>
    <row r="876" spans="3:15" x14ac:dyDescent="0.25">
      <c r="C876" s="24"/>
      <c r="D876" s="20"/>
      <c r="E876" s="4"/>
      <c r="F876" s="37"/>
      <c r="G876" s="24"/>
      <c r="H876" s="51">
        <f>Assumptions!$D$15</f>
        <v>0.1</v>
      </c>
      <c r="I876" s="45">
        <f>IF(SO[[#This Row],[GST applies?]] = "Yes", (SO[[#This Row],[Value inc. GST]] / 1 + SO[[#This Row],[GST %]]) * SO[[#This Row],[GST %]], 0)</f>
        <v>0</v>
      </c>
      <c r="J876" s="31">
        <f>_xlfn.XLOOKUP(SO[[#This Row],[Customer name]], Customer_master[Customer name], Customer_master[EOM or Net], 0)</f>
        <v>0</v>
      </c>
      <c r="K876" s="31">
        <f>_xlfn.XLOOKUP(SO[[#This Row],[Customer name]], Customer_master[Customer name], Customer_master[Terms days], 0)</f>
        <v>0</v>
      </c>
      <c r="L8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6" s="4"/>
      <c r="N876" s="46">
        <f>IF(SO[[#This Row],[Collection date - override (dd/mm/yyyy)]] &lt;&gt; "", SO[[#This Row],[Collection date - override (dd/mm/yyyy)]], SO[[#This Row],[Due date (dd/mm/yyyy)]])</f>
        <v>0</v>
      </c>
      <c r="O876" s="46">
        <f t="shared" si="13"/>
        <v>52</v>
      </c>
    </row>
    <row r="877" spans="3:15" x14ac:dyDescent="0.25">
      <c r="C877" s="24"/>
      <c r="D877" s="20"/>
      <c r="E877" s="4"/>
      <c r="F877" s="37"/>
      <c r="G877" s="24"/>
      <c r="H877" s="51">
        <f>Assumptions!$D$15</f>
        <v>0.1</v>
      </c>
      <c r="I877" s="45">
        <f>IF(SO[[#This Row],[GST applies?]] = "Yes", (SO[[#This Row],[Value inc. GST]] / 1 + SO[[#This Row],[GST %]]) * SO[[#This Row],[GST %]], 0)</f>
        <v>0</v>
      </c>
      <c r="J877" s="31">
        <f>_xlfn.XLOOKUP(SO[[#This Row],[Customer name]], Customer_master[Customer name], Customer_master[EOM or Net], 0)</f>
        <v>0</v>
      </c>
      <c r="K877" s="31">
        <f>_xlfn.XLOOKUP(SO[[#This Row],[Customer name]], Customer_master[Customer name], Customer_master[Terms days], 0)</f>
        <v>0</v>
      </c>
      <c r="L8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7" s="4"/>
      <c r="N877" s="46">
        <f>IF(SO[[#This Row],[Collection date - override (dd/mm/yyyy)]] &lt;&gt; "", SO[[#This Row],[Collection date - override (dd/mm/yyyy)]], SO[[#This Row],[Due date (dd/mm/yyyy)]])</f>
        <v>0</v>
      </c>
      <c r="O877" s="46">
        <f t="shared" si="13"/>
        <v>52</v>
      </c>
    </row>
    <row r="878" spans="3:15" x14ac:dyDescent="0.25">
      <c r="C878" s="24"/>
      <c r="D878" s="20"/>
      <c r="E878" s="4"/>
      <c r="F878" s="37"/>
      <c r="G878" s="24"/>
      <c r="H878" s="51">
        <f>Assumptions!$D$15</f>
        <v>0.1</v>
      </c>
      <c r="I878" s="45">
        <f>IF(SO[[#This Row],[GST applies?]] = "Yes", (SO[[#This Row],[Value inc. GST]] / 1 + SO[[#This Row],[GST %]]) * SO[[#This Row],[GST %]], 0)</f>
        <v>0</v>
      </c>
      <c r="J878" s="31">
        <f>_xlfn.XLOOKUP(SO[[#This Row],[Customer name]], Customer_master[Customer name], Customer_master[EOM or Net], 0)</f>
        <v>0</v>
      </c>
      <c r="K878" s="31">
        <f>_xlfn.XLOOKUP(SO[[#This Row],[Customer name]], Customer_master[Customer name], Customer_master[Terms days], 0)</f>
        <v>0</v>
      </c>
      <c r="L8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8" s="4"/>
      <c r="N878" s="46">
        <f>IF(SO[[#This Row],[Collection date - override (dd/mm/yyyy)]] &lt;&gt; "", SO[[#This Row],[Collection date - override (dd/mm/yyyy)]], SO[[#This Row],[Due date (dd/mm/yyyy)]])</f>
        <v>0</v>
      </c>
      <c r="O878" s="46">
        <f t="shared" si="13"/>
        <v>52</v>
      </c>
    </row>
    <row r="879" spans="3:15" x14ac:dyDescent="0.25">
      <c r="C879" s="24"/>
      <c r="D879" s="20"/>
      <c r="E879" s="4"/>
      <c r="F879" s="37"/>
      <c r="G879" s="24"/>
      <c r="H879" s="51">
        <f>Assumptions!$D$15</f>
        <v>0.1</v>
      </c>
      <c r="I879" s="45">
        <f>IF(SO[[#This Row],[GST applies?]] = "Yes", (SO[[#This Row],[Value inc. GST]] / 1 + SO[[#This Row],[GST %]]) * SO[[#This Row],[GST %]], 0)</f>
        <v>0</v>
      </c>
      <c r="J879" s="31">
        <f>_xlfn.XLOOKUP(SO[[#This Row],[Customer name]], Customer_master[Customer name], Customer_master[EOM or Net], 0)</f>
        <v>0</v>
      </c>
      <c r="K879" s="31">
        <f>_xlfn.XLOOKUP(SO[[#This Row],[Customer name]], Customer_master[Customer name], Customer_master[Terms days], 0)</f>
        <v>0</v>
      </c>
      <c r="L8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9" s="4"/>
      <c r="N879" s="46">
        <f>IF(SO[[#This Row],[Collection date - override (dd/mm/yyyy)]] &lt;&gt; "", SO[[#This Row],[Collection date - override (dd/mm/yyyy)]], SO[[#This Row],[Due date (dd/mm/yyyy)]])</f>
        <v>0</v>
      </c>
      <c r="O879" s="46">
        <f t="shared" si="13"/>
        <v>52</v>
      </c>
    </row>
    <row r="880" spans="3:15" x14ac:dyDescent="0.25">
      <c r="C880" s="24"/>
      <c r="D880" s="20"/>
      <c r="E880" s="4"/>
      <c r="F880" s="37"/>
      <c r="G880" s="24"/>
      <c r="H880" s="51">
        <f>Assumptions!$D$15</f>
        <v>0.1</v>
      </c>
      <c r="I880" s="45">
        <f>IF(SO[[#This Row],[GST applies?]] = "Yes", (SO[[#This Row],[Value inc. GST]] / 1 + SO[[#This Row],[GST %]]) * SO[[#This Row],[GST %]], 0)</f>
        <v>0</v>
      </c>
      <c r="J880" s="31">
        <f>_xlfn.XLOOKUP(SO[[#This Row],[Customer name]], Customer_master[Customer name], Customer_master[EOM or Net], 0)</f>
        <v>0</v>
      </c>
      <c r="K880" s="31">
        <f>_xlfn.XLOOKUP(SO[[#This Row],[Customer name]], Customer_master[Customer name], Customer_master[Terms days], 0)</f>
        <v>0</v>
      </c>
      <c r="L8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0" s="4"/>
      <c r="N880" s="46">
        <f>IF(SO[[#This Row],[Collection date - override (dd/mm/yyyy)]] &lt;&gt; "", SO[[#This Row],[Collection date - override (dd/mm/yyyy)]], SO[[#This Row],[Due date (dd/mm/yyyy)]])</f>
        <v>0</v>
      </c>
      <c r="O880" s="46">
        <f t="shared" si="13"/>
        <v>52</v>
      </c>
    </row>
    <row r="881" spans="3:15" x14ac:dyDescent="0.25">
      <c r="C881" s="24"/>
      <c r="D881" s="20"/>
      <c r="E881" s="4"/>
      <c r="F881" s="37"/>
      <c r="G881" s="24"/>
      <c r="H881" s="51">
        <f>Assumptions!$D$15</f>
        <v>0.1</v>
      </c>
      <c r="I881" s="45">
        <f>IF(SO[[#This Row],[GST applies?]] = "Yes", (SO[[#This Row],[Value inc. GST]] / 1 + SO[[#This Row],[GST %]]) * SO[[#This Row],[GST %]], 0)</f>
        <v>0</v>
      </c>
      <c r="J881" s="31">
        <f>_xlfn.XLOOKUP(SO[[#This Row],[Customer name]], Customer_master[Customer name], Customer_master[EOM or Net], 0)</f>
        <v>0</v>
      </c>
      <c r="K881" s="31">
        <f>_xlfn.XLOOKUP(SO[[#This Row],[Customer name]], Customer_master[Customer name], Customer_master[Terms days], 0)</f>
        <v>0</v>
      </c>
      <c r="L8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1" s="4"/>
      <c r="N881" s="46">
        <f>IF(SO[[#This Row],[Collection date - override (dd/mm/yyyy)]] &lt;&gt; "", SO[[#This Row],[Collection date - override (dd/mm/yyyy)]], SO[[#This Row],[Due date (dd/mm/yyyy)]])</f>
        <v>0</v>
      </c>
      <c r="O881" s="46">
        <f t="shared" si="13"/>
        <v>52</v>
      </c>
    </row>
    <row r="882" spans="3:15" x14ac:dyDescent="0.25">
      <c r="C882" s="24"/>
      <c r="D882" s="20"/>
      <c r="E882" s="4"/>
      <c r="F882" s="37"/>
      <c r="G882" s="24"/>
      <c r="H882" s="51">
        <f>Assumptions!$D$15</f>
        <v>0.1</v>
      </c>
      <c r="I882" s="45">
        <f>IF(SO[[#This Row],[GST applies?]] = "Yes", (SO[[#This Row],[Value inc. GST]] / 1 + SO[[#This Row],[GST %]]) * SO[[#This Row],[GST %]], 0)</f>
        <v>0</v>
      </c>
      <c r="J882" s="31">
        <f>_xlfn.XLOOKUP(SO[[#This Row],[Customer name]], Customer_master[Customer name], Customer_master[EOM or Net], 0)</f>
        <v>0</v>
      </c>
      <c r="K882" s="31">
        <f>_xlfn.XLOOKUP(SO[[#This Row],[Customer name]], Customer_master[Customer name], Customer_master[Terms days], 0)</f>
        <v>0</v>
      </c>
      <c r="L8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2" s="4"/>
      <c r="N882" s="46">
        <f>IF(SO[[#This Row],[Collection date - override (dd/mm/yyyy)]] &lt;&gt; "", SO[[#This Row],[Collection date - override (dd/mm/yyyy)]], SO[[#This Row],[Due date (dd/mm/yyyy)]])</f>
        <v>0</v>
      </c>
      <c r="O882" s="46">
        <f t="shared" si="13"/>
        <v>52</v>
      </c>
    </row>
    <row r="883" spans="3:15" x14ac:dyDescent="0.25">
      <c r="C883" s="24"/>
      <c r="D883" s="20"/>
      <c r="E883" s="4"/>
      <c r="F883" s="37"/>
      <c r="G883" s="24"/>
      <c r="H883" s="51">
        <f>Assumptions!$D$15</f>
        <v>0.1</v>
      </c>
      <c r="I883" s="45">
        <f>IF(SO[[#This Row],[GST applies?]] = "Yes", (SO[[#This Row],[Value inc. GST]] / 1 + SO[[#This Row],[GST %]]) * SO[[#This Row],[GST %]], 0)</f>
        <v>0</v>
      </c>
      <c r="J883" s="31">
        <f>_xlfn.XLOOKUP(SO[[#This Row],[Customer name]], Customer_master[Customer name], Customer_master[EOM or Net], 0)</f>
        <v>0</v>
      </c>
      <c r="K883" s="31">
        <f>_xlfn.XLOOKUP(SO[[#This Row],[Customer name]], Customer_master[Customer name], Customer_master[Terms days], 0)</f>
        <v>0</v>
      </c>
      <c r="L8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3" s="4"/>
      <c r="N883" s="46">
        <f>IF(SO[[#This Row],[Collection date - override (dd/mm/yyyy)]] &lt;&gt; "", SO[[#This Row],[Collection date - override (dd/mm/yyyy)]], SO[[#This Row],[Due date (dd/mm/yyyy)]])</f>
        <v>0</v>
      </c>
      <c r="O883" s="46">
        <f t="shared" si="13"/>
        <v>52</v>
      </c>
    </row>
    <row r="884" spans="3:15" x14ac:dyDescent="0.25">
      <c r="C884" s="24"/>
      <c r="D884" s="20"/>
      <c r="E884" s="4"/>
      <c r="F884" s="37"/>
      <c r="G884" s="24"/>
      <c r="H884" s="51">
        <f>Assumptions!$D$15</f>
        <v>0.1</v>
      </c>
      <c r="I884" s="45">
        <f>IF(SO[[#This Row],[GST applies?]] = "Yes", (SO[[#This Row],[Value inc. GST]] / 1 + SO[[#This Row],[GST %]]) * SO[[#This Row],[GST %]], 0)</f>
        <v>0</v>
      </c>
      <c r="J884" s="31">
        <f>_xlfn.XLOOKUP(SO[[#This Row],[Customer name]], Customer_master[Customer name], Customer_master[EOM or Net], 0)</f>
        <v>0</v>
      </c>
      <c r="K884" s="31">
        <f>_xlfn.XLOOKUP(SO[[#This Row],[Customer name]], Customer_master[Customer name], Customer_master[Terms days], 0)</f>
        <v>0</v>
      </c>
      <c r="L8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4" s="4"/>
      <c r="N884" s="46">
        <f>IF(SO[[#This Row],[Collection date - override (dd/mm/yyyy)]] &lt;&gt; "", SO[[#This Row],[Collection date - override (dd/mm/yyyy)]], SO[[#This Row],[Due date (dd/mm/yyyy)]])</f>
        <v>0</v>
      </c>
      <c r="O884" s="46">
        <f t="shared" si="13"/>
        <v>52</v>
      </c>
    </row>
    <row r="885" spans="3:15" x14ac:dyDescent="0.25">
      <c r="C885" s="24"/>
      <c r="D885" s="20"/>
      <c r="E885" s="4"/>
      <c r="F885" s="37"/>
      <c r="G885" s="24"/>
      <c r="H885" s="51">
        <f>Assumptions!$D$15</f>
        <v>0.1</v>
      </c>
      <c r="I885" s="45">
        <f>IF(SO[[#This Row],[GST applies?]] = "Yes", (SO[[#This Row],[Value inc. GST]] / 1 + SO[[#This Row],[GST %]]) * SO[[#This Row],[GST %]], 0)</f>
        <v>0</v>
      </c>
      <c r="J885" s="31">
        <f>_xlfn.XLOOKUP(SO[[#This Row],[Customer name]], Customer_master[Customer name], Customer_master[EOM or Net], 0)</f>
        <v>0</v>
      </c>
      <c r="K885" s="31">
        <f>_xlfn.XLOOKUP(SO[[#This Row],[Customer name]], Customer_master[Customer name], Customer_master[Terms days], 0)</f>
        <v>0</v>
      </c>
      <c r="L8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5" s="4"/>
      <c r="N885" s="46">
        <f>IF(SO[[#This Row],[Collection date - override (dd/mm/yyyy)]] &lt;&gt; "", SO[[#This Row],[Collection date - override (dd/mm/yyyy)]], SO[[#This Row],[Due date (dd/mm/yyyy)]])</f>
        <v>0</v>
      </c>
      <c r="O885" s="46">
        <f t="shared" si="13"/>
        <v>52</v>
      </c>
    </row>
    <row r="886" spans="3:15" x14ac:dyDescent="0.25">
      <c r="C886" s="24"/>
      <c r="D886" s="20"/>
      <c r="E886" s="4"/>
      <c r="F886" s="37"/>
      <c r="G886" s="24"/>
      <c r="H886" s="51">
        <f>Assumptions!$D$15</f>
        <v>0.1</v>
      </c>
      <c r="I886" s="45">
        <f>IF(SO[[#This Row],[GST applies?]] = "Yes", (SO[[#This Row],[Value inc. GST]] / 1 + SO[[#This Row],[GST %]]) * SO[[#This Row],[GST %]], 0)</f>
        <v>0</v>
      </c>
      <c r="J886" s="31">
        <f>_xlfn.XLOOKUP(SO[[#This Row],[Customer name]], Customer_master[Customer name], Customer_master[EOM or Net], 0)</f>
        <v>0</v>
      </c>
      <c r="K886" s="31">
        <f>_xlfn.XLOOKUP(SO[[#This Row],[Customer name]], Customer_master[Customer name], Customer_master[Terms days], 0)</f>
        <v>0</v>
      </c>
      <c r="L8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6" s="4"/>
      <c r="N886" s="46">
        <f>IF(SO[[#This Row],[Collection date - override (dd/mm/yyyy)]] &lt;&gt; "", SO[[#This Row],[Collection date - override (dd/mm/yyyy)]], SO[[#This Row],[Due date (dd/mm/yyyy)]])</f>
        <v>0</v>
      </c>
      <c r="O886" s="46">
        <f t="shared" si="13"/>
        <v>52</v>
      </c>
    </row>
    <row r="887" spans="3:15" x14ac:dyDescent="0.25">
      <c r="C887" s="24"/>
      <c r="D887" s="20"/>
      <c r="E887" s="4"/>
      <c r="F887" s="37"/>
      <c r="G887" s="24"/>
      <c r="H887" s="51">
        <f>Assumptions!$D$15</f>
        <v>0.1</v>
      </c>
      <c r="I887" s="45">
        <f>IF(SO[[#This Row],[GST applies?]] = "Yes", (SO[[#This Row],[Value inc. GST]] / 1 + SO[[#This Row],[GST %]]) * SO[[#This Row],[GST %]], 0)</f>
        <v>0</v>
      </c>
      <c r="J887" s="31">
        <f>_xlfn.XLOOKUP(SO[[#This Row],[Customer name]], Customer_master[Customer name], Customer_master[EOM or Net], 0)</f>
        <v>0</v>
      </c>
      <c r="K887" s="31">
        <f>_xlfn.XLOOKUP(SO[[#This Row],[Customer name]], Customer_master[Customer name], Customer_master[Terms days], 0)</f>
        <v>0</v>
      </c>
      <c r="L8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7" s="4"/>
      <c r="N887" s="46">
        <f>IF(SO[[#This Row],[Collection date - override (dd/mm/yyyy)]] &lt;&gt; "", SO[[#This Row],[Collection date - override (dd/mm/yyyy)]], SO[[#This Row],[Due date (dd/mm/yyyy)]])</f>
        <v>0</v>
      </c>
      <c r="O887" s="46">
        <f t="shared" si="13"/>
        <v>52</v>
      </c>
    </row>
    <row r="888" spans="3:15" x14ac:dyDescent="0.25">
      <c r="C888" s="24"/>
      <c r="D888" s="20"/>
      <c r="E888" s="4"/>
      <c r="F888" s="37"/>
      <c r="G888" s="24"/>
      <c r="H888" s="51">
        <f>Assumptions!$D$15</f>
        <v>0.1</v>
      </c>
      <c r="I888" s="45">
        <f>IF(SO[[#This Row],[GST applies?]] = "Yes", (SO[[#This Row],[Value inc. GST]] / 1 + SO[[#This Row],[GST %]]) * SO[[#This Row],[GST %]], 0)</f>
        <v>0</v>
      </c>
      <c r="J888" s="31">
        <f>_xlfn.XLOOKUP(SO[[#This Row],[Customer name]], Customer_master[Customer name], Customer_master[EOM or Net], 0)</f>
        <v>0</v>
      </c>
      <c r="K888" s="31">
        <f>_xlfn.XLOOKUP(SO[[#This Row],[Customer name]], Customer_master[Customer name], Customer_master[Terms days], 0)</f>
        <v>0</v>
      </c>
      <c r="L8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8" s="4"/>
      <c r="N888" s="46">
        <f>IF(SO[[#This Row],[Collection date - override (dd/mm/yyyy)]] &lt;&gt; "", SO[[#This Row],[Collection date - override (dd/mm/yyyy)]], SO[[#This Row],[Due date (dd/mm/yyyy)]])</f>
        <v>0</v>
      </c>
      <c r="O888" s="46">
        <f t="shared" si="13"/>
        <v>52</v>
      </c>
    </row>
    <row r="889" spans="3:15" x14ac:dyDescent="0.25">
      <c r="C889" s="24"/>
      <c r="D889" s="20"/>
      <c r="E889" s="4"/>
      <c r="F889" s="37"/>
      <c r="G889" s="24"/>
      <c r="H889" s="51">
        <f>Assumptions!$D$15</f>
        <v>0.1</v>
      </c>
      <c r="I889" s="45">
        <f>IF(SO[[#This Row],[GST applies?]] = "Yes", (SO[[#This Row],[Value inc. GST]] / 1 + SO[[#This Row],[GST %]]) * SO[[#This Row],[GST %]], 0)</f>
        <v>0</v>
      </c>
      <c r="J889" s="31">
        <f>_xlfn.XLOOKUP(SO[[#This Row],[Customer name]], Customer_master[Customer name], Customer_master[EOM or Net], 0)</f>
        <v>0</v>
      </c>
      <c r="K889" s="31">
        <f>_xlfn.XLOOKUP(SO[[#This Row],[Customer name]], Customer_master[Customer name], Customer_master[Terms days], 0)</f>
        <v>0</v>
      </c>
      <c r="L8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9" s="4"/>
      <c r="N889" s="46">
        <f>IF(SO[[#This Row],[Collection date - override (dd/mm/yyyy)]] &lt;&gt; "", SO[[#This Row],[Collection date - override (dd/mm/yyyy)]], SO[[#This Row],[Due date (dd/mm/yyyy)]])</f>
        <v>0</v>
      </c>
      <c r="O889" s="46">
        <f t="shared" si="13"/>
        <v>52</v>
      </c>
    </row>
    <row r="890" spans="3:15" x14ac:dyDescent="0.25">
      <c r="C890" s="24"/>
      <c r="D890" s="20"/>
      <c r="E890" s="4"/>
      <c r="F890" s="37"/>
      <c r="G890" s="24"/>
      <c r="H890" s="51">
        <f>Assumptions!$D$15</f>
        <v>0.1</v>
      </c>
      <c r="I890" s="45">
        <f>IF(SO[[#This Row],[GST applies?]] = "Yes", (SO[[#This Row],[Value inc. GST]] / 1 + SO[[#This Row],[GST %]]) * SO[[#This Row],[GST %]], 0)</f>
        <v>0</v>
      </c>
      <c r="J890" s="31">
        <f>_xlfn.XLOOKUP(SO[[#This Row],[Customer name]], Customer_master[Customer name], Customer_master[EOM or Net], 0)</f>
        <v>0</v>
      </c>
      <c r="K890" s="31">
        <f>_xlfn.XLOOKUP(SO[[#This Row],[Customer name]], Customer_master[Customer name], Customer_master[Terms days], 0)</f>
        <v>0</v>
      </c>
      <c r="L8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0" s="4"/>
      <c r="N890" s="46">
        <f>IF(SO[[#This Row],[Collection date - override (dd/mm/yyyy)]] &lt;&gt; "", SO[[#This Row],[Collection date - override (dd/mm/yyyy)]], SO[[#This Row],[Due date (dd/mm/yyyy)]])</f>
        <v>0</v>
      </c>
      <c r="O890" s="46">
        <f t="shared" si="13"/>
        <v>52</v>
      </c>
    </row>
    <row r="891" spans="3:15" x14ac:dyDescent="0.25">
      <c r="C891" s="24"/>
      <c r="D891" s="20"/>
      <c r="E891" s="4"/>
      <c r="F891" s="37"/>
      <c r="G891" s="24"/>
      <c r="H891" s="51">
        <f>Assumptions!$D$15</f>
        <v>0.1</v>
      </c>
      <c r="I891" s="45">
        <f>IF(SO[[#This Row],[GST applies?]] = "Yes", (SO[[#This Row],[Value inc. GST]] / 1 + SO[[#This Row],[GST %]]) * SO[[#This Row],[GST %]], 0)</f>
        <v>0</v>
      </c>
      <c r="J891" s="31">
        <f>_xlfn.XLOOKUP(SO[[#This Row],[Customer name]], Customer_master[Customer name], Customer_master[EOM or Net], 0)</f>
        <v>0</v>
      </c>
      <c r="K891" s="31">
        <f>_xlfn.XLOOKUP(SO[[#This Row],[Customer name]], Customer_master[Customer name], Customer_master[Terms days], 0)</f>
        <v>0</v>
      </c>
      <c r="L8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1" s="4"/>
      <c r="N891" s="46">
        <f>IF(SO[[#This Row],[Collection date - override (dd/mm/yyyy)]] &lt;&gt; "", SO[[#This Row],[Collection date - override (dd/mm/yyyy)]], SO[[#This Row],[Due date (dd/mm/yyyy)]])</f>
        <v>0</v>
      </c>
      <c r="O891" s="46">
        <f t="shared" si="13"/>
        <v>52</v>
      </c>
    </row>
    <row r="892" spans="3:15" x14ac:dyDescent="0.25">
      <c r="C892" s="24"/>
      <c r="D892" s="20"/>
      <c r="E892" s="4"/>
      <c r="F892" s="37"/>
      <c r="G892" s="24"/>
      <c r="H892" s="51">
        <f>Assumptions!$D$15</f>
        <v>0.1</v>
      </c>
      <c r="I892" s="45">
        <f>IF(SO[[#This Row],[GST applies?]] = "Yes", (SO[[#This Row],[Value inc. GST]] / 1 + SO[[#This Row],[GST %]]) * SO[[#This Row],[GST %]], 0)</f>
        <v>0</v>
      </c>
      <c r="J892" s="31">
        <f>_xlfn.XLOOKUP(SO[[#This Row],[Customer name]], Customer_master[Customer name], Customer_master[EOM or Net], 0)</f>
        <v>0</v>
      </c>
      <c r="K892" s="31">
        <f>_xlfn.XLOOKUP(SO[[#This Row],[Customer name]], Customer_master[Customer name], Customer_master[Terms days], 0)</f>
        <v>0</v>
      </c>
      <c r="L8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2" s="4"/>
      <c r="N892" s="46">
        <f>IF(SO[[#This Row],[Collection date - override (dd/mm/yyyy)]] &lt;&gt; "", SO[[#This Row],[Collection date - override (dd/mm/yyyy)]], SO[[#This Row],[Due date (dd/mm/yyyy)]])</f>
        <v>0</v>
      </c>
      <c r="O892" s="46">
        <f t="shared" si="13"/>
        <v>52</v>
      </c>
    </row>
    <row r="893" spans="3:15" x14ac:dyDescent="0.25">
      <c r="C893" s="24"/>
      <c r="D893" s="20"/>
      <c r="E893" s="4"/>
      <c r="F893" s="37"/>
      <c r="G893" s="24"/>
      <c r="H893" s="51">
        <f>Assumptions!$D$15</f>
        <v>0.1</v>
      </c>
      <c r="I893" s="45">
        <f>IF(SO[[#This Row],[GST applies?]] = "Yes", (SO[[#This Row],[Value inc. GST]] / 1 + SO[[#This Row],[GST %]]) * SO[[#This Row],[GST %]], 0)</f>
        <v>0</v>
      </c>
      <c r="J893" s="31">
        <f>_xlfn.XLOOKUP(SO[[#This Row],[Customer name]], Customer_master[Customer name], Customer_master[EOM or Net], 0)</f>
        <v>0</v>
      </c>
      <c r="K893" s="31">
        <f>_xlfn.XLOOKUP(SO[[#This Row],[Customer name]], Customer_master[Customer name], Customer_master[Terms days], 0)</f>
        <v>0</v>
      </c>
      <c r="L8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3" s="4"/>
      <c r="N893" s="46">
        <f>IF(SO[[#This Row],[Collection date - override (dd/mm/yyyy)]] &lt;&gt; "", SO[[#This Row],[Collection date - override (dd/mm/yyyy)]], SO[[#This Row],[Due date (dd/mm/yyyy)]])</f>
        <v>0</v>
      </c>
      <c r="O893" s="46">
        <f t="shared" si="13"/>
        <v>52</v>
      </c>
    </row>
    <row r="894" spans="3:15" x14ac:dyDescent="0.25">
      <c r="C894" s="24"/>
      <c r="D894" s="20"/>
      <c r="E894" s="4"/>
      <c r="F894" s="37"/>
      <c r="G894" s="24"/>
      <c r="H894" s="51">
        <f>Assumptions!$D$15</f>
        <v>0.1</v>
      </c>
      <c r="I894" s="45">
        <f>IF(SO[[#This Row],[GST applies?]] = "Yes", (SO[[#This Row],[Value inc. GST]] / 1 + SO[[#This Row],[GST %]]) * SO[[#This Row],[GST %]], 0)</f>
        <v>0</v>
      </c>
      <c r="J894" s="31">
        <f>_xlfn.XLOOKUP(SO[[#This Row],[Customer name]], Customer_master[Customer name], Customer_master[EOM or Net], 0)</f>
        <v>0</v>
      </c>
      <c r="K894" s="31">
        <f>_xlfn.XLOOKUP(SO[[#This Row],[Customer name]], Customer_master[Customer name], Customer_master[Terms days], 0)</f>
        <v>0</v>
      </c>
      <c r="L8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4" s="4"/>
      <c r="N894" s="46">
        <f>IF(SO[[#This Row],[Collection date - override (dd/mm/yyyy)]] &lt;&gt; "", SO[[#This Row],[Collection date - override (dd/mm/yyyy)]], SO[[#This Row],[Due date (dd/mm/yyyy)]])</f>
        <v>0</v>
      </c>
      <c r="O894" s="46">
        <f t="shared" si="13"/>
        <v>52</v>
      </c>
    </row>
    <row r="895" spans="3:15" x14ac:dyDescent="0.25">
      <c r="C895" s="24"/>
      <c r="D895" s="20"/>
      <c r="E895" s="4"/>
      <c r="F895" s="37"/>
      <c r="G895" s="24"/>
      <c r="H895" s="51">
        <f>Assumptions!$D$15</f>
        <v>0.1</v>
      </c>
      <c r="I895" s="45">
        <f>IF(SO[[#This Row],[GST applies?]] = "Yes", (SO[[#This Row],[Value inc. GST]] / 1 + SO[[#This Row],[GST %]]) * SO[[#This Row],[GST %]], 0)</f>
        <v>0</v>
      </c>
      <c r="J895" s="31">
        <f>_xlfn.XLOOKUP(SO[[#This Row],[Customer name]], Customer_master[Customer name], Customer_master[EOM or Net], 0)</f>
        <v>0</v>
      </c>
      <c r="K895" s="31">
        <f>_xlfn.XLOOKUP(SO[[#This Row],[Customer name]], Customer_master[Customer name], Customer_master[Terms days], 0)</f>
        <v>0</v>
      </c>
      <c r="L8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5" s="4"/>
      <c r="N895" s="46">
        <f>IF(SO[[#This Row],[Collection date - override (dd/mm/yyyy)]] &lt;&gt; "", SO[[#This Row],[Collection date - override (dd/mm/yyyy)]], SO[[#This Row],[Due date (dd/mm/yyyy)]])</f>
        <v>0</v>
      </c>
      <c r="O895" s="46">
        <f t="shared" si="13"/>
        <v>52</v>
      </c>
    </row>
    <row r="896" spans="3:15" x14ac:dyDescent="0.25">
      <c r="C896" s="24"/>
      <c r="D896" s="20"/>
      <c r="E896" s="4"/>
      <c r="F896" s="37"/>
      <c r="G896" s="24"/>
      <c r="H896" s="51">
        <f>Assumptions!$D$15</f>
        <v>0.1</v>
      </c>
      <c r="I896" s="45">
        <f>IF(SO[[#This Row],[GST applies?]] = "Yes", (SO[[#This Row],[Value inc. GST]] / 1 + SO[[#This Row],[GST %]]) * SO[[#This Row],[GST %]], 0)</f>
        <v>0</v>
      </c>
      <c r="J896" s="31">
        <f>_xlfn.XLOOKUP(SO[[#This Row],[Customer name]], Customer_master[Customer name], Customer_master[EOM or Net], 0)</f>
        <v>0</v>
      </c>
      <c r="K896" s="31">
        <f>_xlfn.XLOOKUP(SO[[#This Row],[Customer name]], Customer_master[Customer name], Customer_master[Terms days], 0)</f>
        <v>0</v>
      </c>
      <c r="L8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6" s="4"/>
      <c r="N896" s="46">
        <f>IF(SO[[#This Row],[Collection date - override (dd/mm/yyyy)]] &lt;&gt; "", SO[[#This Row],[Collection date - override (dd/mm/yyyy)]], SO[[#This Row],[Due date (dd/mm/yyyy)]])</f>
        <v>0</v>
      </c>
      <c r="O896" s="46">
        <f t="shared" si="13"/>
        <v>52</v>
      </c>
    </row>
    <row r="897" spans="3:15" x14ac:dyDescent="0.25">
      <c r="C897" s="24"/>
      <c r="D897" s="20"/>
      <c r="E897" s="4"/>
      <c r="F897" s="37"/>
      <c r="G897" s="24"/>
      <c r="H897" s="51">
        <f>Assumptions!$D$15</f>
        <v>0.1</v>
      </c>
      <c r="I897" s="45">
        <f>IF(SO[[#This Row],[GST applies?]] = "Yes", (SO[[#This Row],[Value inc. GST]] / 1 + SO[[#This Row],[GST %]]) * SO[[#This Row],[GST %]], 0)</f>
        <v>0</v>
      </c>
      <c r="J897" s="31">
        <f>_xlfn.XLOOKUP(SO[[#This Row],[Customer name]], Customer_master[Customer name], Customer_master[EOM or Net], 0)</f>
        <v>0</v>
      </c>
      <c r="K897" s="31">
        <f>_xlfn.XLOOKUP(SO[[#This Row],[Customer name]], Customer_master[Customer name], Customer_master[Terms days], 0)</f>
        <v>0</v>
      </c>
      <c r="L8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7" s="4"/>
      <c r="N897" s="46">
        <f>IF(SO[[#This Row],[Collection date - override (dd/mm/yyyy)]] &lt;&gt; "", SO[[#This Row],[Collection date - override (dd/mm/yyyy)]], SO[[#This Row],[Due date (dd/mm/yyyy)]])</f>
        <v>0</v>
      </c>
      <c r="O897" s="46">
        <f t="shared" si="13"/>
        <v>52</v>
      </c>
    </row>
    <row r="898" spans="3:15" x14ac:dyDescent="0.25">
      <c r="C898" s="24"/>
      <c r="D898" s="20"/>
      <c r="E898" s="4"/>
      <c r="F898" s="37"/>
      <c r="G898" s="24"/>
      <c r="H898" s="51">
        <f>Assumptions!$D$15</f>
        <v>0.1</v>
      </c>
      <c r="I898" s="45">
        <f>IF(SO[[#This Row],[GST applies?]] = "Yes", (SO[[#This Row],[Value inc. GST]] / 1 + SO[[#This Row],[GST %]]) * SO[[#This Row],[GST %]], 0)</f>
        <v>0</v>
      </c>
      <c r="J898" s="31">
        <f>_xlfn.XLOOKUP(SO[[#This Row],[Customer name]], Customer_master[Customer name], Customer_master[EOM or Net], 0)</f>
        <v>0</v>
      </c>
      <c r="K898" s="31">
        <f>_xlfn.XLOOKUP(SO[[#This Row],[Customer name]], Customer_master[Customer name], Customer_master[Terms days], 0)</f>
        <v>0</v>
      </c>
      <c r="L8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8" s="4"/>
      <c r="N898" s="46">
        <f>IF(SO[[#This Row],[Collection date - override (dd/mm/yyyy)]] &lt;&gt; "", SO[[#This Row],[Collection date - override (dd/mm/yyyy)]], SO[[#This Row],[Due date (dd/mm/yyyy)]])</f>
        <v>0</v>
      </c>
      <c r="O898" s="46">
        <f t="shared" si="13"/>
        <v>52</v>
      </c>
    </row>
    <row r="899" spans="3:15" x14ac:dyDescent="0.25">
      <c r="C899" s="24"/>
      <c r="D899" s="20"/>
      <c r="E899" s="4"/>
      <c r="F899" s="37"/>
      <c r="G899" s="24"/>
      <c r="H899" s="51">
        <f>Assumptions!$D$15</f>
        <v>0.1</v>
      </c>
      <c r="I899" s="45">
        <f>IF(SO[[#This Row],[GST applies?]] = "Yes", (SO[[#This Row],[Value inc. GST]] / 1 + SO[[#This Row],[GST %]]) * SO[[#This Row],[GST %]], 0)</f>
        <v>0</v>
      </c>
      <c r="J899" s="31">
        <f>_xlfn.XLOOKUP(SO[[#This Row],[Customer name]], Customer_master[Customer name], Customer_master[EOM or Net], 0)</f>
        <v>0</v>
      </c>
      <c r="K899" s="31">
        <f>_xlfn.XLOOKUP(SO[[#This Row],[Customer name]], Customer_master[Customer name], Customer_master[Terms days], 0)</f>
        <v>0</v>
      </c>
      <c r="L8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9" s="4"/>
      <c r="N899" s="46">
        <f>IF(SO[[#This Row],[Collection date - override (dd/mm/yyyy)]] &lt;&gt; "", SO[[#This Row],[Collection date - override (dd/mm/yyyy)]], SO[[#This Row],[Due date (dd/mm/yyyy)]])</f>
        <v>0</v>
      </c>
      <c r="O899" s="46">
        <f t="shared" si="13"/>
        <v>52</v>
      </c>
    </row>
    <row r="900" spans="3:15" x14ac:dyDescent="0.25">
      <c r="C900" s="24"/>
      <c r="D900" s="20"/>
      <c r="E900" s="4"/>
      <c r="F900" s="37"/>
      <c r="G900" s="24"/>
      <c r="H900" s="51">
        <f>Assumptions!$D$15</f>
        <v>0.1</v>
      </c>
      <c r="I900" s="45">
        <f>IF(SO[[#This Row],[GST applies?]] = "Yes", (SO[[#This Row],[Value inc. GST]] / 1 + SO[[#This Row],[GST %]]) * SO[[#This Row],[GST %]], 0)</f>
        <v>0</v>
      </c>
      <c r="J900" s="31">
        <f>_xlfn.XLOOKUP(SO[[#This Row],[Customer name]], Customer_master[Customer name], Customer_master[EOM or Net], 0)</f>
        <v>0</v>
      </c>
      <c r="K900" s="31">
        <f>_xlfn.XLOOKUP(SO[[#This Row],[Customer name]], Customer_master[Customer name], Customer_master[Terms days], 0)</f>
        <v>0</v>
      </c>
      <c r="L9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0" s="4"/>
      <c r="N900" s="46">
        <f>IF(SO[[#This Row],[Collection date - override (dd/mm/yyyy)]] &lt;&gt; "", SO[[#This Row],[Collection date - override (dd/mm/yyyy)]], SO[[#This Row],[Due date (dd/mm/yyyy)]])</f>
        <v>0</v>
      </c>
      <c r="O900" s="46">
        <f t="shared" si="13"/>
        <v>52</v>
      </c>
    </row>
    <row r="901" spans="3:15" x14ac:dyDescent="0.25">
      <c r="C901" s="24"/>
      <c r="D901" s="20"/>
      <c r="E901" s="4"/>
      <c r="F901" s="37"/>
      <c r="G901" s="24"/>
      <c r="H901" s="51">
        <f>Assumptions!$D$15</f>
        <v>0.1</v>
      </c>
      <c r="I901" s="45">
        <f>IF(SO[[#This Row],[GST applies?]] = "Yes", (SO[[#This Row],[Value inc. GST]] / 1 + SO[[#This Row],[GST %]]) * SO[[#This Row],[GST %]], 0)</f>
        <v>0</v>
      </c>
      <c r="J901" s="31">
        <f>_xlfn.XLOOKUP(SO[[#This Row],[Customer name]], Customer_master[Customer name], Customer_master[EOM or Net], 0)</f>
        <v>0</v>
      </c>
      <c r="K901" s="31">
        <f>_xlfn.XLOOKUP(SO[[#This Row],[Customer name]], Customer_master[Customer name], Customer_master[Terms days], 0)</f>
        <v>0</v>
      </c>
      <c r="L9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1" s="4"/>
      <c r="N901" s="46">
        <f>IF(SO[[#This Row],[Collection date - override (dd/mm/yyyy)]] &lt;&gt; "", SO[[#This Row],[Collection date - override (dd/mm/yyyy)]], SO[[#This Row],[Due date (dd/mm/yyyy)]])</f>
        <v>0</v>
      </c>
      <c r="O901" s="46">
        <f t="shared" si="13"/>
        <v>52</v>
      </c>
    </row>
    <row r="902" spans="3:15" x14ac:dyDescent="0.25">
      <c r="C902" s="24"/>
      <c r="D902" s="20"/>
      <c r="E902" s="4"/>
      <c r="F902" s="37"/>
      <c r="G902" s="24"/>
      <c r="H902" s="51">
        <f>Assumptions!$D$15</f>
        <v>0.1</v>
      </c>
      <c r="I902" s="45">
        <f>IF(SO[[#This Row],[GST applies?]] = "Yes", (SO[[#This Row],[Value inc. GST]] / 1 + SO[[#This Row],[GST %]]) * SO[[#This Row],[GST %]], 0)</f>
        <v>0</v>
      </c>
      <c r="J902" s="31">
        <f>_xlfn.XLOOKUP(SO[[#This Row],[Customer name]], Customer_master[Customer name], Customer_master[EOM or Net], 0)</f>
        <v>0</v>
      </c>
      <c r="K902" s="31">
        <f>_xlfn.XLOOKUP(SO[[#This Row],[Customer name]], Customer_master[Customer name], Customer_master[Terms days], 0)</f>
        <v>0</v>
      </c>
      <c r="L9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2" s="4"/>
      <c r="N902" s="46">
        <f>IF(SO[[#This Row],[Collection date - override (dd/mm/yyyy)]] &lt;&gt; "", SO[[#This Row],[Collection date - override (dd/mm/yyyy)]], SO[[#This Row],[Due date (dd/mm/yyyy)]])</f>
        <v>0</v>
      </c>
      <c r="O902" s="46">
        <f t="shared" si="13"/>
        <v>52</v>
      </c>
    </row>
    <row r="903" spans="3:15" x14ac:dyDescent="0.25">
      <c r="C903" s="24"/>
      <c r="D903" s="20"/>
      <c r="E903" s="4"/>
      <c r="F903" s="37"/>
      <c r="G903" s="24"/>
      <c r="H903" s="51">
        <f>Assumptions!$D$15</f>
        <v>0.1</v>
      </c>
      <c r="I903" s="45">
        <f>IF(SO[[#This Row],[GST applies?]] = "Yes", (SO[[#This Row],[Value inc. GST]] / 1 + SO[[#This Row],[GST %]]) * SO[[#This Row],[GST %]], 0)</f>
        <v>0</v>
      </c>
      <c r="J903" s="31">
        <f>_xlfn.XLOOKUP(SO[[#This Row],[Customer name]], Customer_master[Customer name], Customer_master[EOM or Net], 0)</f>
        <v>0</v>
      </c>
      <c r="K903" s="31">
        <f>_xlfn.XLOOKUP(SO[[#This Row],[Customer name]], Customer_master[Customer name], Customer_master[Terms days], 0)</f>
        <v>0</v>
      </c>
      <c r="L9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3" s="4"/>
      <c r="N903" s="46">
        <f>IF(SO[[#This Row],[Collection date - override (dd/mm/yyyy)]] &lt;&gt; "", SO[[#This Row],[Collection date - override (dd/mm/yyyy)]], SO[[#This Row],[Due date (dd/mm/yyyy)]])</f>
        <v>0</v>
      </c>
      <c r="O903" s="46">
        <f t="shared" si="13"/>
        <v>52</v>
      </c>
    </row>
    <row r="904" spans="3:15" x14ac:dyDescent="0.25">
      <c r="C904" s="24"/>
      <c r="D904" s="20"/>
      <c r="E904" s="4"/>
      <c r="F904" s="37"/>
      <c r="G904" s="24"/>
      <c r="H904" s="51">
        <f>Assumptions!$D$15</f>
        <v>0.1</v>
      </c>
      <c r="I904" s="45">
        <f>IF(SO[[#This Row],[GST applies?]] = "Yes", (SO[[#This Row],[Value inc. GST]] / 1 + SO[[#This Row],[GST %]]) * SO[[#This Row],[GST %]], 0)</f>
        <v>0</v>
      </c>
      <c r="J904" s="31">
        <f>_xlfn.XLOOKUP(SO[[#This Row],[Customer name]], Customer_master[Customer name], Customer_master[EOM or Net], 0)</f>
        <v>0</v>
      </c>
      <c r="K904" s="31">
        <f>_xlfn.XLOOKUP(SO[[#This Row],[Customer name]], Customer_master[Customer name], Customer_master[Terms days], 0)</f>
        <v>0</v>
      </c>
      <c r="L9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4" s="4"/>
      <c r="N904" s="46">
        <f>IF(SO[[#This Row],[Collection date - override (dd/mm/yyyy)]] &lt;&gt; "", SO[[#This Row],[Collection date - override (dd/mm/yyyy)]], SO[[#This Row],[Due date (dd/mm/yyyy)]])</f>
        <v>0</v>
      </c>
      <c r="O904" s="46">
        <f t="shared" si="13"/>
        <v>52</v>
      </c>
    </row>
    <row r="905" spans="3:15" x14ac:dyDescent="0.25">
      <c r="C905" s="24"/>
      <c r="D905" s="20"/>
      <c r="E905" s="4"/>
      <c r="F905" s="37"/>
      <c r="G905" s="24"/>
      <c r="H905" s="51">
        <f>Assumptions!$D$15</f>
        <v>0.1</v>
      </c>
      <c r="I905" s="45">
        <f>IF(SO[[#This Row],[GST applies?]] = "Yes", (SO[[#This Row],[Value inc. GST]] / 1 + SO[[#This Row],[GST %]]) * SO[[#This Row],[GST %]], 0)</f>
        <v>0</v>
      </c>
      <c r="J905" s="31">
        <f>_xlfn.XLOOKUP(SO[[#This Row],[Customer name]], Customer_master[Customer name], Customer_master[EOM or Net], 0)</f>
        <v>0</v>
      </c>
      <c r="K905" s="31">
        <f>_xlfn.XLOOKUP(SO[[#This Row],[Customer name]], Customer_master[Customer name], Customer_master[Terms days], 0)</f>
        <v>0</v>
      </c>
      <c r="L9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5" s="4"/>
      <c r="N905" s="46">
        <f>IF(SO[[#This Row],[Collection date - override (dd/mm/yyyy)]] &lt;&gt; "", SO[[#This Row],[Collection date - override (dd/mm/yyyy)]], SO[[#This Row],[Due date (dd/mm/yyyy)]])</f>
        <v>0</v>
      </c>
      <c r="O905" s="46">
        <f t="shared" ref="O905:O968" si="14">IF(GST_Freq="Monthly",
    DATE(YEAR(E905), MONTH(E905) + 1, 21),
    IF(GST_Freq="Quarterly",
        IF(MOD(MONTH(E905) + 2 - MOD(MOD(MONTH(E905) - GST_First_Month, 12), 3), 12) = 0,
            DATE(YEAR(E905), MONTH(E905) + 4 - MOD(MOD(MONTH(E905) - GST_First_Month, 12), 3), 28),
            DATE(YEAR(E905), MONTH(E905) + 3 - MOD(MOD(MONTH(E905) - GST_First_Month, 12), 3), 28)
        ),
        "Invalid frequency"
    )
)</f>
        <v>52</v>
      </c>
    </row>
    <row r="906" spans="3:15" x14ac:dyDescent="0.25">
      <c r="C906" s="24"/>
      <c r="D906" s="20"/>
      <c r="E906" s="4"/>
      <c r="F906" s="37"/>
      <c r="G906" s="24"/>
      <c r="H906" s="51">
        <f>Assumptions!$D$15</f>
        <v>0.1</v>
      </c>
      <c r="I906" s="45">
        <f>IF(SO[[#This Row],[GST applies?]] = "Yes", (SO[[#This Row],[Value inc. GST]] / 1 + SO[[#This Row],[GST %]]) * SO[[#This Row],[GST %]], 0)</f>
        <v>0</v>
      </c>
      <c r="J906" s="31">
        <f>_xlfn.XLOOKUP(SO[[#This Row],[Customer name]], Customer_master[Customer name], Customer_master[EOM or Net], 0)</f>
        <v>0</v>
      </c>
      <c r="K906" s="31">
        <f>_xlfn.XLOOKUP(SO[[#This Row],[Customer name]], Customer_master[Customer name], Customer_master[Terms days], 0)</f>
        <v>0</v>
      </c>
      <c r="L9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6" s="4"/>
      <c r="N906" s="46">
        <f>IF(SO[[#This Row],[Collection date - override (dd/mm/yyyy)]] &lt;&gt; "", SO[[#This Row],[Collection date - override (dd/mm/yyyy)]], SO[[#This Row],[Due date (dd/mm/yyyy)]])</f>
        <v>0</v>
      </c>
      <c r="O906" s="46">
        <f t="shared" si="14"/>
        <v>52</v>
      </c>
    </row>
    <row r="907" spans="3:15" x14ac:dyDescent="0.25">
      <c r="C907" s="24"/>
      <c r="D907" s="20"/>
      <c r="E907" s="4"/>
      <c r="F907" s="37"/>
      <c r="G907" s="24"/>
      <c r="H907" s="51">
        <f>Assumptions!$D$15</f>
        <v>0.1</v>
      </c>
      <c r="I907" s="45">
        <f>IF(SO[[#This Row],[GST applies?]] = "Yes", (SO[[#This Row],[Value inc. GST]] / 1 + SO[[#This Row],[GST %]]) * SO[[#This Row],[GST %]], 0)</f>
        <v>0</v>
      </c>
      <c r="J907" s="31">
        <f>_xlfn.XLOOKUP(SO[[#This Row],[Customer name]], Customer_master[Customer name], Customer_master[EOM or Net], 0)</f>
        <v>0</v>
      </c>
      <c r="K907" s="31">
        <f>_xlfn.XLOOKUP(SO[[#This Row],[Customer name]], Customer_master[Customer name], Customer_master[Terms days], 0)</f>
        <v>0</v>
      </c>
      <c r="L9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7" s="4"/>
      <c r="N907" s="46">
        <f>IF(SO[[#This Row],[Collection date - override (dd/mm/yyyy)]] &lt;&gt; "", SO[[#This Row],[Collection date - override (dd/mm/yyyy)]], SO[[#This Row],[Due date (dd/mm/yyyy)]])</f>
        <v>0</v>
      </c>
      <c r="O907" s="46">
        <f t="shared" si="14"/>
        <v>52</v>
      </c>
    </row>
    <row r="908" spans="3:15" x14ac:dyDescent="0.25">
      <c r="C908" s="24"/>
      <c r="D908" s="20"/>
      <c r="E908" s="4"/>
      <c r="F908" s="37"/>
      <c r="G908" s="24"/>
      <c r="H908" s="51">
        <f>Assumptions!$D$15</f>
        <v>0.1</v>
      </c>
      <c r="I908" s="45">
        <f>IF(SO[[#This Row],[GST applies?]] = "Yes", (SO[[#This Row],[Value inc. GST]] / 1 + SO[[#This Row],[GST %]]) * SO[[#This Row],[GST %]], 0)</f>
        <v>0</v>
      </c>
      <c r="J908" s="31">
        <f>_xlfn.XLOOKUP(SO[[#This Row],[Customer name]], Customer_master[Customer name], Customer_master[EOM or Net], 0)</f>
        <v>0</v>
      </c>
      <c r="K908" s="31">
        <f>_xlfn.XLOOKUP(SO[[#This Row],[Customer name]], Customer_master[Customer name], Customer_master[Terms days], 0)</f>
        <v>0</v>
      </c>
      <c r="L9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8" s="4"/>
      <c r="N908" s="46">
        <f>IF(SO[[#This Row],[Collection date - override (dd/mm/yyyy)]] &lt;&gt; "", SO[[#This Row],[Collection date - override (dd/mm/yyyy)]], SO[[#This Row],[Due date (dd/mm/yyyy)]])</f>
        <v>0</v>
      </c>
      <c r="O908" s="46">
        <f t="shared" si="14"/>
        <v>52</v>
      </c>
    </row>
    <row r="909" spans="3:15" x14ac:dyDescent="0.25">
      <c r="C909" s="24"/>
      <c r="D909" s="20"/>
      <c r="E909" s="4"/>
      <c r="F909" s="37"/>
      <c r="G909" s="24"/>
      <c r="H909" s="51">
        <f>Assumptions!$D$15</f>
        <v>0.1</v>
      </c>
      <c r="I909" s="45">
        <f>IF(SO[[#This Row],[GST applies?]] = "Yes", (SO[[#This Row],[Value inc. GST]] / 1 + SO[[#This Row],[GST %]]) * SO[[#This Row],[GST %]], 0)</f>
        <v>0</v>
      </c>
      <c r="J909" s="31">
        <f>_xlfn.XLOOKUP(SO[[#This Row],[Customer name]], Customer_master[Customer name], Customer_master[EOM or Net], 0)</f>
        <v>0</v>
      </c>
      <c r="K909" s="31">
        <f>_xlfn.XLOOKUP(SO[[#This Row],[Customer name]], Customer_master[Customer name], Customer_master[Terms days], 0)</f>
        <v>0</v>
      </c>
      <c r="L9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9" s="4"/>
      <c r="N909" s="46">
        <f>IF(SO[[#This Row],[Collection date - override (dd/mm/yyyy)]] &lt;&gt; "", SO[[#This Row],[Collection date - override (dd/mm/yyyy)]], SO[[#This Row],[Due date (dd/mm/yyyy)]])</f>
        <v>0</v>
      </c>
      <c r="O909" s="46">
        <f t="shared" si="14"/>
        <v>52</v>
      </c>
    </row>
    <row r="910" spans="3:15" x14ac:dyDescent="0.25">
      <c r="C910" s="24"/>
      <c r="D910" s="20"/>
      <c r="E910" s="4"/>
      <c r="F910" s="37"/>
      <c r="G910" s="24"/>
      <c r="H910" s="51">
        <f>Assumptions!$D$15</f>
        <v>0.1</v>
      </c>
      <c r="I910" s="45">
        <f>IF(SO[[#This Row],[GST applies?]] = "Yes", (SO[[#This Row],[Value inc. GST]] / 1 + SO[[#This Row],[GST %]]) * SO[[#This Row],[GST %]], 0)</f>
        <v>0</v>
      </c>
      <c r="J910" s="31">
        <f>_xlfn.XLOOKUP(SO[[#This Row],[Customer name]], Customer_master[Customer name], Customer_master[EOM or Net], 0)</f>
        <v>0</v>
      </c>
      <c r="K910" s="31">
        <f>_xlfn.XLOOKUP(SO[[#This Row],[Customer name]], Customer_master[Customer name], Customer_master[Terms days], 0)</f>
        <v>0</v>
      </c>
      <c r="L9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0" s="4"/>
      <c r="N910" s="46">
        <f>IF(SO[[#This Row],[Collection date - override (dd/mm/yyyy)]] &lt;&gt; "", SO[[#This Row],[Collection date - override (dd/mm/yyyy)]], SO[[#This Row],[Due date (dd/mm/yyyy)]])</f>
        <v>0</v>
      </c>
      <c r="O910" s="46">
        <f t="shared" si="14"/>
        <v>52</v>
      </c>
    </row>
    <row r="911" spans="3:15" x14ac:dyDescent="0.25">
      <c r="C911" s="24"/>
      <c r="D911" s="20"/>
      <c r="E911" s="4"/>
      <c r="F911" s="37"/>
      <c r="G911" s="24"/>
      <c r="H911" s="51">
        <f>Assumptions!$D$15</f>
        <v>0.1</v>
      </c>
      <c r="I911" s="45">
        <f>IF(SO[[#This Row],[GST applies?]] = "Yes", (SO[[#This Row],[Value inc. GST]] / 1 + SO[[#This Row],[GST %]]) * SO[[#This Row],[GST %]], 0)</f>
        <v>0</v>
      </c>
      <c r="J911" s="31">
        <f>_xlfn.XLOOKUP(SO[[#This Row],[Customer name]], Customer_master[Customer name], Customer_master[EOM or Net], 0)</f>
        <v>0</v>
      </c>
      <c r="K911" s="31">
        <f>_xlfn.XLOOKUP(SO[[#This Row],[Customer name]], Customer_master[Customer name], Customer_master[Terms days], 0)</f>
        <v>0</v>
      </c>
      <c r="L9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1" s="4"/>
      <c r="N911" s="46">
        <f>IF(SO[[#This Row],[Collection date - override (dd/mm/yyyy)]] &lt;&gt; "", SO[[#This Row],[Collection date - override (dd/mm/yyyy)]], SO[[#This Row],[Due date (dd/mm/yyyy)]])</f>
        <v>0</v>
      </c>
      <c r="O911" s="46">
        <f t="shared" si="14"/>
        <v>52</v>
      </c>
    </row>
    <row r="912" spans="3:15" x14ac:dyDescent="0.25">
      <c r="C912" s="24"/>
      <c r="D912" s="20"/>
      <c r="E912" s="4"/>
      <c r="F912" s="37"/>
      <c r="G912" s="24"/>
      <c r="H912" s="51">
        <f>Assumptions!$D$15</f>
        <v>0.1</v>
      </c>
      <c r="I912" s="45">
        <f>IF(SO[[#This Row],[GST applies?]] = "Yes", (SO[[#This Row],[Value inc. GST]] / 1 + SO[[#This Row],[GST %]]) * SO[[#This Row],[GST %]], 0)</f>
        <v>0</v>
      </c>
      <c r="J912" s="31">
        <f>_xlfn.XLOOKUP(SO[[#This Row],[Customer name]], Customer_master[Customer name], Customer_master[EOM or Net], 0)</f>
        <v>0</v>
      </c>
      <c r="K912" s="31">
        <f>_xlfn.XLOOKUP(SO[[#This Row],[Customer name]], Customer_master[Customer name], Customer_master[Terms days], 0)</f>
        <v>0</v>
      </c>
      <c r="L9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2" s="4"/>
      <c r="N912" s="46">
        <f>IF(SO[[#This Row],[Collection date - override (dd/mm/yyyy)]] &lt;&gt; "", SO[[#This Row],[Collection date - override (dd/mm/yyyy)]], SO[[#This Row],[Due date (dd/mm/yyyy)]])</f>
        <v>0</v>
      </c>
      <c r="O912" s="46">
        <f t="shared" si="14"/>
        <v>52</v>
      </c>
    </row>
    <row r="913" spans="3:15" x14ac:dyDescent="0.25">
      <c r="C913" s="24"/>
      <c r="D913" s="20"/>
      <c r="E913" s="4"/>
      <c r="F913" s="37"/>
      <c r="G913" s="24"/>
      <c r="H913" s="51">
        <f>Assumptions!$D$15</f>
        <v>0.1</v>
      </c>
      <c r="I913" s="45">
        <f>IF(SO[[#This Row],[GST applies?]] = "Yes", (SO[[#This Row],[Value inc. GST]] / 1 + SO[[#This Row],[GST %]]) * SO[[#This Row],[GST %]], 0)</f>
        <v>0</v>
      </c>
      <c r="J913" s="31">
        <f>_xlfn.XLOOKUP(SO[[#This Row],[Customer name]], Customer_master[Customer name], Customer_master[EOM or Net], 0)</f>
        <v>0</v>
      </c>
      <c r="K913" s="31">
        <f>_xlfn.XLOOKUP(SO[[#This Row],[Customer name]], Customer_master[Customer name], Customer_master[Terms days], 0)</f>
        <v>0</v>
      </c>
      <c r="L9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3" s="4"/>
      <c r="N913" s="46">
        <f>IF(SO[[#This Row],[Collection date - override (dd/mm/yyyy)]] &lt;&gt; "", SO[[#This Row],[Collection date - override (dd/mm/yyyy)]], SO[[#This Row],[Due date (dd/mm/yyyy)]])</f>
        <v>0</v>
      </c>
      <c r="O913" s="46">
        <f t="shared" si="14"/>
        <v>52</v>
      </c>
    </row>
    <row r="914" spans="3:15" x14ac:dyDescent="0.25">
      <c r="C914" s="24"/>
      <c r="D914" s="20"/>
      <c r="E914" s="4"/>
      <c r="F914" s="37"/>
      <c r="G914" s="24"/>
      <c r="H914" s="51">
        <f>Assumptions!$D$15</f>
        <v>0.1</v>
      </c>
      <c r="I914" s="45">
        <f>IF(SO[[#This Row],[GST applies?]] = "Yes", (SO[[#This Row],[Value inc. GST]] / 1 + SO[[#This Row],[GST %]]) * SO[[#This Row],[GST %]], 0)</f>
        <v>0</v>
      </c>
      <c r="J914" s="31">
        <f>_xlfn.XLOOKUP(SO[[#This Row],[Customer name]], Customer_master[Customer name], Customer_master[EOM or Net], 0)</f>
        <v>0</v>
      </c>
      <c r="K914" s="31">
        <f>_xlfn.XLOOKUP(SO[[#This Row],[Customer name]], Customer_master[Customer name], Customer_master[Terms days], 0)</f>
        <v>0</v>
      </c>
      <c r="L9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4" s="4"/>
      <c r="N914" s="46">
        <f>IF(SO[[#This Row],[Collection date - override (dd/mm/yyyy)]] &lt;&gt; "", SO[[#This Row],[Collection date - override (dd/mm/yyyy)]], SO[[#This Row],[Due date (dd/mm/yyyy)]])</f>
        <v>0</v>
      </c>
      <c r="O914" s="46">
        <f t="shared" si="14"/>
        <v>52</v>
      </c>
    </row>
    <row r="915" spans="3:15" x14ac:dyDescent="0.25">
      <c r="C915" s="24"/>
      <c r="D915" s="20"/>
      <c r="E915" s="4"/>
      <c r="F915" s="37"/>
      <c r="G915" s="24"/>
      <c r="H915" s="51">
        <f>Assumptions!$D$15</f>
        <v>0.1</v>
      </c>
      <c r="I915" s="45">
        <f>IF(SO[[#This Row],[GST applies?]] = "Yes", (SO[[#This Row],[Value inc. GST]] / 1 + SO[[#This Row],[GST %]]) * SO[[#This Row],[GST %]], 0)</f>
        <v>0</v>
      </c>
      <c r="J915" s="31">
        <f>_xlfn.XLOOKUP(SO[[#This Row],[Customer name]], Customer_master[Customer name], Customer_master[EOM or Net], 0)</f>
        <v>0</v>
      </c>
      <c r="K915" s="31">
        <f>_xlfn.XLOOKUP(SO[[#This Row],[Customer name]], Customer_master[Customer name], Customer_master[Terms days], 0)</f>
        <v>0</v>
      </c>
      <c r="L9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5" s="4"/>
      <c r="N915" s="46">
        <f>IF(SO[[#This Row],[Collection date - override (dd/mm/yyyy)]] &lt;&gt; "", SO[[#This Row],[Collection date - override (dd/mm/yyyy)]], SO[[#This Row],[Due date (dd/mm/yyyy)]])</f>
        <v>0</v>
      </c>
      <c r="O915" s="46">
        <f t="shared" si="14"/>
        <v>52</v>
      </c>
    </row>
    <row r="916" spans="3:15" x14ac:dyDescent="0.25">
      <c r="C916" s="24"/>
      <c r="D916" s="20"/>
      <c r="E916" s="4"/>
      <c r="F916" s="37"/>
      <c r="G916" s="24"/>
      <c r="H916" s="51">
        <f>Assumptions!$D$15</f>
        <v>0.1</v>
      </c>
      <c r="I916" s="45">
        <f>IF(SO[[#This Row],[GST applies?]] = "Yes", (SO[[#This Row],[Value inc. GST]] / 1 + SO[[#This Row],[GST %]]) * SO[[#This Row],[GST %]], 0)</f>
        <v>0</v>
      </c>
      <c r="J916" s="31">
        <f>_xlfn.XLOOKUP(SO[[#This Row],[Customer name]], Customer_master[Customer name], Customer_master[EOM or Net], 0)</f>
        <v>0</v>
      </c>
      <c r="K916" s="31">
        <f>_xlfn.XLOOKUP(SO[[#This Row],[Customer name]], Customer_master[Customer name], Customer_master[Terms days], 0)</f>
        <v>0</v>
      </c>
      <c r="L9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6" s="4"/>
      <c r="N916" s="46">
        <f>IF(SO[[#This Row],[Collection date - override (dd/mm/yyyy)]] &lt;&gt; "", SO[[#This Row],[Collection date - override (dd/mm/yyyy)]], SO[[#This Row],[Due date (dd/mm/yyyy)]])</f>
        <v>0</v>
      </c>
      <c r="O916" s="46">
        <f t="shared" si="14"/>
        <v>52</v>
      </c>
    </row>
    <row r="917" spans="3:15" x14ac:dyDescent="0.25">
      <c r="C917" s="24"/>
      <c r="D917" s="20"/>
      <c r="E917" s="4"/>
      <c r="F917" s="37"/>
      <c r="G917" s="24"/>
      <c r="H917" s="51">
        <f>Assumptions!$D$15</f>
        <v>0.1</v>
      </c>
      <c r="I917" s="45">
        <f>IF(SO[[#This Row],[GST applies?]] = "Yes", (SO[[#This Row],[Value inc. GST]] / 1 + SO[[#This Row],[GST %]]) * SO[[#This Row],[GST %]], 0)</f>
        <v>0</v>
      </c>
      <c r="J917" s="31">
        <f>_xlfn.XLOOKUP(SO[[#This Row],[Customer name]], Customer_master[Customer name], Customer_master[EOM or Net], 0)</f>
        <v>0</v>
      </c>
      <c r="K917" s="31">
        <f>_xlfn.XLOOKUP(SO[[#This Row],[Customer name]], Customer_master[Customer name], Customer_master[Terms days], 0)</f>
        <v>0</v>
      </c>
      <c r="L9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7" s="4"/>
      <c r="N917" s="46">
        <f>IF(SO[[#This Row],[Collection date - override (dd/mm/yyyy)]] &lt;&gt; "", SO[[#This Row],[Collection date - override (dd/mm/yyyy)]], SO[[#This Row],[Due date (dd/mm/yyyy)]])</f>
        <v>0</v>
      </c>
      <c r="O917" s="46">
        <f t="shared" si="14"/>
        <v>52</v>
      </c>
    </row>
    <row r="918" spans="3:15" x14ac:dyDescent="0.25">
      <c r="C918" s="24"/>
      <c r="D918" s="20"/>
      <c r="E918" s="4"/>
      <c r="F918" s="37"/>
      <c r="G918" s="24"/>
      <c r="H918" s="51">
        <f>Assumptions!$D$15</f>
        <v>0.1</v>
      </c>
      <c r="I918" s="45">
        <f>IF(SO[[#This Row],[GST applies?]] = "Yes", (SO[[#This Row],[Value inc. GST]] / 1 + SO[[#This Row],[GST %]]) * SO[[#This Row],[GST %]], 0)</f>
        <v>0</v>
      </c>
      <c r="J918" s="31">
        <f>_xlfn.XLOOKUP(SO[[#This Row],[Customer name]], Customer_master[Customer name], Customer_master[EOM or Net], 0)</f>
        <v>0</v>
      </c>
      <c r="K918" s="31">
        <f>_xlfn.XLOOKUP(SO[[#This Row],[Customer name]], Customer_master[Customer name], Customer_master[Terms days], 0)</f>
        <v>0</v>
      </c>
      <c r="L9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8" s="4"/>
      <c r="N918" s="46">
        <f>IF(SO[[#This Row],[Collection date - override (dd/mm/yyyy)]] &lt;&gt; "", SO[[#This Row],[Collection date - override (dd/mm/yyyy)]], SO[[#This Row],[Due date (dd/mm/yyyy)]])</f>
        <v>0</v>
      </c>
      <c r="O918" s="46">
        <f t="shared" si="14"/>
        <v>52</v>
      </c>
    </row>
    <row r="919" spans="3:15" x14ac:dyDescent="0.25">
      <c r="C919" s="24"/>
      <c r="D919" s="20"/>
      <c r="E919" s="4"/>
      <c r="F919" s="37"/>
      <c r="G919" s="24"/>
      <c r="H919" s="51">
        <f>Assumptions!$D$15</f>
        <v>0.1</v>
      </c>
      <c r="I919" s="45">
        <f>IF(SO[[#This Row],[GST applies?]] = "Yes", (SO[[#This Row],[Value inc. GST]] / 1 + SO[[#This Row],[GST %]]) * SO[[#This Row],[GST %]], 0)</f>
        <v>0</v>
      </c>
      <c r="J919" s="31">
        <f>_xlfn.XLOOKUP(SO[[#This Row],[Customer name]], Customer_master[Customer name], Customer_master[EOM or Net], 0)</f>
        <v>0</v>
      </c>
      <c r="K919" s="31">
        <f>_xlfn.XLOOKUP(SO[[#This Row],[Customer name]], Customer_master[Customer name], Customer_master[Terms days], 0)</f>
        <v>0</v>
      </c>
      <c r="L9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9" s="4"/>
      <c r="N919" s="46">
        <f>IF(SO[[#This Row],[Collection date - override (dd/mm/yyyy)]] &lt;&gt; "", SO[[#This Row],[Collection date - override (dd/mm/yyyy)]], SO[[#This Row],[Due date (dd/mm/yyyy)]])</f>
        <v>0</v>
      </c>
      <c r="O919" s="46">
        <f t="shared" si="14"/>
        <v>52</v>
      </c>
    </row>
    <row r="920" spans="3:15" x14ac:dyDescent="0.25">
      <c r="C920" s="24"/>
      <c r="D920" s="20"/>
      <c r="E920" s="4"/>
      <c r="F920" s="37"/>
      <c r="G920" s="24"/>
      <c r="H920" s="51">
        <f>Assumptions!$D$15</f>
        <v>0.1</v>
      </c>
      <c r="I920" s="45">
        <f>IF(SO[[#This Row],[GST applies?]] = "Yes", (SO[[#This Row],[Value inc. GST]] / 1 + SO[[#This Row],[GST %]]) * SO[[#This Row],[GST %]], 0)</f>
        <v>0</v>
      </c>
      <c r="J920" s="31">
        <f>_xlfn.XLOOKUP(SO[[#This Row],[Customer name]], Customer_master[Customer name], Customer_master[EOM or Net], 0)</f>
        <v>0</v>
      </c>
      <c r="K920" s="31">
        <f>_xlfn.XLOOKUP(SO[[#This Row],[Customer name]], Customer_master[Customer name], Customer_master[Terms days], 0)</f>
        <v>0</v>
      </c>
      <c r="L9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0" s="4"/>
      <c r="N920" s="46">
        <f>IF(SO[[#This Row],[Collection date - override (dd/mm/yyyy)]] &lt;&gt; "", SO[[#This Row],[Collection date - override (dd/mm/yyyy)]], SO[[#This Row],[Due date (dd/mm/yyyy)]])</f>
        <v>0</v>
      </c>
      <c r="O920" s="46">
        <f t="shared" si="14"/>
        <v>52</v>
      </c>
    </row>
    <row r="921" spans="3:15" x14ac:dyDescent="0.25">
      <c r="C921" s="24"/>
      <c r="D921" s="20"/>
      <c r="E921" s="4"/>
      <c r="F921" s="37"/>
      <c r="G921" s="24"/>
      <c r="H921" s="51">
        <f>Assumptions!$D$15</f>
        <v>0.1</v>
      </c>
      <c r="I921" s="45">
        <f>IF(SO[[#This Row],[GST applies?]] = "Yes", (SO[[#This Row],[Value inc. GST]] / 1 + SO[[#This Row],[GST %]]) * SO[[#This Row],[GST %]], 0)</f>
        <v>0</v>
      </c>
      <c r="J921" s="31">
        <f>_xlfn.XLOOKUP(SO[[#This Row],[Customer name]], Customer_master[Customer name], Customer_master[EOM or Net], 0)</f>
        <v>0</v>
      </c>
      <c r="K921" s="31">
        <f>_xlfn.XLOOKUP(SO[[#This Row],[Customer name]], Customer_master[Customer name], Customer_master[Terms days], 0)</f>
        <v>0</v>
      </c>
      <c r="L9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1" s="4"/>
      <c r="N921" s="46">
        <f>IF(SO[[#This Row],[Collection date - override (dd/mm/yyyy)]] &lt;&gt; "", SO[[#This Row],[Collection date - override (dd/mm/yyyy)]], SO[[#This Row],[Due date (dd/mm/yyyy)]])</f>
        <v>0</v>
      </c>
      <c r="O921" s="46">
        <f t="shared" si="14"/>
        <v>52</v>
      </c>
    </row>
    <row r="922" spans="3:15" x14ac:dyDescent="0.25">
      <c r="C922" s="24"/>
      <c r="D922" s="20"/>
      <c r="E922" s="4"/>
      <c r="F922" s="37"/>
      <c r="G922" s="24"/>
      <c r="H922" s="51">
        <f>Assumptions!$D$15</f>
        <v>0.1</v>
      </c>
      <c r="I922" s="45">
        <f>IF(SO[[#This Row],[GST applies?]] = "Yes", (SO[[#This Row],[Value inc. GST]] / 1 + SO[[#This Row],[GST %]]) * SO[[#This Row],[GST %]], 0)</f>
        <v>0</v>
      </c>
      <c r="J922" s="31">
        <f>_xlfn.XLOOKUP(SO[[#This Row],[Customer name]], Customer_master[Customer name], Customer_master[EOM or Net], 0)</f>
        <v>0</v>
      </c>
      <c r="K922" s="31">
        <f>_xlfn.XLOOKUP(SO[[#This Row],[Customer name]], Customer_master[Customer name], Customer_master[Terms days], 0)</f>
        <v>0</v>
      </c>
      <c r="L9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2" s="4"/>
      <c r="N922" s="46">
        <f>IF(SO[[#This Row],[Collection date - override (dd/mm/yyyy)]] &lt;&gt; "", SO[[#This Row],[Collection date - override (dd/mm/yyyy)]], SO[[#This Row],[Due date (dd/mm/yyyy)]])</f>
        <v>0</v>
      </c>
      <c r="O922" s="46">
        <f t="shared" si="14"/>
        <v>52</v>
      </c>
    </row>
    <row r="923" spans="3:15" x14ac:dyDescent="0.25">
      <c r="C923" s="24"/>
      <c r="D923" s="20"/>
      <c r="E923" s="4"/>
      <c r="F923" s="37"/>
      <c r="G923" s="24"/>
      <c r="H923" s="51">
        <f>Assumptions!$D$15</f>
        <v>0.1</v>
      </c>
      <c r="I923" s="45">
        <f>IF(SO[[#This Row],[GST applies?]] = "Yes", (SO[[#This Row],[Value inc. GST]] / 1 + SO[[#This Row],[GST %]]) * SO[[#This Row],[GST %]], 0)</f>
        <v>0</v>
      </c>
      <c r="J923" s="31">
        <f>_xlfn.XLOOKUP(SO[[#This Row],[Customer name]], Customer_master[Customer name], Customer_master[EOM or Net], 0)</f>
        <v>0</v>
      </c>
      <c r="K923" s="31">
        <f>_xlfn.XLOOKUP(SO[[#This Row],[Customer name]], Customer_master[Customer name], Customer_master[Terms days], 0)</f>
        <v>0</v>
      </c>
      <c r="L9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3" s="4"/>
      <c r="N923" s="46">
        <f>IF(SO[[#This Row],[Collection date - override (dd/mm/yyyy)]] &lt;&gt; "", SO[[#This Row],[Collection date - override (dd/mm/yyyy)]], SO[[#This Row],[Due date (dd/mm/yyyy)]])</f>
        <v>0</v>
      </c>
      <c r="O923" s="46">
        <f t="shared" si="14"/>
        <v>52</v>
      </c>
    </row>
    <row r="924" spans="3:15" x14ac:dyDescent="0.25">
      <c r="C924" s="24"/>
      <c r="D924" s="20"/>
      <c r="E924" s="4"/>
      <c r="F924" s="37"/>
      <c r="G924" s="24"/>
      <c r="H924" s="51">
        <f>Assumptions!$D$15</f>
        <v>0.1</v>
      </c>
      <c r="I924" s="45">
        <f>IF(SO[[#This Row],[GST applies?]] = "Yes", (SO[[#This Row],[Value inc. GST]] / 1 + SO[[#This Row],[GST %]]) * SO[[#This Row],[GST %]], 0)</f>
        <v>0</v>
      </c>
      <c r="J924" s="31">
        <f>_xlfn.XLOOKUP(SO[[#This Row],[Customer name]], Customer_master[Customer name], Customer_master[EOM or Net], 0)</f>
        <v>0</v>
      </c>
      <c r="K924" s="31">
        <f>_xlfn.XLOOKUP(SO[[#This Row],[Customer name]], Customer_master[Customer name], Customer_master[Terms days], 0)</f>
        <v>0</v>
      </c>
      <c r="L9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4" s="4"/>
      <c r="N924" s="46">
        <f>IF(SO[[#This Row],[Collection date - override (dd/mm/yyyy)]] &lt;&gt; "", SO[[#This Row],[Collection date - override (dd/mm/yyyy)]], SO[[#This Row],[Due date (dd/mm/yyyy)]])</f>
        <v>0</v>
      </c>
      <c r="O924" s="46">
        <f t="shared" si="14"/>
        <v>52</v>
      </c>
    </row>
    <row r="925" spans="3:15" x14ac:dyDescent="0.25">
      <c r="C925" s="24"/>
      <c r="D925" s="20"/>
      <c r="E925" s="4"/>
      <c r="F925" s="37"/>
      <c r="G925" s="24"/>
      <c r="H925" s="51">
        <f>Assumptions!$D$15</f>
        <v>0.1</v>
      </c>
      <c r="I925" s="45">
        <f>IF(SO[[#This Row],[GST applies?]] = "Yes", (SO[[#This Row],[Value inc. GST]] / 1 + SO[[#This Row],[GST %]]) * SO[[#This Row],[GST %]], 0)</f>
        <v>0</v>
      </c>
      <c r="J925" s="31">
        <f>_xlfn.XLOOKUP(SO[[#This Row],[Customer name]], Customer_master[Customer name], Customer_master[EOM or Net], 0)</f>
        <v>0</v>
      </c>
      <c r="K925" s="31">
        <f>_xlfn.XLOOKUP(SO[[#This Row],[Customer name]], Customer_master[Customer name], Customer_master[Terms days], 0)</f>
        <v>0</v>
      </c>
      <c r="L9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5" s="4"/>
      <c r="N925" s="46">
        <f>IF(SO[[#This Row],[Collection date - override (dd/mm/yyyy)]] &lt;&gt; "", SO[[#This Row],[Collection date - override (dd/mm/yyyy)]], SO[[#This Row],[Due date (dd/mm/yyyy)]])</f>
        <v>0</v>
      </c>
      <c r="O925" s="46">
        <f t="shared" si="14"/>
        <v>52</v>
      </c>
    </row>
    <row r="926" spans="3:15" x14ac:dyDescent="0.25">
      <c r="C926" s="24"/>
      <c r="D926" s="20"/>
      <c r="E926" s="4"/>
      <c r="F926" s="37"/>
      <c r="G926" s="24"/>
      <c r="H926" s="51">
        <f>Assumptions!$D$15</f>
        <v>0.1</v>
      </c>
      <c r="I926" s="45">
        <f>IF(SO[[#This Row],[GST applies?]] = "Yes", (SO[[#This Row],[Value inc. GST]] / 1 + SO[[#This Row],[GST %]]) * SO[[#This Row],[GST %]], 0)</f>
        <v>0</v>
      </c>
      <c r="J926" s="31">
        <f>_xlfn.XLOOKUP(SO[[#This Row],[Customer name]], Customer_master[Customer name], Customer_master[EOM or Net], 0)</f>
        <v>0</v>
      </c>
      <c r="K926" s="31">
        <f>_xlfn.XLOOKUP(SO[[#This Row],[Customer name]], Customer_master[Customer name], Customer_master[Terms days], 0)</f>
        <v>0</v>
      </c>
      <c r="L9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6" s="4"/>
      <c r="N926" s="46">
        <f>IF(SO[[#This Row],[Collection date - override (dd/mm/yyyy)]] &lt;&gt; "", SO[[#This Row],[Collection date - override (dd/mm/yyyy)]], SO[[#This Row],[Due date (dd/mm/yyyy)]])</f>
        <v>0</v>
      </c>
      <c r="O926" s="46">
        <f t="shared" si="14"/>
        <v>52</v>
      </c>
    </row>
    <row r="927" spans="3:15" x14ac:dyDescent="0.25">
      <c r="C927" s="24"/>
      <c r="D927" s="20"/>
      <c r="E927" s="4"/>
      <c r="F927" s="37"/>
      <c r="G927" s="24"/>
      <c r="H927" s="51">
        <f>Assumptions!$D$15</f>
        <v>0.1</v>
      </c>
      <c r="I927" s="45">
        <f>IF(SO[[#This Row],[GST applies?]] = "Yes", (SO[[#This Row],[Value inc. GST]] / 1 + SO[[#This Row],[GST %]]) * SO[[#This Row],[GST %]], 0)</f>
        <v>0</v>
      </c>
      <c r="J927" s="31">
        <f>_xlfn.XLOOKUP(SO[[#This Row],[Customer name]], Customer_master[Customer name], Customer_master[EOM or Net], 0)</f>
        <v>0</v>
      </c>
      <c r="K927" s="31">
        <f>_xlfn.XLOOKUP(SO[[#This Row],[Customer name]], Customer_master[Customer name], Customer_master[Terms days], 0)</f>
        <v>0</v>
      </c>
      <c r="L9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7" s="4"/>
      <c r="N927" s="46">
        <f>IF(SO[[#This Row],[Collection date - override (dd/mm/yyyy)]] &lt;&gt; "", SO[[#This Row],[Collection date - override (dd/mm/yyyy)]], SO[[#This Row],[Due date (dd/mm/yyyy)]])</f>
        <v>0</v>
      </c>
      <c r="O927" s="46">
        <f t="shared" si="14"/>
        <v>52</v>
      </c>
    </row>
    <row r="928" spans="3:15" x14ac:dyDescent="0.25">
      <c r="C928" s="24"/>
      <c r="D928" s="20"/>
      <c r="E928" s="4"/>
      <c r="F928" s="37"/>
      <c r="G928" s="24"/>
      <c r="H928" s="51">
        <f>Assumptions!$D$15</f>
        <v>0.1</v>
      </c>
      <c r="I928" s="45">
        <f>IF(SO[[#This Row],[GST applies?]] = "Yes", (SO[[#This Row],[Value inc. GST]] / 1 + SO[[#This Row],[GST %]]) * SO[[#This Row],[GST %]], 0)</f>
        <v>0</v>
      </c>
      <c r="J928" s="31">
        <f>_xlfn.XLOOKUP(SO[[#This Row],[Customer name]], Customer_master[Customer name], Customer_master[EOM or Net], 0)</f>
        <v>0</v>
      </c>
      <c r="K928" s="31">
        <f>_xlfn.XLOOKUP(SO[[#This Row],[Customer name]], Customer_master[Customer name], Customer_master[Terms days], 0)</f>
        <v>0</v>
      </c>
      <c r="L9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8" s="4"/>
      <c r="N928" s="46">
        <f>IF(SO[[#This Row],[Collection date - override (dd/mm/yyyy)]] &lt;&gt; "", SO[[#This Row],[Collection date - override (dd/mm/yyyy)]], SO[[#This Row],[Due date (dd/mm/yyyy)]])</f>
        <v>0</v>
      </c>
      <c r="O928" s="46">
        <f t="shared" si="14"/>
        <v>52</v>
      </c>
    </row>
    <row r="929" spans="3:15" x14ac:dyDescent="0.25">
      <c r="C929" s="24"/>
      <c r="D929" s="20"/>
      <c r="E929" s="4"/>
      <c r="F929" s="37"/>
      <c r="G929" s="24"/>
      <c r="H929" s="51">
        <f>Assumptions!$D$15</f>
        <v>0.1</v>
      </c>
      <c r="I929" s="45">
        <f>IF(SO[[#This Row],[GST applies?]] = "Yes", (SO[[#This Row],[Value inc. GST]] / 1 + SO[[#This Row],[GST %]]) * SO[[#This Row],[GST %]], 0)</f>
        <v>0</v>
      </c>
      <c r="J929" s="31">
        <f>_xlfn.XLOOKUP(SO[[#This Row],[Customer name]], Customer_master[Customer name], Customer_master[EOM or Net], 0)</f>
        <v>0</v>
      </c>
      <c r="K929" s="31">
        <f>_xlfn.XLOOKUP(SO[[#This Row],[Customer name]], Customer_master[Customer name], Customer_master[Terms days], 0)</f>
        <v>0</v>
      </c>
      <c r="L9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9" s="4"/>
      <c r="N929" s="46">
        <f>IF(SO[[#This Row],[Collection date - override (dd/mm/yyyy)]] &lt;&gt; "", SO[[#This Row],[Collection date - override (dd/mm/yyyy)]], SO[[#This Row],[Due date (dd/mm/yyyy)]])</f>
        <v>0</v>
      </c>
      <c r="O929" s="46">
        <f t="shared" si="14"/>
        <v>52</v>
      </c>
    </row>
    <row r="930" spans="3:15" x14ac:dyDescent="0.25">
      <c r="C930" s="24"/>
      <c r="D930" s="20"/>
      <c r="E930" s="4"/>
      <c r="F930" s="37"/>
      <c r="G930" s="24"/>
      <c r="H930" s="51">
        <f>Assumptions!$D$15</f>
        <v>0.1</v>
      </c>
      <c r="I930" s="45">
        <f>IF(SO[[#This Row],[GST applies?]] = "Yes", (SO[[#This Row],[Value inc. GST]] / 1 + SO[[#This Row],[GST %]]) * SO[[#This Row],[GST %]], 0)</f>
        <v>0</v>
      </c>
      <c r="J930" s="31">
        <f>_xlfn.XLOOKUP(SO[[#This Row],[Customer name]], Customer_master[Customer name], Customer_master[EOM or Net], 0)</f>
        <v>0</v>
      </c>
      <c r="K930" s="31">
        <f>_xlfn.XLOOKUP(SO[[#This Row],[Customer name]], Customer_master[Customer name], Customer_master[Terms days], 0)</f>
        <v>0</v>
      </c>
      <c r="L9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0" s="4"/>
      <c r="N930" s="46">
        <f>IF(SO[[#This Row],[Collection date - override (dd/mm/yyyy)]] &lt;&gt; "", SO[[#This Row],[Collection date - override (dd/mm/yyyy)]], SO[[#This Row],[Due date (dd/mm/yyyy)]])</f>
        <v>0</v>
      </c>
      <c r="O930" s="46">
        <f t="shared" si="14"/>
        <v>52</v>
      </c>
    </row>
    <row r="931" spans="3:15" x14ac:dyDescent="0.25">
      <c r="C931" s="24"/>
      <c r="D931" s="20"/>
      <c r="E931" s="4"/>
      <c r="F931" s="37"/>
      <c r="G931" s="24"/>
      <c r="H931" s="51">
        <f>Assumptions!$D$15</f>
        <v>0.1</v>
      </c>
      <c r="I931" s="45">
        <f>IF(SO[[#This Row],[GST applies?]] = "Yes", (SO[[#This Row],[Value inc. GST]] / 1 + SO[[#This Row],[GST %]]) * SO[[#This Row],[GST %]], 0)</f>
        <v>0</v>
      </c>
      <c r="J931" s="31">
        <f>_xlfn.XLOOKUP(SO[[#This Row],[Customer name]], Customer_master[Customer name], Customer_master[EOM or Net], 0)</f>
        <v>0</v>
      </c>
      <c r="K931" s="31">
        <f>_xlfn.XLOOKUP(SO[[#This Row],[Customer name]], Customer_master[Customer name], Customer_master[Terms days], 0)</f>
        <v>0</v>
      </c>
      <c r="L9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1" s="4"/>
      <c r="N931" s="46">
        <f>IF(SO[[#This Row],[Collection date - override (dd/mm/yyyy)]] &lt;&gt; "", SO[[#This Row],[Collection date - override (dd/mm/yyyy)]], SO[[#This Row],[Due date (dd/mm/yyyy)]])</f>
        <v>0</v>
      </c>
      <c r="O931" s="46">
        <f t="shared" si="14"/>
        <v>52</v>
      </c>
    </row>
    <row r="932" spans="3:15" x14ac:dyDescent="0.25">
      <c r="C932" s="24"/>
      <c r="D932" s="20"/>
      <c r="E932" s="4"/>
      <c r="F932" s="37"/>
      <c r="G932" s="24"/>
      <c r="H932" s="51">
        <f>Assumptions!$D$15</f>
        <v>0.1</v>
      </c>
      <c r="I932" s="45">
        <f>IF(SO[[#This Row],[GST applies?]] = "Yes", (SO[[#This Row],[Value inc. GST]] / 1 + SO[[#This Row],[GST %]]) * SO[[#This Row],[GST %]], 0)</f>
        <v>0</v>
      </c>
      <c r="J932" s="31">
        <f>_xlfn.XLOOKUP(SO[[#This Row],[Customer name]], Customer_master[Customer name], Customer_master[EOM or Net], 0)</f>
        <v>0</v>
      </c>
      <c r="K932" s="31">
        <f>_xlfn.XLOOKUP(SO[[#This Row],[Customer name]], Customer_master[Customer name], Customer_master[Terms days], 0)</f>
        <v>0</v>
      </c>
      <c r="L9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2" s="4"/>
      <c r="N932" s="46">
        <f>IF(SO[[#This Row],[Collection date - override (dd/mm/yyyy)]] &lt;&gt; "", SO[[#This Row],[Collection date - override (dd/mm/yyyy)]], SO[[#This Row],[Due date (dd/mm/yyyy)]])</f>
        <v>0</v>
      </c>
      <c r="O932" s="46">
        <f t="shared" si="14"/>
        <v>52</v>
      </c>
    </row>
    <row r="933" spans="3:15" x14ac:dyDescent="0.25">
      <c r="C933" s="24"/>
      <c r="D933" s="20"/>
      <c r="E933" s="4"/>
      <c r="F933" s="37"/>
      <c r="G933" s="24"/>
      <c r="H933" s="51">
        <f>Assumptions!$D$15</f>
        <v>0.1</v>
      </c>
      <c r="I933" s="45">
        <f>IF(SO[[#This Row],[GST applies?]] = "Yes", (SO[[#This Row],[Value inc. GST]] / 1 + SO[[#This Row],[GST %]]) * SO[[#This Row],[GST %]], 0)</f>
        <v>0</v>
      </c>
      <c r="J933" s="31">
        <f>_xlfn.XLOOKUP(SO[[#This Row],[Customer name]], Customer_master[Customer name], Customer_master[EOM or Net], 0)</f>
        <v>0</v>
      </c>
      <c r="K933" s="31">
        <f>_xlfn.XLOOKUP(SO[[#This Row],[Customer name]], Customer_master[Customer name], Customer_master[Terms days], 0)</f>
        <v>0</v>
      </c>
      <c r="L9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3" s="4"/>
      <c r="N933" s="46">
        <f>IF(SO[[#This Row],[Collection date - override (dd/mm/yyyy)]] &lt;&gt; "", SO[[#This Row],[Collection date - override (dd/mm/yyyy)]], SO[[#This Row],[Due date (dd/mm/yyyy)]])</f>
        <v>0</v>
      </c>
      <c r="O933" s="46">
        <f t="shared" si="14"/>
        <v>52</v>
      </c>
    </row>
    <row r="934" spans="3:15" x14ac:dyDescent="0.25">
      <c r="C934" s="24"/>
      <c r="D934" s="20"/>
      <c r="E934" s="4"/>
      <c r="F934" s="37"/>
      <c r="G934" s="24"/>
      <c r="H934" s="51">
        <f>Assumptions!$D$15</f>
        <v>0.1</v>
      </c>
      <c r="I934" s="45">
        <f>IF(SO[[#This Row],[GST applies?]] = "Yes", (SO[[#This Row],[Value inc. GST]] / 1 + SO[[#This Row],[GST %]]) * SO[[#This Row],[GST %]], 0)</f>
        <v>0</v>
      </c>
      <c r="J934" s="31">
        <f>_xlfn.XLOOKUP(SO[[#This Row],[Customer name]], Customer_master[Customer name], Customer_master[EOM or Net], 0)</f>
        <v>0</v>
      </c>
      <c r="K934" s="31">
        <f>_xlfn.XLOOKUP(SO[[#This Row],[Customer name]], Customer_master[Customer name], Customer_master[Terms days], 0)</f>
        <v>0</v>
      </c>
      <c r="L9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4" s="4"/>
      <c r="N934" s="46">
        <f>IF(SO[[#This Row],[Collection date - override (dd/mm/yyyy)]] &lt;&gt; "", SO[[#This Row],[Collection date - override (dd/mm/yyyy)]], SO[[#This Row],[Due date (dd/mm/yyyy)]])</f>
        <v>0</v>
      </c>
      <c r="O934" s="46">
        <f t="shared" si="14"/>
        <v>52</v>
      </c>
    </row>
    <row r="935" spans="3:15" x14ac:dyDescent="0.25">
      <c r="C935" s="24"/>
      <c r="D935" s="20"/>
      <c r="E935" s="4"/>
      <c r="F935" s="37"/>
      <c r="G935" s="24"/>
      <c r="H935" s="51">
        <f>Assumptions!$D$15</f>
        <v>0.1</v>
      </c>
      <c r="I935" s="45">
        <f>IF(SO[[#This Row],[GST applies?]] = "Yes", (SO[[#This Row],[Value inc. GST]] / 1 + SO[[#This Row],[GST %]]) * SO[[#This Row],[GST %]], 0)</f>
        <v>0</v>
      </c>
      <c r="J935" s="31">
        <f>_xlfn.XLOOKUP(SO[[#This Row],[Customer name]], Customer_master[Customer name], Customer_master[EOM or Net], 0)</f>
        <v>0</v>
      </c>
      <c r="K935" s="31">
        <f>_xlfn.XLOOKUP(SO[[#This Row],[Customer name]], Customer_master[Customer name], Customer_master[Terms days], 0)</f>
        <v>0</v>
      </c>
      <c r="L9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5" s="4"/>
      <c r="N935" s="46">
        <f>IF(SO[[#This Row],[Collection date - override (dd/mm/yyyy)]] &lt;&gt; "", SO[[#This Row],[Collection date - override (dd/mm/yyyy)]], SO[[#This Row],[Due date (dd/mm/yyyy)]])</f>
        <v>0</v>
      </c>
      <c r="O935" s="46">
        <f t="shared" si="14"/>
        <v>52</v>
      </c>
    </row>
    <row r="936" spans="3:15" x14ac:dyDescent="0.25">
      <c r="C936" s="24"/>
      <c r="D936" s="20"/>
      <c r="E936" s="4"/>
      <c r="F936" s="37"/>
      <c r="G936" s="24"/>
      <c r="H936" s="51">
        <f>Assumptions!$D$15</f>
        <v>0.1</v>
      </c>
      <c r="I936" s="45">
        <f>IF(SO[[#This Row],[GST applies?]] = "Yes", (SO[[#This Row],[Value inc. GST]] / 1 + SO[[#This Row],[GST %]]) * SO[[#This Row],[GST %]], 0)</f>
        <v>0</v>
      </c>
      <c r="J936" s="31">
        <f>_xlfn.XLOOKUP(SO[[#This Row],[Customer name]], Customer_master[Customer name], Customer_master[EOM or Net], 0)</f>
        <v>0</v>
      </c>
      <c r="K936" s="31">
        <f>_xlfn.XLOOKUP(SO[[#This Row],[Customer name]], Customer_master[Customer name], Customer_master[Terms days], 0)</f>
        <v>0</v>
      </c>
      <c r="L9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6" s="4"/>
      <c r="N936" s="46">
        <f>IF(SO[[#This Row],[Collection date - override (dd/mm/yyyy)]] &lt;&gt; "", SO[[#This Row],[Collection date - override (dd/mm/yyyy)]], SO[[#This Row],[Due date (dd/mm/yyyy)]])</f>
        <v>0</v>
      </c>
      <c r="O936" s="46">
        <f t="shared" si="14"/>
        <v>52</v>
      </c>
    </row>
    <row r="937" spans="3:15" x14ac:dyDescent="0.25">
      <c r="C937" s="24"/>
      <c r="D937" s="20"/>
      <c r="E937" s="4"/>
      <c r="F937" s="37"/>
      <c r="G937" s="24"/>
      <c r="H937" s="51">
        <f>Assumptions!$D$15</f>
        <v>0.1</v>
      </c>
      <c r="I937" s="45">
        <f>IF(SO[[#This Row],[GST applies?]] = "Yes", (SO[[#This Row],[Value inc. GST]] / 1 + SO[[#This Row],[GST %]]) * SO[[#This Row],[GST %]], 0)</f>
        <v>0</v>
      </c>
      <c r="J937" s="31">
        <f>_xlfn.XLOOKUP(SO[[#This Row],[Customer name]], Customer_master[Customer name], Customer_master[EOM or Net], 0)</f>
        <v>0</v>
      </c>
      <c r="K937" s="31">
        <f>_xlfn.XLOOKUP(SO[[#This Row],[Customer name]], Customer_master[Customer name], Customer_master[Terms days], 0)</f>
        <v>0</v>
      </c>
      <c r="L9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7" s="4"/>
      <c r="N937" s="46">
        <f>IF(SO[[#This Row],[Collection date - override (dd/mm/yyyy)]] &lt;&gt; "", SO[[#This Row],[Collection date - override (dd/mm/yyyy)]], SO[[#This Row],[Due date (dd/mm/yyyy)]])</f>
        <v>0</v>
      </c>
      <c r="O937" s="46">
        <f t="shared" si="14"/>
        <v>52</v>
      </c>
    </row>
    <row r="938" spans="3:15" x14ac:dyDescent="0.25">
      <c r="C938" s="24"/>
      <c r="D938" s="20"/>
      <c r="E938" s="4"/>
      <c r="F938" s="37"/>
      <c r="G938" s="24"/>
      <c r="H938" s="51">
        <f>Assumptions!$D$15</f>
        <v>0.1</v>
      </c>
      <c r="I938" s="45">
        <f>IF(SO[[#This Row],[GST applies?]] = "Yes", (SO[[#This Row],[Value inc. GST]] / 1 + SO[[#This Row],[GST %]]) * SO[[#This Row],[GST %]], 0)</f>
        <v>0</v>
      </c>
      <c r="J938" s="31">
        <f>_xlfn.XLOOKUP(SO[[#This Row],[Customer name]], Customer_master[Customer name], Customer_master[EOM or Net], 0)</f>
        <v>0</v>
      </c>
      <c r="K938" s="31">
        <f>_xlfn.XLOOKUP(SO[[#This Row],[Customer name]], Customer_master[Customer name], Customer_master[Terms days], 0)</f>
        <v>0</v>
      </c>
      <c r="L9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8" s="4"/>
      <c r="N938" s="46">
        <f>IF(SO[[#This Row],[Collection date - override (dd/mm/yyyy)]] &lt;&gt; "", SO[[#This Row],[Collection date - override (dd/mm/yyyy)]], SO[[#This Row],[Due date (dd/mm/yyyy)]])</f>
        <v>0</v>
      </c>
      <c r="O938" s="46">
        <f t="shared" si="14"/>
        <v>52</v>
      </c>
    </row>
    <row r="939" spans="3:15" x14ac:dyDescent="0.25">
      <c r="C939" s="24"/>
      <c r="D939" s="20"/>
      <c r="E939" s="4"/>
      <c r="F939" s="37"/>
      <c r="G939" s="24"/>
      <c r="H939" s="51">
        <f>Assumptions!$D$15</f>
        <v>0.1</v>
      </c>
      <c r="I939" s="45">
        <f>IF(SO[[#This Row],[GST applies?]] = "Yes", (SO[[#This Row],[Value inc. GST]] / 1 + SO[[#This Row],[GST %]]) * SO[[#This Row],[GST %]], 0)</f>
        <v>0</v>
      </c>
      <c r="J939" s="31">
        <f>_xlfn.XLOOKUP(SO[[#This Row],[Customer name]], Customer_master[Customer name], Customer_master[EOM or Net], 0)</f>
        <v>0</v>
      </c>
      <c r="K939" s="31">
        <f>_xlfn.XLOOKUP(SO[[#This Row],[Customer name]], Customer_master[Customer name], Customer_master[Terms days], 0)</f>
        <v>0</v>
      </c>
      <c r="L9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9" s="4"/>
      <c r="N939" s="46">
        <f>IF(SO[[#This Row],[Collection date - override (dd/mm/yyyy)]] &lt;&gt; "", SO[[#This Row],[Collection date - override (dd/mm/yyyy)]], SO[[#This Row],[Due date (dd/mm/yyyy)]])</f>
        <v>0</v>
      </c>
      <c r="O939" s="46">
        <f t="shared" si="14"/>
        <v>52</v>
      </c>
    </row>
    <row r="940" spans="3:15" x14ac:dyDescent="0.25">
      <c r="C940" s="24"/>
      <c r="D940" s="20"/>
      <c r="E940" s="4"/>
      <c r="F940" s="37"/>
      <c r="G940" s="24"/>
      <c r="H940" s="51">
        <f>Assumptions!$D$15</f>
        <v>0.1</v>
      </c>
      <c r="I940" s="45">
        <f>IF(SO[[#This Row],[GST applies?]] = "Yes", (SO[[#This Row],[Value inc. GST]] / 1 + SO[[#This Row],[GST %]]) * SO[[#This Row],[GST %]], 0)</f>
        <v>0</v>
      </c>
      <c r="J940" s="31">
        <f>_xlfn.XLOOKUP(SO[[#This Row],[Customer name]], Customer_master[Customer name], Customer_master[EOM or Net], 0)</f>
        <v>0</v>
      </c>
      <c r="K940" s="31">
        <f>_xlfn.XLOOKUP(SO[[#This Row],[Customer name]], Customer_master[Customer name], Customer_master[Terms days], 0)</f>
        <v>0</v>
      </c>
      <c r="L9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0" s="4"/>
      <c r="N940" s="46">
        <f>IF(SO[[#This Row],[Collection date - override (dd/mm/yyyy)]] &lt;&gt; "", SO[[#This Row],[Collection date - override (dd/mm/yyyy)]], SO[[#This Row],[Due date (dd/mm/yyyy)]])</f>
        <v>0</v>
      </c>
      <c r="O940" s="46">
        <f t="shared" si="14"/>
        <v>52</v>
      </c>
    </row>
    <row r="941" spans="3:15" x14ac:dyDescent="0.25">
      <c r="C941" s="24"/>
      <c r="D941" s="20"/>
      <c r="E941" s="4"/>
      <c r="F941" s="37"/>
      <c r="G941" s="24"/>
      <c r="H941" s="51">
        <f>Assumptions!$D$15</f>
        <v>0.1</v>
      </c>
      <c r="I941" s="45">
        <f>IF(SO[[#This Row],[GST applies?]] = "Yes", (SO[[#This Row],[Value inc. GST]] / 1 + SO[[#This Row],[GST %]]) * SO[[#This Row],[GST %]], 0)</f>
        <v>0</v>
      </c>
      <c r="J941" s="31">
        <f>_xlfn.XLOOKUP(SO[[#This Row],[Customer name]], Customer_master[Customer name], Customer_master[EOM or Net], 0)</f>
        <v>0</v>
      </c>
      <c r="K941" s="31">
        <f>_xlfn.XLOOKUP(SO[[#This Row],[Customer name]], Customer_master[Customer name], Customer_master[Terms days], 0)</f>
        <v>0</v>
      </c>
      <c r="L9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1" s="4"/>
      <c r="N941" s="46">
        <f>IF(SO[[#This Row],[Collection date - override (dd/mm/yyyy)]] &lt;&gt; "", SO[[#This Row],[Collection date - override (dd/mm/yyyy)]], SO[[#This Row],[Due date (dd/mm/yyyy)]])</f>
        <v>0</v>
      </c>
      <c r="O941" s="46">
        <f t="shared" si="14"/>
        <v>52</v>
      </c>
    </row>
    <row r="942" spans="3:15" x14ac:dyDescent="0.25">
      <c r="C942" s="24"/>
      <c r="D942" s="20"/>
      <c r="E942" s="4"/>
      <c r="F942" s="37"/>
      <c r="G942" s="24"/>
      <c r="H942" s="51">
        <f>Assumptions!$D$15</f>
        <v>0.1</v>
      </c>
      <c r="I942" s="45">
        <f>IF(SO[[#This Row],[GST applies?]] = "Yes", (SO[[#This Row],[Value inc. GST]] / 1 + SO[[#This Row],[GST %]]) * SO[[#This Row],[GST %]], 0)</f>
        <v>0</v>
      </c>
      <c r="J942" s="31">
        <f>_xlfn.XLOOKUP(SO[[#This Row],[Customer name]], Customer_master[Customer name], Customer_master[EOM or Net], 0)</f>
        <v>0</v>
      </c>
      <c r="K942" s="31">
        <f>_xlfn.XLOOKUP(SO[[#This Row],[Customer name]], Customer_master[Customer name], Customer_master[Terms days], 0)</f>
        <v>0</v>
      </c>
      <c r="L9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2" s="4"/>
      <c r="N942" s="46">
        <f>IF(SO[[#This Row],[Collection date - override (dd/mm/yyyy)]] &lt;&gt; "", SO[[#This Row],[Collection date - override (dd/mm/yyyy)]], SO[[#This Row],[Due date (dd/mm/yyyy)]])</f>
        <v>0</v>
      </c>
      <c r="O942" s="46">
        <f t="shared" si="14"/>
        <v>52</v>
      </c>
    </row>
    <row r="943" spans="3:15" x14ac:dyDescent="0.25">
      <c r="C943" s="24"/>
      <c r="D943" s="20"/>
      <c r="E943" s="4"/>
      <c r="F943" s="37"/>
      <c r="G943" s="24"/>
      <c r="H943" s="51">
        <f>Assumptions!$D$15</f>
        <v>0.1</v>
      </c>
      <c r="I943" s="45">
        <f>IF(SO[[#This Row],[GST applies?]] = "Yes", (SO[[#This Row],[Value inc. GST]] / 1 + SO[[#This Row],[GST %]]) * SO[[#This Row],[GST %]], 0)</f>
        <v>0</v>
      </c>
      <c r="J943" s="31">
        <f>_xlfn.XLOOKUP(SO[[#This Row],[Customer name]], Customer_master[Customer name], Customer_master[EOM or Net], 0)</f>
        <v>0</v>
      </c>
      <c r="K943" s="31">
        <f>_xlfn.XLOOKUP(SO[[#This Row],[Customer name]], Customer_master[Customer name], Customer_master[Terms days], 0)</f>
        <v>0</v>
      </c>
      <c r="L9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3" s="4"/>
      <c r="N943" s="46">
        <f>IF(SO[[#This Row],[Collection date - override (dd/mm/yyyy)]] &lt;&gt; "", SO[[#This Row],[Collection date - override (dd/mm/yyyy)]], SO[[#This Row],[Due date (dd/mm/yyyy)]])</f>
        <v>0</v>
      </c>
      <c r="O943" s="46">
        <f t="shared" si="14"/>
        <v>52</v>
      </c>
    </row>
    <row r="944" spans="3:15" x14ac:dyDescent="0.25">
      <c r="C944" s="24"/>
      <c r="D944" s="20"/>
      <c r="E944" s="4"/>
      <c r="F944" s="37"/>
      <c r="G944" s="24"/>
      <c r="H944" s="51">
        <f>Assumptions!$D$15</f>
        <v>0.1</v>
      </c>
      <c r="I944" s="45">
        <f>IF(SO[[#This Row],[GST applies?]] = "Yes", (SO[[#This Row],[Value inc. GST]] / 1 + SO[[#This Row],[GST %]]) * SO[[#This Row],[GST %]], 0)</f>
        <v>0</v>
      </c>
      <c r="J944" s="31">
        <f>_xlfn.XLOOKUP(SO[[#This Row],[Customer name]], Customer_master[Customer name], Customer_master[EOM or Net], 0)</f>
        <v>0</v>
      </c>
      <c r="K944" s="31">
        <f>_xlfn.XLOOKUP(SO[[#This Row],[Customer name]], Customer_master[Customer name], Customer_master[Terms days], 0)</f>
        <v>0</v>
      </c>
      <c r="L9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4" s="4"/>
      <c r="N944" s="46">
        <f>IF(SO[[#This Row],[Collection date - override (dd/mm/yyyy)]] &lt;&gt; "", SO[[#This Row],[Collection date - override (dd/mm/yyyy)]], SO[[#This Row],[Due date (dd/mm/yyyy)]])</f>
        <v>0</v>
      </c>
      <c r="O944" s="46">
        <f t="shared" si="14"/>
        <v>52</v>
      </c>
    </row>
    <row r="945" spans="3:15" x14ac:dyDescent="0.25">
      <c r="C945" s="24"/>
      <c r="D945" s="20"/>
      <c r="E945" s="4"/>
      <c r="F945" s="37"/>
      <c r="G945" s="24"/>
      <c r="H945" s="51">
        <f>Assumptions!$D$15</f>
        <v>0.1</v>
      </c>
      <c r="I945" s="45">
        <f>IF(SO[[#This Row],[GST applies?]] = "Yes", (SO[[#This Row],[Value inc. GST]] / 1 + SO[[#This Row],[GST %]]) * SO[[#This Row],[GST %]], 0)</f>
        <v>0</v>
      </c>
      <c r="J945" s="31">
        <f>_xlfn.XLOOKUP(SO[[#This Row],[Customer name]], Customer_master[Customer name], Customer_master[EOM or Net], 0)</f>
        <v>0</v>
      </c>
      <c r="K945" s="31">
        <f>_xlfn.XLOOKUP(SO[[#This Row],[Customer name]], Customer_master[Customer name], Customer_master[Terms days], 0)</f>
        <v>0</v>
      </c>
      <c r="L9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5" s="4"/>
      <c r="N945" s="46">
        <f>IF(SO[[#This Row],[Collection date - override (dd/mm/yyyy)]] &lt;&gt; "", SO[[#This Row],[Collection date - override (dd/mm/yyyy)]], SO[[#This Row],[Due date (dd/mm/yyyy)]])</f>
        <v>0</v>
      </c>
      <c r="O945" s="46">
        <f t="shared" si="14"/>
        <v>52</v>
      </c>
    </row>
    <row r="946" spans="3:15" x14ac:dyDescent="0.25">
      <c r="C946" s="24"/>
      <c r="D946" s="20"/>
      <c r="E946" s="4"/>
      <c r="F946" s="37"/>
      <c r="G946" s="24"/>
      <c r="H946" s="51">
        <f>Assumptions!$D$15</f>
        <v>0.1</v>
      </c>
      <c r="I946" s="45">
        <f>IF(SO[[#This Row],[GST applies?]] = "Yes", (SO[[#This Row],[Value inc. GST]] / 1 + SO[[#This Row],[GST %]]) * SO[[#This Row],[GST %]], 0)</f>
        <v>0</v>
      </c>
      <c r="J946" s="31">
        <f>_xlfn.XLOOKUP(SO[[#This Row],[Customer name]], Customer_master[Customer name], Customer_master[EOM or Net], 0)</f>
        <v>0</v>
      </c>
      <c r="K946" s="31">
        <f>_xlfn.XLOOKUP(SO[[#This Row],[Customer name]], Customer_master[Customer name], Customer_master[Terms days], 0)</f>
        <v>0</v>
      </c>
      <c r="L9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6" s="4"/>
      <c r="N946" s="46">
        <f>IF(SO[[#This Row],[Collection date - override (dd/mm/yyyy)]] &lt;&gt; "", SO[[#This Row],[Collection date - override (dd/mm/yyyy)]], SO[[#This Row],[Due date (dd/mm/yyyy)]])</f>
        <v>0</v>
      </c>
      <c r="O946" s="46">
        <f t="shared" si="14"/>
        <v>52</v>
      </c>
    </row>
    <row r="947" spans="3:15" x14ac:dyDescent="0.25">
      <c r="C947" s="24"/>
      <c r="D947" s="20"/>
      <c r="E947" s="4"/>
      <c r="F947" s="37"/>
      <c r="G947" s="24"/>
      <c r="H947" s="51">
        <f>Assumptions!$D$15</f>
        <v>0.1</v>
      </c>
      <c r="I947" s="45">
        <f>IF(SO[[#This Row],[GST applies?]] = "Yes", (SO[[#This Row],[Value inc. GST]] / 1 + SO[[#This Row],[GST %]]) * SO[[#This Row],[GST %]], 0)</f>
        <v>0</v>
      </c>
      <c r="J947" s="31">
        <f>_xlfn.XLOOKUP(SO[[#This Row],[Customer name]], Customer_master[Customer name], Customer_master[EOM or Net], 0)</f>
        <v>0</v>
      </c>
      <c r="K947" s="31">
        <f>_xlfn.XLOOKUP(SO[[#This Row],[Customer name]], Customer_master[Customer name], Customer_master[Terms days], 0)</f>
        <v>0</v>
      </c>
      <c r="L9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7" s="4"/>
      <c r="N947" s="46">
        <f>IF(SO[[#This Row],[Collection date - override (dd/mm/yyyy)]] &lt;&gt; "", SO[[#This Row],[Collection date - override (dd/mm/yyyy)]], SO[[#This Row],[Due date (dd/mm/yyyy)]])</f>
        <v>0</v>
      </c>
      <c r="O947" s="46">
        <f t="shared" si="14"/>
        <v>52</v>
      </c>
    </row>
    <row r="948" spans="3:15" x14ac:dyDescent="0.25">
      <c r="C948" s="24"/>
      <c r="D948" s="20"/>
      <c r="E948" s="4"/>
      <c r="F948" s="37"/>
      <c r="G948" s="24"/>
      <c r="H948" s="51">
        <f>Assumptions!$D$15</f>
        <v>0.1</v>
      </c>
      <c r="I948" s="45">
        <f>IF(SO[[#This Row],[GST applies?]] = "Yes", (SO[[#This Row],[Value inc. GST]] / 1 + SO[[#This Row],[GST %]]) * SO[[#This Row],[GST %]], 0)</f>
        <v>0</v>
      </c>
      <c r="J948" s="31">
        <f>_xlfn.XLOOKUP(SO[[#This Row],[Customer name]], Customer_master[Customer name], Customer_master[EOM or Net], 0)</f>
        <v>0</v>
      </c>
      <c r="K948" s="31">
        <f>_xlfn.XLOOKUP(SO[[#This Row],[Customer name]], Customer_master[Customer name], Customer_master[Terms days], 0)</f>
        <v>0</v>
      </c>
      <c r="L9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8" s="4"/>
      <c r="N948" s="46">
        <f>IF(SO[[#This Row],[Collection date - override (dd/mm/yyyy)]] &lt;&gt; "", SO[[#This Row],[Collection date - override (dd/mm/yyyy)]], SO[[#This Row],[Due date (dd/mm/yyyy)]])</f>
        <v>0</v>
      </c>
      <c r="O948" s="46">
        <f t="shared" si="14"/>
        <v>52</v>
      </c>
    </row>
    <row r="949" spans="3:15" x14ac:dyDescent="0.25">
      <c r="C949" s="24"/>
      <c r="D949" s="20"/>
      <c r="E949" s="4"/>
      <c r="F949" s="37"/>
      <c r="G949" s="24"/>
      <c r="H949" s="51">
        <f>Assumptions!$D$15</f>
        <v>0.1</v>
      </c>
      <c r="I949" s="45">
        <f>IF(SO[[#This Row],[GST applies?]] = "Yes", (SO[[#This Row],[Value inc. GST]] / 1 + SO[[#This Row],[GST %]]) * SO[[#This Row],[GST %]], 0)</f>
        <v>0</v>
      </c>
      <c r="J949" s="31">
        <f>_xlfn.XLOOKUP(SO[[#This Row],[Customer name]], Customer_master[Customer name], Customer_master[EOM or Net], 0)</f>
        <v>0</v>
      </c>
      <c r="K949" s="31">
        <f>_xlfn.XLOOKUP(SO[[#This Row],[Customer name]], Customer_master[Customer name], Customer_master[Terms days], 0)</f>
        <v>0</v>
      </c>
      <c r="L9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9" s="4"/>
      <c r="N949" s="46">
        <f>IF(SO[[#This Row],[Collection date - override (dd/mm/yyyy)]] &lt;&gt; "", SO[[#This Row],[Collection date - override (dd/mm/yyyy)]], SO[[#This Row],[Due date (dd/mm/yyyy)]])</f>
        <v>0</v>
      </c>
      <c r="O949" s="46">
        <f t="shared" si="14"/>
        <v>52</v>
      </c>
    </row>
    <row r="950" spans="3:15" x14ac:dyDescent="0.25">
      <c r="C950" s="24"/>
      <c r="D950" s="20"/>
      <c r="E950" s="4"/>
      <c r="F950" s="37"/>
      <c r="G950" s="24"/>
      <c r="H950" s="51">
        <f>Assumptions!$D$15</f>
        <v>0.1</v>
      </c>
      <c r="I950" s="45">
        <f>IF(SO[[#This Row],[GST applies?]] = "Yes", (SO[[#This Row],[Value inc. GST]] / 1 + SO[[#This Row],[GST %]]) * SO[[#This Row],[GST %]], 0)</f>
        <v>0</v>
      </c>
      <c r="J950" s="31">
        <f>_xlfn.XLOOKUP(SO[[#This Row],[Customer name]], Customer_master[Customer name], Customer_master[EOM or Net], 0)</f>
        <v>0</v>
      </c>
      <c r="K950" s="31">
        <f>_xlfn.XLOOKUP(SO[[#This Row],[Customer name]], Customer_master[Customer name], Customer_master[Terms days], 0)</f>
        <v>0</v>
      </c>
      <c r="L9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0" s="4"/>
      <c r="N950" s="46">
        <f>IF(SO[[#This Row],[Collection date - override (dd/mm/yyyy)]] &lt;&gt; "", SO[[#This Row],[Collection date - override (dd/mm/yyyy)]], SO[[#This Row],[Due date (dd/mm/yyyy)]])</f>
        <v>0</v>
      </c>
      <c r="O950" s="46">
        <f t="shared" si="14"/>
        <v>52</v>
      </c>
    </row>
    <row r="951" spans="3:15" x14ac:dyDescent="0.25">
      <c r="C951" s="24"/>
      <c r="D951" s="20"/>
      <c r="E951" s="4"/>
      <c r="F951" s="37"/>
      <c r="G951" s="24"/>
      <c r="H951" s="51">
        <f>Assumptions!$D$15</f>
        <v>0.1</v>
      </c>
      <c r="I951" s="45">
        <f>IF(SO[[#This Row],[GST applies?]] = "Yes", (SO[[#This Row],[Value inc. GST]] / 1 + SO[[#This Row],[GST %]]) * SO[[#This Row],[GST %]], 0)</f>
        <v>0</v>
      </c>
      <c r="J951" s="31">
        <f>_xlfn.XLOOKUP(SO[[#This Row],[Customer name]], Customer_master[Customer name], Customer_master[EOM or Net], 0)</f>
        <v>0</v>
      </c>
      <c r="K951" s="31">
        <f>_xlfn.XLOOKUP(SO[[#This Row],[Customer name]], Customer_master[Customer name], Customer_master[Terms days], 0)</f>
        <v>0</v>
      </c>
      <c r="L9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1" s="4"/>
      <c r="N951" s="46">
        <f>IF(SO[[#This Row],[Collection date - override (dd/mm/yyyy)]] &lt;&gt; "", SO[[#This Row],[Collection date - override (dd/mm/yyyy)]], SO[[#This Row],[Due date (dd/mm/yyyy)]])</f>
        <v>0</v>
      </c>
      <c r="O951" s="46">
        <f t="shared" si="14"/>
        <v>52</v>
      </c>
    </row>
    <row r="952" spans="3:15" x14ac:dyDescent="0.25">
      <c r="C952" s="24"/>
      <c r="D952" s="20"/>
      <c r="E952" s="4"/>
      <c r="F952" s="37"/>
      <c r="G952" s="24"/>
      <c r="H952" s="51">
        <f>Assumptions!$D$15</f>
        <v>0.1</v>
      </c>
      <c r="I952" s="45">
        <f>IF(SO[[#This Row],[GST applies?]] = "Yes", (SO[[#This Row],[Value inc. GST]] / 1 + SO[[#This Row],[GST %]]) * SO[[#This Row],[GST %]], 0)</f>
        <v>0</v>
      </c>
      <c r="J952" s="31">
        <f>_xlfn.XLOOKUP(SO[[#This Row],[Customer name]], Customer_master[Customer name], Customer_master[EOM or Net], 0)</f>
        <v>0</v>
      </c>
      <c r="K952" s="31">
        <f>_xlfn.XLOOKUP(SO[[#This Row],[Customer name]], Customer_master[Customer name], Customer_master[Terms days], 0)</f>
        <v>0</v>
      </c>
      <c r="L9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2" s="4"/>
      <c r="N952" s="46">
        <f>IF(SO[[#This Row],[Collection date - override (dd/mm/yyyy)]] &lt;&gt; "", SO[[#This Row],[Collection date - override (dd/mm/yyyy)]], SO[[#This Row],[Due date (dd/mm/yyyy)]])</f>
        <v>0</v>
      </c>
      <c r="O952" s="46">
        <f t="shared" si="14"/>
        <v>52</v>
      </c>
    </row>
    <row r="953" spans="3:15" x14ac:dyDescent="0.25">
      <c r="C953" s="24"/>
      <c r="D953" s="20"/>
      <c r="E953" s="4"/>
      <c r="F953" s="37"/>
      <c r="G953" s="24"/>
      <c r="H953" s="51">
        <f>Assumptions!$D$15</f>
        <v>0.1</v>
      </c>
      <c r="I953" s="45">
        <f>IF(SO[[#This Row],[GST applies?]] = "Yes", (SO[[#This Row],[Value inc. GST]] / 1 + SO[[#This Row],[GST %]]) * SO[[#This Row],[GST %]], 0)</f>
        <v>0</v>
      </c>
      <c r="J953" s="31">
        <f>_xlfn.XLOOKUP(SO[[#This Row],[Customer name]], Customer_master[Customer name], Customer_master[EOM or Net], 0)</f>
        <v>0</v>
      </c>
      <c r="K953" s="31">
        <f>_xlfn.XLOOKUP(SO[[#This Row],[Customer name]], Customer_master[Customer name], Customer_master[Terms days], 0)</f>
        <v>0</v>
      </c>
      <c r="L9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3" s="4"/>
      <c r="N953" s="46">
        <f>IF(SO[[#This Row],[Collection date - override (dd/mm/yyyy)]] &lt;&gt; "", SO[[#This Row],[Collection date - override (dd/mm/yyyy)]], SO[[#This Row],[Due date (dd/mm/yyyy)]])</f>
        <v>0</v>
      </c>
      <c r="O953" s="46">
        <f t="shared" si="14"/>
        <v>52</v>
      </c>
    </row>
    <row r="954" spans="3:15" x14ac:dyDescent="0.25">
      <c r="C954" s="24"/>
      <c r="D954" s="20"/>
      <c r="E954" s="4"/>
      <c r="F954" s="37"/>
      <c r="G954" s="24"/>
      <c r="H954" s="51">
        <f>Assumptions!$D$15</f>
        <v>0.1</v>
      </c>
      <c r="I954" s="45">
        <f>IF(SO[[#This Row],[GST applies?]] = "Yes", (SO[[#This Row],[Value inc. GST]] / 1 + SO[[#This Row],[GST %]]) * SO[[#This Row],[GST %]], 0)</f>
        <v>0</v>
      </c>
      <c r="J954" s="31">
        <f>_xlfn.XLOOKUP(SO[[#This Row],[Customer name]], Customer_master[Customer name], Customer_master[EOM or Net], 0)</f>
        <v>0</v>
      </c>
      <c r="K954" s="31">
        <f>_xlfn.XLOOKUP(SO[[#This Row],[Customer name]], Customer_master[Customer name], Customer_master[Terms days], 0)</f>
        <v>0</v>
      </c>
      <c r="L9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4" s="4"/>
      <c r="N954" s="46">
        <f>IF(SO[[#This Row],[Collection date - override (dd/mm/yyyy)]] &lt;&gt; "", SO[[#This Row],[Collection date - override (dd/mm/yyyy)]], SO[[#This Row],[Due date (dd/mm/yyyy)]])</f>
        <v>0</v>
      </c>
      <c r="O954" s="46">
        <f t="shared" si="14"/>
        <v>52</v>
      </c>
    </row>
    <row r="955" spans="3:15" x14ac:dyDescent="0.25">
      <c r="C955" s="24"/>
      <c r="D955" s="20"/>
      <c r="E955" s="4"/>
      <c r="F955" s="37"/>
      <c r="G955" s="24"/>
      <c r="H955" s="51">
        <f>Assumptions!$D$15</f>
        <v>0.1</v>
      </c>
      <c r="I955" s="45">
        <f>IF(SO[[#This Row],[GST applies?]] = "Yes", (SO[[#This Row],[Value inc. GST]] / 1 + SO[[#This Row],[GST %]]) * SO[[#This Row],[GST %]], 0)</f>
        <v>0</v>
      </c>
      <c r="J955" s="31">
        <f>_xlfn.XLOOKUP(SO[[#This Row],[Customer name]], Customer_master[Customer name], Customer_master[EOM or Net], 0)</f>
        <v>0</v>
      </c>
      <c r="K955" s="31">
        <f>_xlfn.XLOOKUP(SO[[#This Row],[Customer name]], Customer_master[Customer name], Customer_master[Terms days], 0)</f>
        <v>0</v>
      </c>
      <c r="L9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5" s="4"/>
      <c r="N955" s="46">
        <f>IF(SO[[#This Row],[Collection date - override (dd/mm/yyyy)]] &lt;&gt; "", SO[[#This Row],[Collection date - override (dd/mm/yyyy)]], SO[[#This Row],[Due date (dd/mm/yyyy)]])</f>
        <v>0</v>
      </c>
      <c r="O955" s="46">
        <f t="shared" si="14"/>
        <v>52</v>
      </c>
    </row>
    <row r="956" spans="3:15" x14ac:dyDescent="0.25">
      <c r="C956" s="24"/>
      <c r="D956" s="20"/>
      <c r="E956" s="4"/>
      <c r="F956" s="37"/>
      <c r="G956" s="24"/>
      <c r="H956" s="51">
        <f>Assumptions!$D$15</f>
        <v>0.1</v>
      </c>
      <c r="I956" s="45">
        <f>IF(SO[[#This Row],[GST applies?]] = "Yes", (SO[[#This Row],[Value inc. GST]] / 1 + SO[[#This Row],[GST %]]) * SO[[#This Row],[GST %]], 0)</f>
        <v>0</v>
      </c>
      <c r="J956" s="31">
        <f>_xlfn.XLOOKUP(SO[[#This Row],[Customer name]], Customer_master[Customer name], Customer_master[EOM or Net], 0)</f>
        <v>0</v>
      </c>
      <c r="K956" s="31">
        <f>_xlfn.XLOOKUP(SO[[#This Row],[Customer name]], Customer_master[Customer name], Customer_master[Terms days], 0)</f>
        <v>0</v>
      </c>
      <c r="L9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6" s="4"/>
      <c r="N956" s="46">
        <f>IF(SO[[#This Row],[Collection date - override (dd/mm/yyyy)]] &lt;&gt; "", SO[[#This Row],[Collection date - override (dd/mm/yyyy)]], SO[[#This Row],[Due date (dd/mm/yyyy)]])</f>
        <v>0</v>
      </c>
      <c r="O956" s="46">
        <f t="shared" si="14"/>
        <v>52</v>
      </c>
    </row>
    <row r="957" spans="3:15" x14ac:dyDescent="0.25">
      <c r="C957" s="24"/>
      <c r="D957" s="20"/>
      <c r="E957" s="4"/>
      <c r="F957" s="37"/>
      <c r="G957" s="24"/>
      <c r="H957" s="51">
        <f>Assumptions!$D$15</f>
        <v>0.1</v>
      </c>
      <c r="I957" s="45">
        <f>IF(SO[[#This Row],[GST applies?]] = "Yes", (SO[[#This Row],[Value inc. GST]] / 1 + SO[[#This Row],[GST %]]) * SO[[#This Row],[GST %]], 0)</f>
        <v>0</v>
      </c>
      <c r="J957" s="31">
        <f>_xlfn.XLOOKUP(SO[[#This Row],[Customer name]], Customer_master[Customer name], Customer_master[EOM or Net], 0)</f>
        <v>0</v>
      </c>
      <c r="K957" s="31">
        <f>_xlfn.XLOOKUP(SO[[#This Row],[Customer name]], Customer_master[Customer name], Customer_master[Terms days], 0)</f>
        <v>0</v>
      </c>
      <c r="L9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7" s="4"/>
      <c r="N957" s="46">
        <f>IF(SO[[#This Row],[Collection date - override (dd/mm/yyyy)]] &lt;&gt; "", SO[[#This Row],[Collection date - override (dd/mm/yyyy)]], SO[[#This Row],[Due date (dd/mm/yyyy)]])</f>
        <v>0</v>
      </c>
      <c r="O957" s="46">
        <f t="shared" si="14"/>
        <v>52</v>
      </c>
    </row>
    <row r="958" spans="3:15" x14ac:dyDescent="0.25">
      <c r="C958" s="24"/>
      <c r="D958" s="20"/>
      <c r="E958" s="4"/>
      <c r="F958" s="37"/>
      <c r="G958" s="24"/>
      <c r="H958" s="51">
        <f>Assumptions!$D$15</f>
        <v>0.1</v>
      </c>
      <c r="I958" s="45">
        <f>IF(SO[[#This Row],[GST applies?]] = "Yes", (SO[[#This Row],[Value inc. GST]] / 1 + SO[[#This Row],[GST %]]) * SO[[#This Row],[GST %]], 0)</f>
        <v>0</v>
      </c>
      <c r="J958" s="31">
        <f>_xlfn.XLOOKUP(SO[[#This Row],[Customer name]], Customer_master[Customer name], Customer_master[EOM or Net], 0)</f>
        <v>0</v>
      </c>
      <c r="K958" s="31">
        <f>_xlfn.XLOOKUP(SO[[#This Row],[Customer name]], Customer_master[Customer name], Customer_master[Terms days], 0)</f>
        <v>0</v>
      </c>
      <c r="L9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8" s="4"/>
      <c r="N958" s="46">
        <f>IF(SO[[#This Row],[Collection date - override (dd/mm/yyyy)]] &lt;&gt; "", SO[[#This Row],[Collection date - override (dd/mm/yyyy)]], SO[[#This Row],[Due date (dd/mm/yyyy)]])</f>
        <v>0</v>
      </c>
      <c r="O958" s="46">
        <f t="shared" si="14"/>
        <v>52</v>
      </c>
    </row>
    <row r="959" spans="3:15" x14ac:dyDescent="0.25">
      <c r="C959" s="24"/>
      <c r="D959" s="20"/>
      <c r="E959" s="4"/>
      <c r="F959" s="37"/>
      <c r="G959" s="24"/>
      <c r="H959" s="51">
        <f>Assumptions!$D$15</f>
        <v>0.1</v>
      </c>
      <c r="I959" s="45">
        <f>IF(SO[[#This Row],[GST applies?]] = "Yes", (SO[[#This Row],[Value inc. GST]] / 1 + SO[[#This Row],[GST %]]) * SO[[#This Row],[GST %]], 0)</f>
        <v>0</v>
      </c>
      <c r="J959" s="31">
        <f>_xlfn.XLOOKUP(SO[[#This Row],[Customer name]], Customer_master[Customer name], Customer_master[EOM or Net], 0)</f>
        <v>0</v>
      </c>
      <c r="K959" s="31">
        <f>_xlfn.XLOOKUP(SO[[#This Row],[Customer name]], Customer_master[Customer name], Customer_master[Terms days], 0)</f>
        <v>0</v>
      </c>
      <c r="L9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9" s="4"/>
      <c r="N959" s="46">
        <f>IF(SO[[#This Row],[Collection date - override (dd/mm/yyyy)]] &lt;&gt; "", SO[[#This Row],[Collection date - override (dd/mm/yyyy)]], SO[[#This Row],[Due date (dd/mm/yyyy)]])</f>
        <v>0</v>
      </c>
      <c r="O959" s="46">
        <f t="shared" si="14"/>
        <v>52</v>
      </c>
    </row>
    <row r="960" spans="3:15" x14ac:dyDescent="0.25">
      <c r="C960" s="24"/>
      <c r="D960" s="20"/>
      <c r="E960" s="4"/>
      <c r="F960" s="37"/>
      <c r="G960" s="24"/>
      <c r="H960" s="51">
        <f>Assumptions!$D$15</f>
        <v>0.1</v>
      </c>
      <c r="I960" s="45">
        <f>IF(SO[[#This Row],[GST applies?]] = "Yes", (SO[[#This Row],[Value inc. GST]] / 1 + SO[[#This Row],[GST %]]) * SO[[#This Row],[GST %]], 0)</f>
        <v>0</v>
      </c>
      <c r="J960" s="31">
        <f>_xlfn.XLOOKUP(SO[[#This Row],[Customer name]], Customer_master[Customer name], Customer_master[EOM or Net], 0)</f>
        <v>0</v>
      </c>
      <c r="K960" s="31">
        <f>_xlfn.XLOOKUP(SO[[#This Row],[Customer name]], Customer_master[Customer name], Customer_master[Terms days], 0)</f>
        <v>0</v>
      </c>
      <c r="L9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0" s="4"/>
      <c r="N960" s="46">
        <f>IF(SO[[#This Row],[Collection date - override (dd/mm/yyyy)]] &lt;&gt; "", SO[[#This Row],[Collection date - override (dd/mm/yyyy)]], SO[[#This Row],[Due date (dd/mm/yyyy)]])</f>
        <v>0</v>
      </c>
      <c r="O960" s="46">
        <f t="shared" si="14"/>
        <v>52</v>
      </c>
    </row>
    <row r="961" spans="3:15" x14ac:dyDescent="0.25">
      <c r="C961" s="24"/>
      <c r="D961" s="20"/>
      <c r="E961" s="4"/>
      <c r="F961" s="37"/>
      <c r="G961" s="24"/>
      <c r="H961" s="51">
        <f>Assumptions!$D$15</f>
        <v>0.1</v>
      </c>
      <c r="I961" s="45">
        <f>IF(SO[[#This Row],[GST applies?]] = "Yes", (SO[[#This Row],[Value inc. GST]] / 1 + SO[[#This Row],[GST %]]) * SO[[#This Row],[GST %]], 0)</f>
        <v>0</v>
      </c>
      <c r="J961" s="31">
        <f>_xlfn.XLOOKUP(SO[[#This Row],[Customer name]], Customer_master[Customer name], Customer_master[EOM or Net], 0)</f>
        <v>0</v>
      </c>
      <c r="K961" s="31">
        <f>_xlfn.XLOOKUP(SO[[#This Row],[Customer name]], Customer_master[Customer name], Customer_master[Terms days], 0)</f>
        <v>0</v>
      </c>
      <c r="L9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1" s="4"/>
      <c r="N961" s="46">
        <f>IF(SO[[#This Row],[Collection date - override (dd/mm/yyyy)]] &lt;&gt; "", SO[[#This Row],[Collection date - override (dd/mm/yyyy)]], SO[[#This Row],[Due date (dd/mm/yyyy)]])</f>
        <v>0</v>
      </c>
      <c r="O961" s="46">
        <f t="shared" si="14"/>
        <v>52</v>
      </c>
    </row>
    <row r="962" spans="3:15" x14ac:dyDescent="0.25">
      <c r="C962" s="24"/>
      <c r="D962" s="20"/>
      <c r="E962" s="4"/>
      <c r="F962" s="37"/>
      <c r="G962" s="24"/>
      <c r="H962" s="51">
        <f>Assumptions!$D$15</f>
        <v>0.1</v>
      </c>
      <c r="I962" s="45">
        <f>IF(SO[[#This Row],[GST applies?]] = "Yes", (SO[[#This Row],[Value inc. GST]] / 1 + SO[[#This Row],[GST %]]) * SO[[#This Row],[GST %]], 0)</f>
        <v>0</v>
      </c>
      <c r="J962" s="31">
        <f>_xlfn.XLOOKUP(SO[[#This Row],[Customer name]], Customer_master[Customer name], Customer_master[EOM or Net], 0)</f>
        <v>0</v>
      </c>
      <c r="K962" s="31">
        <f>_xlfn.XLOOKUP(SO[[#This Row],[Customer name]], Customer_master[Customer name], Customer_master[Terms days], 0)</f>
        <v>0</v>
      </c>
      <c r="L9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2" s="4"/>
      <c r="N962" s="46">
        <f>IF(SO[[#This Row],[Collection date - override (dd/mm/yyyy)]] &lt;&gt; "", SO[[#This Row],[Collection date - override (dd/mm/yyyy)]], SO[[#This Row],[Due date (dd/mm/yyyy)]])</f>
        <v>0</v>
      </c>
      <c r="O962" s="46">
        <f t="shared" si="14"/>
        <v>52</v>
      </c>
    </row>
    <row r="963" spans="3:15" x14ac:dyDescent="0.25">
      <c r="C963" s="24"/>
      <c r="D963" s="20"/>
      <c r="E963" s="4"/>
      <c r="F963" s="37"/>
      <c r="G963" s="24"/>
      <c r="H963" s="51">
        <f>Assumptions!$D$15</f>
        <v>0.1</v>
      </c>
      <c r="I963" s="45">
        <f>IF(SO[[#This Row],[GST applies?]] = "Yes", (SO[[#This Row],[Value inc. GST]] / 1 + SO[[#This Row],[GST %]]) * SO[[#This Row],[GST %]], 0)</f>
        <v>0</v>
      </c>
      <c r="J963" s="31">
        <f>_xlfn.XLOOKUP(SO[[#This Row],[Customer name]], Customer_master[Customer name], Customer_master[EOM or Net], 0)</f>
        <v>0</v>
      </c>
      <c r="K963" s="31">
        <f>_xlfn.XLOOKUP(SO[[#This Row],[Customer name]], Customer_master[Customer name], Customer_master[Terms days], 0)</f>
        <v>0</v>
      </c>
      <c r="L9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3" s="4"/>
      <c r="N963" s="46">
        <f>IF(SO[[#This Row],[Collection date - override (dd/mm/yyyy)]] &lt;&gt; "", SO[[#This Row],[Collection date - override (dd/mm/yyyy)]], SO[[#This Row],[Due date (dd/mm/yyyy)]])</f>
        <v>0</v>
      </c>
      <c r="O963" s="46">
        <f t="shared" si="14"/>
        <v>52</v>
      </c>
    </row>
    <row r="964" spans="3:15" x14ac:dyDescent="0.25">
      <c r="C964" s="24"/>
      <c r="D964" s="20"/>
      <c r="E964" s="4"/>
      <c r="F964" s="37"/>
      <c r="G964" s="24"/>
      <c r="H964" s="51">
        <f>Assumptions!$D$15</f>
        <v>0.1</v>
      </c>
      <c r="I964" s="45">
        <f>IF(SO[[#This Row],[GST applies?]] = "Yes", (SO[[#This Row],[Value inc. GST]] / 1 + SO[[#This Row],[GST %]]) * SO[[#This Row],[GST %]], 0)</f>
        <v>0</v>
      </c>
      <c r="J964" s="31">
        <f>_xlfn.XLOOKUP(SO[[#This Row],[Customer name]], Customer_master[Customer name], Customer_master[EOM or Net], 0)</f>
        <v>0</v>
      </c>
      <c r="K964" s="31">
        <f>_xlfn.XLOOKUP(SO[[#This Row],[Customer name]], Customer_master[Customer name], Customer_master[Terms days], 0)</f>
        <v>0</v>
      </c>
      <c r="L9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4" s="4"/>
      <c r="N964" s="46">
        <f>IF(SO[[#This Row],[Collection date - override (dd/mm/yyyy)]] &lt;&gt; "", SO[[#This Row],[Collection date - override (dd/mm/yyyy)]], SO[[#This Row],[Due date (dd/mm/yyyy)]])</f>
        <v>0</v>
      </c>
      <c r="O964" s="46">
        <f t="shared" si="14"/>
        <v>52</v>
      </c>
    </row>
    <row r="965" spans="3:15" x14ac:dyDescent="0.25">
      <c r="C965" s="24"/>
      <c r="D965" s="20"/>
      <c r="E965" s="4"/>
      <c r="F965" s="37"/>
      <c r="G965" s="24"/>
      <c r="H965" s="51">
        <f>Assumptions!$D$15</f>
        <v>0.1</v>
      </c>
      <c r="I965" s="45">
        <f>IF(SO[[#This Row],[GST applies?]] = "Yes", (SO[[#This Row],[Value inc. GST]] / 1 + SO[[#This Row],[GST %]]) * SO[[#This Row],[GST %]], 0)</f>
        <v>0</v>
      </c>
      <c r="J965" s="31">
        <f>_xlfn.XLOOKUP(SO[[#This Row],[Customer name]], Customer_master[Customer name], Customer_master[EOM or Net], 0)</f>
        <v>0</v>
      </c>
      <c r="K965" s="31">
        <f>_xlfn.XLOOKUP(SO[[#This Row],[Customer name]], Customer_master[Customer name], Customer_master[Terms days], 0)</f>
        <v>0</v>
      </c>
      <c r="L9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5" s="4"/>
      <c r="N965" s="46">
        <f>IF(SO[[#This Row],[Collection date - override (dd/mm/yyyy)]] &lt;&gt; "", SO[[#This Row],[Collection date - override (dd/mm/yyyy)]], SO[[#This Row],[Due date (dd/mm/yyyy)]])</f>
        <v>0</v>
      </c>
      <c r="O965" s="46">
        <f t="shared" si="14"/>
        <v>52</v>
      </c>
    </row>
    <row r="966" spans="3:15" x14ac:dyDescent="0.25">
      <c r="C966" s="24"/>
      <c r="D966" s="20"/>
      <c r="E966" s="4"/>
      <c r="F966" s="37"/>
      <c r="G966" s="24"/>
      <c r="H966" s="51">
        <f>Assumptions!$D$15</f>
        <v>0.1</v>
      </c>
      <c r="I966" s="45">
        <f>IF(SO[[#This Row],[GST applies?]] = "Yes", (SO[[#This Row],[Value inc. GST]] / 1 + SO[[#This Row],[GST %]]) * SO[[#This Row],[GST %]], 0)</f>
        <v>0</v>
      </c>
      <c r="J966" s="31">
        <f>_xlfn.XLOOKUP(SO[[#This Row],[Customer name]], Customer_master[Customer name], Customer_master[EOM or Net], 0)</f>
        <v>0</v>
      </c>
      <c r="K966" s="31">
        <f>_xlfn.XLOOKUP(SO[[#This Row],[Customer name]], Customer_master[Customer name], Customer_master[Terms days], 0)</f>
        <v>0</v>
      </c>
      <c r="L9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6" s="4"/>
      <c r="N966" s="46">
        <f>IF(SO[[#This Row],[Collection date - override (dd/mm/yyyy)]] &lt;&gt; "", SO[[#This Row],[Collection date - override (dd/mm/yyyy)]], SO[[#This Row],[Due date (dd/mm/yyyy)]])</f>
        <v>0</v>
      </c>
      <c r="O966" s="46">
        <f t="shared" si="14"/>
        <v>52</v>
      </c>
    </row>
    <row r="967" spans="3:15" x14ac:dyDescent="0.25">
      <c r="C967" s="24"/>
      <c r="D967" s="20"/>
      <c r="E967" s="4"/>
      <c r="F967" s="37"/>
      <c r="G967" s="24"/>
      <c r="H967" s="51">
        <f>Assumptions!$D$15</f>
        <v>0.1</v>
      </c>
      <c r="I967" s="45">
        <f>IF(SO[[#This Row],[GST applies?]] = "Yes", (SO[[#This Row],[Value inc. GST]] / 1 + SO[[#This Row],[GST %]]) * SO[[#This Row],[GST %]], 0)</f>
        <v>0</v>
      </c>
      <c r="J967" s="31">
        <f>_xlfn.XLOOKUP(SO[[#This Row],[Customer name]], Customer_master[Customer name], Customer_master[EOM or Net], 0)</f>
        <v>0</v>
      </c>
      <c r="K967" s="31">
        <f>_xlfn.XLOOKUP(SO[[#This Row],[Customer name]], Customer_master[Customer name], Customer_master[Terms days], 0)</f>
        <v>0</v>
      </c>
      <c r="L9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7" s="4"/>
      <c r="N967" s="46">
        <f>IF(SO[[#This Row],[Collection date - override (dd/mm/yyyy)]] &lt;&gt; "", SO[[#This Row],[Collection date - override (dd/mm/yyyy)]], SO[[#This Row],[Due date (dd/mm/yyyy)]])</f>
        <v>0</v>
      </c>
      <c r="O967" s="46">
        <f t="shared" si="14"/>
        <v>52</v>
      </c>
    </row>
    <row r="968" spans="3:15" x14ac:dyDescent="0.25">
      <c r="C968" s="24"/>
      <c r="D968" s="20"/>
      <c r="E968" s="4"/>
      <c r="F968" s="37"/>
      <c r="G968" s="24"/>
      <c r="H968" s="51">
        <f>Assumptions!$D$15</f>
        <v>0.1</v>
      </c>
      <c r="I968" s="45">
        <f>IF(SO[[#This Row],[GST applies?]] = "Yes", (SO[[#This Row],[Value inc. GST]] / 1 + SO[[#This Row],[GST %]]) * SO[[#This Row],[GST %]], 0)</f>
        <v>0</v>
      </c>
      <c r="J968" s="31">
        <f>_xlfn.XLOOKUP(SO[[#This Row],[Customer name]], Customer_master[Customer name], Customer_master[EOM or Net], 0)</f>
        <v>0</v>
      </c>
      <c r="K968" s="31">
        <f>_xlfn.XLOOKUP(SO[[#This Row],[Customer name]], Customer_master[Customer name], Customer_master[Terms days], 0)</f>
        <v>0</v>
      </c>
      <c r="L9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8" s="4"/>
      <c r="N968" s="46">
        <f>IF(SO[[#This Row],[Collection date - override (dd/mm/yyyy)]] &lt;&gt; "", SO[[#This Row],[Collection date - override (dd/mm/yyyy)]], SO[[#This Row],[Due date (dd/mm/yyyy)]])</f>
        <v>0</v>
      </c>
      <c r="O968" s="46">
        <f t="shared" si="14"/>
        <v>52</v>
      </c>
    </row>
    <row r="969" spans="3:15" x14ac:dyDescent="0.25">
      <c r="C969" s="24"/>
      <c r="D969" s="20"/>
      <c r="E969" s="4"/>
      <c r="F969" s="37"/>
      <c r="G969" s="24"/>
      <c r="H969" s="51">
        <f>Assumptions!$D$15</f>
        <v>0.1</v>
      </c>
      <c r="I969" s="45">
        <f>IF(SO[[#This Row],[GST applies?]] = "Yes", (SO[[#This Row],[Value inc. GST]] / 1 + SO[[#This Row],[GST %]]) * SO[[#This Row],[GST %]], 0)</f>
        <v>0</v>
      </c>
      <c r="J969" s="31">
        <f>_xlfn.XLOOKUP(SO[[#This Row],[Customer name]], Customer_master[Customer name], Customer_master[EOM or Net], 0)</f>
        <v>0</v>
      </c>
      <c r="K969" s="31">
        <f>_xlfn.XLOOKUP(SO[[#This Row],[Customer name]], Customer_master[Customer name], Customer_master[Terms days], 0)</f>
        <v>0</v>
      </c>
      <c r="L9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9" s="4"/>
      <c r="N969" s="46">
        <f>IF(SO[[#This Row],[Collection date - override (dd/mm/yyyy)]] &lt;&gt; "", SO[[#This Row],[Collection date - override (dd/mm/yyyy)]], SO[[#This Row],[Due date (dd/mm/yyyy)]])</f>
        <v>0</v>
      </c>
      <c r="O969" s="46">
        <f t="shared" ref="O969:O1000" si="15">IF(GST_Freq="Monthly",
    DATE(YEAR(E969), MONTH(E969) + 1, 21),
    IF(GST_Freq="Quarterly",
        IF(MOD(MONTH(E969) + 2 - MOD(MOD(MONTH(E969) - GST_First_Month, 12), 3), 12) = 0,
            DATE(YEAR(E969), MONTH(E969) + 4 - MOD(MOD(MONTH(E969) - GST_First_Month, 12), 3), 28),
            DATE(YEAR(E969), MONTH(E969) + 3 - MOD(MOD(MONTH(E969) - GST_First_Month, 12), 3), 28)
        ),
        "Invalid frequency"
    )
)</f>
        <v>52</v>
      </c>
    </row>
    <row r="970" spans="3:15" x14ac:dyDescent="0.25">
      <c r="C970" s="24"/>
      <c r="D970" s="20"/>
      <c r="E970" s="4"/>
      <c r="F970" s="37"/>
      <c r="G970" s="24"/>
      <c r="H970" s="51">
        <f>Assumptions!$D$15</f>
        <v>0.1</v>
      </c>
      <c r="I970" s="45">
        <f>IF(SO[[#This Row],[GST applies?]] = "Yes", (SO[[#This Row],[Value inc. GST]] / 1 + SO[[#This Row],[GST %]]) * SO[[#This Row],[GST %]], 0)</f>
        <v>0</v>
      </c>
      <c r="J970" s="31">
        <f>_xlfn.XLOOKUP(SO[[#This Row],[Customer name]], Customer_master[Customer name], Customer_master[EOM or Net], 0)</f>
        <v>0</v>
      </c>
      <c r="K970" s="31">
        <f>_xlfn.XLOOKUP(SO[[#This Row],[Customer name]], Customer_master[Customer name], Customer_master[Terms days], 0)</f>
        <v>0</v>
      </c>
      <c r="L9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0" s="4"/>
      <c r="N970" s="46">
        <f>IF(SO[[#This Row],[Collection date - override (dd/mm/yyyy)]] &lt;&gt; "", SO[[#This Row],[Collection date - override (dd/mm/yyyy)]], SO[[#This Row],[Due date (dd/mm/yyyy)]])</f>
        <v>0</v>
      </c>
      <c r="O970" s="46">
        <f t="shared" si="15"/>
        <v>52</v>
      </c>
    </row>
    <row r="971" spans="3:15" x14ac:dyDescent="0.25">
      <c r="C971" s="24"/>
      <c r="D971" s="20"/>
      <c r="E971" s="4"/>
      <c r="F971" s="37"/>
      <c r="G971" s="24"/>
      <c r="H971" s="51">
        <f>Assumptions!$D$15</f>
        <v>0.1</v>
      </c>
      <c r="I971" s="45">
        <f>IF(SO[[#This Row],[GST applies?]] = "Yes", (SO[[#This Row],[Value inc. GST]] / 1 + SO[[#This Row],[GST %]]) * SO[[#This Row],[GST %]], 0)</f>
        <v>0</v>
      </c>
      <c r="J971" s="31">
        <f>_xlfn.XLOOKUP(SO[[#This Row],[Customer name]], Customer_master[Customer name], Customer_master[EOM or Net], 0)</f>
        <v>0</v>
      </c>
      <c r="K971" s="31">
        <f>_xlfn.XLOOKUP(SO[[#This Row],[Customer name]], Customer_master[Customer name], Customer_master[Terms days], 0)</f>
        <v>0</v>
      </c>
      <c r="L9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1" s="4"/>
      <c r="N971" s="46">
        <f>IF(SO[[#This Row],[Collection date - override (dd/mm/yyyy)]] &lt;&gt; "", SO[[#This Row],[Collection date - override (dd/mm/yyyy)]], SO[[#This Row],[Due date (dd/mm/yyyy)]])</f>
        <v>0</v>
      </c>
      <c r="O971" s="46">
        <f t="shared" si="15"/>
        <v>52</v>
      </c>
    </row>
    <row r="972" spans="3:15" x14ac:dyDescent="0.25">
      <c r="C972" s="24"/>
      <c r="D972" s="20"/>
      <c r="E972" s="4"/>
      <c r="F972" s="37"/>
      <c r="G972" s="24"/>
      <c r="H972" s="51">
        <f>Assumptions!$D$15</f>
        <v>0.1</v>
      </c>
      <c r="I972" s="45">
        <f>IF(SO[[#This Row],[GST applies?]] = "Yes", (SO[[#This Row],[Value inc. GST]] / 1 + SO[[#This Row],[GST %]]) * SO[[#This Row],[GST %]], 0)</f>
        <v>0</v>
      </c>
      <c r="J972" s="31">
        <f>_xlfn.XLOOKUP(SO[[#This Row],[Customer name]], Customer_master[Customer name], Customer_master[EOM or Net], 0)</f>
        <v>0</v>
      </c>
      <c r="K972" s="31">
        <f>_xlfn.XLOOKUP(SO[[#This Row],[Customer name]], Customer_master[Customer name], Customer_master[Terms days], 0)</f>
        <v>0</v>
      </c>
      <c r="L9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2" s="4"/>
      <c r="N972" s="46">
        <f>IF(SO[[#This Row],[Collection date - override (dd/mm/yyyy)]] &lt;&gt; "", SO[[#This Row],[Collection date - override (dd/mm/yyyy)]], SO[[#This Row],[Due date (dd/mm/yyyy)]])</f>
        <v>0</v>
      </c>
      <c r="O972" s="46">
        <f t="shared" si="15"/>
        <v>52</v>
      </c>
    </row>
    <row r="973" spans="3:15" x14ac:dyDescent="0.25">
      <c r="C973" s="24"/>
      <c r="D973" s="20"/>
      <c r="E973" s="4"/>
      <c r="F973" s="37"/>
      <c r="G973" s="24"/>
      <c r="H973" s="51">
        <f>Assumptions!$D$15</f>
        <v>0.1</v>
      </c>
      <c r="I973" s="45">
        <f>IF(SO[[#This Row],[GST applies?]] = "Yes", (SO[[#This Row],[Value inc. GST]] / 1 + SO[[#This Row],[GST %]]) * SO[[#This Row],[GST %]], 0)</f>
        <v>0</v>
      </c>
      <c r="J973" s="31">
        <f>_xlfn.XLOOKUP(SO[[#This Row],[Customer name]], Customer_master[Customer name], Customer_master[EOM or Net], 0)</f>
        <v>0</v>
      </c>
      <c r="K973" s="31">
        <f>_xlfn.XLOOKUP(SO[[#This Row],[Customer name]], Customer_master[Customer name], Customer_master[Terms days], 0)</f>
        <v>0</v>
      </c>
      <c r="L9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3" s="4"/>
      <c r="N973" s="46">
        <f>IF(SO[[#This Row],[Collection date - override (dd/mm/yyyy)]] &lt;&gt; "", SO[[#This Row],[Collection date - override (dd/mm/yyyy)]], SO[[#This Row],[Due date (dd/mm/yyyy)]])</f>
        <v>0</v>
      </c>
      <c r="O973" s="46">
        <f t="shared" si="15"/>
        <v>52</v>
      </c>
    </row>
    <row r="974" spans="3:15" x14ac:dyDescent="0.25">
      <c r="C974" s="24"/>
      <c r="D974" s="20"/>
      <c r="E974" s="4"/>
      <c r="F974" s="37"/>
      <c r="G974" s="24"/>
      <c r="H974" s="51">
        <f>Assumptions!$D$15</f>
        <v>0.1</v>
      </c>
      <c r="I974" s="45">
        <f>IF(SO[[#This Row],[GST applies?]] = "Yes", (SO[[#This Row],[Value inc. GST]] / 1 + SO[[#This Row],[GST %]]) * SO[[#This Row],[GST %]], 0)</f>
        <v>0</v>
      </c>
      <c r="J974" s="31">
        <f>_xlfn.XLOOKUP(SO[[#This Row],[Customer name]], Customer_master[Customer name], Customer_master[EOM or Net], 0)</f>
        <v>0</v>
      </c>
      <c r="K974" s="31">
        <f>_xlfn.XLOOKUP(SO[[#This Row],[Customer name]], Customer_master[Customer name], Customer_master[Terms days], 0)</f>
        <v>0</v>
      </c>
      <c r="L9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4" s="4"/>
      <c r="N974" s="46">
        <f>IF(SO[[#This Row],[Collection date - override (dd/mm/yyyy)]] &lt;&gt; "", SO[[#This Row],[Collection date - override (dd/mm/yyyy)]], SO[[#This Row],[Due date (dd/mm/yyyy)]])</f>
        <v>0</v>
      </c>
      <c r="O974" s="46">
        <f t="shared" si="15"/>
        <v>52</v>
      </c>
    </row>
    <row r="975" spans="3:15" x14ac:dyDescent="0.25">
      <c r="C975" s="24"/>
      <c r="D975" s="20"/>
      <c r="E975" s="4"/>
      <c r="F975" s="37"/>
      <c r="G975" s="24"/>
      <c r="H975" s="51">
        <f>Assumptions!$D$15</f>
        <v>0.1</v>
      </c>
      <c r="I975" s="45">
        <f>IF(SO[[#This Row],[GST applies?]] = "Yes", (SO[[#This Row],[Value inc. GST]] / 1 + SO[[#This Row],[GST %]]) * SO[[#This Row],[GST %]], 0)</f>
        <v>0</v>
      </c>
      <c r="J975" s="31">
        <f>_xlfn.XLOOKUP(SO[[#This Row],[Customer name]], Customer_master[Customer name], Customer_master[EOM or Net], 0)</f>
        <v>0</v>
      </c>
      <c r="K975" s="31">
        <f>_xlfn.XLOOKUP(SO[[#This Row],[Customer name]], Customer_master[Customer name], Customer_master[Terms days], 0)</f>
        <v>0</v>
      </c>
      <c r="L9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5" s="4"/>
      <c r="N975" s="46">
        <f>IF(SO[[#This Row],[Collection date - override (dd/mm/yyyy)]] &lt;&gt; "", SO[[#This Row],[Collection date - override (dd/mm/yyyy)]], SO[[#This Row],[Due date (dd/mm/yyyy)]])</f>
        <v>0</v>
      </c>
      <c r="O975" s="46">
        <f t="shared" si="15"/>
        <v>52</v>
      </c>
    </row>
    <row r="976" spans="3:15" x14ac:dyDescent="0.25">
      <c r="C976" s="24"/>
      <c r="D976" s="20"/>
      <c r="E976" s="4"/>
      <c r="F976" s="37"/>
      <c r="G976" s="24"/>
      <c r="H976" s="51">
        <f>Assumptions!$D$15</f>
        <v>0.1</v>
      </c>
      <c r="I976" s="45">
        <f>IF(SO[[#This Row],[GST applies?]] = "Yes", (SO[[#This Row],[Value inc. GST]] / 1 + SO[[#This Row],[GST %]]) * SO[[#This Row],[GST %]], 0)</f>
        <v>0</v>
      </c>
      <c r="J976" s="31">
        <f>_xlfn.XLOOKUP(SO[[#This Row],[Customer name]], Customer_master[Customer name], Customer_master[EOM or Net], 0)</f>
        <v>0</v>
      </c>
      <c r="K976" s="31">
        <f>_xlfn.XLOOKUP(SO[[#This Row],[Customer name]], Customer_master[Customer name], Customer_master[Terms days], 0)</f>
        <v>0</v>
      </c>
      <c r="L9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6" s="4"/>
      <c r="N976" s="46">
        <f>IF(SO[[#This Row],[Collection date - override (dd/mm/yyyy)]] &lt;&gt; "", SO[[#This Row],[Collection date - override (dd/mm/yyyy)]], SO[[#This Row],[Due date (dd/mm/yyyy)]])</f>
        <v>0</v>
      </c>
      <c r="O976" s="46">
        <f t="shared" si="15"/>
        <v>52</v>
      </c>
    </row>
    <row r="977" spans="3:15" x14ac:dyDescent="0.25">
      <c r="C977" s="24"/>
      <c r="D977" s="20"/>
      <c r="E977" s="4"/>
      <c r="F977" s="37"/>
      <c r="G977" s="24"/>
      <c r="H977" s="51">
        <f>Assumptions!$D$15</f>
        <v>0.1</v>
      </c>
      <c r="I977" s="45">
        <f>IF(SO[[#This Row],[GST applies?]] = "Yes", (SO[[#This Row],[Value inc. GST]] / 1 + SO[[#This Row],[GST %]]) * SO[[#This Row],[GST %]], 0)</f>
        <v>0</v>
      </c>
      <c r="J977" s="31">
        <f>_xlfn.XLOOKUP(SO[[#This Row],[Customer name]], Customer_master[Customer name], Customer_master[EOM or Net], 0)</f>
        <v>0</v>
      </c>
      <c r="K977" s="31">
        <f>_xlfn.XLOOKUP(SO[[#This Row],[Customer name]], Customer_master[Customer name], Customer_master[Terms days], 0)</f>
        <v>0</v>
      </c>
      <c r="L9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7" s="4"/>
      <c r="N977" s="46">
        <f>IF(SO[[#This Row],[Collection date - override (dd/mm/yyyy)]] &lt;&gt; "", SO[[#This Row],[Collection date - override (dd/mm/yyyy)]], SO[[#This Row],[Due date (dd/mm/yyyy)]])</f>
        <v>0</v>
      </c>
      <c r="O977" s="46">
        <f t="shared" si="15"/>
        <v>52</v>
      </c>
    </row>
    <row r="978" spans="3:15" x14ac:dyDescent="0.25">
      <c r="C978" s="24"/>
      <c r="D978" s="20"/>
      <c r="E978" s="4"/>
      <c r="F978" s="37"/>
      <c r="G978" s="24"/>
      <c r="H978" s="51">
        <f>Assumptions!$D$15</f>
        <v>0.1</v>
      </c>
      <c r="I978" s="45">
        <f>IF(SO[[#This Row],[GST applies?]] = "Yes", (SO[[#This Row],[Value inc. GST]] / 1 + SO[[#This Row],[GST %]]) * SO[[#This Row],[GST %]], 0)</f>
        <v>0</v>
      </c>
      <c r="J978" s="31">
        <f>_xlfn.XLOOKUP(SO[[#This Row],[Customer name]], Customer_master[Customer name], Customer_master[EOM or Net], 0)</f>
        <v>0</v>
      </c>
      <c r="K978" s="31">
        <f>_xlfn.XLOOKUP(SO[[#This Row],[Customer name]], Customer_master[Customer name], Customer_master[Terms days], 0)</f>
        <v>0</v>
      </c>
      <c r="L9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8" s="4"/>
      <c r="N978" s="46">
        <f>IF(SO[[#This Row],[Collection date - override (dd/mm/yyyy)]] &lt;&gt; "", SO[[#This Row],[Collection date - override (dd/mm/yyyy)]], SO[[#This Row],[Due date (dd/mm/yyyy)]])</f>
        <v>0</v>
      </c>
      <c r="O978" s="46">
        <f t="shared" si="15"/>
        <v>52</v>
      </c>
    </row>
    <row r="979" spans="3:15" x14ac:dyDescent="0.25">
      <c r="C979" s="24"/>
      <c r="D979" s="20"/>
      <c r="E979" s="4"/>
      <c r="F979" s="37"/>
      <c r="G979" s="24"/>
      <c r="H979" s="51">
        <f>Assumptions!$D$15</f>
        <v>0.1</v>
      </c>
      <c r="I979" s="45">
        <f>IF(SO[[#This Row],[GST applies?]] = "Yes", (SO[[#This Row],[Value inc. GST]] / 1 + SO[[#This Row],[GST %]]) * SO[[#This Row],[GST %]], 0)</f>
        <v>0</v>
      </c>
      <c r="J979" s="31">
        <f>_xlfn.XLOOKUP(SO[[#This Row],[Customer name]], Customer_master[Customer name], Customer_master[EOM or Net], 0)</f>
        <v>0</v>
      </c>
      <c r="K979" s="31">
        <f>_xlfn.XLOOKUP(SO[[#This Row],[Customer name]], Customer_master[Customer name], Customer_master[Terms days], 0)</f>
        <v>0</v>
      </c>
      <c r="L9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9" s="4"/>
      <c r="N979" s="46">
        <f>IF(SO[[#This Row],[Collection date - override (dd/mm/yyyy)]] &lt;&gt; "", SO[[#This Row],[Collection date - override (dd/mm/yyyy)]], SO[[#This Row],[Due date (dd/mm/yyyy)]])</f>
        <v>0</v>
      </c>
      <c r="O979" s="46">
        <f t="shared" si="15"/>
        <v>52</v>
      </c>
    </row>
    <row r="980" spans="3:15" x14ac:dyDescent="0.25">
      <c r="C980" s="24"/>
      <c r="D980" s="20"/>
      <c r="E980" s="4"/>
      <c r="F980" s="37"/>
      <c r="G980" s="24"/>
      <c r="H980" s="51">
        <f>Assumptions!$D$15</f>
        <v>0.1</v>
      </c>
      <c r="I980" s="45">
        <f>IF(SO[[#This Row],[GST applies?]] = "Yes", (SO[[#This Row],[Value inc. GST]] / 1 + SO[[#This Row],[GST %]]) * SO[[#This Row],[GST %]], 0)</f>
        <v>0</v>
      </c>
      <c r="J980" s="31">
        <f>_xlfn.XLOOKUP(SO[[#This Row],[Customer name]], Customer_master[Customer name], Customer_master[EOM or Net], 0)</f>
        <v>0</v>
      </c>
      <c r="K980" s="31">
        <f>_xlfn.XLOOKUP(SO[[#This Row],[Customer name]], Customer_master[Customer name], Customer_master[Terms days], 0)</f>
        <v>0</v>
      </c>
      <c r="L9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0" s="4"/>
      <c r="N980" s="46">
        <f>IF(SO[[#This Row],[Collection date - override (dd/mm/yyyy)]] &lt;&gt; "", SO[[#This Row],[Collection date - override (dd/mm/yyyy)]], SO[[#This Row],[Due date (dd/mm/yyyy)]])</f>
        <v>0</v>
      </c>
      <c r="O980" s="46">
        <f t="shared" si="15"/>
        <v>52</v>
      </c>
    </row>
    <row r="981" spans="3:15" x14ac:dyDescent="0.25">
      <c r="C981" s="24"/>
      <c r="D981" s="20"/>
      <c r="E981" s="4"/>
      <c r="F981" s="37"/>
      <c r="G981" s="24"/>
      <c r="H981" s="51">
        <f>Assumptions!$D$15</f>
        <v>0.1</v>
      </c>
      <c r="I981" s="45">
        <f>IF(SO[[#This Row],[GST applies?]] = "Yes", (SO[[#This Row],[Value inc. GST]] / 1 + SO[[#This Row],[GST %]]) * SO[[#This Row],[GST %]], 0)</f>
        <v>0</v>
      </c>
      <c r="J981" s="31">
        <f>_xlfn.XLOOKUP(SO[[#This Row],[Customer name]], Customer_master[Customer name], Customer_master[EOM or Net], 0)</f>
        <v>0</v>
      </c>
      <c r="K981" s="31">
        <f>_xlfn.XLOOKUP(SO[[#This Row],[Customer name]], Customer_master[Customer name], Customer_master[Terms days], 0)</f>
        <v>0</v>
      </c>
      <c r="L9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1" s="4"/>
      <c r="N981" s="46">
        <f>IF(SO[[#This Row],[Collection date - override (dd/mm/yyyy)]] &lt;&gt; "", SO[[#This Row],[Collection date - override (dd/mm/yyyy)]], SO[[#This Row],[Due date (dd/mm/yyyy)]])</f>
        <v>0</v>
      </c>
      <c r="O981" s="46">
        <f t="shared" si="15"/>
        <v>52</v>
      </c>
    </row>
    <row r="982" spans="3:15" x14ac:dyDescent="0.25">
      <c r="C982" s="24"/>
      <c r="D982" s="20"/>
      <c r="E982" s="4"/>
      <c r="F982" s="37"/>
      <c r="G982" s="24"/>
      <c r="H982" s="51">
        <f>Assumptions!$D$15</f>
        <v>0.1</v>
      </c>
      <c r="I982" s="45">
        <f>IF(SO[[#This Row],[GST applies?]] = "Yes", (SO[[#This Row],[Value inc. GST]] / 1 + SO[[#This Row],[GST %]]) * SO[[#This Row],[GST %]], 0)</f>
        <v>0</v>
      </c>
      <c r="J982" s="31">
        <f>_xlfn.XLOOKUP(SO[[#This Row],[Customer name]], Customer_master[Customer name], Customer_master[EOM or Net], 0)</f>
        <v>0</v>
      </c>
      <c r="K982" s="31">
        <f>_xlfn.XLOOKUP(SO[[#This Row],[Customer name]], Customer_master[Customer name], Customer_master[Terms days], 0)</f>
        <v>0</v>
      </c>
      <c r="L9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2" s="4"/>
      <c r="N982" s="46">
        <f>IF(SO[[#This Row],[Collection date - override (dd/mm/yyyy)]] &lt;&gt; "", SO[[#This Row],[Collection date - override (dd/mm/yyyy)]], SO[[#This Row],[Due date (dd/mm/yyyy)]])</f>
        <v>0</v>
      </c>
      <c r="O982" s="46">
        <f t="shared" si="15"/>
        <v>52</v>
      </c>
    </row>
    <row r="983" spans="3:15" x14ac:dyDescent="0.25">
      <c r="C983" s="24"/>
      <c r="D983" s="20"/>
      <c r="E983" s="4"/>
      <c r="F983" s="37"/>
      <c r="G983" s="24"/>
      <c r="H983" s="51">
        <f>Assumptions!$D$15</f>
        <v>0.1</v>
      </c>
      <c r="I983" s="45">
        <f>IF(SO[[#This Row],[GST applies?]] = "Yes", (SO[[#This Row],[Value inc. GST]] / 1 + SO[[#This Row],[GST %]]) * SO[[#This Row],[GST %]], 0)</f>
        <v>0</v>
      </c>
      <c r="J983" s="31">
        <f>_xlfn.XLOOKUP(SO[[#This Row],[Customer name]], Customer_master[Customer name], Customer_master[EOM or Net], 0)</f>
        <v>0</v>
      </c>
      <c r="K983" s="31">
        <f>_xlfn.XLOOKUP(SO[[#This Row],[Customer name]], Customer_master[Customer name], Customer_master[Terms days], 0)</f>
        <v>0</v>
      </c>
      <c r="L9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3" s="4"/>
      <c r="N983" s="46">
        <f>IF(SO[[#This Row],[Collection date - override (dd/mm/yyyy)]] &lt;&gt; "", SO[[#This Row],[Collection date - override (dd/mm/yyyy)]], SO[[#This Row],[Due date (dd/mm/yyyy)]])</f>
        <v>0</v>
      </c>
      <c r="O983" s="46">
        <f t="shared" si="15"/>
        <v>52</v>
      </c>
    </row>
    <row r="984" spans="3:15" x14ac:dyDescent="0.25">
      <c r="C984" s="24"/>
      <c r="D984" s="20"/>
      <c r="E984" s="4"/>
      <c r="F984" s="37"/>
      <c r="G984" s="24"/>
      <c r="H984" s="51">
        <f>Assumptions!$D$15</f>
        <v>0.1</v>
      </c>
      <c r="I984" s="45">
        <f>IF(SO[[#This Row],[GST applies?]] = "Yes", (SO[[#This Row],[Value inc. GST]] / 1 + SO[[#This Row],[GST %]]) * SO[[#This Row],[GST %]], 0)</f>
        <v>0</v>
      </c>
      <c r="J984" s="31">
        <f>_xlfn.XLOOKUP(SO[[#This Row],[Customer name]], Customer_master[Customer name], Customer_master[EOM or Net], 0)</f>
        <v>0</v>
      </c>
      <c r="K984" s="31">
        <f>_xlfn.XLOOKUP(SO[[#This Row],[Customer name]], Customer_master[Customer name], Customer_master[Terms days], 0)</f>
        <v>0</v>
      </c>
      <c r="L9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4" s="4"/>
      <c r="N984" s="46">
        <f>IF(SO[[#This Row],[Collection date - override (dd/mm/yyyy)]] &lt;&gt; "", SO[[#This Row],[Collection date - override (dd/mm/yyyy)]], SO[[#This Row],[Due date (dd/mm/yyyy)]])</f>
        <v>0</v>
      </c>
      <c r="O984" s="46">
        <f t="shared" si="15"/>
        <v>52</v>
      </c>
    </row>
    <row r="985" spans="3:15" x14ac:dyDescent="0.25">
      <c r="C985" s="24"/>
      <c r="D985" s="20"/>
      <c r="E985" s="4"/>
      <c r="F985" s="37"/>
      <c r="G985" s="24"/>
      <c r="H985" s="51">
        <f>Assumptions!$D$15</f>
        <v>0.1</v>
      </c>
      <c r="I985" s="45">
        <f>IF(SO[[#This Row],[GST applies?]] = "Yes", (SO[[#This Row],[Value inc. GST]] / 1 + SO[[#This Row],[GST %]]) * SO[[#This Row],[GST %]], 0)</f>
        <v>0</v>
      </c>
      <c r="J985" s="31">
        <f>_xlfn.XLOOKUP(SO[[#This Row],[Customer name]], Customer_master[Customer name], Customer_master[EOM or Net], 0)</f>
        <v>0</v>
      </c>
      <c r="K985" s="31">
        <f>_xlfn.XLOOKUP(SO[[#This Row],[Customer name]], Customer_master[Customer name], Customer_master[Terms days], 0)</f>
        <v>0</v>
      </c>
      <c r="L9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5" s="4"/>
      <c r="N985" s="46">
        <f>IF(SO[[#This Row],[Collection date - override (dd/mm/yyyy)]] &lt;&gt; "", SO[[#This Row],[Collection date - override (dd/mm/yyyy)]], SO[[#This Row],[Due date (dd/mm/yyyy)]])</f>
        <v>0</v>
      </c>
      <c r="O985" s="46">
        <f t="shared" si="15"/>
        <v>52</v>
      </c>
    </row>
    <row r="986" spans="3:15" x14ac:dyDescent="0.25">
      <c r="C986" s="24"/>
      <c r="D986" s="20"/>
      <c r="E986" s="4"/>
      <c r="F986" s="37"/>
      <c r="G986" s="24"/>
      <c r="H986" s="51">
        <f>Assumptions!$D$15</f>
        <v>0.1</v>
      </c>
      <c r="I986" s="45">
        <f>IF(SO[[#This Row],[GST applies?]] = "Yes", (SO[[#This Row],[Value inc. GST]] / 1 + SO[[#This Row],[GST %]]) * SO[[#This Row],[GST %]], 0)</f>
        <v>0</v>
      </c>
      <c r="J986" s="31">
        <f>_xlfn.XLOOKUP(SO[[#This Row],[Customer name]], Customer_master[Customer name], Customer_master[EOM or Net], 0)</f>
        <v>0</v>
      </c>
      <c r="K986" s="31">
        <f>_xlfn.XLOOKUP(SO[[#This Row],[Customer name]], Customer_master[Customer name], Customer_master[Terms days], 0)</f>
        <v>0</v>
      </c>
      <c r="L9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6" s="4"/>
      <c r="N986" s="46">
        <f>IF(SO[[#This Row],[Collection date - override (dd/mm/yyyy)]] &lt;&gt; "", SO[[#This Row],[Collection date - override (dd/mm/yyyy)]], SO[[#This Row],[Due date (dd/mm/yyyy)]])</f>
        <v>0</v>
      </c>
      <c r="O986" s="46">
        <f t="shared" si="15"/>
        <v>52</v>
      </c>
    </row>
    <row r="987" spans="3:15" x14ac:dyDescent="0.25">
      <c r="C987" s="24"/>
      <c r="D987" s="20"/>
      <c r="E987" s="4"/>
      <c r="F987" s="37"/>
      <c r="G987" s="24"/>
      <c r="H987" s="51">
        <f>Assumptions!$D$15</f>
        <v>0.1</v>
      </c>
      <c r="I987" s="45">
        <f>IF(SO[[#This Row],[GST applies?]] = "Yes", (SO[[#This Row],[Value inc. GST]] / 1 + SO[[#This Row],[GST %]]) * SO[[#This Row],[GST %]], 0)</f>
        <v>0</v>
      </c>
      <c r="J987" s="31">
        <f>_xlfn.XLOOKUP(SO[[#This Row],[Customer name]], Customer_master[Customer name], Customer_master[EOM or Net], 0)</f>
        <v>0</v>
      </c>
      <c r="K987" s="31">
        <f>_xlfn.XLOOKUP(SO[[#This Row],[Customer name]], Customer_master[Customer name], Customer_master[Terms days], 0)</f>
        <v>0</v>
      </c>
      <c r="L9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7" s="4"/>
      <c r="N987" s="46">
        <f>IF(SO[[#This Row],[Collection date - override (dd/mm/yyyy)]] &lt;&gt; "", SO[[#This Row],[Collection date - override (dd/mm/yyyy)]], SO[[#This Row],[Due date (dd/mm/yyyy)]])</f>
        <v>0</v>
      </c>
      <c r="O987" s="46">
        <f t="shared" si="15"/>
        <v>52</v>
      </c>
    </row>
    <row r="988" spans="3:15" x14ac:dyDescent="0.25">
      <c r="C988" s="24"/>
      <c r="D988" s="20"/>
      <c r="E988" s="4"/>
      <c r="F988" s="37"/>
      <c r="G988" s="24"/>
      <c r="H988" s="51">
        <f>Assumptions!$D$15</f>
        <v>0.1</v>
      </c>
      <c r="I988" s="45">
        <f>IF(SO[[#This Row],[GST applies?]] = "Yes", (SO[[#This Row],[Value inc. GST]] / 1 + SO[[#This Row],[GST %]]) * SO[[#This Row],[GST %]], 0)</f>
        <v>0</v>
      </c>
      <c r="J988" s="31">
        <f>_xlfn.XLOOKUP(SO[[#This Row],[Customer name]], Customer_master[Customer name], Customer_master[EOM or Net], 0)</f>
        <v>0</v>
      </c>
      <c r="K988" s="31">
        <f>_xlfn.XLOOKUP(SO[[#This Row],[Customer name]], Customer_master[Customer name], Customer_master[Terms days], 0)</f>
        <v>0</v>
      </c>
      <c r="L9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8" s="4"/>
      <c r="N988" s="46">
        <f>IF(SO[[#This Row],[Collection date - override (dd/mm/yyyy)]] &lt;&gt; "", SO[[#This Row],[Collection date - override (dd/mm/yyyy)]], SO[[#This Row],[Due date (dd/mm/yyyy)]])</f>
        <v>0</v>
      </c>
      <c r="O988" s="46">
        <f t="shared" si="15"/>
        <v>52</v>
      </c>
    </row>
    <row r="989" spans="3:15" x14ac:dyDescent="0.25">
      <c r="C989" s="24"/>
      <c r="D989" s="20"/>
      <c r="E989" s="4"/>
      <c r="F989" s="37"/>
      <c r="G989" s="24"/>
      <c r="H989" s="51">
        <f>Assumptions!$D$15</f>
        <v>0.1</v>
      </c>
      <c r="I989" s="45">
        <f>IF(SO[[#This Row],[GST applies?]] = "Yes", (SO[[#This Row],[Value inc. GST]] / 1 + SO[[#This Row],[GST %]]) * SO[[#This Row],[GST %]], 0)</f>
        <v>0</v>
      </c>
      <c r="J989" s="31">
        <f>_xlfn.XLOOKUP(SO[[#This Row],[Customer name]], Customer_master[Customer name], Customer_master[EOM or Net], 0)</f>
        <v>0</v>
      </c>
      <c r="K989" s="31">
        <f>_xlfn.XLOOKUP(SO[[#This Row],[Customer name]], Customer_master[Customer name], Customer_master[Terms days], 0)</f>
        <v>0</v>
      </c>
      <c r="L9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9" s="4"/>
      <c r="N989" s="46">
        <f>IF(SO[[#This Row],[Collection date - override (dd/mm/yyyy)]] &lt;&gt; "", SO[[#This Row],[Collection date - override (dd/mm/yyyy)]], SO[[#This Row],[Due date (dd/mm/yyyy)]])</f>
        <v>0</v>
      </c>
      <c r="O989" s="46">
        <f t="shared" si="15"/>
        <v>52</v>
      </c>
    </row>
    <row r="990" spans="3:15" x14ac:dyDescent="0.25">
      <c r="C990" s="24"/>
      <c r="D990" s="20"/>
      <c r="E990" s="4"/>
      <c r="F990" s="37"/>
      <c r="G990" s="24"/>
      <c r="H990" s="51">
        <f>Assumptions!$D$15</f>
        <v>0.1</v>
      </c>
      <c r="I990" s="45">
        <f>IF(SO[[#This Row],[GST applies?]] = "Yes", (SO[[#This Row],[Value inc. GST]] / 1 + SO[[#This Row],[GST %]]) * SO[[#This Row],[GST %]], 0)</f>
        <v>0</v>
      </c>
      <c r="J990" s="31">
        <f>_xlfn.XLOOKUP(SO[[#This Row],[Customer name]], Customer_master[Customer name], Customer_master[EOM or Net], 0)</f>
        <v>0</v>
      </c>
      <c r="K990" s="31">
        <f>_xlfn.XLOOKUP(SO[[#This Row],[Customer name]], Customer_master[Customer name], Customer_master[Terms days], 0)</f>
        <v>0</v>
      </c>
      <c r="L9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0" s="4"/>
      <c r="N990" s="46">
        <f>IF(SO[[#This Row],[Collection date - override (dd/mm/yyyy)]] &lt;&gt; "", SO[[#This Row],[Collection date - override (dd/mm/yyyy)]], SO[[#This Row],[Due date (dd/mm/yyyy)]])</f>
        <v>0</v>
      </c>
      <c r="O990" s="46">
        <f t="shared" si="15"/>
        <v>52</v>
      </c>
    </row>
    <row r="991" spans="3:15" x14ac:dyDescent="0.25">
      <c r="C991" s="24"/>
      <c r="D991" s="20"/>
      <c r="E991" s="4"/>
      <c r="F991" s="37"/>
      <c r="G991" s="24"/>
      <c r="H991" s="51">
        <f>Assumptions!$D$15</f>
        <v>0.1</v>
      </c>
      <c r="I991" s="45">
        <f>IF(SO[[#This Row],[GST applies?]] = "Yes", (SO[[#This Row],[Value inc. GST]] / 1 + SO[[#This Row],[GST %]]) * SO[[#This Row],[GST %]], 0)</f>
        <v>0</v>
      </c>
      <c r="J991" s="31">
        <f>_xlfn.XLOOKUP(SO[[#This Row],[Customer name]], Customer_master[Customer name], Customer_master[EOM or Net], 0)</f>
        <v>0</v>
      </c>
      <c r="K991" s="31">
        <f>_xlfn.XLOOKUP(SO[[#This Row],[Customer name]], Customer_master[Customer name], Customer_master[Terms days], 0)</f>
        <v>0</v>
      </c>
      <c r="L9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1" s="4"/>
      <c r="N991" s="46">
        <f>IF(SO[[#This Row],[Collection date - override (dd/mm/yyyy)]] &lt;&gt; "", SO[[#This Row],[Collection date - override (dd/mm/yyyy)]], SO[[#This Row],[Due date (dd/mm/yyyy)]])</f>
        <v>0</v>
      </c>
      <c r="O991" s="46">
        <f t="shared" si="15"/>
        <v>52</v>
      </c>
    </row>
    <row r="992" spans="3:15" x14ac:dyDescent="0.25">
      <c r="C992" s="24"/>
      <c r="D992" s="20"/>
      <c r="E992" s="4"/>
      <c r="F992" s="37"/>
      <c r="G992" s="24"/>
      <c r="H992" s="51">
        <f>Assumptions!$D$15</f>
        <v>0.1</v>
      </c>
      <c r="I992" s="45">
        <f>IF(SO[[#This Row],[GST applies?]] = "Yes", (SO[[#This Row],[Value inc. GST]] / 1 + SO[[#This Row],[GST %]]) * SO[[#This Row],[GST %]], 0)</f>
        <v>0</v>
      </c>
      <c r="J992" s="31">
        <f>_xlfn.XLOOKUP(SO[[#This Row],[Customer name]], Customer_master[Customer name], Customer_master[EOM or Net], 0)</f>
        <v>0</v>
      </c>
      <c r="K992" s="31">
        <f>_xlfn.XLOOKUP(SO[[#This Row],[Customer name]], Customer_master[Customer name], Customer_master[Terms days], 0)</f>
        <v>0</v>
      </c>
      <c r="L9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2" s="4"/>
      <c r="N992" s="46">
        <f>IF(SO[[#This Row],[Collection date - override (dd/mm/yyyy)]] &lt;&gt; "", SO[[#This Row],[Collection date - override (dd/mm/yyyy)]], SO[[#This Row],[Due date (dd/mm/yyyy)]])</f>
        <v>0</v>
      </c>
      <c r="O992" s="46">
        <f t="shared" si="15"/>
        <v>52</v>
      </c>
    </row>
    <row r="993" spans="3:15" x14ac:dyDescent="0.25">
      <c r="C993" s="24"/>
      <c r="D993" s="20"/>
      <c r="E993" s="4"/>
      <c r="F993" s="37"/>
      <c r="G993" s="24"/>
      <c r="H993" s="51">
        <f>Assumptions!$D$15</f>
        <v>0.1</v>
      </c>
      <c r="I993" s="45">
        <f>IF(SO[[#This Row],[GST applies?]] = "Yes", (SO[[#This Row],[Value inc. GST]] / 1 + SO[[#This Row],[GST %]]) * SO[[#This Row],[GST %]], 0)</f>
        <v>0</v>
      </c>
      <c r="J993" s="31">
        <f>_xlfn.XLOOKUP(SO[[#This Row],[Customer name]], Customer_master[Customer name], Customer_master[EOM or Net], 0)</f>
        <v>0</v>
      </c>
      <c r="K993" s="31">
        <f>_xlfn.XLOOKUP(SO[[#This Row],[Customer name]], Customer_master[Customer name], Customer_master[Terms days], 0)</f>
        <v>0</v>
      </c>
      <c r="L9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3" s="4"/>
      <c r="N993" s="46">
        <f>IF(SO[[#This Row],[Collection date - override (dd/mm/yyyy)]] &lt;&gt; "", SO[[#This Row],[Collection date - override (dd/mm/yyyy)]], SO[[#This Row],[Due date (dd/mm/yyyy)]])</f>
        <v>0</v>
      </c>
      <c r="O993" s="46">
        <f t="shared" si="15"/>
        <v>52</v>
      </c>
    </row>
    <row r="994" spans="3:15" x14ac:dyDescent="0.25">
      <c r="C994" s="24"/>
      <c r="D994" s="20"/>
      <c r="E994" s="4"/>
      <c r="F994" s="37"/>
      <c r="G994" s="24"/>
      <c r="H994" s="51">
        <f>Assumptions!$D$15</f>
        <v>0.1</v>
      </c>
      <c r="I994" s="45">
        <f>IF(SO[[#This Row],[GST applies?]] = "Yes", (SO[[#This Row],[Value inc. GST]] / 1 + SO[[#This Row],[GST %]]) * SO[[#This Row],[GST %]], 0)</f>
        <v>0</v>
      </c>
      <c r="J994" s="31">
        <f>_xlfn.XLOOKUP(SO[[#This Row],[Customer name]], Customer_master[Customer name], Customer_master[EOM or Net], 0)</f>
        <v>0</v>
      </c>
      <c r="K994" s="31">
        <f>_xlfn.XLOOKUP(SO[[#This Row],[Customer name]], Customer_master[Customer name], Customer_master[Terms days], 0)</f>
        <v>0</v>
      </c>
      <c r="L9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4" s="4"/>
      <c r="N994" s="46">
        <f>IF(SO[[#This Row],[Collection date - override (dd/mm/yyyy)]] &lt;&gt; "", SO[[#This Row],[Collection date - override (dd/mm/yyyy)]], SO[[#This Row],[Due date (dd/mm/yyyy)]])</f>
        <v>0</v>
      </c>
      <c r="O994" s="46">
        <f t="shared" si="15"/>
        <v>52</v>
      </c>
    </row>
    <row r="995" spans="3:15" x14ac:dyDescent="0.25">
      <c r="C995" s="24"/>
      <c r="D995" s="20"/>
      <c r="E995" s="4"/>
      <c r="F995" s="37"/>
      <c r="G995" s="24"/>
      <c r="H995" s="51">
        <f>Assumptions!$D$15</f>
        <v>0.1</v>
      </c>
      <c r="I995" s="45">
        <f>IF(SO[[#This Row],[GST applies?]] = "Yes", (SO[[#This Row],[Value inc. GST]] / 1 + SO[[#This Row],[GST %]]) * SO[[#This Row],[GST %]], 0)</f>
        <v>0</v>
      </c>
      <c r="J995" s="31">
        <f>_xlfn.XLOOKUP(SO[[#This Row],[Customer name]], Customer_master[Customer name], Customer_master[EOM or Net], 0)</f>
        <v>0</v>
      </c>
      <c r="K995" s="31">
        <f>_xlfn.XLOOKUP(SO[[#This Row],[Customer name]], Customer_master[Customer name], Customer_master[Terms days], 0)</f>
        <v>0</v>
      </c>
      <c r="L9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5" s="4"/>
      <c r="N995" s="46">
        <f>IF(SO[[#This Row],[Collection date - override (dd/mm/yyyy)]] &lt;&gt; "", SO[[#This Row],[Collection date - override (dd/mm/yyyy)]], SO[[#This Row],[Due date (dd/mm/yyyy)]])</f>
        <v>0</v>
      </c>
      <c r="O995" s="46">
        <f t="shared" si="15"/>
        <v>52</v>
      </c>
    </row>
    <row r="996" spans="3:15" x14ac:dyDescent="0.25">
      <c r="C996" s="24"/>
      <c r="D996" s="20"/>
      <c r="E996" s="4"/>
      <c r="F996" s="37"/>
      <c r="G996" s="24"/>
      <c r="H996" s="51">
        <f>Assumptions!$D$15</f>
        <v>0.1</v>
      </c>
      <c r="I996" s="45">
        <f>IF(SO[[#This Row],[GST applies?]] = "Yes", (SO[[#This Row],[Value inc. GST]] / 1 + SO[[#This Row],[GST %]]) * SO[[#This Row],[GST %]], 0)</f>
        <v>0</v>
      </c>
      <c r="J996" s="31">
        <f>_xlfn.XLOOKUP(SO[[#This Row],[Customer name]], Customer_master[Customer name], Customer_master[EOM or Net], 0)</f>
        <v>0</v>
      </c>
      <c r="K996" s="31">
        <f>_xlfn.XLOOKUP(SO[[#This Row],[Customer name]], Customer_master[Customer name], Customer_master[Terms days], 0)</f>
        <v>0</v>
      </c>
      <c r="L9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6" s="4"/>
      <c r="N996" s="46">
        <f>IF(SO[[#This Row],[Collection date - override (dd/mm/yyyy)]] &lt;&gt; "", SO[[#This Row],[Collection date - override (dd/mm/yyyy)]], SO[[#This Row],[Due date (dd/mm/yyyy)]])</f>
        <v>0</v>
      </c>
      <c r="O996" s="46">
        <f t="shared" si="15"/>
        <v>52</v>
      </c>
    </row>
    <row r="997" spans="3:15" x14ac:dyDescent="0.25">
      <c r="C997" s="24"/>
      <c r="D997" s="20"/>
      <c r="E997" s="4"/>
      <c r="F997" s="37"/>
      <c r="G997" s="24"/>
      <c r="H997" s="51">
        <f>Assumptions!$D$15</f>
        <v>0.1</v>
      </c>
      <c r="I997" s="45">
        <f>IF(SO[[#This Row],[GST applies?]] = "Yes", (SO[[#This Row],[Value inc. GST]] / 1 + SO[[#This Row],[GST %]]) * SO[[#This Row],[GST %]], 0)</f>
        <v>0</v>
      </c>
      <c r="J997" s="31">
        <f>_xlfn.XLOOKUP(SO[[#This Row],[Customer name]], Customer_master[Customer name], Customer_master[EOM or Net], 0)</f>
        <v>0</v>
      </c>
      <c r="K997" s="31">
        <f>_xlfn.XLOOKUP(SO[[#This Row],[Customer name]], Customer_master[Customer name], Customer_master[Terms days], 0)</f>
        <v>0</v>
      </c>
      <c r="L9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7" s="4"/>
      <c r="N997" s="46">
        <f>IF(SO[[#This Row],[Collection date - override (dd/mm/yyyy)]] &lt;&gt; "", SO[[#This Row],[Collection date - override (dd/mm/yyyy)]], SO[[#This Row],[Due date (dd/mm/yyyy)]])</f>
        <v>0</v>
      </c>
      <c r="O997" s="46">
        <f t="shared" si="15"/>
        <v>52</v>
      </c>
    </row>
    <row r="998" spans="3:15" x14ac:dyDescent="0.25">
      <c r="C998" s="24"/>
      <c r="D998" s="20"/>
      <c r="E998" s="4"/>
      <c r="F998" s="37"/>
      <c r="G998" s="24"/>
      <c r="H998" s="51">
        <f>Assumptions!$D$15</f>
        <v>0.1</v>
      </c>
      <c r="I998" s="45">
        <f>IF(SO[[#This Row],[GST applies?]] = "Yes", (SO[[#This Row],[Value inc. GST]] / 1 + SO[[#This Row],[GST %]]) * SO[[#This Row],[GST %]], 0)</f>
        <v>0</v>
      </c>
      <c r="J998" s="31">
        <f>_xlfn.XLOOKUP(SO[[#This Row],[Customer name]], Customer_master[Customer name], Customer_master[EOM or Net], 0)</f>
        <v>0</v>
      </c>
      <c r="K998" s="31">
        <f>_xlfn.XLOOKUP(SO[[#This Row],[Customer name]], Customer_master[Customer name], Customer_master[Terms days], 0)</f>
        <v>0</v>
      </c>
      <c r="L9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8" s="4"/>
      <c r="N998" s="46">
        <f>IF(SO[[#This Row],[Collection date - override (dd/mm/yyyy)]] &lt;&gt; "", SO[[#This Row],[Collection date - override (dd/mm/yyyy)]], SO[[#This Row],[Due date (dd/mm/yyyy)]])</f>
        <v>0</v>
      </c>
      <c r="O998" s="46">
        <f t="shared" si="15"/>
        <v>52</v>
      </c>
    </row>
    <row r="999" spans="3:15" x14ac:dyDescent="0.25">
      <c r="C999" s="24"/>
      <c r="D999" s="20"/>
      <c r="E999" s="4"/>
      <c r="F999" s="37"/>
      <c r="G999" s="24"/>
      <c r="H999" s="51">
        <f>Assumptions!$D$15</f>
        <v>0.1</v>
      </c>
      <c r="I999" s="45">
        <f>IF(SO[[#This Row],[GST applies?]] = "Yes", (SO[[#This Row],[Value inc. GST]] / 1 + SO[[#This Row],[GST %]]) * SO[[#This Row],[GST %]], 0)</f>
        <v>0</v>
      </c>
      <c r="J999" s="31">
        <f>_xlfn.XLOOKUP(SO[[#This Row],[Customer name]], Customer_master[Customer name], Customer_master[EOM or Net], 0)</f>
        <v>0</v>
      </c>
      <c r="K999" s="31">
        <f>_xlfn.XLOOKUP(SO[[#This Row],[Customer name]], Customer_master[Customer name], Customer_master[Terms days], 0)</f>
        <v>0</v>
      </c>
      <c r="L9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9" s="4"/>
      <c r="N999" s="46">
        <f>IF(SO[[#This Row],[Collection date - override (dd/mm/yyyy)]] &lt;&gt; "", SO[[#This Row],[Collection date - override (dd/mm/yyyy)]], SO[[#This Row],[Due date (dd/mm/yyyy)]])</f>
        <v>0</v>
      </c>
      <c r="O999" s="46">
        <f t="shared" si="15"/>
        <v>52</v>
      </c>
    </row>
    <row r="1000" spans="3:15" x14ac:dyDescent="0.25">
      <c r="C1000" s="24"/>
      <c r="D1000" s="20"/>
      <c r="E1000" s="4"/>
      <c r="F1000" s="37"/>
      <c r="G1000" s="24"/>
      <c r="H1000" s="51">
        <f>Assumptions!$D$15</f>
        <v>0.1</v>
      </c>
      <c r="I1000" s="45">
        <f>IF(SO[[#This Row],[GST applies?]] = "Yes", (SO[[#This Row],[Value inc. GST]] / 1 + SO[[#This Row],[GST %]]) * SO[[#This Row],[GST %]], 0)</f>
        <v>0</v>
      </c>
      <c r="J1000" s="31">
        <f>_xlfn.XLOOKUP(SO[[#This Row],[Customer name]], Customer_master[Customer name], Customer_master[EOM or Net], 0)</f>
        <v>0</v>
      </c>
      <c r="K1000" s="31">
        <f>_xlfn.XLOOKUP(SO[[#This Row],[Customer name]], Customer_master[Customer name], Customer_master[Terms days], 0)</f>
        <v>0</v>
      </c>
      <c r="L10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00" s="4"/>
      <c r="N1000" s="46">
        <f>IF(SO[[#This Row],[Collection date - override (dd/mm/yyyy)]] &lt;&gt; "", SO[[#This Row],[Collection date - override (dd/mm/yyyy)]], SO[[#This Row],[Due date (dd/mm/yyyy)]])</f>
        <v>0</v>
      </c>
      <c r="O1000" s="46">
        <f t="shared" si="15"/>
        <v>52</v>
      </c>
    </row>
  </sheetData>
  <dataValidations count="1">
    <dataValidation type="list" allowBlank="1" showInputMessage="1" showErrorMessage="1" sqref="G9:G1000" xr:uid="{A8EED5F6-8D91-4989-9FFE-2555C1499515}">
      <formula1>"Yes, No"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35B42C-5C19-45A4-BDAA-59B1EDD36CBC}">
          <x14:formula1>
            <xm:f>'Customer master data'!$B$9:$B$1000</xm:f>
          </x14:formula1>
          <xm:sqref>D9:D1000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1C64-7AFE-4FE6-A038-0AAB1A763823}">
  <sheetPr>
    <tabColor theme="9" tint="0.79998168889431442"/>
  </sheetPr>
  <dimension ref="A1:Z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8.7109375" style="1" bestFit="1" customWidth="1"/>
    <col min="4" max="4" width="19" style="1" bestFit="1" customWidth="1"/>
    <col min="5" max="5" width="29.140625" style="1" bestFit="1" customWidth="1"/>
    <col min="6" max="6" width="19.5703125" style="1" customWidth="1"/>
    <col min="7" max="7" width="12.85546875" style="1" customWidth="1"/>
    <col min="8" max="8" width="22.5703125" style="1" bestFit="1" customWidth="1"/>
    <col min="9" max="9" width="24.140625" style="1" bestFit="1" customWidth="1"/>
    <col min="10" max="11" width="22.42578125" style="1" bestFit="1" customWidth="1"/>
    <col min="12" max="13" width="22.42578125" style="1" customWidth="1"/>
    <col min="14" max="14" width="9.140625" style="1" customWidth="1"/>
    <col min="15" max="15" width="10" style="1" bestFit="1" customWidth="1"/>
    <col min="16" max="16" width="20.5703125" style="1" bestFit="1" customWidth="1"/>
    <col min="17" max="17" width="15.5703125" style="1" bestFit="1" customWidth="1"/>
    <col min="18" max="18" width="18.140625" style="1" bestFit="1" customWidth="1"/>
    <col min="19" max="19" width="30.42578125" style="1" bestFit="1" customWidth="1"/>
    <col min="20" max="20" width="18.85546875" style="1" bestFit="1" customWidth="1"/>
    <col min="21" max="21" width="15.7109375" style="1" customWidth="1"/>
    <col min="22" max="22" width="1.7109375" style="1" customWidth="1"/>
    <col min="23" max="26" width="0" style="1" hidden="1" customWidth="1"/>
    <col min="27" max="16384" width="9.140625" style="1" hidden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x14ac:dyDescent="0.25">
      <c r="A3" s="2"/>
      <c r="B3" s="16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7" spans="1:22" x14ac:dyDescent="0.25">
      <c r="C7" s="3" t="s">
        <v>33</v>
      </c>
      <c r="D7" s="3" t="s">
        <v>32</v>
      </c>
      <c r="E7" s="3" t="s">
        <v>32</v>
      </c>
      <c r="F7" s="3" t="s">
        <v>32</v>
      </c>
      <c r="G7" s="3" t="s">
        <v>32</v>
      </c>
      <c r="H7" s="3" t="s">
        <v>87</v>
      </c>
      <c r="I7" s="3" t="s">
        <v>87</v>
      </c>
      <c r="J7" s="3" t="s">
        <v>33</v>
      </c>
      <c r="K7" s="3" t="s">
        <v>33</v>
      </c>
      <c r="L7" s="3" t="s">
        <v>87</v>
      </c>
      <c r="M7" s="3" t="s">
        <v>87</v>
      </c>
      <c r="N7" s="3" t="s">
        <v>87</v>
      </c>
      <c r="O7" s="3" t="s">
        <v>87</v>
      </c>
      <c r="P7" s="3" t="s">
        <v>87</v>
      </c>
      <c r="Q7" s="3" t="s">
        <v>87</v>
      </c>
      <c r="R7" s="3" t="s">
        <v>87</v>
      </c>
      <c r="S7" s="3" t="s">
        <v>33</v>
      </c>
      <c r="T7" s="3" t="s">
        <v>87</v>
      </c>
      <c r="U7" s="3" t="s">
        <v>87</v>
      </c>
    </row>
    <row r="8" spans="1:22" x14ac:dyDescent="0.25">
      <c r="C8" s="25" t="s">
        <v>123</v>
      </c>
      <c r="D8" s="26" t="s">
        <v>35</v>
      </c>
      <c r="E8" s="39" t="s">
        <v>121</v>
      </c>
      <c r="F8" s="39" t="s">
        <v>231</v>
      </c>
      <c r="G8" s="40" t="s">
        <v>226</v>
      </c>
      <c r="H8" s="8" t="s">
        <v>115</v>
      </c>
      <c r="I8" s="8" t="s">
        <v>116</v>
      </c>
      <c r="J8" s="8" t="s">
        <v>117</v>
      </c>
      <c r="K8" s="8" t="s">
        <v>118</v>
      </c>
      <c r="L8" s="40" t="s">
        <v>119</v>
      </c>
      <c r="M8" s="40" t="s">
        <v>120</v>
      </c>
      <c r="N8" s="61" t="s">
        <v>224</v>
      </c>
      <c r="O8" s="39" t="s">
        <v>227</v>
      </c>
      <c r="P8" s="32" t="s">
        <v>82</v>
      </c>
      <c r="Q8" s="23" t="s">
        <v>83</v>
      </c>
      <c r="R8" s="23" t="s">
        <v>84</v>
      </c>
      <c r="S8" s="39" t="s">
        <v>113</v>
      </c>
      <c r="T8" s="39" t="s">
        <v>114</v>
      </c>
      <c r="U8" s="39" t="s">
        <v>230</v>
      </c>
    </row>
    <row r="9" spans="1:22" x14ac:dyDescent="0.25">
      <c r="C9" s="24"/>
      <c r="D9" s="20"/>
      <c r="E9" s="4"/>
      <c r="F9" s="37"/>
      <c r="G9" s="38"/>
      <c r="H9" s="31">
        <f>_xlfn.XLOOKUP(PO[[#This Row],[Supplier name]], Supplier_master[Supplier name], Supplier_master[Category L1], 0)</f>
        <v>0</v>
      </c>
      <c r="I9" s="31">
        <f>_xlfn.XLOOKUP(PO[[#This Row],[Supplier name]], Supplier_master[Supplier name], Supplier_master[Category L2], 0)</f>
        <v>0</v>
      </c>
      <c r="J9" s="55"/>
      <c r="K9" s="55"/>
      <c r="L9" s="31">
        <f>IF(PO[[#This Row],[Spend category L1 - Override]] &lt;&gt; "", PO[[#This Row],[Spend category L1 - Override]], PO[[#This Row],[Spend category L1]])</f>
        <v>0</v>
      </c>
      <c r="M9" s="31">
        <f>IF(PO[[#This Row],[Spend category L2 - Override]] &lt;&gt; "", PO[[#This Row],[Spend category L2 - Override]], PO[[#This Row],[Spend category L2]])</f>
        <v>0</v>
      </c>
      <c r="N9" s="62">
        <f>Assumptions!$D$15</f>
        <v>0.1</v>
      </c>
      <c r="O9" s="45">
        <f>IF(PO[[#This Row],[GST applies?]] = "Yes", (PO[[#This Row],[Value inc. GST]] / 1 + PO[[#This Row],[GST %]]) * PO[[#This Row],[GST %]], 0)</f>
        <v>0</v>
      </c>
      <c r="P9" s="31">
        <f>_xlfn.XLOOKUP(PO[[#This Row],[Supplier name]], Supplier_master[Supplier name], Supplier_master[EOM or Net], 0)</f>
        <v>0</v>
      </c>
      <c r="Q9" s="31">
        <f>_xlfn.XLOOKUP(PO[[#This Row],[Supplier name]], Supplier_master[Supplier name], Supplier_master[Terms days], 0)</f>
        <v>0</v>
      </c>
      <c r="R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" s="4"/>
      <c r="T9" s="46">
        <f>IF(PO[[#This Row],[Payment date - override (dd/mm/yyyy)]] &lt;&gt; "", PO[[#This Row],[Payment date - override (dd/mm/yyyy)]], PO[[#This Row],[Due date (dd/mm/yyyy)]])</f>
        <v>0</v>
      </c>
      <c r="U9" s="46">
        <f t="shared" ref="U9:U72" si="0"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f>
        <v>52</v>
      </c>
    </row>
    <row r="10" spans="1:22" x14ac:dyDescent="0.25">
      <c r="C10" s="24"/>
      <c r="D10" s="20"/>
      <c r="E10" s="4"/>
      <c r="F10" s="37"/>
      <c r="G10" s="38"/>
      <c r="H10" s="31">
        <f>_xlfn.XLOOKUP(PO[[#This Row],[Supplier name]], Supplier_master[Supplier name], Supplier_master[Category L1], 0)</f>
        <v>0</v>
      </c>
      <c r="I10" s="31">
        <f>_xlfn.XLOOKUP(PO[[#This Row],[Supplier name]], Supplier_master[Supplier name], Supplier_master[Category L2], 0)</f>
        <v>0</v>
      </c>
      <c r="J10" s="55"/>
      <c r="K10" s="55"/>
      <c r="L10" s="31">
        <f>IF(PO[[#This Row],[Spend category L1 - Override]] &lt;&gt; "", PO[[#This Row],[Spend category L1 - Override]], PO[[#This Row],[Spend category L1]])</f>
        <v>0</v>
      </c>
      <c r="M10" s="31">
        <f>IF(PO[[#This Row],[Spend category L2 - Override]] &lt;&gt; "", PO[[#This Row],[Spend category L2 - Override]], PO[[#This Row],[Spend category L2]])</f>
        <v>0</v>
      </c>
      <c r="N10" s="62">
        <f>Assumptions!$D$15</f>
        <v>0.1</v>
      </c>
      <c r="O10" s="45">
        <f>IF(PO[[#This Row],[GST applies?]] = "Yes", (PO[[#This Row],[Value inc. GST]] / 1 + PO[[#This Row],[GST %]]) * PO[[#This Row],[GST %]], 0)</f>
        <v>0</v>
      </c>
      <c r="P10" s="31">
        <f>_xlfn.XLOOKUP(PO[[#This Row],[Supplier name]], Supplier_master[Supplier name], Supplier_master[EOM or Net], 0)</f>
        <v>0</v>
      </c>
      <c r="Q10" s="31">
        <f>_xlfn.XLOOKUP(PO[[#This Row],[Supplier name]], Supplier_master[Supplier name], Supplier_master[Terms days], 0)</f>
        <v>0</v>
      </c>
      <c r="R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" s="4"/>
      <c r="T10" s="46">
        <f>IF(PO[[#This Row],[Payment date - override (dd/mm/yyyy)]] &lt;&gt; "", PO[[#This Row],[Payment date - override (dd/mm/yyyy)]], PO[[#This Row],[Due date (dd/mm/yyyy)]])</f>
        <v>0</v>
      </c>
      <c r="U10" s="46">
        <f t="shared" si="0"/>
        <v>52</v>
      </c>
    </row>
    <row r="11" spans="1:22" x14ac:dyDescent="0.25">
      <c r="C11" s="24"/>
      <c r="D11" s="20"/>
      <c r="E11" s="4"/>
      <c r="F11" s="37"/>
      <c r="G11" s="38"/>
      <c r="H11" s="31">
        <f>_xlfn.XLOOKUP(PO[[#This Row],[Supplier name]], Supplier_master[Supplier name], Supplier_master[Category L1], 0)</f>
        <v>0</v>
      </c>
      <c r="I11" s="31">
        <f>_xlfn.XLOOKUP(PO[[#This Row],[Supplier name]], Supplier_master[Supplier name], Supplier_master[Category L2], 0)</f>
        <v>0</v>
      </c>
      <c r="J11" s="55"/>
      <c r="K11" s="55"/>
      <c r="L11" s="31">
        <f>IF(PO[[#This Row],[Spend category L1 - Override]] &lt;&gt; "", PO[[#This Row],[Spend category L1 - Override]], PO[[#This Row],[Spend category L1]])</f>
        <v>0</v>
      </c>
      <c r="M11" s="31">
        <f>IF(PO[[#This Row],[Spend category L2 - Override]] &lt;&gt; "", PO[[#This Row],[Spend category L2 - Override]], PO[[#This Row],[Spend category L2]])</f>
        <v>0</v>
      </c>
      <c r="N11" s="62">
        <f>Assumptions!$D$15</f>
        <v>0.1</v>
      </c>
      <c r="O11" s="45">
        <f>IF(PO[[#This Row],[GST applies?]] = "Yes", (PO[[#This Row],[Value inc. GST]] / 1 + PO[[#This Row],[GST %]]) * PO[[#This Row],[GST %]], 0)</f>
        <v>0</v>
      </c>
      <c r="P11" s="31">
        <f>_xlfn.XLOOKUP(PO[[#This Row],[Supplier name]], Supplier_master[Supplier name], Supplier_master[EOM or Net], 0)</f>
        <v>0</v>
      </c>
      <c r="Q11" s="31">
        <f>_xlfn.XLOOKUP(PO[[#This Row],[Supplier name]], Supplier_master[Supplier name], Supplier_master[Terms days], 0)</f>
        <v>0</v>
      </c>
      <c r="R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" s="4"/>
      <c r="T11" s="46">
        <f>IF(PO[[#This Row],[Payment date - override (dd/mm/yyyy)]] &lt;&gt; "", PO[[#This Row],[Payment date - override (dd/mm/yyyy)]], PO[[#This Row],[Due date (dd/mm/yyyy)]])</f>
        <v>0</v>
      </c>
      <c r="U11" s="46">
        <f t="shared" si="0"/>
        <v>52</v>
      </c>
    </row>
    <row r="12" spans="1:22" x14ac:dyDescent="0.25">
      <c r="C12" s="24"/>
      <c r="D12" s="20"/>
      <c r="E12" s="4"/>
      <c r="F12" s="37"/>
      <c r="G12" s="38"/>
      <c r="H12" s="31">
        <f>_xlfn.XLOOKUP(PO[[#This Row],[Supplier name]], Supplier_master[Supplier name], Supplier_master[Category L1], 0)</f>
        <v>0</v>
      </c>
      <c r="I12" s="31">
        <f>_xlfn.XLOOKUP(PO[[#This Row],[Supplier name]], Supplier_master[Supplier name], Supplier_master[Category L2], 0)</f>
        <v>0</v>
      </c>
      <c r="J12" s="55"/>
      <c r="K12" s="55"/>
      <c r="L12" s="31">
        <f>IF(PO[[#This Row],[Spend category L1 - Override]] &lt;&gt; "", PO[[#This Row],[Spend category L1 - Override]], PO[[#This Row],[Spend category L1]])</f>
        <v>0</v>
      </c>
      <c r="M12" s="31">
        <f>IF(PO[[#This Row],[Spend category L2 - Override]] &lt;&gt; "", PO[[#This Row],[Spend category L2 - Override]], PO[[#This Row],[Spend category L2]])</f>
        <v>0</v>
      </c>
      <c r="N12" s="62">
        <f>Assumptions!$D$15</f>
        <v>0.1</v>
      </c>
      <c r="O12" s="45">
        <f>IF(PO[[#This Row],[GST applies?]] = "Yes", (PO[[#This Row],[Value inc. GST]] / 1 + PO[[#This Row],[GST %]]) * PO[[#This Row],[GST %]], 0)</f>
        <v>0</v>
      </c>
      <c r="P12" s="31">
        <f>_xlfn.XLOOKUP(PO[[#This Row],[Supplier name]], Supplier_master[Supplier name], Supplier_master[EOM or Net], 0)</f>
        <v>0</v>
      </c>
      <c r="Q12" s="31">
        <f>_xlfn.XLOOKUP(PO[[#This Row],[Supplier name]], Supplier_master[Supplier name], Supplier_master[Terms days], 0)</f>
        <v>0</v>
      </c>
      <c r="R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" s="4"/>
      <c r="T12" s="46">
        <f>IF(PO[[#This Row],[Payment date - override (dd/mm/yyyy)]] &lt;&gt; "", PO[[#This Row],[Payment date - override (dd/mm/yyyy)]], PO[[#This Row],[Due date (dd/mm/yyyy)]])</f>
        <v>0</v>
      </c>
      <c r="U12" s="46">
        <f t="shared" si="0"/>
        <v>52</v>
      </c>
    </row>
    <row r="13" spans="1:22" x14ac:dyDescent="0.25">
      <c r="C13" s="24"/>
      <c r="D13" s="20"/>
      <c r="E13" s="4"/>
      <c r="F13" s="37"/>
      <c r="G13" s="38"/>
      <c r="H13" s="31">
        <f>_xlfn.XLOOKUP(PO[[#This Row],[Supplier name]], Supplier_master[Supplier name], Supplier_master[Category L1], 0)</f>
        <v>0</v>
      </c>
      <c r="I13" s="31">
        <f>_xlfn.XLOOKUP(PO[[#This Row],[Supplier name]], Supplier_master[Supplier name], Supplier_master[Category L2], 0)</f>
        <v>0</v>
      </c>
      <c r="J13" s="55"/>
      <c r="K13" s="55"/>
      <c r="L13" s="31">
        <f>IF(PO[[#This Row],[Spend category L1 - Override]] &lt;&gt; "", PO[[#This Row],[Spend category L1 - Override]], PO[[#This Row],[Spend category L1]])</f>
        <v>0</v>
      </c>
      <c r="M13" s="31">
        <f>IF(PO[[#This Row],[Spend category L2 - Override]] &lt;&gt; "", PO[[#This Row],[Spend category L2 - Override]], PO[[#This Row],[Spend category L2]])</f>
        <v>0</v>
      </c>
      <c r="N13" s="62">
        <f>Assumptions!$D$15</f>
        <v>0.1</v>
      </c>
      <c r="O13" s="45">
        <f>IF(PO[[#This Row],[GST applies?]] = "Yes", (PO[[#This Row],[Value inc. GST]] / 1 + PO[[#This Row],[GST %]]) * PO[[#This Row],[GST %]], 0)</f>
        <v>0</v>
      </c>
      <c r="P13" s="31">
        <f>_xlfn.XLOOKUP(PO[[#This Row],[Supplier name]], Supplier_master[Supplier name], Supplier_master[EOM or Net], 0)</f>
        <v>0</v>
      </c>
      <c r="Q13" s="31">
        <f>_xlfn.XLOOKUP(PO[[#This Row],[Supplier name]], Supplier_master[Supplier name], Supplier_master[Terms days], 0)</f>
        <v>0</v>
      </c>
      <c r="R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" s="4"/>
      <c r="T13" s="46">
        <f>IF(PO[[#This Row],[Payment date - override (dd/mm/yyyy)]] &lt;&gt; "", PO[[#This Row],[Payment date - override (dd/mm/yyyy)]], PO[[#This Row],[Due date (dd/mm/yyyy)]])</f>
        <v>0</v>
      </c>
      <c r="U13" s="46">
        <f t="shared" si="0"/>
        <v>52</v>
      </c>
    </row>
    <row r="14" spans="1:22" x14ac:dyDescent="0.25">
      <c r="C14" s="24"/>
      <c r="D14" s="20"/>
      <c r="E14" s="4"/>
      <c r="F14" s="37"/>
      <c r="G14" s="38"/>
      <c r="H14" s="31">
        <f>_xlfn.XLOOKUP(PO[[#This Row],[Supplier name]], Supplier_master[Supplier name], Supplier_master[Category L1], 0)</f>
        <v>0</v>
      </c>
      <c r="I14" s="31">
        <f>_xlfn.XLOOKUP(PO[[#This Row],[Supplier name]], Supplier_master[Supplier name], Supplier_master[Category L2], 0)</f>
        <v>0</v>
      </c>
      <c r="J14" s="55"/>
      <c r="K14" s="55"/>
      <c r="L14" s="31">
        <f>IF(PO[[#This Row],[Spend category L1 - Override]] &lt;&gt; "", PO[[#This Row],[Spend category L1 - Override]], PO[[#This Row],[Spend category L1]])</f>
        <v>0</v>
      </c>
      <c r="M14" s="31">
        <f>IF(PO[[#This Row],[Spend category L2 - Override]] &lt;&gt; "", PO[[#This Row],[Spend category L2 - Override]], PO[[#This Row],[Spend category L2]])</f>
        <v>0</v>
      </c>
      <c r="N14" s="62">
        <f>Assumptions!$D$15</f>
        <v>0.1</v>
      </c>
      <c r="O14" s="45">
        <f>IF(PO[[#This Row],[GST applies?]] = "Yes", (PO[[#This Row],[Value inc. GST]] / 1 + PO[[#This Row],[GST %]]) * PO[[#This Row],[GST %]], 0)</f>
        <v>0</v>
      </c>
      <c r="P14" s="31">
        <f>_xlfn.XLOOKUP(PO[[#This Row],[Supplier name]], Supplier_master[Supplier name], Supplier_master[EOM or Net], 0)</f>
        <v>0</v>
      </c>
      <c r="Q14" s="31">
        <f>_xlfn.XLOOKUP(PO[[#This Row],[Supplier name]], Supplier_master[Supplier name], Supplier_master[Terms days], 0)</f>
        <v>0</v>
      </c>
      <c r="R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" s="4"/>
      <c r="T14" s="46">
        <f>IF(PO[[#This Row],[Payment date - override (dd/mm/yyyy)]] &lt;&gt; "", PO[[#This Row],[Payment date - override (dd/mm/yyyy)]], PO[[#This Row],[Due date (dd/mm/yyyy)]])</f>
        <v>0</v>
      </c>
      <c r="U14" s="46">
        <f t="shared" si="0"/>
        <v>52</v>
      </c>
    </row>
    <row r="15" spans="1:22" x14ac:dyDescent="0.25">
      <c r="C15" s="24"/>
      <c r="D15" s="20"/>
      <c r="E15" s="4"/>
      <c r="F15" s="37"/>
      <c r="G15" s="38"/>
      <c r="H15" s="31">
        <f>_xlfn.XLOOKUP(PO[[#This Row],[Supplier name]], Supplier_master[Supplier name], Supplier_master[Category L1], 0)</f>
        <v>0</v>
      </c>
      <c r="I15" s="31">
        <f>_xlfn.XLOOKUP(PO[[#This Row],[Supplier name]], Supplier_master[Supplier name], Supplier_master[Category L2], 0)</f>
        <v>0</v>
      </c>
      <c r="J15" s="55"/>
      <c r="K15" s="55"/>
      <c r="L15" s="31">
        <f>IF(PO[[#This Row],[Spend category L1 - Override]] &lt;&gt; "", PO[[#This Row],[Spend category L1 - Override]], PO[[#This Row],[Spend category L1]])</f>
        <v>0</v>
      </c>
      <c r="M15" s="31">
        <f>IF(PO[[#This Row],[Spend category L2 - Override]] &lt;&gt; "", PO[[#This Row],[Spend category L2 - Override]], PO[[#This Row],[Spend category L2]])</f>
        <v>0</v>
      </c>
      <c r="N15" s="62">
        <f>Assumptions!$D$15</f>
        <v>0.1</v>
      </c>
      <c r="O15" s="45">
        <f>IF(PO[[#This Row],[GST applies?]] = "Yes", (PO[[#This Row],[Value inc. GST]] / 1 + PO[[#This Row],[GST %]]) * PO[[#This Row],[GST %]], 0)</f>
        <v>0</v>
      </c>
      <c r="P15" s="31">
        <f>_xlfn.XLOOKUP(PO[[#This Row],[Supplier name]], Supplier_master[Supplier name], Supplier_master[EOM or Net], 0)</f>
        <v>0</v>
      </c>
      <c r="Q15" s="31">
        <f>_xlfn.XLOOKUP(PO[[#This Row],[Supplier name]], Supplier_master[Supplier name], Supplier_master[Terms days], 0)</f>
        <v>0</v>
      </c>
      <c r="R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" s="4"/>
      <c r="T15" s="46">
        <f>IF(PO[[#This Row],[Payment date - override (dd/mm/yyyy)]] &lt;&gt; "", PO[[#This Row],[Payment date - override (dd/mm/yyyy)]], PO[[#This Row],[Due date (dd/mm/yyyy)]])</f>
        <v>0</v>
      </c>
      <c r="U15" s="46">
        <f t="shared" si="0"/>
        <v>52</v>
      </c>
    </row>
    <row r="16" spans="1:22" x14ac:dyDescent="0.25">
      <c r="C16" s="24"/>
      <c r="D16" s="20"/>
      <c r="E16" s="4"/>
      <c r="F16" s="37"/>
      <c r="G16" s="38"/>
      <c r="H16" s="31">
        <f>_xlfn.XLOOKUP(PO[[#This Row],[Supplier name]], Supplier_master[Supplier name], Supplier_master[Category L1], 0)</f>
        <v>0</v>
      </c>
      <c r="I16" s="31">
        <f>_xlfn.XLOOKUP(PO[[#This Row],[Supplier name]], Supplier_master[Supplier name], Supplier_master[Category L2], 0)</f>
        <v>0</v>
      </c>
      <c r="J16" s="55"/>
      <c r="K16" s="55"/>
      <c r="L16" s="31">
        <f>IF(PO[[#This Row],[Spend category L1 - Override]] &lt;&gt; "", PO[[#This Row],[Spend category L1 - Override]], PO[[#This Row],[Spend category L1]])</f>
        <v>0</v>
      </c>
      <c r="M16" s="31">
        <f>IF(PO[[#This Row],[Spend category L2 - Override]] &lt;&gt; "", PO[[#This Row],[Spend category L2 - Override]], PO[[#This Row],[Spend category L2]])</f>
        <v>0</v>
      </c>
      <c r="N16" s="62">
        <f>Assumptions!$D$15</f>
        <v>0.1</v>
      </c>
      <c r="O16" s="45">
        <f>IF(PO[[#This Row],[GST applies?]] = "Yes", (PO[[#This Row],[Value inc. GST]] / 1 + PO[[#This Row],[GST %]]) * PO[[#This Row],[GST %]], 0)</f>
        <v>0</v>
      </c>
      <c r="P16" s="31">
        <f>_xlfn.XLOOKUP(PO[[#This Row],[Supplier name]], Supplier_master[Supplier name], Supplier_master[EOM or Net], 0)</f>
        <v>0</v>
      </c>
      <c r="Q16" s="31">
        <f>_xlfn.XLOOKUP(PO[[#This Row],[Supplier name]], Supplier_master[Supplier name], Supplier_master[Terms days], 0)</f>
        <v>0</v>
      </c>
      <c r="R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" s="4"/>
      <c r="T16" s="46">
        <f>IF(PO[[#This Row],[Payment date - override (dd/mm/yyyy)]] &lt;&gt; "", PO[[#This Row],[Payment date - override (dd/mm/yyyy)]], PO[[#This Row],[Due date (dd/mm/yyyy)]])</f>
        <v>0</v>
      </c>
      <c r="U16" s="46">
        <f t="shared" si="0"/>
        <v>52</v>
      </c>
    </row>
    <row r="17" spans="3:21" x14ac:dyDescent="0.25">
      <c r="C17" s="24"/>
      <c r="D17" s="20"/>
      <c r="E17" s="4"/>
      <c r="F17" s="37"/>
      <c r="G17" s="38"/>
      <c r="H17" s="31">
        <f>_xlfn.XLOOKUP(PO[[#This Row],[Supplier name]], Supplier_master[Supplier name], Supplier_master[Category L1], 0)</f>
        <v>0</v>
      </c>
      <c r="I17" s="31">
        <f>_xlfn.XLOOKUP(PO[[#This Row],[Supplier name]], Supplier_master[Supplier name], Supplier_master[Category L2], 0)</f>
        <v>0</v>
      </c>
      <c r="J17" s="55"/>
      <c r="K17" s="55"/>
      <c r="L17" s="31">
        <f>IF(PO[[#This Row],[Spend category L1 - Override]] &lt;&gt; "", PO[[#This Row],[Spend category L1 - Override]], PO[[#This Row],[Spend category L1]])</f>
        <v>0</v>
      </c>
      <c r="M17" s="31">
        <f>IF(PO[[#This Row],[Spend category L2 - Override]] &lt;&gt; "", PO[[#This Row],[Spend category L2 - Override]], PO[[#This Row],[Spend category L2]])</f>
        <v>0</v>
      </c>
      <c r="N17" s="62">
        <f>Assumptions!$D$15</f>
        <v>0.1</v>
      </c>
      <c r="O17" s="45">
        <f>IF(PO[[#This Row],[GST applies?]] = "Yes", (PO[[#This Row],[Value inc. GST]] / 1 + PO[[#This Row],[GST %]]) * PO[[#This Row],[GST %]], 0)</f>
        <v>0</v>
      </c>
      <c r="P17" s="31">
        <f>_xlfn.XLOOKUP(PO[[#This Row],[Supplier name]], Supplier_master[Supplier name], Supplier_master[EOM or Net], 0)</f>
        <v>0</v>
      </c>
      <c r="Q17" s="31">
        <f>_xlfn.XLOOKUP(PO[[#This Row],[Supplier name]], Supplier_master[Supplier name], Supplier_master[Terms days], 0)</f>
        <v>0</v>
      </c>
      <c r="R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" s="4"/>
      <c r="T17" s="46">
        <f>IF(PO[[#This Row],[Payment date - override (dd/mm/yyyy)]] &lt;&gt; "", PO[[#This Row],[Payment date - override (dd/mm/yyyy)]], PO[[#This Row],[Due date (dd/mm/yyyy)]])</f>
        <v>0</v>
      </c>
      <c r="U17" s="46">
        <f t="shared" si="0"/>
        <v>52</v>
      </c>
    </row>
    <row r="18" spans="3:21" x14ac:dyDescent="0.25">
      <c r="C18" s="24"/>
      <c r="D18" s="20"/>
      <c r="E18" s="4"/>
      <c r="F18" s="37"/>
      <c r="G18" s="38"/>
      <c r="H18" s="31">
        <f>_xlfn.XLOOKUP(PO[[#This Row],[Supplier name]], Supplier_master[Supplier name], Supplier_master[Category L1], 0)</f>
        <v>0</v>
      </c>
      <c r="I18" s="31">
        <f>_xlfn.XLOOKUP(PO[[#This Row],[Supplier name]], Supplier_master[Supplier name], Supplier_master[Category L2], 0)</f>
        <v>0</v>
      </c>
      <c r="J18" s="55"/>
      <c r="K18" s="55"/>
      <c r="L18" s="31">
        <f>IF(PO[[#This Row],[Spend category L1 - Override]] &lt;&gt; "", PO[[#This Row],[Spend category L1 - Override]], PO[[#This Row],[Spend category L1]])</f>
        <v>0</v>
      </c>
      <c r="M18" s="31">
        <f>IF(PO[[#This Row],[Spend category L2 - Override]] &lt;&gt; "", PO[[#This Row],[Spend category L2 - Override]], PO[[#This Row],[Spend category L2]])</f>
        <v>0</v>
      </c>
      <c r="N18" s="62">
        <f>Assumptions!$D$15</f>
        <v>0.1</v>
      </c>
      <c r="O18" s="45">
        <f>IF(PO[[#This Row],[GST applies?]] = "Yes", (PO[[#This Row],[Value inc. GST]] / 1 + PO[[#This Row],[GST %]]) * PO[[#This Row],[GST %]], 0)</f>
        <v>0</v>
      </c>
      <c r="P18" s="31">
        <f>_xlfn.XLOOKUP(PO[[#This Row],[Supplier name]], Supplier_master[Supplier name], Supplier_master[EOM or Net], 0)</f>
        <v>0</v>
      </c>
      <c r="Q18" s="31">
        <f>_xlfn.XLOOKUP(PO[[#This Row],[Supplier name]], Supplier_master[Supplier name], Supplier_master[Terms days], 0)</f>
        <v>0</v>
      </c>
      <c r="R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" s="4"/>
      <c r="T18" s="46">
        <f>IF(PO[[#This Row],[Payment date - override (dd/mm/yyyy)]] &lt;&gt; "", PO[[#This Row],[Payment date - override (dd/mm/yyyy)]], PO[[#This Row],[Due date (dd/mm/yyyy)]])</f>
        <v>0</v>
      </c>
      <c r="U18" s="46">
        <f t="shared" si="0"/>
        <v>52</v>
      </c>
    </row>
    <row r="19" spans="3:21" x14ac:dyDescent="0.25">
      <c r="C19" s="24"/>
      <c r="D19" s="20"/>
      <c r="E19" s="4"/>
      <c r="F19" s="37"/>
      <c r="G19" s="38"/>
      <c r="H19" s="31">
        <f>_xlfn.XLOOKUP(PO[[#This Row],[Supplier name]], Supplier_master[Supplier name], Supplier_master[Category L1], 0)</f>
        <v>0</v>
      </c>
      <c r="I19" s="31">
        <f>_xlfn.XLOOKUP(PO[[#This Row],[Supplier name]], Supplier_master[Supplier name], Supplier_master[Category L2], 0)</f>
        <v>0</v>
      </c>
      <c r="J19" s="55"/>
      <c r="K19" s="55"/>
      <c r="L19" s="31">
        <f>IF(PO[[#This Row],[Spend category L1 - Override]] &lt;&gt; "", PO[[#This Row],[Spend category L1 - Override]], PO[[#This Row],[Spend category L1]])</f>
        <v>0</v>
      </c>
      <c r="M19" s="31">
        <f>IF(PO[[#This Row],[Spend category L2 - Override]] &lt;&gt; "", PO[[#This Row],[Spend category L2 - Override]], PO[[#This Row],[Spend category L2]])</f>
        <v>0</v>
      </c>
      <c r="N19" s="62">
        <f>Assumptions!$D$15</f>
        <v>0.1</v>
      </c>
      <c r="O19" s="45">
        <f>IF(PO[[#This Row],[GST applies?]] = "Yes", (PO[[#This Row],[Value inc. GST]] / 1 + PO[[#This Row],[GST %]]) * PO[[#This Row],[GST %]], 0)</f>
        <v>0</v>
      </c>
      <c r="P19" s="31">
        <f>_xlfn.XLOOKUP(PO[[#This Row],[Supplier name]], Supplier_master[Supplier name], Supplier_master[EOM or Net], 0)</f>
        <v>0</v>
      </c>
      <c r="Q19" s="31">
        <f>_xlfn.XLOOKUP(PO[[#This Row],[Supplier name]], Supplier_master[Supplier name], Supplier_master[Terms days], 0)</f>
        <v>0</v>
      </c>
      <c r="R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" s="4"/>
      <c r="T19" s="46">
        <f>IF(PO[[#This Row],[Payment date - override (dd/mm/yyyy)]] &lt;&gt; "", PO[[#This Row],[Payment date - override (dd/mm/yyyy)]], PO[[#This Row],[Due date (dd/mm/yyyy)]])</f>
        <v>0</v>
      </c>
      <c r="U19" s="46">
        <f t="shared" si="0"/>
        <v>52</v>
      </c>
    </row>
    <row r="20" spans="3:21" x14ac:dyDescent="0.25">
      <c r="C20" s="24"/>
      <c r="D20" s="20"/>
      <c r="E20" s="4"/>
      <c r="F20" s="37"/>
      <c r="G20" s="38"/>
      <c r="H20" s="31">
        <f>_xlfn.XLOOKUP(PO[[#This Row],[Supplier name]], Supplier_master[Supplier name], Supplier_master[Category L1], 0)</f>
        <v>0</v>
      </c>
      <c r="I20" s="31">
        <f>_xlfn.XLOOKUP(PO[[#This Row],[Supplier name]], Supplier_master[Supplier name], Supplier_master[Category L2], 0)</f>
        <v>0</v>
      </c>
      <c r="J20" s="55"/>
      <c r="K20" s="55"/>
      <c r="L20" s="31">
        <f>IF(PO[[#This Row],[Spend category L1 - Override]] &lt;&gt; "", PO[[#This Row],[Spend category L1 - Override]], PO[[#This Row],[Spend category L1]])</f>
        <v>0</v>
      </c>
      <c r="M20" s="31">
        <f>IF(PO[[#This Row],[Spend category L2 - Override]] &lt;&gt; "", PO[[#This Row],[Spend category L2 - Override]], PO[[#This Row],[Spend category L2]])</f>
        <v>0</v>
      </c>
      <c r="N20" s="62">
        <f>Assumptions!$D$15</f>
        <v>0.1</v>
      </c>
      <c r="O20" s="45">
        <f>IF(PO[[#This Row],[GST applies?]] = "Yes", (PO[[#This Row],[Value inc. GST]] / 1 + PO[[#This Row],[GST %]]) * PO[[#This Row],[GST %]], 0)</f>
        <v>0</v>
      </c>
      <c r="P20" s="31">
        <f>_xlfn.XLOOKUP(PO[[#This Row],[Supplier name]], Supplier_master[Supplier name], Supplier_master[EOM or Net], 0)</f>
        <v>0</v>
      </c>
      <c r="Q20" s="31">
        <f>_xlfn.XLOOKUP(PO[[#This Row],[Supplier name]], Supplier_master[Supplier name], Supplier_master[Terms days], 0)</f>
        <v>0</v>
      </c>
      <c r="R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" s="4"/>
      <c r="T20" s="46">
        <f>IF(PO[[#This Row],[Payment date - override (dd/mm/yyyy)]] &lt;&gt; "", PO[[#This Row],[Payment date - override (dd/mm/yyyy)]], PO[[#This Row],[Due date (dd/mm/yyyy)]])</f>
        <v>0</v>
      </c>
      <c r="U20" s="46">
        <f t="shared" si="0"/>
        <v>52</v>
      </c>
    </row>
    <row r="21" spans="3:21" x14ac:dyDescent="0.25">
      <c r="C21" s="24"/>
      <c r="D21" s="20"/>
      <c r="E21" s="4"/>
      <c r="F21" s="37"/>
      <c r="G21" s="38"/>
      <c r="H21" s="31">
        <f>_xlfn.XLOOKUP(PO[[#This Row],[Supplier name]], Supplier_master[Supplier name], Supplier_master[Category L1], 0)</f>
        <v>0</v>
      </c>
      <c r="I21" s="31">
        <f>_xlfn.XLOOKUP(PO[[#This Row],[Supplier name]], Supplier_master[Supplier name], Supplier_master[Category L2], 0)</f>
        <v>0</v>
      </c>
      <c r="J21" s="55"/>
      <c r="K21" s="55"/>
      <c r="L21" s="31">
        <f>IF(PO[[#This Row],[Spend category L1 - Override]] &lt;&gt; "", PO[[#This Row],[Spend category L1 - Override]], PO[[#This Row],[Spend category L1]])</f>
        <v>0</v>
      </c>
      <c r="M21" s="31">
        <f>IF(PO[[#This Row],[Spend category L2 - Override]] &lt;&gt; "", PO[[#This Row],[Spend category L2 - Override]], PO[[#This Row],[Spend category L2]])</f>
        <v>0</v>
      </c>
      <c r="N21" s="62">
        <f>Assumptions!$D$15</f>
        <v>0.1</v>
      </c>
      <c r="O21" s="45">
        <f>IF(PO[[#This Row],[GST applies?]] = "Yes", (PO[[#This Row],[Value inc. GST]] / 1 + PO[[#This Row],[GST %]]) * PO[[#This Row],[GST %]], 0)</f>
        <v>0</v>
      </c>
      <c r="P21" s="31">
        <f>_xlfn.XLOOKUP(PO[[#This Row],[Supplier name]], Supplier_master[Supplier name], Supplier_master[EOM or Net], 0)</f>
        <v>0</v>
      </c>
      <c r="Q21" s="31">
        <f>_xlfn.XLOOKUP(PO[[#This Row],[Supplier name]], Supplier_master[Supplier name], Supplier_master[Terms days], 0)</f>
        <v>0</v>
      </c>
      <c r="R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" s="4"/>
      <c r="T21" s="46">
        <f>IF(PO[[#This Row],[Payment date - override (dd/mm/yyyy)]] &lt;&gt; "", PO[[#This Row],[Payment date - override (dd/mm/yyyy)]], PO[[#This Row],[Due date (dd/mm/yyyy)]])</f>
        <v>0</v>
      </c>
      <c r="U21" s="46">
        <f t="shared" si="0"/>
        <v>52</v>
      </c>
    </row>
    <row r="22" spans="3:21" x14ac:dyDescent="0.25">
      <c r="C22" s="24"/>
      <c r="D22" s="20"/>
      <c r="E22" s="4"/>
      <c r="F22" s="37"/>
      <c r="G22" s="38"/>
      <c r="H22" s="31">
        <f>_xlfn.XLOOKUP(PO[[#This Row],[Supplier name]], Supplier_master[Supplier name], Supplier_master[Category L1], 0)</f>
        <v>0</v>
      </c>
      <c r="I22" s="31">
        <f>_xlfn.XLOOKUP(PO[[#This Row],[Supplier name]], Supplier_master[Supplier name], Supplier_master[Category L2], 0)</f>
        <v>0</v>
      </c>
      <c r="J22" s="55"/>
      <c r="K22" s="55"/>
      <c r="L22" s="31">
        <f>IF(PO[[#This Row],[Spend category L1 - Override]] &lt;&gt; "", PO[[#This Row],[Spend category L1 - Override]], PO[[#This Row],[Spend category L1]])</f>
        <v>0</v>
      </c>
      <c r="M22" s="31">
        <f>IF(PO[[#This Row],[Spend category L2 - Override]] &lt;&gt; "", PO[[#This Row],[Spend category L2 - Override]], PO[[#This Row],[Spend category L2]])</f>
        <v>0</v>
      </c>
      <c r="N22" s="62">
        <f>Assumptions!$D$15</f>
        <v>0.1</v>
      </c>
      <c r="O22" s="45">
        <f>IF(PO[[#This Row],[GST applies?]] = "Yes", (PO[[#This Row],[Value inc. GST]] / 1 + PO[[#This Row],[GST %]]) * PO[[#This Row],[GST %]], 0)</f>
        <v>0</v>
      </c>
      <c r="P22" s="31">
        <f>_xlfn.XLOOKUP(PO[[#This Row],[Supplier name]], Supplier_master[Supplier name], Supplier_master[EOM or Net], 0)</f>
        <v>0</v>
      </c>
      <c r="Q22" s="31">
        <f>_xlfn.XLOOKUP(PO[[#This Row],[Supplier name]], Supplier_master[Supplier name], Supplier_master[Terms days], 0)</f>
        <v>0</v>
      </c>
      <c r="R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" s="4"/>
      <c r="T22" s="46">
        <f>IF(PO[[#This Row],[Payment date - override (dd/mm/yyyy)]] &lt;&gt; "", PO[[#This Row],[Payment date - override (dd/mm/yyyy)]], PO[[#This Row],[Due date (dd/mm/yyyy)]])</f>
        <v>0</v>
      </c>
      <c r="U22" s="46">
        <f t="shared" si="0"/>
        <v>52</v>
      </c>
    </row>
    <row r="23" spans="3:21" x14ac:dyDescent="0.25">
      <c r="C23" s="24"/>
      <c r="D23" s="20"/>
      <c r="E23" s="4"/>
      <c r="F23" s="37"/>
      <c r="G23" s="38"/>
      <c r="H23" s="31">
        <f>_xlfn.XLOOKUP(PO[[#This Row],[Supplier name]], Supplier_master[Supplier name], Supplier_master[Category L1], 0)</f>
        <v>0</v>
      </c>
      <c r="I23" s="31">
        <f>_xlfn.XLOOKUP(PO[[#This Row],[Supplier name]], Supplier_master[Supplier name], Supplier_master[Category L2], 0)</f>
        <v>0</v>
      </c>
      <c r="J23" s="55"/>
      <c r="K23" s="55"/>
      <c r="L23" s="31">
        <f>IF(PO[[#This Row],[Spend category L1 - Override]] &lt;&gt; "", PO[[#This Row],[Spend category L1 - Override]], PO[[#This Row],[Spend category L1]])</f>
        <v>0</v>
      </c>
      <c r="M23" s="31">
        <f>IF(PO[[#This Row],[Spend category L2 - Override]] &lt;&gt; "", PO[[#This Row],[Spend category L2 - Override]], PO[[#This Row],[Spend category L2]])</f>
        <v>0</v>
      </c>
      <c r="N23" s="62">
        <f>Assumptions!$D$15</f>
        <v>0.1</v>
      </c>
      <c r="O23" s="45">
        <f>IF(PO[[#This Row],[GST applies?]] = "Yes", (PO[[#This Row],[Value inc. GST]] / 1 + PO[[#This Row],[GST %]]) * PO[[#This Row],[GST %]], 0)</f>
        <v>0</v>
      </c>
      <c r="P23" s="31">
        <f>_xlfn.XLOOKUP(PO[[#This Row],[Supplier name]], Supplier_master[Supplier name], Supplier_master[EOM or Net], 0)</f>
        <v>0</v>
      </c>
      <c r="Q23" s="31">
        <f>_xlfn.XLOOKUP(PO[[#This Row],[Supplier name]], Supplier_master[Supplier name], Supplier_master[Terms days], 0)</f>
        <v>0</v>
      </c>
      <c r="R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" s="4"/>
      <c r="T23" s="46">
        <f>IF(PO[[#This Row],[Payment date - override (dd/mm/yyyy)]] &lt;&gt; "", PO[[#This Row],[Payment date - override (dd/mm/yyyy)]], PO[[#This Row],[Due date (dd/mm/yyyy)]])</f>
        <v>0</v>
      </c>
      <c r="U23" s="46">
        <f t="shared" si="0"/>
        <v>52</v>
      </c>
    </row>
    <row r="24" spans="3:21" x14ac:dyDescent="0.25">
      <c r="C24" s="24"/>
      <c r="D24" s="20"/>
      <c r="E24" s="4"/>
      <c r="F24" s="37"/>
      <c r="G24" s="38"/>
      <c r="H24" s="31">
        <f>_xlfn.XLOOKUP(PO[[#This Row],[Supplier name]], Supplier_master[Supplier name], Supplier_master[Category L1], 0)</f>
        <v>0</v>
      </c>
      <c r="I24" s="31">
        <f>_xlfn.XLOOKUP(PO[[#This Row],[Supplier name]], Supplier_master[Supplier name], Supplier_master[Category L2], 0)</f>
        <v>0</v>
      </c>
      <c r="J24" s="55"/>
      <c r="K24" s="55"/>
      <c r="L24" s="31">
        <f>IF(PO[[#This Row],[Spend category L1 - Override]] &lt;&gt; "", PO[[#This Row],[Spend category L1 - Override]], PO[[#This Row],[Spend category L1]])</f>
        <v>0</v>
      </c>
      <c r="M24" s="31">
        <f>IF(PO[[#This Row],[Spend category L2 - Override]] &lt;&gt; "", PO[[#This Row],[Spend category L2 - Override]], PO[[#This Row],[Spend category L2]])</f>
        <v>0</v>
      </c>
      <c r="N24" s="62">
        <f>Assumptions!$D$15</f>
        <v>0.1</v>
      </c>
      <c r="O24" s="45">
        <f>IF(PO[[#This Row],[GST applies?]] = "Yes", (PO[[#This Row],[Value inc. GST]] / 1 + PO[[#This Row],[GST %]]) * PO[[#This Row],[GST %]], 0)</f>
        <v>0</v>
      </c>
      <c r="P24" s="31">
        <f>_xlfn.XLOOKUP(PO[[#This Row],[Supplier name]], Supplier_master[Supplier name], Supplier_master[EOM or Net], 0)</f>
        <v>0</v>
      </c>
      <c r="Q24" s="31">
        <f>_xlfn.XLOOKUP(PO[[#This Row],[Supplier name]], Supplier_master[Supplier name], Supplier_master[Terms days], 0)</f>
        <v>0</v>
      </c>
      <c r="R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" s="4"/>
      <c r="T24" s="46">
        <f>IF(PO[[#This Row],[Payment date - override (dd/mm/yyyy)]] &lt;&gt; "", PO[[#This Row],[Payment date - override (dd/mm/yyyy)]], PO[[#This Row],[Due date (dd/mm/yyyy)]])</f>
        <v>0</v>
      </c>
      <c r="U24" s="46">
        <f t="shared" si="0"/>
        <v>52</v>
      </c>
    </row>
    <row r="25" spans="3:21" x14ac:dyDescent="0.25">
      <c r="C25" s="24"/>
      <c r="D25" s="20"/>
      <c r="E25" s="4"/>
      <c r="F25" s="37"/>
      <c r="G25" s="38"/>
      <c r="H25" s="31">
        <f>_xlfn.XLOOKUP(PO[[#This Row],[Supplier name]], Supplier_master[Supplier name], Supplier_master[Category L1], 0)</f>
        <v>0</v>
      </c>
      <c r="I25" s="31">
        <f>_xlfn.XLOOKUP(PO[[#This Row],[Supplier name]], Supplier_master[Supplier name], Supplier_master[Category L2], 0)</f>
        <v>0</v>
      </c>
      <c r="J25" s="55"/>
      <c r="K25" s="55"/>
      <c r="L25" s="31">
        <f>IF(PO[[#This Row],[Spend category L1 - Override]] &lt;&gt; "", PO[[#This Row],[Spend category L1 - Override]], PO[[#This Row],[Spend category L1]])</f>
        <v>0</v>
      </c>
      <c r="M25" s="31">
        <f>IF(PO[[#This Row],[Spend category L2 - Override]] &lt;&gt; "", PO[[#This Row],[Spend category L2 - Override]], PO[[#This Row],[Spend category L2]])</f>
        <v>0</v>
      </c>
      <c r="N25" s="62">
        <f>Assumptions!$D$15</f>
        <v>0.1</v>
      </c>
      <c r="O25" s="45">
        <f>IF(PO[[#This Row],[GST applies?]] = "Yes", (PO[[#This Row],[Value inc. GST]] / 1 + PO[[#This Row],[GST %]]) * PO[[#This Row],[GST %]], 0)</f>
        <v>0</v>
      </c>
      <c r="P25" s="31">
        <f>_xlfn.XLOOKUP(PO[[#This Row],[Supplier name]], Supplier_master[Supplier name], Supplier_master[EOM or Net], 0)</f>
        <v>0</v>
      </c>
      <c r="Q25" s="31">
        <f>_xlfn.XLOOKUP(PO[[#This Row],[Supplier name]], Supplier_master[Supplier name], Supplier_master[Terms days], 0)</f>
        <v>0</v>
      </c>
      <c r="R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" s="4"/>
      <c r="T25" s="46">
        <f>IF(PO[[#This Row],[Payment date - override (dd/mm/yyyy)]] &lt;&gt; "", PO[[#This Row],[Payment date - override (dd/mm/yyyy)]], PO[[#This Row],[Due date (dd/mm/yyyy)]])</f>
        <v>0</v>
      </c>
      <c r="U25" s="46">
        <f t="shared" si="0"/>
        <v>52</v>
      </c>
    </row>
    <row r="26" spans="3:21" x14ac:dyDescent="0.25">
      <c r="C26" s="24"/>
      <c r="D26" s="20"/>
      <c r="E26" s="4"/>
      <c r="F26" s="37"/>
      <c r="G26" s="38"/>
      <c r="H26" s="31">
        <f>_xlfn.XLOOKUP(PO[[#This Row],[Supplier name]], Supplier_master[Supplier name], Supplier_master[Category L1], 0)</f>
        <v>0</v>
      </c>
      <c r="I26" s="31">
        <f>_xlfn.XLOOKUP(PO[[#This Row],[Supplier name]], Supplier_master[Supplier name], Supplier_master[Category L2], 0)</f>
        <v>0</v>
      </c>
      <c r="J26" s="55"/>
      <c r="K26" s="55"/>
      <c r="L26" s="31">
        <f>IF(PO[[#This Row],[Spend category L1 - Override]] &lt;&gt; "", PO[[#This Row],[Spend category L1 - Override]], PO[[#This Row],[Spend category L1]])</f>
        <v>0</v>
      </c>
      <c r="M26" s="31">
        <f>IF(PO[[#This Row],[Spend category L2 - Override]] &lt;&gt; "", PO[[#This Row],[Spend category L2 - Override]], PO[[#This Row],[Spend category L2]])</f>
        <v>0</v>
      </c>
      <c r="N26" s="62">
        <f>Assumptions!$D$15</f>
        <v>0.1</v>
      </c>
      <c r="O26" s="45">
        <f>IF(PO[[#This Row],[GST applies?]] = "Yes", (PO[[#This Row],[Value inc. GST]] / 1 + PO[[#This Row],[GST %]]) * PO[[#This Row],[GST %]], 0)</f>
        <v>0</v>
      </c>
      <c r="P26" s="31">
        <f>_xlfn.XLOOKUP(PO[[#This Row],[Supplier name]], Supplier_master[Supplier name], Supplier_master[EOM or Net], 0)</f>
        <v>0</v>
      </c>
      <c r="Q26" s="31">
        <f>_xlfn.XLOOKUP(PO[[#This Row],[Supplier name]], Supplier_master[Supplier name], Supplier_master[Terms days], 0)</f>
        <v>0</v>
      </c>
      <c r="R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" s="4"/>
      <c r="T26" s="46">
        <f>IF(PO[[#This Row],[Payment date - override (dd/mm/yyyy)]] &lt;&gt; "", PO[[#This Row],[Payment date - override (dd/mm/yyyy)]], PO[[#This Row],[Due date (dd/mm/yyyy)]])</f>
        <v>0</v>
      </c>
      <c r="U26" s="46">
        <f t="shared" si="0"/>
        <v>52</v>
      </c>
    </row>
    <row r="27" spans="3:21" x14ac:dyDescent="0.25">
      <c r="C27" s="24"/>
      <c r="D27" s="20"/>
      <c r="E27" s="4"/>
      <c r="F27" s="37"/>
      <c r="G27" s="38"/>
      <c r="H27" s="31">
        <f>_xlfn.XLOOKUP(PO[[#This Row],[Supplier name]], Supplier_master[Supplier name], Supplier_master[Category L1], 0)</f>
        <v>0</v>
      </c>
      <c r="I27" s="31">
        <f>_xlfn.XLOOKUP(PO[[#This Row],[Supplier name]], Supplier_master[Supplier name], Supplier_master[Category L2], 0)</f>
        <v>0</v>
      </c>
      <c r="J27" s="55"/>
      <c r="K27" s="55"/>
      <c r="L27" s="31">
        <f>IF(PO[[#This Row],[Spend category L1 - Override]] &lt;&gt; "", PO[[#This Row],[Spend category L1 - Override]], PO[[#This Row],[Spend category L1]])</f>
        <v>0</v>
      </c>
      <c r="M27" s="31">
        <f>IF(PO[[#This Row],[Spend category L2 - Override]] &lt;&gt; "", PO[[#This Row],[Spend category L2 - Override]], PO[[#This Row],[Spend category L2]])</f>
        <v>0</v>
      </c>
      <c r="N27" s="62">
        <f>Assumptions!$D$15</f>
        <v>0.1</v>
      </c>
      <c r="O27" s="45">
        <f>IF(PO[[#This Row],[GST applies?]] = "Yes", (PO[[#This Row],[Value inc. GST]] / 1 + PO[[#This Row],[GST %]]) * PO[[#This Row],[GST %]], 0)</f>
        <v>0</v>
      </c>
      <c r="P27" s="31">
        <f>_xlfn.XLOOKUP(PO[[#This Row],[Supplier name]], Supplier_master[Supplier name], Supplier_master[EOM or Net], 0)</f>
        <v>0</v>
      </c>
      <c r="Q27" s="31">
        <f>_xlfn.XLOOKUP(PO[[#This Row],[Supplier name]], Supplier_master[Supplier name], Supplier_master[Terms days], 0)</f>
        <v>0</v>
      </c>
      <c r="R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" s="4"/>
      <c r="T27" s="46">
        <f>IF(PO[[#This Row],[Payment date - override (dd/mm/yyyy)]] &lt;&gt; "", PO[[#This Row],[Payment date - override (dd/mm/yyyy)]], PO[[#This Row],[Due date (dd/mm/yyyy)]])</f>
        <v>0</v>
      </c>
      <c r="U27" s="46">
        <f t="shared" si="0"/>
        <v>52</v>
      </c>
    </row>
    <row r="28" spans="3:21" x14ac:dyDescent="0.25">
      <c r="C28" s="24"/>
      <c r="D28" s="20"/>
      <c r="E28" s="4"/>
      <c r="F28" s="37"/>
      <c r="G28" s="38"/>
      <c r="H28" s="31">
        <f>_xlfn.XLOOKUP(PO[[#This Row],[Supplier name]], Supplier_master[Supplier name], Supplier_master[Category L1], 0)</f>
        <v>0</v>
      </c>
      <c r="I28" s="31">
        <f>_xlfn.XLOOKUP(PO[[#This Row],[Supplier name]], Supplier_master[Supplier name], Supplier_master[Category L2], 0)</f>
        <v>0</v>
      </c>
      <c r="J28" s="55"/>
      <c r="K28" s="55"/>
      <c r="L28" s="31">
        <f>IF(PO[[#This Row],[Spend category L1 - Override]] &lt;&gt; "", PO[[#This Row],[Spend category L1 - Override]], PO[[#This Row],[Spend category L1]])</f>
        <v>0</v>
      </c>
      <c r="M28" s="31">
        <f>IF(PO[[#This Row],[Spend category L2 - Override]] &lt;&gt; "", PO[[#This Row],[Spend category L2 - Override]], PO[[#This Row],[Spend category L2]])</f>
        <v>0</v>
      </c>
      <c r="N28" s="62">
        <f>Assumptions!$D$15</f>
        <v>0.1</v>
      </c>
      <c r="O28" s="45">
        <f>IF(PO[[#This Row],[GST applies?]] = "Yes", (PO[[#This Row],[Value inc. GST]] / 1 + PO[[#This Row],[GST %]]) * PO[[#This Row],[GST %]], 0)</f>
        <v>0</v>
      </c>
      <c r="P28" s="31">
        <f>_xlfn.XLOOKUP(PO[[#This Row],[Supplier name]], Supplier_master[Supplier name], Supplier_master[EOM or Net], 0)</f>
        <v>0</v>
      </c>
      <c r="Q28" s="31">
        <f>_xlfn.XLOOKUP(PO[[#This Row],[Supplier name]], Supplier_master[Supplier name], Supplier_master[Terms days], 0)</f>
        <v>0</v>
      </c>
      <c r="R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" s="4"/>
      <c r="T28" s="46">
        <f>IF(PO[[#This Row],[Payment date - override (dd/mm/yyyy)]] &lt;&gt; "", PO[[#This Row],[Payment date - override (dd/mm/yyyy)]], PO[[#This Row],[Due date (dd/mm/yyyy)]])</f>
        <v>0</v>
      </c>
      <c r="U28" s="46">
        <f t="shared" si="0"/>
        <v>52</v>
      </c>
    </row>
    <row r="29" spans="3:21" x14ac:dyDescent="0.25">
      <c r="C29" s="24"/>
      <c r="D29" s="20"/>
      <c r="E29" s="4"/>
      <c r="F29" s="37"/>
      <c r="G29" s="38"/>
      <c r="H29" s="31">
        <f>_xlfn.XLOOKUP(PO[[#This Row],[Supplier name]], Supplier_master[Supplier name], Supplier_master[Category L1], 0)</f>
        <v>0</v>
      </c>
      <c r="I29" s="31">
        <f>_xlfn.XLOOKUP(PO[[#This Row],[Supplier name]], Supplier_master[Supplier name], Supplier_master[Category L2], 0)</f>
        <v>0</v>
      </c>
      <c r="J29" s="55"/>
      <c r="K29" s="55"/>
      <c r="L29" s="31">
        <f>IF(PO[[#This Row],[Spend category L1 - Override]] &lt;&gt; "", PO[[#This Row],[Spend category L1 - Override]], PO[[#This Row],[Spend category L1]])</f>
        <v>0</v>
      </c>
      <c r="M29" s="31">
        <f>IF(PO[[#This Row],[Spend category L2 - Override]] &lt;&gt; "", PO[[#This Row],[Spend category L2 - Override]], PO[[#This Row],[Spend category L2]])</f>
        <v>0</v>
      </c>
      <c r="N29" s="62">
        <f>Assumptions!$D$15</f>
        <v>0.1</v>
      </c>
      <c r="O29" s="45">
        <f>IF(PO[[#This Row],[GST applies?]] = "Yes", (PO[[#This Row],[Value inc. GST]] / 1 + PO[[#This Row],[GST %]]) * PO[[#This Row],[GST %]], 0)</f>
        <v>0</v>
      </c>
      <c r="P29" s="31">
        <f>_xlfn.XLOOKUP(PO[[#This Row],[Supplier name]], Supplier_master[Supplier name], Supplier_master[EOM or Net], 0)</f>
        <v>0</v>
      </c>
      <c r="Q29" s="31">
        <f>_xlfn.XLOOKUP(PO[[#This Row],[Supplier name]], Supplier_master[Supplier name], Supplier_master[Terms days], 0)</f>
        <v>0</v>
      </c>
      <c r="R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" s="4"/>
      <c r="T29" s="46">
        <f>IF(PO[[#This Row],[Payment date - override (dd/mm/yyyy)]] &lt;&gt; "", PO[[#This Row],[Payment date - override (dd/mm/yyyy)]], PO[[#This Row],[Due date (dd/mm/yyyy)]])</f>
        <v>0</v>
      </c>
      <c r="U29" s="46">
        <f t="shared" si="0"/>
        <v>52</v>
      </c>
    </row>
    <row r="30" spans="3:21" x14ac:dyDescent="0.25">
      <c r="C30" s="24"/>
      <c r="D30" s="20"/>
      <c r="E30" s="4"/>
      <c r="F30" s="37"/>
      <c r="G30" s="38"/>
      <c r="H30" s="31">
        <f>_xlfn.XLOOKUP(PO[[#This Row],[Supplier name]], Supplier_master[Supplier name], Supplier_master[Category L1], 0)</f>
        <v>0</v>
      </c>
      <c r="I30" s="31">
        <f>_xlfn.XLOOKUP(PO[[#This Row],[Supplier name]], Supplier_master[Supplier name], Supplier_master[Category L2], 0)</f>
        <v>0</v>
      </c>
      <c r="J30" s="55"/>
      <c r="K30" s="55"/>
      <c r="L30" s="31">
        <f>IF(PO[[#This Row],[Spend category L1 - Override]] &lt;&gt; "", PO[[#This Row],[Spend category L1 - Override]], PO[[#This Row],[Spend category L1]])</f>
        <v>0</v>
      </c>
      <c r="M30" s="31">
        <f>IF(PO[[#This Row],[Spend category L2 - Override]] &lt;&gt; "", PO[[#This Row],[Spend category L2 - Override]], PO[[#This Row],[Spend category L2]])</f>
        <v>0</v>
      </c>
      <c r="N30" s="62">
        <f>Assumptions!$D$15</f>
        <v>0.1</v>
      </c>
      <c r="O30" s="45">
        <f>IF(PO[[#This Row],[GST applies?]] = "Yes", (PO[[#This Row],[Value inc. GST]] / 1 + PO[[#This Row],[GST %]]) * PO[[#This Row],[GST %]], 0)</f>
        <v>0</v>
      </c>
      <c r="P30" s="31">
        <f>_xlfn.XLOOKUP(PO[[#This Row],[Supplier name]], Supplier_master[Supplier name], Supplier_master[EOM or Net], 0)</f>
        <v>0</v>
      </c>
      <c r="Q30" s="31">
        <f>_xlfn.XLOOKUP(PO[[#This Row],[Supplier name]], Supplier_master[Supplier name], Supplier_master[Terms days], 0)</f>
        <v>0</v>
      </c>
      <c r="R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" s="4"/>
      <c r="T30" s="46">
        <f>IF(PO[[#This Row],[Payment date - override (dd/mm/yyyy)]] &lt;&gt; "", PO[[#This Row],[Payment date - override (dd/mm/yyyy)]], PO[[#This Row],[Due date (dd/mm/yyyy)]])</f>
        <v>0</v>
      </c>
      <c r="U30" s="46">
        <f t="shared" si="0"/>
        <v>52</v>
      </c>
    </row>
    <row r="31" spans="3:21" x14ac:dyDescent="0.25">
      <c r="C31" s="24"/>
      <c r="D31" s="20"/>
      <c r="E31" s="4"/>
      <c r="F31" s="37"/>
      <c r="G31" s="38"/>
      <c r="H31" s="31">
        <f>_xlfn.XLOOKUP(PO[[#This Row],[Supplier name]], Supplier_master[Supplier name], Supplier_master[Category L1], 0)</f>
        <v>0</v>
      </c>
      <c r="I31" s="31">
        <f>_xlfn.XLOOKUP(PO[[#This Row],[Supplier name]], Supplier_master[Supplier name], Supplier_master[Category L2], 0)</f>
        <v>0</v>
      </c>
      <c r="J31" s="55"/>
      <c r="K31" s="55"/>
      <c r="L31" s="31">
        <f>IF(PO[[#This Row],[Spend category L1 - Override]] &lt;&gt; "", PO[[#This Row],[Spend category L1 - Override]], PO[[#This Row],[Spend category L1]])</f>
        <v>0</v>
      </c>
      <c r="M31" s="31">
        <f>IF(PO[[#This Row],[Spend category L2 - Override]] &lt;&gt; "", PO[[#This Row],[Spend category L2 - Override]], PO[[#This Row],[Spend category L2]])</f>
        <v>0</v>
      </c>
      <c r="N31" s="62">
        <f>Assumptions!$D$15</f>
        <v>0.1</v>
      </c>
      <c r="O31" s="45">
        <f>IF(PO[[#This Row],[GST applies?]] = "Yes", (PO[[#This Row],[Value inc. GST]] / 1 + PO[[#This Row],[GST %]]) * PO[[#This Row],[GST %]], 0)</f>
        <v>0</v>
      </c>
      <c r="P31" s="31">
        <f>_xlfn.XLOOKUP(PO[[#This Row],[Supplier name]], Supplier_master[Supplier name], Supplier_master[EOM or Net], 0)</f>
        <v>0</v>
      </c>
      <c r="Q31" s="31">
        <f>_xlfn.XLOOKUP(PO[[#This Row],[Supplier name]], Supplier_master[Supplier name], Supplier_master[Terms days], 0)</f>
        <v>0</v>
      </c>
      <c r="R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" s="4"/>
      <c r="T31" s="46">
        <f>IF(PO[[#This Row],[Payment date - override (dd/mm/yyyy)]] &lt;&gt; "", PO[[#This Row],[Payment date - override (dd/mm/yyyy)]], PO[[#This Row],[Due date (dd/mm/yyyy)]])</f>
        <v>0</v>
      </c>
      <c r="U31" s="46">
        <f t="shared" si="0"/>
        <v>52</v>
      </c>
    </row>
    <row r="32" spans="3:21" x14ac:dyDescent="0.25">
      <c r="C32" s="24"/>
      <c r="D32" s="20"/>
      <c r="E32" s="4"/>
      <c r="F32" s="37"/>
      <c r="G32" s="38"/>
      <c r="H32" s="31">
        <f>_xlfn.XLOOKUP(PO[[#This Row],[Supplier name]], Supplier_master[Supplier name], Supplier_master[Category L1], 0)</f>
        <v>0</v>
      </c>
      <c r="I32" s="31">
        <f>_xlfn.XLOOKUP(PO[[#This Row],[Supplier name]], Supplier_master[Supplier name], Supplier_master[Category L2], 0)</f>
        <v>0</v>
      </c>
      <c r="J32" s="55"/>
      <c r="K32" s="55"/>
      <c r="L32" s="31">
        <f>IF(PO[[#This Row],[Spend category L1 - Override]] &lt;&gt; "", PO[[#This Row],[Spend category L1 - Override]], PO[[#This Row],[Spend category L1]])</f>
        <v>0</v>
      </c>
      <c r="M32" s="31">
        <f>IF(PO[[#This Row],[Spend category L2 - Override]] &lt;&gt; "", PO[[#This Row],[Spend category L2 - Override]], PO[[#This Row],[Spend category L2]])</f>
        <v>0</v>
      </c>
      <c r="N32" s="62">
        <f>Assumptions!$D$15</f>
        <v>0.1</v>
      </c>
      <c r="O32" s="45">
        <f>IF(PO[[#This Row],[GST applies?]] = "Yes", (PO[[#This Row],[Value inc. GST]] / 1 + PO[[#This Row],[GST %]]) * PO[[#This Row],[GST %]], 0)</f>
        <v>0</v>
      </c>
      <c r="P32" s="31">
        <f>_xlfn.XLOOKUP(PO[[#This Row],[Supplier name]], Supplier_master[Supplier name], Supplier_master[EOM or Net], 0)</f>
        <v>0</v>
      </c>
      <c r="Q32" s="31">
        <f>_xlfn.XLOOKUP(PO[[#This Row],[Supplier name]], Supplier_master[Supplier name], Supplier_master[Terms days], 0)</f>
        <v>0</v>
      </c>
      <c r="R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" s="4"/>
      <c r="T32" s="46">
        <f>IF(PO[[#This Row],[Payment date - override (dd/mm/yyyy)]] &lt;&gt; "", PO[[#This Row],[Payment date - override (dd/mm/yyyy)]], PO[[#This Row],[Due date (dd/mm/yyyy)]])</f>
        <v>0</v>
      </c>
      <c r="U32" s="46">
        <f t="shared" si="0"/>
        <v>52</v>
      </c>
    </row>
    <row r="33" spans="3:21" x14ac:dyDescent="0.25">
      <c r="C33" s="24"/>
      <c r="D33" s="20"/>
      <c r="E33" s="4"/>
      <c r="F33" s="37"/>
      <c r="G33" s="38"/>
      <c r="H33" s="31">
        <f>_xlfn.XLOOKUP(PO[[#This Row],[Supplier name]], Supplier_master[Supplier name], Supplier_master[Category L1], 0)</f>
        <v>0</v>
      </c>
      <c r="I33" s="31">
        <f>_xlfn.XLOOKUP(PO[[#This Row],[Supplier name]], Supplier_master[Supplier name], Supplier_master[Category L2], 0)</f>
        <v>0</v>
      </c>
      <c r="J33" s="55"/>
      <c r="K33" s="55"/>
      <c r="L33" s="31">
        <f>IF(PO[[#This Row],[Spend category L1 - Override]] &lt;&gt; "", PO[[#This Row],[Spend category L1 - Override]], PO[[#This Row],[Spend category L1]])</f>
        <v>0</v>
      </c>
      <c r="M33" s="31">
        <f>IF(PO[[#This Row],[Spend category L2 - Override]] &lt;&gt; "", PO[[#This Row],[Spend category L2 - Override]], PO[[#This Row],[Spend category L2]])</f>
        <v>0</v>
      </c>
      <c r="N33" s="62">
        <f>Assumptions!$D$15</f>
        <v>0.1</v>
      </c>
      <c r="O33" s="45">
        <f>IF(PO[[#This Row],[GST applies?]] = "Yes", (PO[[#This Row],[Value inc. GST]] / 1 + PO[[#This Row],[GST %]]) * PO[[#This Row],[GST %]], 0)</f>
        <v>0</v>
      </c>
      <c r="P33" s="31">
        <f>_xlfn.XLOOKUP(PO[[#This Row],[Supplier name]], Supplier_master[Supplier name], Supplier_master[EOM or Net], 0)</f>
        <v>0</v>
      </c>
      <c r="Q33" s="31">
        <f>_xlfn.XLOOKUP(PO[[#This Row],[Supplier name]], Supplier_master[Supplier name], Supplier_master[Terms days], 0)</f>
        <v>0</v>
      </c>
      <c r="R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" s="4"/>
      <c r="T33" s="46">
        <f>IF(PO[[#This Row],[Payment date - override (dd/mm/yyyy)]] &lt;&gt; "", PO[[#This Row],[Payment date - override (dd/mm/yyyy)]], PO[[#This Row],[Due date (dd/mm/yyyy)]])</f>
        <v>0</v>
      </c>
      <c r="U33" s="46">
        <f t="shared" si="0"/>
        <v>52</v>
      </c>
    </row>
    <row r="34" spans="3:21" x14ac:dyDescent="0.25">
      <c r="C34" s="24"/>
      <c r="D34" s="20"/>
      <c r="E34" s="4"/>
      <c r="F34" s="37"/>
      <c r="G34" s="38"/>
      <c r="H34" s="31">
        <f>_xlfn.XLOOKUP(PO[[#This Row],[Supplier name]], Supplier_master[Supplier name], Supplier_master[Category L1], 0)</f>
        <v>0</v>
      </c>
      <c r="I34" s="31">
        <f>_xlfn.XLOOKUP(PO[[#This Row],[Supplier name]], Supplier_master[Supplier name], Supplier_master[Category L2], 0)</f>
        <v>0</v>
      </c>
      <c r="J34" s="55"/>
      <c r="K34" s="55"/>
      <c r="L34" s="31">
        <f>IF(PO[[#This Row],[Spend category L1 - Override]] &lt;&gt; "", PO[[#This Row],[Spend category L1 - Override]], PO[[#This Row],[Spend category L1]])</f>
        <v>0</v>
      </c>
      <c r="M34" s="31">
        <f>IF(PO[[#This Row],[Spend category L2 - Override]] &lt;&gt; "", PO[[#This Row],[Spend category L2 - Override]], PO[[#This Row],[Spend category L2]])</f>
        <v>0</v>
      </c>
      <c r="N34" s="62">
        <f>Assumptions!$D$15</f>
        <v>0.1</v>
      </c>
      <c r="O34" s="45">
        <f>IF(PO[[#This Row],[GST applies?]] = "Yes", (PO[[#This Row],[Value inc. GST]] / 1 + PO[[#This Row],[GST %]]) * PO[[#This Row],[GST %]], 0)</f>
        <v>0</v>
      </c>
      <c r="P34" s="31">
        <f>_xlfn.XLOOKUP(PO[[#This Row],[Supplier name]], Supplier_master[Supplier name], Supplier_master[EOM or Net], 0)</f>
        <v>0</v>
      </c>
      <c r="Q34" s="31">
        <f>_xlfn.XLOOKUP(PO[[#This Row],[Supplier name]], Supplier_master[Supplier name], Supplier_master[Terms days], 0)</f>
        <v>0</v>
      </c>
      <c r="R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" s="4"/>
      <c r="T34" s="46">
        <f>IF(PO[[#This Row],[Payment date - override (dd/mm/yyyy)]] &lt;&gt; "", PO[[#This Row],[Payment date - override (dd/mm/yyyy)]], PO[[#This Row],[Due date (dd/mm/yyyy)]])</f>
        <v>0</v>
      </c>
      <c r="U34" s="46">
        <f t="shared" si="0"/>
        <v>52</v>
      </c>
    </row>
    <row r="35" spans="3:21" x14ac:dyDescent="0.25">
      <c r="C35" s="24"/>
      <c r="D35" s="20"/>
      <c r="E35" s="4"/>
      <c r="F35" s="37"/>
      <c r="G35" s="38"/>
      <c r="H35" s="31">
        <f>_xlfn.XLOOKUP(PO[[#This Row],[Supplier name]], Supplier_master[Supplier name], Supplier_master[Category L1], 0)</f>
        <v>0</v>
      </c>
      <c r="I35" s="31">
        <f>_xlfn.XLOOKUP(PO[[#This Row],[Supplier name]], Supplier_master[Supplier name], Supplier_master[Category L2], 0)</f>
        <v>0</v>
      </c>
      <c r="J35" s="55"/>
      <c r="K35" s="55"/>
      <c r="L35" s="31">
        <f>IF(PO[[#This Row],[Spend category L1 - Override]] &lt;&gt; "", PO[[#This Row],[Spend category L1 - Override]], PO[[#This Row],[Spend category L1]])</f>
        <v>0</v>
      </c>
      <c r="M35" s="31">
        <f>IF(PO[[#This Row],[Spend category L2 - Override]] &lt;&gt; "", PO[[#This Row],[Spend category L2 - Override]], PO[[#This Row],[Spend category L2]])</f>
        <v>0</v>
      </c>
      <c r="N35" s="62">
        <f>Assumptions!$D$15</f>
        <v>0.1</v>
      </c>
      <c r="O35" s="45">
        <f>IF(PO[[#This Row],[GST applies?]] = "Yes", (PO[[#This Row],[Value inc. GST]] / 1 + PO[[#This Row],[GST %]]) * PO[[#This Row],[GST %]], 0)</f>
        <v>0</v>
      </c>
      <c r="P35" s="31">
        <f>_xlfn.XLOOKUP(PO[[#This Row],[Supplier name]], Supplier_master[Supplier name], Supplier_master[EOM or Net], 0)</f>
        <v>0</v>
      </c>
      <c r="Q35" s="31">
        <f>_xlfn.XLOOKUP(PO[[#This Row],[Supplier name]], Supplier_master[Supplier name], Supplier_master[Terms days], 0)</f>
        <v>0</v>
      </c>
      <c r="R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" s="4"/>
      <c r="T35" s="46">
        <f>IF(PO[[#This Row],[Payment date - override (dd/mm/yyyy)]] &lt;&gt; "", PO[[#This Row],[Payment date - override (dd/mm/yyyy)]], PO[[#This Row],[Due date (dd/mm/yyyy)]])</f>
        <v>0</v>
      </c>
      <c r="U35" s="46">
        <f t="shared" si="0"/>
        <v>52</v>
      </c>
    </row>
    <row r="36" spans="3:21" x14ac:dyDescent="0.25">
      <c r="C36" s="24"/>
      <c r="D36" s="20"/>
      <c r="E36" s="4"/>
      <c r="F36" s="37"/>
      <c r="G36" s="38"/>
      <c r="H36" s="31">
        <f>_xlfn.XLOOKUP(PO[[#This Row],[Supplier name]], Supplier_master[Supplier name], Supplier_master[Category L1], 0)</f>
        <v>0</v>
      </c>
      <c r="I36" s="31">
        <f>_xlfn.XLOOKUP(PO[[#This Row],[Supplier name]], Supplier_master[Supplier name], Supplier_master[Category L2], 0)</f>
        <v>0</v>
      </c>
      <c r="J36" s="55"/>
      <c r="K36" s="55"/>
      <c r="L36" s="31">
        <f>IF(PO[[#This Row],[Spend category L1 - Override]] &lt;&gt; "", PO[[#This Row],[Spend category L1 - Override]], PO[[#This Row],[Spend category L1]])</f>
        <v>0</v>
      </c>
      <c r="M36" s="31">
        <f>IF(PO[[#This Row],[Spend category L2 - Override]] &lt;&gt; "", PO[[#This Row],[Spend category L2 - Override]], PO[[#This Row],[Spend category L2]])</f>
        <v>0</v>
      </c>
      <c r="N36" s="62">
        <f>Assumptions!$D$15</f>
        <v>0.1</v>
      </c>
      <c r="O36" s="45">
        <f>IF(PO[[#This Row],[GST applies?]] = "Yes", (PO[[#This Row],[Value inc. GST]] / 1 + PO[[#This Row],[GST %]]) * PO[[#This Row],[GST %]], 0)</f>
        <v>0</v>
      </c>
      <c r="P36" s="31">
        <f>_xlfn.XLOOKUP(PO[[#This Row],[Supplier name]], Supplier_master[Supplier name], Supplier_master[EOM or Net], 0)</f>
        <v>0</v>
      </c>
      <c r="Q36" s="31">
        <f>_xlfn.XLOOKUP(PO[[#This Row],[Supplier name]], Supplier_master[Supplier name], Supplier_master[Terms days], 0)</f>
        <v>0</v>
      </c>
      <c r="R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" s="4"/>
      <c r="T36" s="46">
        <f>IF(PO[[#This Row],[Payment date - override (dd/mm/yyyy)]] &lt;&gt; "", PO[[#This Row],[Payment date - override (dd/mm/yyyy)]], PO[[#This Row],[Due date (dd/mm/yyyy)]])</f>
        <v>0</v>
      </c>
      <c r="U36" s="46">
        <f t="shared" si="0"/>
        <v>52</v>
      </c>
    </row>
    <row r="37" spans="3:21" x14ac:dyDescent="0.25">
      <c r="C37" s="24"/>
      <c r="D37" s="20"/>
      <c r="E37" s="4"/>
      <c r="F37" s="37"/>
      <c r="G37" s="38"/>
      <c r="H37" s="31">
        <f>_xlfn.XLOOKUP(PO[[#This Row],[Supplier name]], Supplier_master[Supplier name], Supplier_master[Category L1], 0)</f>
        <v>0</v>
      </c>
      <c r="I37" s="31">
        <f>_xlfn.XLOOKUP(PO[[#This Row],[Supplier name]], Supplier_master[Supplier name], Supplier_master[Category L2], 0)</f>
        <v>0</v>
      </c>
      <c r="J37" s="55"/>
      <c r="K37" s="55"/>
      <c r="L37" s="31">
        <f>IF(PO[[#This Row],[Spend category L1 - Override]] &lt;&gt; "", PO[[#This Row],[Spend category L1 - Override]], PO[[#This Row],[Spend category L1]])</f>
        <v>0</v>
      </c>
      <c r="M37" s="31">
        <f>IF(PO[[#This Row],[Spend category L2 - Override]] &lt;&gt; "", PO[[#This Row],[Spend category L2 - Override]], PO[[#This Row],[Spend category L2]])</f>
        <v>0</v>
      </c>
      <c r="N37" s="62">
        <f>Assumptions!$D$15</f>
        <v>0.1</v>
      </c>
      <c r="O37" s="45">
        <f>IF(PO[[#This Row],[GST applies?]] = "Yes", (PO[[#This Row],[Value inc. GST]] / 1 + PO[[#This Row],[GST %]]) * PO[[#This Row],[GST %]], 0)</f>
        <v>0</v>
      </c>
      <c r="P37" s="31">
        <f>_xlfn.XLOOKUP(PO[[#This Row],[Supplier name]], Supplier_master[Supplier name], Supplier_master[EOM or Net], 0)</f>
        <v>0</v>
      </c>
      <c r="Q37" s="31">
        <f>_xlfn.XLOOKUP(PO[[#This Row],[Supplier name]], Supplier_master[Supplier name], Supplier_master[Terms days], 0)</f>
        <v>0</v>
      </c>
      <c r="R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" s="4"/>
      <c r="T37" s="46">
        <f>IF(PO[[#This Row],[Payment date - override (dd/mm/yyyy)]] &lt;&gt; "", PO[[#This Row],[Payment date - override (dd/mm/yyyy)]], PO[[#This Row],[Due date (dd/mm/yyyy)]])</f>
        <v>0</v>
      </c>
      <c r="U37" s="46">
        <f t="shared" si="0"/>
        <v>52</v>
      </c>
    </row>
    <row r="38" spans="3:21" x14ac:dyDescent="0.25">
      <c r="C38" s="24"/>
      <c r="D38" s="20"/>
      <c r="E38" s="4"/>
      <c r="F38" s="37"/>
      <c r="G38" s="38"/>
      <c r="H38" s="31">
        <f>_xlfn.XLOOKUP(PO[[#This Row],[Supplier name]], Supplier_master[Supplier name], Supplier_master[Category L1], 0)</f>
        <v>0</v>
      </c>
      <c r="I38" s="31">
        <f>_xlfn.XLOOKUP(PO[[#This Row],[Supplier name]], Supplier_master[Supplier name], Supplier_master[Category L2], 0)</f>
        <v>0</v>
      </c>
      <c r="J38" s="55"/>
      <c r="K38" s="55"/>
      <c r="L38" s="31">
        <f>IF(PO[[#This Row],[Spend category L1 - Override]] &lt;&gt; "", PO[[#This Row],[Spend category L1 - Override]], PO[[#This Row],[Spend category L1]])</f>
        <v>0</v>
      </c>
      <c r="M38" s="31">
        <f>IF(PO[[#This Row],[Spend category L2 - Override]] &lt;&gt; "", PO[[#This Row],[Spend category L2 - Override]], PO[[#This Row],[Spend category L2]])</f>
        <v>0</v>
      </c>
      <c r="N38" s="62">
        <f>Assumptions!$D$15</f>
        <v>0.1</v>
      </c>
      <c r="O38" s="45">
        <f>IF(PO[[#This Row],[GST applies?]] = "Yes", (PO[[#This Row],[Value inc. GST]] / 1 + PO[[#This Row],[GST %]]) * PO[[#This Row],[GST %]], 0)</f>
        <v>0</v>
      </c>
      <c r="P38" s="31">
        <f>_xlfn.XLOOKUP(PO[[#This Row],[Supplier name]], Supplier_master[Supplier name], Supplier_master[EOM or Net], 0)</f>
        <v>0</v>
      </c>
      <c r="Q38" s="31">
        <f>_xlfn.XLOOKUP(PO[[#This Row],[Supplier name]], Supplier_master[Supplier name], Supplier_master[Terms days], 0)</f>
        <v>0</v>
      </c>
      <c r="R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" s="4"/>
      <c r="T38" s="46">
        <f>IF(PO[[#This Row],[Payment date - override (dd/mm/yyyy)]] &lt;&gt; "", PO[[#This Row],[Payment date - override (dd/mm/yyyy)]], PO[[#This Row],[Due date (dd/mm/yyyy)]])</f>
        <v>0</v>
      </c>
      <c r="U38" s="46">
        <f t="shared" si="0"/>
        <v>52</v>
      </c>
    </row>
    <row r="39" spans="3:21" x14ac:dyDescent="0.25">
      <c r="C39" s="24"/>
      <c r="D39" s="20"/>
      <c r="E39" s="4"/>
      <c r="F39" s="37"/>
      <c r="G39" s="38"/>
      <c r="H39" s="31">
        <f>_xlfn.XLOOKUP(PO[[#This Row],[Supplier name]], Supplier_master[Supplier name], Supplier_master[Category L1], 0)</f>
        <v>0</v>
      </c>
      <c r="I39" s="31">
        <f>_xlfn.XLOOKUP(PO[[#This Row],[Supplier name]], Supplier_master[Supplier name], Supplier_master[Category L2], 0)</f>
        <v>0</v>
      </c>
      <c r="J39" s="55"/>
      <c r="K39" s="55"/>
      <c r="L39" s="31">
        <f>IF(PO[[#This Row],[Spend category L1 - Override]] &lt;&gt; "", PO[[#This Row],[Spend category L1 - Override]], PO[[#This Row],[Spend category L1]])</f>
        <v>0</v>
      </c>
      <c r="M39" s="31">
        <f>IF(PO[[#This Row],[Spend category L2 - Override]] &lt;&gt; "", PO[[#This Row],[Spend category L2 - Override]], PO[[#This Row],[Spend category L2]])</f>
        <v>0</v>
      </c>
      <c r="N39" s="62">
        <f>Assumptions!$D$15</f>
        <v>0.1</v>
      </c>
      <c r="O39" s="45">
        <f>IF(PO[[#This Row],[GST applies?]] = "Yes", (PO[[#This Row],[Value inc. GST]] / 1 + PO[[#This Row],[GST %]]) * PO[[#This Row],[GST %]], 0)</f>
        <v>0</v>
      </c>
      <c r="P39" s="31">
        <f>_xlfn.XLOOKUP(PO[[#This Row],[Supplier name]], Supplier_master[Supplier name], Supplier_master[EOM or Net], 0)</f>
        <v>0</v>
      </c>
      <c r="Q39" s="31">
        <f>_xlfn.XLOOKUP(PO[[#This Row],[Supplier name]], Supplier_master[Supplier name], Supplier_master[Terms days], 0)</f>
        <v>0</v>
      </c>
      <c r="R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" s="4"/>
      <c r="T39" s="46">
        <f>IF(PO[[#This Row],[Payment date - override (dd/mm/yyyy)]] &lt;&gt; "", PO[[#This Row],[Payment date - override (dd/mm/yyyy)]], PO[[#This Row],[Due date (dd/mm/yyyy)]])</f>
        <v>0</v>
      </c>
      <c r="U39" s="46">
        <f t="shared" si="0"/>
        <v>52</v>
      </c>
    </row>
    <row r="40" spans="3:21" x14ac:dyDescent="0.25">
      <c r="C40" s="24"/>
      <c r="D40" s="20"/>
      <c r="E40" s="4"/>
      <c r="F40" s="37"/>
      <c r="G40" s="38"/>
      <c r="H40" s="31">
        <f>_xlfn.XLOOKUP(PO[[#This Row],[Supplier name]], Supplier_master[Supplier name], Supplier_master[Category L1], 0)</f>
        <v>0</v>
      </c>
      <c r="I40" s="31">
        <f>_xlfn.XLOOKUP(PO[[#This Row],[Supplier name]], Supplier_master[Supplier name], Supplier_master[Category L2], 0)</f>
        <v>0</v>
      </c>
      <c r="J40" s="55"/>
      <c r="K40" s="55"/>
      <c r="L40" s="31">
        <f>IF(PO[[#This Row],[Spend category L1 - Override]] &lt;&gt; "", PO[[#This Row],[Spend category L1 - Override]], PO[[#This Row],[Spend category L1]])</f>
        <v>0</v>
      </c>
      <c r="M40" s="31">
        <f>IF(PO[[#This Row],[Spend category L2 - Override]] &lt;&gt; "", PO[[#This Row],[Spend category L2 - Override]], PO[[#This Row],[Spend category L2]])</f>
        <v>0</v>
      </c>
      <c r="N40" s="62">
        <f>Assumptions!$D$15</f>
        <v>0.1</v>
      </c>
      <c r="O40" s="45">
        <f>IF(PO[[#This Row],[GST applies?]] = "Yes", (PO[[#This Row],[Value inc. GST]] / 1 + PO[[#This Row],[GST %]]) * PO[[#This Row],[GST %]], 0)</f>
        <v>0</v>
      </c>
      <c r="P40" s="31">
        <f>_xlfn.XLOOKUP(PO[[#This Row],[Supplier name]], Supplier_master[Supplier name], Supplier_master[EOM or Net], 0)</f>
        <v>0</v>
      </c>
      <c r="Q40" s="31">
        <f>_xlfn.XLOOKUP(PO[[#This Row],[Supplier name]], Supplier_master[Supplier name], Supplier_master[Terms days], 0)</f>
        <v>0</v>
      </c>
      <c r="R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" s="4"/>
      <c r="T40" s="46">
        <f>IF(PO[[#This Row],[Payment date - override (dd/mm/yyyy)]] &lt;&gt; "", PO[[#This Row],[Payment date - override (dd/mm/yyyy)]], PO[[#This Row],[Due date (dd/mm/yyyy)]])</f>
        <v>0</v>
      </c>
      <c r="U40" s="46">
        <f t="shared" si="0"/>
        <v>52</v>
      </c>
    </row>
    <row r="41" spans="3:21" x14ac:dyDescent="0.25">
      <c r="C41" s="24"/>
      <c r="D41" s="20"/>
      <c r="E41" s="4"/>
      <c r="F41" s="37"/>
      <c r="G41" s="38"/>
      <c r="H41" s="31">
        <f>_xlfn.XLOOKUP(PO[[#This Row],[Supplier name]], Supplier_master[Supplier name], Supplier_master[Category L1], 0)</f>
        <v>0</v>
      </c>
      <c r="I41" s="31">
        <f>_xlfn.XLOOKUP(PO[[#This Row],[Supplier name]], Supplier_master[Supplier name], Supplier_master[Category L2], 0)</f>
        <v>0</v>
      </c>
      <c r="J41" s="55"/>
      <c r="K41" s="55"/>
      <c r="L41" s="31">
        <f>IF(PO[[#This Row],[Spend category L1 - Override]] &lt;&gt; "", PO[[#This Row],[Spend category L1 - Override]], PO[[#This Row],[Spend category L1]])</f>
        <v>0</v>
      </c>
      <c r="M41" s="31">
        <f>IF(PO[[#This Row],[Spend category L2 - Override]] &lt;&gt; "", PO[[#This Row],[Spend category L2 - Override]], PO[[#This Row],[Spend category L2]])</f>
        <v>0</v>
      </c>
      <c r="N41" s="62">
        <f>Assumptions!$D$15</f>
        <v>0.1</v>
      </c>
      <c r="O41" s="45">
        <f>IF(PO[[#This Row],[GST applies?]] = "Yes", (PO[[#This Row],[Value inc. GST]] / 1 + PO[[#This Row],[GST %]]) * PO[[#This Row],[GST %]], 0)</f>
        <v>0</v>
      </c>
      <c r="P41" s="31">
        <f>_xlfn.XLOOKUP(PO[[#This Row],[Supplier name]], Supplier_master[Supplier name], Supplier_master[EOM or Net], 0)</f>
        <v>0</v>
      </c>
      <c r="Q41" s="31">
        <f>_xlfn.XLOOKUP(PO[[#This Row],[Supplier name]], Supplier_master[Supplier name], Supplier_master[Terms days], 0)</f>
        <v>0</v>
      </c>
      <c r="R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" s="4"/>
      <c r="T41" s="46">
        <f>IF(PO[[#This Row],[Payment date - override (dd/mm/yyyy)]] &lt;&gt; "", PO[[#This Row],[Payment date - override (dd/mm/yyyy)]], PO[[#This Row],[Due date (dd/mm/yyyy)]])</f>
        <v>0</v>
      </c>
      <c r="U41" s="46">
        <f t="shared" si="0"/>
        <v>52</v>
      </c>
    </row>
    <row r="42" spans="3:21" x14ac:dyDescent="0.25">
      <c r="C42" s="24"/>
      <c r="D42" s="20"/>
      <c r="E42" s="4"/>
      <c r="F42" s="37"/>
      <c r="G42" s="38"/>
      <c r="H42" s="31">
        <f>_xlfn.XLOOKUP(PO[[#This Row],[Supplier name]], Supplier_master[Supplier name], Supplier_master[Category L1], 0)</f>
        <v>0</v>
      </c>
      <c r="I42" s="31">
        <f>_xlfn.XLOOKUP(PO[[#This Row],[Supplier name]], Supplier_master[Supplier name], Supplier_master[Category L2], 0)</f>
        <v>0</v>
      </c>
      <c r="J42" s="55"/>
      <c r="K42" s="55"/>
      <c r="L42" s="31">
        <f>IF(PO[[#This Row],[Spend category L1 - Override]] &lt;&gt; "", PO[[#This Row],[Spend category L1 - Override]], PO[[#This Row],[Spend category L1]])</f>
        <v>0</v>
      </c>
      <c r="M42" s="31">
        <f>IF(PO[[#This Row],[Spend category L2 - Override]] &lt;&gt; "", PO[[#This Row],[Spend category L2 - Override]], PO[[#This Row],[Spend category L2]])</f>
        <v>0</v>
      </c>
      <c r="N42" s="62">
        <f>Assumptions!$D$15</f>
        <v>0.1</v>
      </c>
      <c r="O42" s="45">
        <f>IF(PO[[#This Row],[GST applies?]] = "Yes", (PO[[#This Row],[Value inc. GST]] / 1 + PO[[#This Row],[GST %]]) * PO[[#This Row],[GST %]], 0)</f>
        <v>0</v>
      </c>
      <c r="P42" s="31">
        <f>_xlfn.XLOOKUP(PO[[#This Row],[Supplier name]], Supplier_master[Supplier name], Supplier_master[EOM or Net], 0)</f>
        <v>0</v>
      </c>
      <c r="Q42" s="31">
        <f>_xlfn.XLOOKUP(PO[[#This Row],[Supplier name]], Supplier_master[Supplier name], Supplier_master[Terms days], 0)</f>
        <v>0</v>
      </c>
      <c r="R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" s="4"/>
      <c r="T42" s="46">
        <f>IF(PO[[#This Row],[Payment date - override (dd/mm/yyyy)]] &lt;&gt; "", PO[[#This Row],[Payment date - override (dd/mm/yyyy)]], PO[[#This Row],[Due date (dd/mm/yyyy)]])</f>
        <v>0</v>
      </c>
      <c r="U42" s="46">
        <f t="shared" si="0"/>
        <v>52</v>
      </c>
    </row>
    <row r="43" spans="3:21" x14ac:dyDescent="0.25">
      <c r="C43" s="24"/>
      <c r="D43" s="20"/>
      <c r="E43" s="4"/>
      <c r="F43" s="37"/>
      <c r="G43" s="38"/>
      <c r="H43" s="31">
        <f>_xlfn.XLOOKUP(PO[[#This Row],[Supplier name]], Supplier_master[Supplier name], Supplier_master[Category L1], 0)</f>
        <v>0</v>
      </c>
      <c r="I43" s="31">
        <f>_xlfn.XLOOKUP(PO[[#This Row],[Supplier name]], Supplier_master[Supplier name], Supplier_master[Category L2], 0)</f>
        <v>0</v>
      </c>
      <c r="J43" s="55"/>
      <c r="K43" s="55"/>
      <c r="L43" s="31">
        <f>IF(PO[[#This Row],[Spend category L1 - Override]] &lt;&gt; "", PO[[#This Row],[Spend category L1 - Override]], PO[[#This Row],[Spend category L1]])</f>
        <v>0</v>
      </c>
      <c r="M43" s="31">
        <f>IF(PO[[#This Row],[Spend category L2 - Override]] &lt;&gt; "", PO[[#This Row],[Spend category L2 - Override]], PO[[#This Row],[Spend category L2]])</f>
        <v>0</v>
      </c>
      <c r="N43" s="62">
        <f>Assumptions!$D$15</f>
        <v>0.1</v>
      </c>
      <c r="O43" s="45">
        <f>IF(PO[[#This Row],[GST applies?]] = "Yes", (PO[[#This Row],[Value inc. GST]] / 1 + PO[[#This Row],[GST %]]) * PO[[#This Row],[GST %]], 0)</f>
        <v>0</v>
      </c>
      <c r="P43" s="31">
        <f>_xlfn.XLOOKUP(PO[[#This Row],[Supplier name]], Supplier_master[Supplier name], Supplier_master[EOM or Net], 0)</f>
        <v>0</v>
      </c>
      <c r="Q43" s="31">
        <f>_xlfn.XLOOKUP(PO[[#This Row],[Supplier name]], Supplier_master[Supplier name], Supplier_master[Terms days], 0)</f>
        <v>0</v>
      </c>
      <c r="R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" s="4"/>
      <c r="T43" s="46">
        <f>IF(PO[[#This Row],[Payment date - override (dd/mm/yyyy)]] &lt;&gt; "", PO[[#This Row],[Payment date - override (dd/mm/yyyy)]], PO[[#This Row],[Due date (dd/mm/yyyy)]])</f>
        <v>0</v>
      </c>
      <c r="U43" s="46">
        <f t="shared" si="0"/>
        <v>52</v>
      </c>
    </row>
    <row r="44" spans="3:21" x14ac:dyDescent="0.25">
      <c r="C44" s="24"/>
      <c r="D44" s="20"/>
      <c r="E44" s="4"/>
      <c r="F44" s="37"/>
      <c r="G44" s="38"/>
      <c r="H44" s="31">
        <f>_xlfn.XLOOKUP(PO[[#This Row],[Supplier name]], Supplier_master[Supplier name], Supplier_master[Category L1], 0)</f>
        <v>0</v>
      </c>
      <c r="I44" s="31">
        <f>_xlfn.XLOOKUP(PO[[#This Row],[Supplier name]], Supplier_master[Supplier name], Supplier_master[Category L2], 0)</f>
        <v>0</v>
      </c>
      <c r="J44" s="55"/>
      <c r="K44" s="55"/>
      <c r="L44" s="31">
        <f>IF(PO[[#This Row],[Spend category L1 - Override]] &lt;&gt; "", PO[[#This Row],[Spend category L1 - Override]], PO[[#This Row],[Spend category L1]])</f>
        <v>0</v>
      </c>
      <c r="M44" s="31">
        <f>IF(PO[[#This Row],[Spend category L2 - Override]] &lt;&gt; "", PO[[#This Row],[Spend category L2 - Override]], PO[[#This Row],[Spend category L2]])</f>
        <v>0</v>
      </c>
      <c r="N44" s="62">
        <f>Assumptions!$D$15</f>
        <v>0.1</v>
      </c>
      <c r="O44" s="45">
        <f>IF(PO[[#This Row],[GST applies?]] = "Yes", (PO[[#This Row],[Value inc. GST]] / 1 + PO[[#This Row],[GST %]]) * PO[[#This Row],[GST %]], 0)</f>
        <v>0</v>
      </c>
      <c r="P44" s="31">
        <f>_xlfn.XLOOKUP(PO[[#This Row],[Supplier name]], Supplier_master[Supplier name], Supplier_master[EOM or Net], 0)</f>
        <v>0</v>
      </c>
      <c r="Q44" s="31">
        <f>_xlfn.XLOOKUP(PO[[#This Row],[Supplier name]], Supplier_master[Supplier name], Supplier_master[Terms days], 0)</f>
        <v>0</v>
      </c>
      <c r="R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" s="4"/>
      <c r="T44" s="46">
        <f>IF(PO[[#This Row],[Payment date - override (dd/mm/yyyy)]] &lt;&gt; "", PO[[#This Row],[Payment date - override (dd/mm/yyyy)]], PO[[#This Row],[Due date (dd/mm/yyyy)]])</f>
        <v>0</v>
      </c>
      <c r="U44" s="46">
        <f t="shared" si="0"/>
        <v>52</v>
      </c>
    </row>
    <row r="45" spans="3:21" x14ac:dyDescent="0.25">
      <c r="C45" s="24"/>
      <c r="D45" s="20"/>
      <c r="E45" s="4"/>
      <c r="F45" s="37"/>
      <c r="G45" s="38"/>
      <c r="H45" s="31">
        <f>_xlfn.XLOOKUP(PO[[#This Row],[Supplier name]], Supplier_master[Supplier name], Supplier_master[Category L1], 0)</f>
        <v>0</v>
      </c>
      <c r="I45" s="31">
        <f>_xlfn.XLOOKUP(PO[[#This Row],[Supplier name]], Supplier_master[Supplier name], Supplier_master[Category L2], 0)</f>
        <v>0</v>
      </c>
      <c r="J45" s="55"/>
      <c r="K45" s="55"/>
      <c r="L45" s="31">
        <f>IF(PO[[#This Row],[Spend category L1 - Override]] &lt;&gt; "", PO[[#This Row],[Spend category L1 - Override]], PO[[#This Row],[Spend category L1]])</f>
        <v>0</v>
      </c>
      <c r="M45" s="31">
        <f>IF(PO[[#This Row],[Spend category L2 - Override]] &lt;&gt; "", PO[[#This Row],[Spend category L2 - Override]], PO[[#This Row],[Spend category L2]])</f>
        <v>0</v>
      </c>
      <c r="N45" s="62">
        <f>Assumptions!$D$15</f>
        <v>0.1</v>
      </c>
      <c r="O45" s="45">
        <f>IF(PO[[#This Row],[GST applies?]] = "Yes", (PO[[#This Row],[Value inc. GST]] / 1 + PO[[#This Row],[GST %]]) * PO[[#This Row],[GST %]], 0)</f>
        <v>0</v>
      </c>
      <c r="P45" s="31">
        <f>_xlfn.XLOOKUP(PO[[#This Row],[Supplier name]], Supplier_master[Supplier name], Supplier_master[EOM or Net], 0)</f>
        <v>0</v>
      </c>
      <c r="Q45" s="31">
        <f>_xlfn.XLOOKUP(PO[[#This Row],[Supplier name]], Supplier_master[Supplier name], Supplier_master[Terms days], 0)</f>
        <v>0</v>
      </c>
      <c r="R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" s="4"/>
      <c r="T45" s="46">
        <f>IF(PO[[#This Row],[Payment date - override (dd/mm/yyyy)]] &lt;&gt; "", PO[[#This Row],[Payment date - override (dd/mm/yyyy)]], PO[[#This Row],[Due date (dd/mm/yyyy)]])</f>
        <v>0</v>
      </c>
      <c r="U45" s="46">
        <f t="shared" si="0"/>
        <v>52</v>
      </c>
    </row>
    <row r="46" spans="3:21" x14ac:dyDescent="0.25">
      <c r="C46" s="24"/>
      <c r="D46" s="20"/>
      <c r="E46" s="4"/>
      <c r="F46" s="37"/>
      <c r="G46" s="38"/>
      <c r="H46" s="31">
        <f>_xlfn.XLOOKUP(PO[[#This Row],[Supplier name]], Supplier_master[Supplier name], Supplier_master[Category L1], 0)</f>
        <v>0</v>
      </c>
      <c r="I46" s="31">
        <f>_xlfn.XLOOKUP(PO[[#This Row],[Supplier name]], Supplier_master[Supplier name], Supplier_master[Category L2], 0)</f>
        <v>0</v>
      </c>
      <c r="J46" s="55"/>
      <c r="K46" s="55"/>
      <c r="L46" s="31">
        <f>IF(PO[[#This Row],[Spend category L1 - Override]] &lt;&gt; "", PO[[#This Row],[Spend category L1 - Override]], PO[[#This Row],[Spend category L1]])</f>
        <v>0</v>
      </c>
      <c r="M46" s="31">
        <f>IF(PO[[#This Row],[Spend category L2 - Override]] &lt;&gt; "", PO[[#This Row],[Spend category L2 - Override]], PO[[#This Row],[Spend category L2]])</f>
        <v>0</v>
      </c>
      <c r="N46" s="62">
        <f>Assumptions!$D$15</f>
        <v>0.1</v>
      </c>
      <c r="O46" s="45">
        <f>IF(PO[[#This Row],[GST applies?]] = "Yes", (PO[[#This Row],[Value inc. GST]] / 1 + PO[[#This Row],[GST %]]) * PO[[#This Row],[GST %]], 0)</f>
        <v>0</v>
      </c>
      <c r="P46" s="31">
        <f>_xlfn.XLOOKUP(PO[[#This Row],[Supplier name]], Supplier_master[Supplier name], Supplier_master[EOM or Net], 0)</f>
        <v>0</v>
      </c>
      <c r="Q46" s="31">
        <f>_xlfn.XLOOKUP(PO[[#This Row],[Supplier name]], Supplier_master[Supplier name], Supplier_master[Terms days], 0)</f>
        <v>0</v>
      </c>
      <c r="R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" s="4"/>
      <c r="T46" s="46">
        <f>IF(PO[[#This Row],[Payment date - override (dd/mm/yyyy)]] &lt;&gt; "", PO[[#This Row],[Payment date - override (dd/mm/yyyy)]], PO[[#This Row],[Due date (dd/mm/yyyy)]])</f>
        <v>0</v>
      </c>
      <c r="U46" s="46">
        <f t="shared" si="0"/>
        <v>52</v>
      </c>
    </row>
    <row r="47" spans="3:21" x14ac:dyDescent="0.25">
      <c r="C47" s="24"/>
      <c r="D47" s="20"/>
      <c r="E47" s="4"/>
      <c r="F47" s="37"/>
      <c r="G47" s="38"/>
      <c r="H47" s="31">
        <f>_xlfn.XLOOKUP(PO[[#This Row],[Supplier name]], Supplier_master[Supplier name], Supplier_master[Category L1], 0)</f>
        <v>0</v>
      </c>
      <c r="I47" s="31">
        <f>_xlfn.XLOOKUP(PO[[#This Row],[Supplier name]], Supplier_master[Supplier name], Supplier_master[Category L2], 0)</f>
        <v>0</v>
      </c>
      <c r="J47" s="55"/>
      <c r="K47" s="55"/>
      <c r="L47" s="31">
        <f>IF(PO[[#This Row],[Spend category L1 - Override]] &lt;&gt; "", PO[[#This Row],[Spend category L1 - Override]], PO[[#This Row],[Spend category L1]])</f>
        <v>0</v>
      </c>
      <c r="M47" s="31">
        <f>IF(PO[[#This Row],[Spend category L2 - Override]] &lt;&gt; "", PO[[#This Row],[Spend category L2 - Override]], PO[[#This Row],[Spend category L2]])</f>
        <v>0</v>
      </c>
      <c r="N47" s="62">
        <f>Assumptions!$D$15</f>
        <v>0.1</v>
      </c>
      <c r="O47" s="45">
        <f>IF(PO[[#This Row],[GST applies?]] = "Yes", (PO[[#This Row],[Value inc. GST]] / 1 + PO[[#This Row],[GST %]]) * PO[[#This Row],[GST %]], 0)</f>
        <v>0</v>
      </c>
      <c r="P47" s="31">
        <f>_xlfn.XLOOKUP(PO[[#This Row],[Supplier name]], Supplier_master[Supplier name], Supplier_master[EOM or Net], 0)</f>
        <v>0</v>
      </c>
      <c r="Q47" s="31">
        <f>_xlfn.XLOOKUP(PO[[#This Row],[Supplier name]], Supplier_master[Supplier name], Supplier_master[Terms days], 0)</f>
        <v>0</v>
      </c>
      <c r="R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" s="4"/>
      <c r="T47" s="46">
        <f>IF(PO[[#This Row],[Payment date - override (dd/mm/yyyy)]] &lt;&gt; "", PO[[#This Row],[Payment date - override (dd/mm/yyyy)]], PO[[#This Row],[Due date (dd/mm/yyyy)]])</f>
        <v>0</v>
      </c>
      <c r="U47" s="46">
        <f t="shared" si="0"/>
        <v>52</v>
      </c>
    </row>
    <row r="48" spans="3:21" x14ac:dyDescent="0.25">
      <c r="C48" s="24"/>
      <c r="D48" s="20"/>
      <c r="E48" s="4"/>
      <c r="F48" s="37"/>
      <c r="G48" s="38"/>
      <c r="H48" s="31">
        <f>_xlfn.XLOOKUP(PO[[#This Row],[Supplier name]], Supplier_master[Supplier name], Supplier_master[Category L1], 0)</f>
        <v>0</v>
      </c>
      <c r="I48" s="31">
        <f>_xlfn.XLOOKUP(PO[[#This Row],[Supplier name]], Supplier_master[Supplier name], Supplier_master[Category L2], 0)</f>
        <v>0</v>
      </c>
      <c r="J48" s="55"/>
      <c r="K48" s="55"/>
      <c r="L48" s="31">
        <f>IF(PO[[#This Row],[Spend category L1 - Override]] &lt;&gt; "", PO[[#This Row],[Spend category L1 - Override]], PO[[#This Row],[Spend category L1]])</f>
        <v>0</v>
      </c>
      <c r="M48" s="31">
        <f>IF(PO[[#This Row],[Spend category L2 - Override]] &lt;&gt; "", PO[[#This Row],[Spend category L2 - Override]], PO[[#This Row],[Spend category L2]])</f>
        <v>0</v>
      </c>
      <c r="N48" s="62">
        <f>Assumptions!$D$15</f>
        <v>0.1</v>
      </c>
      <c r="O48" s="45">
        <f>IF(PO[[#This Row],[GST applies?]] = "Yes", (PO[[#This Row],[Value inc. GST]] / 1 + PO[[#This Row],[GST %]]) * PO[[#This Row],[GST %]], 0)</f>
        <v>0</v>
      </c>
      <c r="P48" s="31">
        <f>_xlfn.XLOOKUP(PO[[#This Row],[Supplier name]], Supplier_master[Supplier name], Supplier_master[EOM or Net], 0)</f>
        <v>0</v>
      </c>
      <c r="Q48" s="31">
        <f>_xlfn.XLOOKUP(PO[[#This Row],[Supplier name]], Supplier_master[Supplier name], Supplier_master[Terms days], 0)</f>
        <v>0</v>
      </c>
      <c r="R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" s="4"/>
      <c r="T48" s="46">
        <f>IF(PO[[#This Row],[Payment date - override (dd/mm/yyyy)]] &lt;&gt; "", PO[[#This Row],[Payment date - override (dd/mm/yyyy)]], PO[[#This Row],[Due date (dd/mm/yyyy)]])</f>
        <v>0</v>
      </c>
      <c r="U48" s="46">
        <f t="shared" si="0"/>
        <v>52</v>
      </c>
    </row>
    <row r="49" spans="3:21" x14ac:dyDescent="0.25">
      <c r="C49" s="24"/>
      <c r="D49" s="20"/>
      <c r="E49" s="4"/>
      <c r="F49" s="37"/>
      <c r="G49" s="38"/>
      <c r="H49" s="31">
        <f>_xlfn.XLOOKUP(PO[[#This Row],[Supplier name]], Supplier_master[Supplier name], Supplier_master[Category L1], 0)</f>
        <v>0</v>
      </c>
      <c r="I49" s="31">
        <f>_xlfn.XLOOKUP(PO[[#This Row],[Supplier name]], Supplier_master[Supplier name], Supplier_master[Category L2], 0)</f>
        <v>0</v>
      </c>
      <c r="J49" s="55"/>
      <c r="K49" s="55"/>
      <c r="L49" s="31">
        <f>IF(PO[[#This Row],[Spend category L1 - Override]] &lt;&gt; "", PO[[#This Row],[Spend category L1 - Override]], PO[[#This Row],[Spend category L1]])</f>
        <v>0</v>
      </c>
      <c r="M49" s="31">
        <f>IF(PO[[#This Row],[Spend category L2 - Override]] &lt;&gt; "", PO[[#This Row],[Spend category L2 - Override]], PO[[#This Row],[Spend category L2]])</f>
        <v>0</v>
      </c>
      <c r="N49" s="62">
        <f>Assumptions!$D$15</f>
        <v>0.1</v>
      </c>
      <c r="O49" s="45">
        <f>IF(PO[[#This Row],[GST applies?]] = "Yes", (PO[[#This Row],[Value inc. GST]] / 1 + PO[[#This Row],[GST %]]) * PO[[#This Row],[GST %]], 0)</f>
        <v>0</v>
      </c>
      <c r="P49" s="31">
        <f>_xlfn.XLOOKUP(PO[[#This Row],[Supplier name]], Supplier_master[Supplier name], Supplier_master[EOM or Net], 0)</f>
        <v>0</v>
      </c>
      <c r="Q49" s="31">
        <f>_xlfn.XLOOKUP(PO[[#This Row],[Supplier name]], Supplier_master[Supplier name], Supplier_master[Terms days], 0)</f>
        <v>0</v>
      </c>
      <c r="R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" s="4"/>
      <c r="T49" s="46">
        <f>IF(PO[[#This Row],[Payment date - override (dd/mm/yyyy)]] &lt;&gt; "", PO[[#This Row],[Payment date - override (dd/mm/yyyy)]], PO[[#This Row],[Due date (dd/mm/yyyy)]])</f>
        <v>0</v>
      </c>
      <c r="U49" s="46">
        <f t="shared" si="0"/>
        <v>52</v>
      </c>
    </row>
    <row r="50" spans="3:21" x14ac:dyDescent="0.25">
      <c r="C50" s="24"/>
      <c r="D50" s="20"/>
      <c r="E50" s="4"/>
      <c r="F50" s="37"/>
      <c r="G50" s="38"/>
      <c r="H50" s="31">
        <f>_xlfn.XLOOKUP(PO[[#This Row],[Supplier name]], Supplier_master[Supplier name], Supplier_master[Category L1], 0)</f>
        <v>0</v>
      </c>
      <c r="I50" s="31">
        <f>_xlfn.XLOOKUP(PO[[#This Row],[Supplier name]], Supplier_master[Supplier name], Supplier_master[Category L2], 0)</f>
        <v>0</v>
      </c>
      <c r="J50" s="55"/>
      <c r="K50" s="55"/>
      <c r="L50" s="31">
        <f>IF(PO[[#This Row],[Spend category L1 - Override]] &lt;&gt; "", PO[[#This Row],[Spend category L1 - Override]], PO[[#This Row],[Spend category L1]])</f>
        <v>0</v>
      </c>
      <c r="M50" s="31">
        <f>IF(PO[[#This Row],[Spend category L2 - Override]] &lt;&gt; "", PO[[#This Row],[Spend category L2 - Override]], PO[[#This Row],[Spend category L2]])</f>
        <v>0</v>
      </c>
      <c r="N50" s="62">
        <f>Assumptions!$D$15</f>
        <v>0.1</v>
      </c>
      <c r="O50" s="45">
        <f>IF(PO[[#This Row],[GST applies?]] = "Yes", (PO[[#This Row],[Value inc. GST]] / 1 + PO[[#This Row],[GST %]]) * PO[[#This Row],[GST %]], 0)</f>
        <v>0</v>
      </c>
      <c r="P50" s="31">
        <f>_xlfn.XLOOKUP(PO[[#This Row],[Supplier name]], Supplier_master[Supplier name], Supplier_master[EOM or Net], 0)</f>
        <v>0</v>
      </c>
      <c r="Q50" s="31">
        <f>_xlfn.XLOOKUP(PO[[#This Row],[Supplier name]], Supplier_master[Supplier name], Supplier_master[Terms days], 0)</f>
        <v>0</v>
      </c>
      <c r="R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" s="4"/>
      <c r="T50" s="46">
        <f>IF(PO[[#This Row],[Payment date - override (dd/mm/yyyy)]] &lt;&gt; "", PO[[#This Row],[Payment date - override (dd/mm/yyyy)]], PO[[#This Row],[Due date (dd/mm/yyyy)]])</f>
        <v>0</v>
      </c>
      <c r="U50" s="46">
        <f t="shared" si="0"/>
        <v>52</v>
      </c>
    </row>
    <row r="51" spans="3:21" x14ac:dyDescent="0.25">
      <c r="C51" s="24"/>
      <c r="D51" s="20"/>
      <c r="E51" s="4"/>
      <c r="F51" s="37"/>
      <c r="G51" s="38"/>
      <c r="H51" s="31">
        <f>_xlfn.XLOOKUP(PO[[#This Row],[Supplier name]], Supplier_master[Supplier name], Supplier_master[Category L1], 0)</f>
        <v>0</v>
      </c>
      <c r="I51" s="31">
        <f>_xlfn.XLOOKUP(PO[[#This Row],[Supplier name]], Supplier_master[Supplier name], Supplier_master[Category L2], 0)</f>
        <v>0</v>
      </c>
      <c r="J51" s="55"/>
      <c r="K51" s="55"/>
      <c r="L51" s="31">
        <f>IF(PO[[#This Row],[Spend category L1 - Override]] &lt;&gt; "", PO[[#This Row],[Spend category L1 - Override]], PO[[#This Row],[Spend category L1]])</f>
        <v>0</v>
      </c>
      <c r="M51" s="31">
        <f>IF(PO[[#This Row],[Spend category L2 - Override]] &lt;&gt; "", PO[[#This Row],[Spend category L2 - Override]], PO[[#This Row],[Spend category L2]])</f>
        <v>0</v>
      </c>
      <c r="N51" s="62">
        <f>Assumptions!$D$15</f>
        <v>0.1</v>
      </c>
      <c r="O51" s="45">
        <f>IF(PO[[#This Row],[GST applies?]] = "Yes", (PO[[#This Row],[Value inc. GST]] / 1 + PO[[#This Row],[GST %]]) * PO[[#This Row],[GST %]], 0)</f>
        <v>0</v>
      </c>
      <c r="P51" s="31">
        <f>_xlfn.XLOOKUP(PO[[#This Row],[Supplier name]], Supplier_master[Supplier name], Supplier_master[EOM or Net], 0)</f>
        <v>0</v>
      </c>
      <c r="Q51" s="31">
        <f>_xlfn.XLOOKUP(PO[[#This Row],[Supplier name]], Supplier_master[Supplier name], Supplier_master[Terms days], 0)</f>
        <v>0</v>
      </c>
      <c r="R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" s="4"/>
      <c r="T51" s="46">
        <f>IF(PO[[#This Row],[Payment date - override (dd/mm/yyyy)]] &lt;&gt; "", PO[[#This Row],[Payment date - override (dd/mm/yyyy)]], PO[[#This Row],[Due date (dd/mm/yyyy)]])</f>
        <v>0</v>
      </c>
      <c r="U51" s="46">
        <f t="shared" si="0"/>
        <v>52</v>
      </c>
    </row>
    <row r="52" spans="3:21" x14ac:dyDescent="0.25">
      <c r="C52" s="24"/>
      <c r="D52" s="20"/>
      <c r="E52" s="4"/>
      <c r="F52" s="37"/>
      <c r="G52" s="38"/>
      <c r="H52" s="31">
        <f>_xlfn.XLOOKUP(PO[[#This Row],[Supplier name]], Supplier_master[Supplier name], Supplier_master[Category L1], 0)</f>
        <v>0</v>
      </c>
      <c r="I52" s="31">
        <f>_xlfn.XLOOKUP(PO[[#This Row],[Supplier name]], Supplier_master[Supplier name], Supplier_master[Category L2], 0)</f>
        <v>0</v>
      </c>
      <c r="J52" s="55"/>
      <c r="K52" s="55"/>
      <c r="L52" s="31">
        <f>IF(PO[[#This Row],[Spend category L1 - Override]] &lt;&gt; "", PO[[#This Row],[Spend category L1 - Override]], PO[[#This Row],[Spend category L1]])</f>
        <v>0</v>
      </c>
      <c r="M52" s="31">
        <f>IF(PO[[#This Row],[Spend category L2 - Override]] &lt;&gt; "", PO[[#This Row],[Spend category L2 - Override]], PO[[#This Row],[Spend category L2]])</f>
        <v>0</v>
      </c>
      <c r="N52" s="62">
        <f>Assumptions!$D$15</f>
        <v>0.1</v>
      </c>
      <c r="O52" s="45">
        <f>IF(PO[[#This Row],[GST applies?]] = "Yes", (PO[[#This Row],[Value inc. GST]] / 1 + PO[[#This Row],[GST %]]) * PO[[#This Row],[GST %]], 0)</f>
        <v>0</v>
      </c>
      <c r="P52" s="31">
        <f>_xlfn.XLOOKUP(PO[[#This Row],[Supplier name]], Supplier_master[Supplier name], Supplier_master[EOM or Net], 0)</f>
        <v>0</v>
      </c>
      <c r="Q52" s="31">
        <f>_xlfn.XLOOKUP(PO[[#This Row],[Supplier name]], Supplier_master[Supplier name], Supplier_master[Terms days], 0)</f>
        <v>0</v>
      </c>
      <c r="R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" s="4"/>
      <c r="T52" s="46">
        <f>IF(PO[[#This Row],[Payment date - override (dd/mm/yyyy)]] &lt;&gt; "", PO[[#This Row],[Payment date - override (dd/mm/yyyy)]], PO[[#This Row],[Due date (dd/mm/yyyy)]])</f>
        <v>0</v>
      </c>
      <c r="U52" s="46">
        <f t="shared" si="0"/>
        <v>52</v>
      </c>
    </row>
    <row r="53" spans="3:21" x14ac:dyDescent="0.25">
      <c r="C53" s="24"/>
      <c r="D53" s="20"/>
      <c r="E53" s="4"/>
      <c r="F53" s="37"/>
      <c r="G53" s="38"/>
      <c r="H53" s="31">
        <f>_xlfn.XLOOKUP(PO[[#This Row],[Supplier name]], Supplier_master[Supplier name], Supplier_master[Category L1], 0)</f>
        <v>0</v>
      </c>
      <c r="I53" s="31">
        <f>_xlfn.XLOOKUP(PO[[#This Row],[Supplier name]], Supplier_master[Supplier name], Supplier_master[Category L2], 0)</f>
        <v>0</v>
      </c>
      <c r="J53" s="55"/>
      <c r="K53" s="55"/>
      <c r="L53" s="31">
        <f>IF(PO[[#This Row],[Spend category L1 - Override]] &lt;&gt; "", PO[[#This Row],[Spend category L1 - Override]], PO[[#This Row],[Spend category L1]])</f>
        <v>0</v>
      </c>
      <c r="M53" s="31">
        <f>IF(PO[[#This Row],[Spend category L2 - Override]] &lt;&gt; "", PO[[#This Row],[Spend category L2 - Override]], PO[[#This Row],[Spend category L2]])</f>
        <v>0</v>
      </c>
      <c r="N53" s="62">
        <f>Assumptions!$D$15</f>
        <v>0.1</v>
      </c>
      <c r="O53" s="45">
        <f>IF(PO[[#This Row],[GST applies?]] = "Yes", (PO[[#This Row],[Value inc. GST]] / 1 + PO[[#This Row],[GST %]]) * PO[[#This Row],[GST %]], 0)</f>
        <v>0</v>
      </c>
      <c r="P53" s="31">
        <f>_xlfn.XLOOKUP(PO[[#This Row],[Supplier name]], Supplier_master[Supplier name], Supplier_master[EOM or Net], 0)</f>
        <v>0</v>
      </c>
      <c r="Q53" s="31">
        <f>_xlfn.XLOOKUP(PO[[#This Row],[Supplier name]], Supplier_master[Supplier name], Supplier_master[Terms days], 0)</f>
        <v>0</v>
      </c>
      <c r="R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" s="4"/>
      <c r="T53" s="46">
        <f>IF(PO[[#This Row],[Payment date - override (dd/mm/yyyy)]] &lt;&gt; "", PO[[#This Row],[Payment date - override (dd/mm/yyyy)]], PO[[#This Row],[Due date (dd/mm/yyyy)]])</f>
        <v>0</v>
      </c>
      <c r="U53" s="46">
        <f t="shared" si="0"/>
        <v>52</v>
      </c>
    </row>
    <row r="54" spans="3:21" x14ac:dyDescent="0.25">
      <c r="C54" s="24"/>
      <c r="D54" s="20"/>
      <c r="E54" s="4"/>
      <c r="F54" s="37"/>
      <c r="G54" s="38"/>
      <c r="H54" s="31">
        <f>_xlfn.XLOOKUP(PO[[#This Row],[Supplier name]], Supplier_master[Supplier name], Supplier_master[Category L1], 0)</f>
        <v>0</v>
      </c>
      <c r="I54" s="31">
        <f>_xlfn.XLOOKUP(PO[[#This Row],[Supplier name]], Supplier_master[Supplier name], Supplier_master[Category L2], 0)</f>
        <v>0</v>
      </c>
      <c r="J54" s="55"/>
      <c r="K54" s="55"/>
      <c r="L54" s="31">
        <f>IF(PO[[#This Row],[Spend category L1 - Override]] &lt;&gt; "", PO[[#This Row],[Spend category L1 - Override]], PO[[#This Row],[Spend category L1]])</f>
        <v>0</v>
      </c>
      <c r="M54" s="31">
        <f>IF(PO[[#This Row],[Spend category L2 - Override]] &lt;&gt; "", PO[[#This Row],[Spend category L2 - Override]], PO[[#This Row],[Spend category L2]])</f>
        <v>0</v>
      </c>
      <c r="N54" s="62">
        <f>Assumptions!$D$15</f>
        <v>0.1</v>
      </c>
      <c r="O54" s="45">
        <f>IF(PO[[#This Row],[GST applies?]] = "Yes", (PO[[#This Row],[Value inc. GST]] / 1 + PO[[#This Row],[GST %]]) * PO[[#This Row],[GST %]], 0)</f>
        <v>0</v>
      </c>
      <c r="P54" s="31">
        <f>_xlfn.XLOOKUP(PO[[#This Row],[Supplier name]], Supplier_master[Supplier name], Supplier_master[EOM or Net], 0)</f>
        <v>0</v>
      </c>
      <c r="Q54" s="31">
        <f>_xlfn.XLOOKUP(PO[[#This Row],[Supplier name]], Supplier_master[Supplier name], Supplier_master[Terms days], 0)</f>
        <v>0</v>
      </c>
      <c r="R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" s="4"/>
      <c r="T54" s="46">
        <f>IF(PO[[#This Row],[Payment date - override (dd/mm/yyyy)]] &lt;&gt; "", PO[[#This Row],[Payment date - override (dd/mm/yyyy)]], PO[[#This Row],[Due date (dd/mm/yyyy)]])</f>
        <v>0</v>
      </c>
      <c r="U54" s="46">
        <f t="shared" si="0"/>
        <v>52</v>
      </c>
    </row>
    <row r="55" spans="3:21" x14ac:dyDescent="0.25">
      <c r="C55" s="24"/>
      <c r="D55" s="20"/>
      <c r="E55" s="4"/>
      <c r="F55" s="37"/>
      <c r="G55" s="38"/>
      <c r="H55" s="31">
        <f>_xlfn.XLOOKUP(PO[[#This Row],[Supplier name]], Supplier_master[Supplier name], Supplier_master[Category L1], 0)</f>
        <v>0</v>
      </c>
      <c r="I55" s="31">
        <f>_xlfn.XLOOKUP(PO[[#This Row],[Supplier name]], Supplier_master[Supplier name], Supplier_master[Category L2], 0)</f>
        <v>0</v>
      </c>
      <c r="J55" s="55"/>
      <c r="K55" s="55"/>
      <c r="L55" s="31">
        <f>IF(PO[[#This Row],[Spend category L1 - Override]] &lt;&gt; "", PO[[#This Row],[Spend category L1 - Override]], PO[[#This Row],[Spend category L1]])</f>
        <v>0</v>
      </c>
      <c r="M55" s="31">
        <f>IF(PO[[#This Row],[Spend category L2 - Override]] &lt;&gt; "", PO[[#This Row],[Spend category L2 - Override]], PO[[#This Row],[Spend category L2]])</f>
        <v>0</v>
      </c>
      <c r="N55" s="62">
        <f>Assumptions!$D$15</f>
        <v>0.1</v>
      </c>
      <c r="O55" s="45">
        <f>IF(PO[[#This Row],[GST applies?]] = "Yes", (PO[[#This Row],[Value inc. GST]] / 1 + PO[[#This Row],[GST %]]) * PO[[#This Row],[GST %]], 0)</f>
        <v>0</v>
      </c>
      <c r="P55" s="31">
        <f>_xlfn.XLOOKUP(PO[[#This Row],[Supplier name]], Supplier_master[Supplier name], Supplier_master[EOM or Net], 0)</f>
        <v>0</v>
      </c>
      <c r="Q55" s="31">
        <f>_xlfn.XLOOKUP(PO[[#This Row],[Supplier name]], Supplier_master[Supplier name], Supplier_master[Terms days], 0)</f>
        <v>0</v>
      </c>
      <c r="R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" s="4"/>
      <c r="T55" s="46">
        <f>IF(PO[[#This Row],[Payment date - override (dd/mm/yyyy)]] &lt;&gt; "", PO[[#This Row],[Payment date - override (dd/mm/yyyy)]], PO[[#This Row],[Due date (dd/mm/yyyy)]])</f>
        <v>0</v>
      </c>
      <c r="U55" s="46">
        <f t="shared" si="0"/>
        <v>52</v>
      </c>
    </row>
    <row r="56" spans="3:21" x14ac:dyDescent="0.25">
      <c r="C56" s="24"/>
      <c r="D56" s="20"/>
      <c r="E56" s="4"/>
      <c r="F56" s="37"/>
      <c r="G56" s="38"/>
      <c r="H56" s="31">
        <f>_xlfn.XLOOKUP(PO[[#This Row],[Supplier name]], Supplier_master[Supplier name], Supplier_master[Category L1], 0)</f>
        <v>0</v>
      </c>
      <c r="I56" s="31">
        <f>_xlfn.XLOOKUP(PO[[#This Row],[Supplier name]], Supplier_master[Supplier name], Supplier_master[Category L2], 0)</f>
        <v>0</v>
      </c>
      <c r="J56" s="55"/>
      <c r="K56" s="55"/>
      <c r="L56" s="31">
        <f>IF(PO[[#This Row],[Spend category L1 - Override]] &lt;&gt; "", PO[[#This Row],[Spend category L1 - Override]], PO[[#This Row],[Spend category L1]])</f>
        <v>0</v>
      </c>
      <c r="M56" s="31">
        <f>IF(PO[[#This Row],[Spend category L2 - Override]] &lt;&gt; "", PO[[#This Row],[Spend category L2 - Override]], PO[[#This Row],[Spend category L2]])</f>
        <v>0</v>
      </c>
      <c r="N56" s="62">
        <f>Assumptions!$D$15</f>
        <v>0.1</v>
      </c>
      <c r="O56" s="45">
        <f>IF(PO[[#This Row],[GST applies?]] = "Yes", (PO[[#This Row],[Value inc. GST]] / 1 + PO[[#This Row],[GST %]]) * PO[[#This Row],[GST %]], 0)</f>
        <v>0</v>
      </c>
      <c r="P56" s="31">
        <f>_xlfn.XLOOKUP(PO[[#This Row],[Supplier name]], Supplier_master[Supplier name], Supplier_master[EOM or Net], 0)</f>
        <v>0</v>
      </c>
      <c r="Q56" s="31">
        <f>_xlfn.XLOOKUP(PO[[#This Row],[Supplier name]], Supplier_master[Supplier name], Supplier_master[Terms days], 0)</f>
        <v>0</v>
      </c>
      <c r="R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" s="4"/>
      <c r="T56" s="46">
        <f>IF(PO[[#This Row],[Payment date - override (dd/mm/yyyy)]] &lt;&gt; "", PO[[#This Row],[Payment date - override (dd/mm/yyyy)]], PO[[#This Row],[Due date (dd/mm/yyyy)]])</f>
        <v>0</v>
      </c>
      <c r="U56" s="46">
        <f t="shared" si="0"/>
        <v>52</v>
      </c>
    </row>
    <row r="57" spans="3:21" x14ac:dyDescent="0.25">
      <c r="C57" s="24"/>
      <c r="D57" s="20"/>
      <c r="E57" s="4"/>
      <c r="F57" s="37"/>
      <c r="G57" s="38"/>
      <c r="H57" s="31">
        <f>_xlfn.XLOOKUP(PO[[#This Row],[Supplier name]], Supplier_master[Supplier name], Supplier_master[Category L1], 0)</f>
        <v>0</v>
      </c>
      <c r="I57" s="31">
        <f>_xlfn.XLOOKUP(PO[[#This Row],[Supplier name]], Supplier_master[Supplier name], Supplier_master[Category L2], 0)</f>
        <v>0</v>
      </c>
      <c r="J57" s="55"/>
      <c r="K57" s="55"/>
      <c r="L57" s="31">
        <f>IF(PO[[#This Row],[Spend category L1 - Override]] &lt;&gt; "", PO[[#This Row],[Spend category L1 - Override]], PO[[#This Row],[Spend category L1]])</f>
        <v>0</v>
      </c>
      <c r="M57" s="31">
        <f>IF(PO[[#This Row],[Spend category L2 - Override]] &lt;&gt; "", PO[[#This Row],[Spend category L2 - Override]], PO[[#This Row],[Spend category L2]])</f>
        <v>0</v>
      </c>
      <c r="N57" s="62">
        <f>Assumptions!$D$15</f>
        <v>0.1</v>
      </c>
      <c r="O57" s="45">
        <f>IF(PO[[#This Row],[GST applies?]] = "Yes", (PO[[#This Row],[Value inc. GST]] / 1 + PO[[#This Row],[GST %]]) * PO[[#This Row],[GST %]], 0)</f>
        <v>0</v>
      </c>
      <c r="P57" s="31">
        <f>_xlfn.XLOOKUP(PO[[#This Row],[Supplier name]], Supplier_master[Supplier name], Supplier_master[EOM or Net], 0)</f>
        <v>0</v>
      </c>
      <c r="Q57" s="31">
        <f>_xlfn.XLOOKUP(PO[[#This Row],[Supplier name]], Supplier_master[Supplier name], Supplier_master[Terms days], 0)</f>
        <v>0</v>
      </c>
      <c r="R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" s="4"/>
      <c r="T57" s="46">
        <f>IF(PO[[#This Row],[Payment date - override (dd/mm/yyyy)]] &lt;&gt; "", PO[[#This Row],[Payment date - override (dd/mm/yyyy)]], PO[[#This Row],[Due date (dd/mm/yyyy)]])</f>
        <v>0</v>
      </c>
      <c r="U57" s="46">
        <f t="shared" si="0"/>
        <v>52</v>
      </c>
    </row>
    <row r="58" spans="3:21" x14ac:dyDescent="0.25">
      <c r="C58" s="24"/>
      <c r="D58" s="29"/>
      <c r="E58" s="41"/>
      <c r="F58" s="42"/>
      <c r="G58" s="43"/>
      <c r="H58" s="31">
        <f>_xlfn.XLOOKUP(PO[[#This Row],[Supplier name]], Supplier_master[Supplier name], Supplier_master[Category L1], 0)</f>
        <v>0</v>
      </c>
      <c r="I58" s="31">
        <f>_xlfn.XLOOKUP(PO[[#This Row],[Supplier name]], Supplier_master[Supplier name], Supplier_master[Category L2], 0)</f>
        <v>0</v>
      </c>
      <c r="J58" s="55"/>
      <c r="K58" s="55"/>
      <c r="L58" s="31">
        <f>IF(PO[[#This Row],[Spend category L1 - Override]] &lt;&gt; "", PO[[#This Row],[Spend category L1 - Override]], PO[[#This Row],[Spend category L1]])</f>
        <v>0</v>
      </c>
      <c r="M58" s="31">
        <f>IF(PO[[#This Row],[Spend category L2 - Override]] &lt;&gt; "", PO[[#This Row],[Spend category L2 - Override]], PO[[#This Row],[Spend category L2]])</f>
        <v>0</v>
      </c>
      <c r="N58" s="62">
        <f>Assumptions!$D$15</f>
        <v>0.1</v>
      </c>
      <c r="O58" s="45">
        <f>IF(PO[[#This Row],[GST applies?]] = "Yes", (PO[[#This Row],[Value inc. GST]] / 1 + PO[[#This Row],[GST %]]) * PO[[#This Row],[GST %]], 0)</f>
        <v>0</v>
      </c>
      <c r="P58" s="31">
        <f>_xlfn.XLOOKUP(PO[[#This Row],[Supplier name]], Supplier_master[Supplier name], Supplier_master[EOM or Net], 0)</f>
        <v>0</v>
      </c>
      <c r="Q58" s="31">
        <f>_xlfn.XLOOKUP(PO[[#This Row],[Supplier name]], Supplier_master[Supplier name], Supplier_master[Terms days], 0)</f>
        <v>0</v>
      </c>
      <c r="R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" s="4"/>
      <c r="T58" s="46">
        <f>IF(PO[[#This Row],[Payment date - override (dd/mm/yyyy)]] &lt;&gt; "", PO[[#This Row],[Payment date - override (dd/mm/yyyy)]], PO[[#This Row],[Due date (dd/mm/yyyy)]])</f>
        <v>0</v>
      </c>
      <c r="U58" s="46">
        <f t="shared" si="0"/>
        <v>52</v>
      </c>
    </row>
    <row r="59" spans="3:21" x14ac:dyDescent="0.25">
      <c r="C59" s="24"/>
      <c r="D59" s="20"/>
      <c r="E59" s="4"/>
      <c r="F59" s="37"/>
      <c r="G59" s="38"/>
      <c r="H59" s="31">
        <f>_xlfn.XLOOKUP(PO[[#This Row],[Supplier name]], Supplier_master[Supplier name], Supplier_master[Category L1], 0)</f>
        <v>0</v>
      </c>
      <c r="I59" s="31">
        <f>_xlfn.XLOOKUP(PO[[#This Row],[Supplier name]], Supplier_master[Supplier name], Supplier_master[Category L2], 0)</f>
        <v>0</v>
      </c>
      <c r="J59" s="55"/>
      <c r="K59" s="55"/>
      <c r="L59" s="31">
        <f>IF(PO[[#This Row],[Spend category L1 - Override]] &lt;&gt; "", PO[[#This Row],[Spend category L1 - Override]], PO[[#This Row],[Spend category L1]])</f>
        <v>0</v>
      </c>
      <c r="M59" s="31">
        <f>IF(PO[[#This Row],[Spend category L2 - Override]] &lt;&gt; "", PO[[#This Row],[Spend category L2 - Override]], PO[[#This Row],[Spend category L2]])</f>
        <v>0</v>
      </c>
      <c r="N59" s="63">
        <f>Assumptions!$D$15</f>
        <v>0.1</v>
      </c>
      <c r="O59" s="45">
        <f>IF(PO[[#This Row],[GST applies?]] = "Yes", (PO[[#This Row],[Value inc. GST]] / 1 + PO[[#This Row],[GST %]]) * PO[[#This Row],[GST %]], 0)</f>
        <v>0</v>
      </c>
      <c r="P59" s="31">
        <f>_xlfn.XLOOKUP(PO[[#This Row],[Supplier name]], Supplier_master[Supplier name], Supplier_master[EOM or Net], 0)</f>
        <v>0</v>
      </c>
      <c r="Q59" s="31">
        <f>_xlfn.XLOOKUP(PO[[#This Row],[Supplier name]], Supplier_master[Supplier name], Supplier_master[Terms days], 0)</f>
        <v>0</v>
      </c>
      <c r="R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" s="4"/>
      <c r="T59" s="46">
        <f>IF(PO[[#This Row],[Payment date - override (dd/mm/yyyy)]] &lt;&gt; "", PO[[#This Row],[Payment date - override (dd/mm/yyyy)]], PO[[#This Row],[Due date (dd/mm/yyyy)]])</f>
        <v>0</v>
      </c>
      <c r="U59" s="46">
        <f t="shared" si="0"/>
        <v>52</v>
      </c>
    </row>
    <row r="60" spans="3:21" x14ac:dyDescent="0.25">
      <c r="C60" s="24"/>
      <c r="D60" s="20"/>
      <c r="E60" s="4"/>
      <c r="F60" s="37"/>
      <c r="G60" s="38"/>
      <c r="H60" s="31">
        <f>_xlfn.XLOOKUP(PO[[#This Row],[Supplier name]], Supplier_master[Supplier name], Supplier_master[Category L1], 0)</f>
        <v>0</v>
      </c>
      <c r="I60" s="31">
        <f>_xlfn.XLOOKUP(PO[[#This Row],[Supplier name]], Supplier_master[Supplier name], Supplier_master[Category L2], 0)</f>
        <v>0</v>
      </c>
      <c r="J60" s="55"/>
      <c r="K60" s="55"/>
      <c r="L60" s="31">
        <f>IF(PO[[#This Row],[Spend category L1 - Override]] &lt;&gt; "", PO[[#This Row],[Spend category L1 - Override]], PO[[#This Row],[Spend category L1]])</f>
        <v>0</v>
      </c>
      <c r="M60" s="31">
        <f>IF(PO[[#This Row],[Spend category L2 - Override]] &lt;&gt; "", PO[[#This Row],[Spend category L2 - Override]], PO[[#This Row],[Spend category L2]])</f>
        <v>0</v>
      </c>
      <c r="N60" s="63">
        <f>Assumptions!$D$15</f>
        <v>0.1</v>
      </c>
      <c r="O60" s="45">
        <f>IF(PO[[#This Row],[GST applies?]] = "Yes", (PO[[#This Row],[Value inc. GST]] / 1 + PO[[#This Row],[GST %]]) * PO[[#This Row],[GST %]], 0)</f>
        <v>0</v>
      </c>
      <c r="P60" s="31">
        <f>_xlfn.XLOOKUP(PO[[#This Row],[Supplier name]], Supplier_master[Supplier name], Supplier_master[EOM or Net], 0)</f>
        <v>0</v>
      </c>
      <c r="Q60" s="31">
        <f>_xlfn.XLOOKUP(PO[[#This Row],[Supplier name]], Supplier_master[Supplier name], Supplier_master[Terms days], 0)</f>
        <v>0</v>
      </c>
      <c r="R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" s="4"/>
      <c r="T60" s="46">
        <f>IF(PO[[#This Row],[Payment date - override (dd/mm/yyyy)]] &lt;&gt; "", PO[[#This Row],[Payment date - override (dd/mm/yyyy)]], PO[[#This Row],[Due date (dd/mm/yyyy)]])</f>
        <v>0</v>
      </c>
      <c r="U60" s="46">
        <f t="shared" si="0"/>
        <v>52</v>
      </c>
    </row>
    <row r="61" spans="3:21" x14ac:dyDescent="0.25">
      <c r="C61" s="24"/>
      <c r="D61" s="20"/>
      <c r="E61" s="4"/>
      <c r="F61" s="37"/>
      <c r="G61" s="38"/>
      <c r="H61" s="31">
        <f>_xlfn.XLOOKUP(PO[[#This Row],[Supplier name]], Supplier_master[Supplier name], Supplier_master[Category L1], 0)</f>
        <v>0</v>
      </c>
      <c r="I61" s="31">
        <f>_xlfn.XLOOKUP(PO[[#This Row],[Supplier name]], Supplier_master[Supplier name], Supplier_master[Category L2], 0)</f>
        <v>0</v>
      </c>
      <c r="J61" s="55"/>
      <c r="K61" s="55"/>
      <c r="L61" s="31">
        <f>IF(PO[[#This Row],[Spend category L1 - Override]] &lt;&gt; "", PO[[#This Row],[Spend category L1 - Override]], PO[[#This Row],[Spend category L1]])</f>
        <v>0</v>
      </c>
      <c r="M61" s="31">
        <f>IF(PO[[#This Row],[Spend category L2 - Override]] &lt;&gt; "", PO[[#This Row],[Spend category L2 - Override]], PO[[#This Row],[Spend category L2]])</f>
        <v>0</v>
      </c>
      <c r="N61" s="63">
        <f>Assumptions!$D$15</f>
        <v>0.1</v>
      </c>
      <c r="O61" s="45">
        <f>IF(PO[[#This Row],[GST applies?]] = "Yes", (PO[[#This Row],[Value inc. GST]] / 1 + PO[[#This Row],[GST %]]) * PO[[#This Row],[GST %]], 0)</f>
        <v>0</v>
      </c>
      <c r="P61" s="31">
        <f>_xlfn.XLOOKUP(PO[[#This Row],[Supplier name]], Supplier_master[Supplier name], Supplier_master[EOM or Net], 0)</f>
        <v>0</v>
      </c>
      <c r="Q61" s="31">
        <f>_xlfn.XLOOKUP(PO[[#This Row],[Supplier name]], Supplier_master[Supplier name], Supplier_master[Terms days], 0)</f>
        <v>0</v>
      </c>
      <c r="R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" s="4"/>
      <c r="T61" s="46">
        <f>IF(PO[[#This Row],[Payment date - override (dd/mm/yyyy)]] &lt;&gt; "", PO[[#This Row],[Payment date - override (dd/mm/yyyy)]], PO[[#This Row],[Due date (dd/mm/yyyy)]])</f>
        <v>0</v>
      </c>
      <c r="U61" s="46">
        <f t="shared" si="0"/>
        <v>52</v>
      </c>
    </row>
    <row r="62" spans="3:21" x14ac:dyDescent="0.25">
      <c r="C62" s="24"/>
      <c r="D62" s="20"/>
      <c r="E62" s="4"/>
      <c r="F62" s="37"/>
      <c r="G62" s="38"/>
      <c r="H62" s="31">
        <f>_xlfn.XLOOKUP(PO[[#This Row],[Supplier name]], Supplier_master[Supplier name], Supplier_master[Category L1], 0)</f>
        <v>0</v>
      </c>
      <c r="I62" s="31">
        <f>_xlfn.XLOOKUP(PO[[#This Row],[Supplier name]], Supplier_master[Supplier name], Supplier_master[Category L2], 0)</f>
        <v>0</v>
      </c>
      <c r="J62" s="55"/>
      <c r="K62" s="55"/>
      <c r="L62" s="31">
        <f>IF(PO[[#This Row],[Spend category L1 - Override]] &lt;&gt; "", PO[[#This Row],[Spend category L1 - Override]], PO[[#This Row],[Spend category L1]])</f>
        <v>0</v>
      </c>
      <c r="M62" s="31">
        <f>IF(PO[[#This Row],[Spend category L2 - Override]] &lt;&gt; "", PO[[#This Row],[Spend category L2 - Override]], PO[[#This Row],[Spend category L2]])</f>
        <v>0</v>
      </c>
      <c r="N62" s="63">
        <f>Assumptions!$D$15</f>
        <v>0.1</v>
      </c>
      <c r="O62" s="45">
        <f>IF(PO[[#This Row],[GST applies?]] = "Yes", (PO[[#This Row],[Value inc. GST]] / 1 + PO[[#This Row],[GST %]]) * PO[[#This Row],[GST %]], 0)</f>
        <v>0</v>
      </c>
      <c r="P62" s="31">
        <f>_xlfn.XLOOKUP(PO[[#This Row],[Supplier name]], Supplier_master[Supplier name], Supplier_master[EOM or Net], 0)</f>
        <v>0</v>
      </c>
      <c r="Q62" s="31">
        <f>_xlfn.XLOOKUP(PO[[#This Row],[Supplier name]], Supplier_master[Supplier name], Supplier_master[Terms days], 0)</f>
        <v>0</v>
      </c>
      <c r="R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" s="4"/>
      <c r="T62" s="46">
        <f>IF(PO[[#This Row],[Payment date - override (dd/mm/yyyy)]] &lt;&gt; "", PO[[#This Row],[Payment date - override (dd/mm/yyyy)]], PO[[#This Row],[Due date (dd/mm/yyyy)]])</f>
        <v>0</v>
      </c>
      <c r="U62" s="46">
        <f t="shared" si="0"/>
        <v>52</v>
      </c>
    </row>
    <row r="63" spans="3:21" x14ac:dyDescent="0.25">
      <c r="C63" s="24"/>
      <c r="D63" s="20"/>
      <c r="E63" s="4"/>
      <c r="F63" s="37"/>
      <c r="G63" s="38"/>
      <c r="H63" s="31">
        <f>_xlfn.XLOOKUP(PO[[#This Row],[Supplier name]], Supplier_master[Supplier name], Supplier_master[Category L1], 0)</f>
        <v>0</v>
      </c>
      <c r="I63" s="31">
        <f>_xlfn.XLOOKUP(PO[[#This Row],[Supplier name]], Supplier_master[Supplier name], Supplier_master[Category L2], 0)</f>
        <v>0</v>
      </c>
      <c r="J63" s="55"/>
      <c r="K63" s="55"/>
      <c r="L63" s="31">
        <f>IF(PO[[#This Row],[Spend category L1 - Override]] &lt;&gt; "", PO[[#This Row],[Spend category L1 - Override]], PO[[#This Row],[Spend category L1]])</f>
        <v>0</v>
      </c>
      <c r="M63" s="31">
        <f>IF(PO[[#This Row],[Spend category L2 - Override]] &lt;&gt; "", PO[[#This Row],[Spend category L2 - Override]], PO[[#This Row],[Spend category L2]])</f>
        <v>0</v>
      </c>
      <c r="N63" s="63">
        <f>Assumptions!$D$15</f>
        <v>0.1</v>
      </c>
      <c r="O63" s="45">
        <f>IF(PO[[#This Row],[GST applies?]] = "Yes", (PO[[#This Row],[Value inc. GST]] / 1 + PO[[#This Row],[GST %]]) * PO[[#This Row],[GST %]], 0)</f>
        <v>0</v>
      </c>
      <c r="P63" s="31">
        <f>_xlfn.XLOOKUP(PO[[#This Row],[Supplier name]], Supplier_master[Supplier name], Supplier_master[EOM or Net], 0)</f>
        <v>0</v>
      </c>
      <c r="Q63" s="31">
        <f>_xlfn.XLOOKUP(PO[[#This Row],[Supplier name]], Supplier_master[Supplier name], Supplier_master[Terms days], 0)</f>
        <v>0</v>
      </c>
      <c r="R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" s="4"/>
      <c r="T63" s="46">
        <f>IF(PO[[#This Row],[Payment date - override (dd/mm/yyyy)]] &lt;&gt; "", PO[[#This Row],[Payment date - override (dd/mm/yyyy)]], PO[[#This Row],[Due date (dd/mm/yyyy)]])</f>
        <v>0</v>
      </c>
      <c r="U63" s="46">
        <f t="shared" si="0"/>
        <v>52</v>
      </c>
    </row>
    <row r="64" spans="3:21" x14ac:dyDescent="0.25">
      <c r="C64" s="24"/>
      <c r="D64" s="20"/>
      <c r="E64" s="4"/>
      <c r="F64" s="37"/>
      <c r="G64" s="38"/>
      <c r="H64" s="31">
        <f>_xlfn.XLOOKUP(PO[[#This Row],[Supplier name]], Supplier_master[Supplier name], Supplier_master[Category L1], 0)</f>
        <v>0</v>
      </c>
      <c r="I64" s="31">
        <f>_xlfn.XLOOKUP(PO[[#This Row],[Supplier name]], Supplier_master[Supplier name], Supplier_master[Category L2], 0)</f>
        <v>0</v>
      </c>
      <c r="J64" s="55"/>
      <c r="K64" s="55"/>
      <c r="L64" s="31">
        <f>IF(PO[[#This Row],[Spend category L1 - Override]] &lt;&gt; "", PO[[#This Row],[Spend category L1 - Override]], PO[[#This Row],[Spend category L1]])</f>
        <v>0</v>
      </c>
      <c r="M64" s="31">
        <f>IF(PO[[#This Row],[Spend category L2 - Override]] &lt;&gt; "", PO[[#This Row],[Spend category L2 - Override]], PO[[#This Row],[Spend category L2]])</f>
        <v>0</v>
      </c>
      <c r="N64" s="63">
        <f>Assumptions!$D$15</f>
        <v>0.1</v>
      </c>
      <c r="O64" s="45">
        <f>IF(PO[[#This Row],[GST applies?]] = "Yes", (PO[[#This Row],[Value inc. GST]] / 1 + PO[[#This Row],[GST %]]) * PO[[#This Row],[GST %]], 0)</f>
        <v>0</v>
      </c>
      <c r="P64" s="31">
        <f>_xlfn.XLOOKUP(PO[[#This Row],[Supplier name]], Supplier_master[Supplier name], Supplier_master[EOM or Net], 0)</f>
        <v>0</v>
      </c>
      <c r="Q64" s="31">
        <f>_xlfn.XLOOKUP(PO[[#This Row],[Supplier name]], Supplier_master[Supplier name], Supplier_master[Terms days], 0)</f>
        <v>0</v>
      </c>
      <c r="R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" s="4"/>
      <c r="T64" s="46">
        <f>IF(PO[[#This Row],[Payment date - override (dd/mm/yyyy)]] &lt;&gt; "", PO[[#This Row],[Payment date - override (dd/mm/yyyy)]], PO[[#This Row],[Due date (dd/mm/yyyy)]])</f>
        <v>0</v>
      </c>
      <c r="U64" s="46">
        <f t="shared" si="0"/>
        <v>52</v>
      </c>
    </row>
    <row r="65" spans="3:21" x14ac:dyDescent="0.25">
      <c r="C65" s="24"/>
      <c r="D65" s="20"/>
      <c r="E65" s="4"/>
      <c r="F65" s="37"/>
      <c r="G65" s="38"/>
      <c r="H65" s="31">
        <f>_xlfn.XLOOKUP(PO[[#This Row],[Supplier name]], Supplier_master[Supplier name], Supplier_master[Category L1], 0)</f>
        <v>0</v>
      </c>
      <c r="I65" s="31">
        <f>_xlfn.XLOOKUP(PO[[#This Row],[Supplier name]], Supplier_master[Supplier name], Supplier_master[Category L2], 0)</f>
        <v>0</v>
      </c>
      <c r="J65" s="55"/>
      <c r="K65" s="55"/>
      <c r="L65" s="31">
        <f>IF(PO[[#This Row],[Spend category L1 - Override]] &lt;&gt; "", PO[[#This Row],[Spend category L1 - Override]], PO[[#This Row],[Spend category L1]])</f>
        <v>0</v>
      </c>
      <c r="M65" s="31">
        <f>IF(PO[[#This Row],[Spend category L2 - Override]] &lt;&gt; "", PO[[#This Row],[Spend category L2 - Override]], PO[[#This Row],[Spend category L2]])</f>
        <v>0</v>
      </c>
      <c r="N65" s="63">
        <f>Assumptions!$D$15</f>
        <v>0.1</v>
      </c>
      <c r="O65" s="45">
        <f>IF(PO[[#This Row],[GST applies?]] = "Yes", (PO[[#This Row],[Value inc. GST]] / 1 + PO[[#This Row],[GST %]]) * PO[[#This Row],[GST %]], 0)</f>
        <v>0</v>
      </c>
      <c r="P65" s="31">
        <f>_xlfn.XLOOKUP(PO[[#This Row],[Supplier name]], Supplier_master[Supplier name], Supplier_master[EOM or Net], 0)</f>
        <v>0</v>
      </c>
      <c r="Q65" s="31">
        <f>_xlfn.XLOOKUP(PO[[#This Row],[Supplier name]], Supplier_master[Supplier name], Supplier_master[Terms days], 0)</f>
        <v>0</v>
      </c>
      <c r="R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" s="4"/>
      <c r="T65" s="46">
        <f>IF(PO[[#This Row],[Payment date - override (dd/mm/yyyy)]] &lt;&gt; "", PO[[#This Row],[Payment date - override (dd/mm/yyyy)]], PO[[#This Row],[Due date (dd/mm/yyyy)]])</f>
        <v>0</v>
      </c>
      <c r="U65" s="46">
        <f t="shared" si="0"/>
        <v>52</v>
      </c>
    </row>
    <row r="66" spans="3:21" x14ac:dyDescent="0.25">
      <c r="C66" s="24"/>
      <c r="D66" s="20"/>
      <c r="E66" s="4"/>
      <c r="F66" s="37"/>
      <c r="G66" s="38"/>
      <c r="H66" s="31">
        <f>_xlfn.XLOOKUP(PO[[#This Row],[Supplier name]], Supplier_master[Supplier name], Supplier_master[Category L1], 0)</f>
        <v>0</v>
      </c>
      <c r="I66" s="31">
        <f>_xlfn.XLOOKUP(PO[[#This Row],[Supplier name]], Supplier_master[Supplier name], Supplier_master[Category L2], 0)</f>
        <v>0</v>
      </c>
      <c r="J66" s="55"/>
      <c r="K66" s="55"/>
      <c r="L66" s="31">
        <f>IF(PO[[#This Row],[Spend category L1 - Override]] &lt;&gt; "", PO[[#This Row],[Spend category L1 - Override]], PO[[#This Row],[Spend category L1]])</f>
        <v>0</v>
      </c>
      <c r="M66" s="31">
        <f>IF(PO[[#This Row],[Spend category L2 - Override]] &lt;&gt; "", PO[[#This Row],[Spend category L2 - Override]], PO[[#This Row],[Spend category L2]])</f>
        <v>0</v>
      </c>
      <c r="N66" s="63">
        <f>Assumptions!$D$15</f>
        <v>0.1</v>
      </c>
      <c r="O66" s="45">
        <f>IF(PO[[#This Row],[GST applies?]] = "Yes", (PO[[#This Row],[Value inc. GST]] / 1 + PO[[#This Row],[GST %]]) * PO[[#This Row],[GST %]], 0)</f>
        <v>0</v>
      </c>
      <c r="P66" s="31">
        <f>_xlfn.XLOOKUP(PO[[#This Row],[Supplier name]], Supplier_master[Supplier name], Supplier_master[EOM or Net], 0)</f>
        <v>0</v>
      </c>
      <c r="Q66" s="31">
        <f>_xlfn.XLOOKUP(PO[[#This Row],[Supplier name]], Supplier_master[Supplier name], Supplier_master[Terms days], 0)</f>
        <v>0</v>
      </c>
      <c r="R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" s="4"/>
      <c r="T66" s="46">
        <f>IF(PO[[#This Row],[Payment date - override (dd/mm/yyyy)]] &lt;&gt; "", PO[[#This Row],[Payment date - override (dd/mm/yyyy)]], PO[[#This Row],[Due date (dd/mm/yyyy)]])</f>
        <v>0</v>
      </c>
      <c r="U66" s="46">
        <f t="shared" si="0"/>
        <v>52</v>
      </c>
    </row>
    <row r="67" spans="3:21" x14ac:dyDescent="0.25">
      <c r="C67" s="24"/>
      <c r="D67" s="20"/>
      <c r="E67" s="4"/>
      <c r="F67" s="37"/>
      <c r="G67" s="38"/>
      <c r="H67" s="31">
        <f>_xlfn.XLOOKUP(PO[[#This Row],[Supplier name]], Supplier_master[Supplier name], Supplier_master[Category L1], 0)</f>
        <v>0</v>
      </c>
      <c r="I67" s="31">
        <f>_xlfn.XLOOKUP(PO[[#This Row],[Supplier name]], Supplier_master[Supplier name], Supplier_master[Category L2], 0)</f>
        <v>0</v>
      </c>
      <c r="J67" s="55"/>
      <c r="K67" s="55"/>
      <c r="L67" s="31">
        <f>IF(PO[[#This Row],[Spend category L1 - Override]] &lt;&gt; "", PO[[#This Row],[Spend category L1 - Override]], PO[[#This Row],[Spend category L1]])</f>
        <v>0</v>
      </c>
      <c r="M67" s="31">
        <f>IF(PO[[#This Row],[Spend category L2 - Override]] &lt;&gt; "", PO[[#This Row],[Spend category L2 - Override]], PO[[#This Row],[Spend category L2]])</f>
        <v>0</v>
      </c>
      <c r="N67" s="63">
        <f>Assumptions!$D$15</f>
        <v>0.1</v>
      </c>
      <c r="O67" s="45">
        <f>IF(PO[[#This Row],[GST applies?]] = "Yes", (PO[[#This Row],[Value inc. GST]] / 1 + PO[[#This Row],[GST %]]) * PO[[#This Row],[GST %]], 0)</f>
        <v>0</v>
      </c>
      <c r="P67" s="31">
        <f>_xlfn.XLOOKUP(PO[[#This Row],[Supplier name]], Supplier_master[Supplier name], Supplier_master[EOM or Net], 0)</f>
        <v>0</v>
      </c>
      <c r="Q67" s="31">
        <f>_xlfn.XLOOKUP(PO[[#This Row],[Supplier name]], Supplier_master[Supplier name], Supplier_master[Terms days], 0)</f>
        <v>0</v>
      </c>
      <c r="R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" s="4"/>
      <c r="T67" s="46">
        <f>IF(PO[[#This Row],[Payment date - override (dd/mm/yyyy)]] &lt;&gt; "", PO[[#This Row],[Payment date - override (dd/mm/yyyy)]], PO[[#This Row],[Due date (dd/mm/yyyy)]])</f>
        <v>0</v>
      </c>
      <c r="U67" s="46">
        <f t="shared" si="0"/>
        <v>52</v>
      </c>
    </row>
    <row r="68" spans="3:21" x14ac:dyDescent="0.25">
      <c r="C68" s="24"/>
      <c r="D68" s="20"/>
      <c r="E68" s="4"/>
      <c r="F68" s="37"/>
      <c r="G68" s="38"/>
      <c r="H68" s="31">
        <f>_xlfn.XLOOKUP(PO[[#This Row],[Supplier name]], Supplier_master[Supplier name], Supplier_master[Category L1], 0)</f>
        <v>0</v>
      </c>
      <c r="I68" s="31">
        <f>_xlfn.XLOOKUP(PO[[#This Row],[Supplier name]], Supplier_master[Supplier name], Supplier_master[Category L2], 0)</f>
        <v>0</v>
      </c>
      <c r="J68" s="55"/>
      <c r="K68" s="55"/>
      <c r="L68" s="31">
        <f>IF(PO[[#This Row],[Spend category L1 - Override]] &lt;&gt; "", PO[[#This Row],[Spend category L1 - Override]], PO[[#This Row],[Spend category L1]])</f>
        <v>0</v>
      </c>
      <c r="M68" s="31">
        <f>IF(PO[[#This Row],[Spend category L2 - Override]] &lt;&gt; "", PO[[#This Row],[Spend category L2 - Override]], PO[[#This Row],[Spend category L2]])</f>
        <v>0</v>
      </c>
      <c r="N68" s="63">
        <f>Assumptions!$D$15</f>
        <v>0.1</v>
      </c>
      <c r="O68" s="45">
        <f>IF(PO[[#This Row],[GST applies?]] = "Yes", (PO[[#This Row],[Value inc. GST]] / 1 + PO[[#This Row],[GST %]]) * PO[[#This Row],[GST %]], 0)</f>
        <v>0</v>
      </c>
      <c r="P68" s="31">
        <f>_xlfn.XLOOKUP(PO[[#This Row],[Supplier name]], Supplier_master[Supplier name], Supplier_master[EOM or Net], 0)</f>
        <v>0</v>
      </c>
      <c r="Q68" s="31">
        <f>_xlfn.XLOOKUP(PO[[#This Row],[Supplier name]], Supplier_master[Supplier name], Supplier_master[Terms days], 0)</f>
        <v>0</v>
      </c>
      <c r="R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" s="4"/>
      <c r="T68" s="46">
        <f>IF(PO[[#This Row],[Payment date - override (dd/mm/yyyy)]] &lt;&gt; "", PO[[#This Row],[Payment date - override (dd/mm/yyyy)]], PO[[#This Row],[Due date (dd/mm/yyyy)]])</f>
        <v>0</v>
      </c>
      <c r="U68" s="46">
        <f t="shared" si="0"/>
        <v>52</v>
      </c>
    </row>
    <row r="69" spans="3:21" x14ac:dyDescent="0.25">
      <c r="C69" s="24"/>
      <c r="D69" s="20"/>
      <c r="E69" s="4"/>
      <c r="F69" s="37"/>
      <c r="G69" s="38"/>
      <c r="H69" s="31">
        <f>_xlfn.XLOOKUP(PO[[#This Row],[Supplier name]], Supplier_master[Supplier name], Supplier_master[Category L1], 0)</f>
        <v>0</v>
      </c>
      <c r="I69" s="31">
        <f>_xlfn.XLOOKUP(PO[[#This Row],[Supplier name]], Supplier_master[Supplier name], Supplier_master[Category L2], 0)</f>
        <v>0</v>
      </c>
      <c r="J69" s="55"/>
      <c r="K69" s="55"/>
      <c r="L69" s="31">
        <f>IF(PO[[#This Row],[Spend category L1 - Override]] &lt;&gt; "", PO[[#This Row],[Spend category L1 - Override]], PO[[#This Row],[Spend category L1]])</f>
        <v>0</v>
      </c>
      <c r="M69" s="31">
        <f>IF(PO[[#This Row],[Spend category L2 - Override]] &lt;&gt; "", PO[[#This Row],[Spend category L2 - Override]], PO[[#This Row],[Spend category L2]])</f>
        <v>0</v>
      </c>
      <c r="N69" s="63">
        <f>Assumptions!$D$15</f>
        <v>0.1</v>
      </c>
      <c r="O69" s="45">
        <f>IF(PO[[#This Row],[GST applies?]] = "Yes", (PO[[#This Row],[Value inc. GST]] / 1 + PO[[#This Row],[GST %]]) * PO[[#This Row],[GST %]], 0)</f>
        <v>0</v>
      </c>
      <c r="P69" s="31">
        <f>_xlfn.XLOOKUP(PO[[#This Row],[Supplier name]], Supplier_master[Supplier name], Supplier_master[EOM or Net], 0)</f>
        <v>0</v>
      </c>
      <c r="Q69" s="31">
        <f>_xlfn.XLOOKUP(PO[[#This Row],[Supplier name]], Supplier_master[Supplier name], Supplier_master[Terms days], 0)</f>
        <v>0</v>
      </c>
      <c r="R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" s="4"/>
      <c r="T69" s="46">
        <f>IF(PO[[#This Row],[Payment date - override (dd/mm/yyyy)]] &lt;&gt; "", PO[[#This Row],[Payment date - override (dd/mm/yyyy)]], PO[[#This Row],[Due date (dd/mm/yyyy)]])</f>
        <v>0</v>
      </c>
      <c r="U69" s="46">
        <f t="shared" si="0"/>
        <v>52</v>
      </c>
    </row>
    <row r="70" spans="3:21" x14ac:dyDescent="0.25">
      <c r="C70" s="24"/>
      <c r="D70" s="20"/>
      <c r="E70" s="4"/>
      <c r="F70" s="37"/>
      <c r="G70" s="38"/>
      <c r="H70" s="31">
        <f>_xlfn.XLOOKUP(PO[[#This Row],[Supplier name]], Supplier_master[Supplier name], Supplier_master[Category L1], 0)</f>
        <v>0</v>
      </c>
      <c r="I70" s="31">
        <f>_xlfn.XLOOKUP(PO[[#This Row],[Supplier name]], Supplier_master[Supplier name], Supplier_master[Category L2], 0)</f>
        <v>0</v>
      </c>
      <c r="J70" s="55"/>
      <c r="K70" s="55"/>
      <c r="L70" s="31">
        <f>IF(PO[[#This Row],[Spend category L1 - Override]] &lt;&gt; "", PO[[#This Row],[Spend category L1 - Override]], PO[[#This Row],[Spend category L1]])</f>
        <v>0</v>
      </c>
      <c r="M70" s="31">
        <f>IF(PO[[#This Row],[Spend category L2 - Override]] &lt;&gt; "", PO[[#This Row],[Spend category L2 - Override]], PO[[#This Row],[Spend category L2]])</f>
        <v>0</v>
      </c>
      <c r="N70" s="63">
        <f>Assumptions!$D$15</f>
        <v>0.1</v>
      </c>
      <c r="O70" s="45">
        <f>IF(PO[[#This Row],[GST applies?]] = "Yes", (PO[[#This Row],[Value inc. GST]] / 1 + PO[[#This Row],[GST %]]) * PO[[#This Row],[GST %]], 0)</f>
        <v>0</v>
      </c>
      <c r="P70" s="31">
        <f>_xlfn.XLOOKUP(PO[[#This Row],[Supplier name]], Supplier_master[Supplier name], Supplier_master[EOM or Net], 0)</f>
        <v>0</v>
      </c>
      <c r="Q70" s="31">
        <f>_xlfn.XLOOKUP(PO[[#This Row],[Supplier name]], Supplier_master[Supplier name], Supplier_master[Terms days], 0)</f>
        <v>0</v>
      </c>
      <c r="R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" s="4"/>
      <c r="T70" s="46">
        <f>IF(PO[[#This Row],[Payment date - override (dd/mm/yyyy)]] &lt;&gt; "", PO[[#This Row],[Payment date - override (dd/mm/yyyy)]], PO[[#This Row],[Due date (dd/mm/yyyy)]])</f>
        <v>0</v>
      </c>
      <c r="U70" s="46">
        <f t="shared" si="0"/>
        <v>52</v>
      </c>
    </row>
    <row r="71" spans="3:21" x14ac:dyDescent="0.25">
      <c r="C71" s="24"/>
      <c r="D71" s="20"/>
      <c r="E71" s="4"/>
      <c r="F71" s="37"/>
      <c r="G71" s="38"/>
      <c r="H71" s="31">
        <f>_xlfn.XLOOKUP(PO[[#This Row],[Supplier name]], Supplier_master[Supplier name], Supplier_master[Category L1], 0)</f>
        <v>0</v>
      </c>
      <c r="I71" s="31">
        <f>_xlfn.XLOOKUP(PO[[#This Row],[Supplier name]], Supplier_master[Supplier name], Supplier_master[Category L2], 0)</f>
        <v>0</v>
      </c>
      <c r="J71" s="55"/>
      <c r="K71" s="55"/>
      <c r="L71" s="31">
        <f>IF(PO[[#This Row],[Spend category L1 - Override]] &lt;&gt; "", PO[[#This Row],[Spend category L1 - Override]], PO[[#This Row],[Spend category L1]])</f>
        <v>0</v>
      </c>
      <c r="M71" s="31">
        <f>IF(PO[[#This Row],[Spend category L2 - Override]] &lt;&gt; "", PO[[#This Row],[Spend category L2 - Override]], PO[[#This Row],[Spend category L2]])</f>
        <v>0</v>
      </c>
      <c r="N71" s="63">
        <f>Assumptions!$D$15</f>
        <v>0.1</v>
      </c>
      <c r="O71" s="45">
        <f>IF(PO[[#This Row],[GST applies?]] = "Yes", (PO[[#This Row],[Value inc. GST]] / 1 + PO[[#This Row],[GST %]]) * PO[[#This Row],[GST %]], 0)</f>
        <v>0</v>
      </c>
      <c r="P71" s="31">
        <f>_xlfn.XLOOKUP(PO[[#This Row],[Supplier name]], Supplier_master[Supplier name], Supplier_master[EOM or Net], 0)</f>
        <v>0</v>
      </c>
      <c r="Q71" s="31">
        <f>_xlfn.XLOOKUP(PO[[#This Row],[Supplier name]], Supplier_master[Supplier name], Supplier_master[Terms days], 0)</f>
        <v>0</v>
      </c>
      <c r="R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" s="4"/>
      <c r="T71" s="46">
        <f>IF(PO[[#This Row],[Payment date - override (dd/mm/yyyy)]] &lt;&gt; "", PO[[#This Row],[Payment date - override (dd/mm/yyyy)]], PO[[#This Row],[Due date (dd/mm/yyyy)]])</f>
        <v>0</v>
      </c>
      <c r="U71" s="46">
        <f t="shared" si="0"/>
        <v>52</v>
      </c>
    </row>
    <row r="72" spans="3:21" x14ac:dyDescent="0.25">
      <c r="C72" s="24"/>
      <c r="D72" s="20"/>
      <c r="E72" s="4"/>
      <c r="F72" s="37"/>
      <c r="G72" s="38"/>
      <c r="H72" s="31">
        <f>_xlfn.XLOOKUP(PO[[#This Row],[Supplier name]], Supplier_master[Supplier name], Supplier_master[Category L1], 0)</f>
        <v>0</v>
      </c>
      <c r="I72" s="31">
        <f>_xlfn.XLOOKUP(PO[[#This Row],[Supplier name]], Supplier_master[Supplier name], Supplier_master[Category L2], 0)</f>
        <v>0</v>
      </c>
      <c r="J72" s="55"/>
      <c r="K72" s="55"/>
      <c r="L72" s="31">
        <f>IF(PO[[#This Row],[Spend category L1 - Override]] &lt;&gt; "", PO[[#This Row],[Spend category L1 - Override]], PO[[#This Row],[Spend category L1]])</f>
        <v>0</v>
      </c>
      <c r="M72" s="31">
        <f>IF(PO[[#This Row],[Spend category L2 - Override]] &lt;&gt; "", PO[[#This Row],[Spend category L2 - Override]], PO[[#This Row],[Spend category L2]])</f>
        <v>0</v>
      </c>
      <c r="N72" s="63">
        <f>Assumptions!$D$15</f>
        <v>0.1</v>
      </c>
      <c r="O72" s="45">
        <f>IF(PO[[#This Row],[GST applies?]] = "Yes", (PO[[#This Row],[Value inc. GST]] / 1 + PO[[#This Row],[GST %]]) * PO[[#This Row],[GST %]], 0)</f>
        <v>0</v>
      </c>
      <c r="P72" s="31">
        <f>_xlfn.XLOOKUP(PO[[#This Row],[Supplier name]], Supplier_master[Supplier name], Supplier_master[EOM or Net], 0)</f>
        <v>0</v>
      </c>
      <c r="Q72" s="31">
        <f>_xlfn.XLOOKUP(PO[[#This Row],[Supplier name]], Supplier_master[Supplier name], Supplier_master[Terms days], 0)</f>
        <v>0</v>
      </c>
      <c r="R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" s="4"/>
      <c r="T72" s="46">
        <f>IF(PO[[#This Row],[Payment date - override (dd/mm/yyyy)]] &lt;&gt; "", PO[[#This Row],[Payment date - override (dd/mm/yyyy)]], PO[[#This Row],[Due date (dd/mm/yyyy)]])</f>
        <v>0</v>
      </c>
      <c r="U72" s="46">
        <f t="shared" si="0"/>
        <v>52</v>
      </c>
    </row>
    <row r="73" spans="3:21" x14ac:dyDescent="0.25">
      <c r="C73" s="24"/>
      <c r="D73" s="20"/>
      <c r="E73" s="4"/>
      <c r="F73" s="37"/>
      <c r="G73" s="38"/>
      <c r="H73" s="31">
        <f>_xlfn.XLOOKUP(PO[[#This Row],[Supplier name]], Supplier_master[Supplier name], Supplier_master[Category L1], 0)</f>
        <v>0</v>
      </c>
      <c r="I73" s="31">
        <f>_xlfn.XLOOKUP(PO[[#This Row],[Supplier name]], Supplier_master[Supplier name], Supplier_master[Category L2], 0)</f>
        <v>0</v>
      </c>
      <c r="J73" s="55"/>
      <c r="K73" s="55"/>
      <c r="L73" s="31">
        <f>IF(PO[[#This Row],[Spend category L1 - Override]] &lt;&gt; "", PO[[#This Row],[Spend category L1 - Override]], PO[[#This Row],[Spend category L1]])</f>
        <v>0</v>
      </c>
      <c r="M73" s="31">
        <f>IF(PO[[#This Row],[Spend category L2 - Override]] &lt;&gt; "", PO[[#This Row],[Spend category L2 - Override]], PO[[#This Row],[Spend category L2]])</f>
        <v>0</v>
      </c>
      <c r="N73" s="63">
        <f>Assumptions!$D$15</f>
        <v>0.1</v>
      </c>
      <c r="O73" s="45">
        <f>IF(PO[[#This Row],[GST applies?]] = "Yes", (PO[[#This Row],[Value inc. GST]] / 1 + PO[[#This Row],[GST %]]) * PO[[#This Row],[GST %]], 0)</f>
        <v>0</v>
      </c>
      <c r="P73" s="31">
        <f>_xlfn.XLOOKUP(PO[[#This Row],[Supplier name]], Supplier_master[Supplier name], Supplier_master[EOM or Net], 0)</f>
        <v>0</v>
      </c>
      <c r="Q73" s="31">
        <f>_xlfn.XLOOKUP(PO[[#This Row],[Supplier name]], Supplier_master[Supplier name], Supplier_master[Terms days], 0)</f>
        <v>0</v>
      </c>
      <c r="R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" s="4"/>
      <c r="T73" s="46">
        <f>IF(PO[[#This Row],[Payment date - override (dd/mm/yyyy)]] &lt;&gt; "", PO[[#This Row],[Payment date - override (dd/mm/yyyy)]], PO[[#This Row],[Due date (dd/mm/yyyy)]])</f>
        <v>0</v>
      </c>
      <c r="U73" s="46">
        <f t="shared" ref="U73:U136" si="1">IF(GST_Freq="Monthly",
    DATE(YEAR(E73), MONTH(E73) + 1, 21),
    IF(GST_Freq="Quarterly",
        IF(MOD(MONTH(E73) + 2 - MOD(MOD(MONTH(E73) - GST_First_Month, 12), 3), 12) = 0,
            DATE(YEAR(E73), MONTH(E73) + 4 - MOD(MOD(MONTH(E73) - GST_First_Month, 12), 3), 28),
            DATE(YEAR(E73), MONTH(E73) + 3 - MOD(MOD(MONTH(E73) - GST_First_Month, 12), 3), 28)
        ),
        "Invalid frequency"
    )
)</f>
        <v>52</v>
      </c>
    </row>
    <row r="74" spans="3:21" x14ac:dyDescent="0.25">
      <c r="C74" s="24"/>
      <c r="D74" s="20"/>
      <c r="E74" s="4"/>
      <c r="F74" s="37"/>
      <c r="G74" s="38"/>
      <c r="H74" s="31">
        <f>_xlfn.XLOOKUP(PO[[#This Row],[Supplier name]], Supplier_master[Supplier name], Supplier_master[Category L1], 0)</f>
        <v>0</v>
      </c>
      <c r="I74" s="31">
        <f>_xlfn.XLOOKUP(PO[[#This Row],[Supplier name]], Supplier_master[Supplier name], Supplier_master[Category L2], 0)</f>
        <v>0</v>
      </c>
      <c r="J74" s="55"/>
      <c r="K74" s="55"/>
      <c r="L74" s="31">
        <f>IF(PO[[#This Row],[Spend category L1 - Override]] &lt;&gt; "", PO[[#This Row],[Spend category L1 - Override]], PO[[#This Row],[Spend category L1]])</f>
        <v>0</v>
      </c>
      <c r="M74" s="31">
        <f>IF(PO[[#This Row],[Spend category L2 - Override]] &lt;&gt; "", PO[[#This Row],[Spend category L2 - Override]], PO[[#This Row],[Spend category L2]])</f>
        <v>0</v>
      </c>
      <c r="N74" s="63">
        <f>Assumptions!$D$15</f>
        <v>0.1</v>
      </c>
      <c r="O74" s="45">
        <f>IF(PO[[#This Row],[GST applies?]] = "Yes", (PO[[#This Row],[Value inc. GST]] / 1 + PO[[#This Row],[GST %]]) * PO[[#This Row],[GST %]], 0)</f>
        <v>0</v>
      </c>
      <c r="P74" s="31">
        <f>_xlfn.XLOOKUP(PO[[#This Row],[Supplier name]], Supplier_master[Supplier name], Supplier_master[EOM or Net], 0)</f>
        <v>0</v>
      </c>
      <c r="Q74" s="31">
        <f>_xlfn.XLOOKUP(PO[[#This Row],[Supplier name]], Supplier_master[Supplier name], Supplier_master[Terms days], 0)</f>
        <v>0</v>
      </c>
      <c r="R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" s="4"/>
      <c r="T74" s="46">
        <f>IF(PO[[#This Row],[Payment date - override (dd/mm/yyyy)]] &lt;&gt; "", PO[[#This Row],[Payment date - override (dd/mm/yyyy)]], PO[[#This Row],[Due date (dd/mm/yyyy)]])</f>
        <v>0</v>
      </c>
      <c r="U74" s="46">
        <f t="shared" si="1"/>
        <v>52</v>
      </c>
    </row>
    <row r="75" spans="3:21" x14ac:dyDescent="0.25">
      <c r="C75" s="24"/>
      <c r="D75" s="20"/>
      <c r="E75" s="4"/>
      <c r="F75" s="37"/>
      <c r="G75" s="38"/>
      <c r="H75" s="31">
        <f>_xlfn.XLOOKUP(PO[[#This Row],[Supplier name]], Supplier_master[Supplier name], Supplier_master[Category L1], 0)</f>
        <v>0</v>
      </c>
      <c r="I75" s="31">
        <f>_xlfn.XLOOKUP(PO[[#This Row],[Supplier name]], Supplier_master[Supplier name], Supplier_master[Category L2], 0)</f>
        <v>0</v>
      </c>
      <c r="J75" s="55"/>
      <c r="K75" s="55"/>
      <c r="L75" s="31">
        <f>IF(PO[[#This Row],[Spend category L1 - Override]] &lt;&gt; "", PO[[#This Row],[Spend category L1 - Override]], PO[[#This Row],[Spend category L1]])</f>
        <v>0</v>
      </c>
      <c r="M75" s="31">
        <f>IF(PO[[#This Row],[Spend category L2 - Override]] &lt;&gt; "", PO[[#This Row],[Spend category L2 - Override]], PO[[#This Row],[Spend category L2]])</f>
        <v>0</v>
      </c>
      <c r="N75" s="63">
        <f>Assumptions!$D$15</f>
        <v>0.1</v>
      </c>
      <c r="O75" s="45">
        <f>IF(PO[[#This Row],[GST applies?]] = "Yes", (PO[[#This Row],[Value inc. GST]] / 1 + PO[[#This Row],[GST %]]) * PO[[#This Row],[GST %]], 0)</f>
        <v>0</v>
      </c>
      <c r="P75" s="31">
        <f>_xlfn.XLOOKUP(PO[[#This Row],[Supplier name]], Supplier_master[Supplier name], Supplier_master[EOM or Net], 0)</f>
        <v>0</v>
      </c>
      <c r="Q75" s="31">
        <f>_xlfn.XLOOKUP(PO[[#This Row],[Supplier name]], Supplier_master[Supplier name], Supplier_master[Terms days], 0)</f>
        <v>0</v>
      </c>
      <c r="R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" s="4"/>
      <c r="T75" s="46">
        <f>IF(PO[[#This Row],[Payment date - override (dd/mm/yyyy)]] &lt;&gt; "", PO[[#This Row],[Payment date - override (dd/mm/yyyy)]], PO[[#This Row],[Due date (dd/mm/yyyy)]])</f>
        <v>0</v>
      </c>
      <c r="U75" s="46">
        <f t="shared" si="1"/>
        <v>52</v>
      </c>
    </row>
    <row r="76" spans="3:21" x14ac:dyDescent="0.25">
      <c r="C76" s="24"/>
      <c r="D76" s="20"/>
      <c r="E76" s="4"/>
      <c r="F76" s="37"/>
      <c r="G76" s="38"/>
      <c r="H76" s="31">
        <f>_xlfn.XLOOKUP(PO[[#This Row],[Supplier name]], Supplier_master[Supplier name], Supplier_master[Category L1], 0)</f>
        <v>0</v>
      </c>
      <c r="I76" s="31">
        <f>_xlfn.XLOOKUP(PO[[#This Row],[Supplier name]], Supplier_master[Supplier name], Supplier_master[Category L2], 0)</f>
        <v>0</v>
      </c>
      <c r="J76" s="55"/>
      <c r="K76" s="55"/>
      <c r="L76" s="31">
        <f>IF(PO[[#This Row],[Spend category L1 - Override]] &lt;&gt; "", PO[[#This Row],[Spend category L1 - Override]], PO[[#This Row],[Spend category L1]])</f>
        <v>0</v>
      </c>
      <c r="M76" s="31">
        <f>IF(PO[[#This Row],[Spend category L2 - Override]] &lt;&gt; "", PO[[#This Row],[Spend category L2 - Override]], PO[[#This Row],[Spend category L2]])</f>
        <v>0</v>
      </c>
      <c r="N76" s="63">
        <f>Assumptions!$D$15</f>
        <v>0.1</v>
      </c>
      <c r="O76" s="45">
        <f>IF(PO[[#This Row],[GST applies?]] = "Yes", (PO[[#This Row],[Value inc. GST]] / 1 + PO[[#This Row],[GST %]]) * PO[[#This Row],[GST %]], 0)</f>
        <v>0</v>
      </c>
      <c r="P76" s="31">
        <f>_xlfn.XLOOKUP(PO[[#This Row],[Supplier name]], Supplier_master[Supplier name], Supplier_master[EOM or Net], 0)</f>
        <v>0</v>
      </c>
      <c r="Q76" s="31">
        <f>_xlfn.XLOOKUP(PO[[#This Row],[Supplier name]], Supplier_master[Supplier name], Supplier_master[Terms days], 0)</f>
        <v>0</v>
      </c>
      <c r="R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" s="4"/>
      <c r="T76" s="46">
        <f>IF(PO[[#This Row],[Payment date - override (dd/mm/yyyy)]] &lt;&gt; "", PO[[#This Row],[Payment date - override (dd/mm/yyyy)]], PO[[#This Row],[Due date (dd/mm/yyyy)]])</f>
        <v>0</v>
      </c>
      <c r="U76" s="46">
        <f t="shared" si="1"/>
        <v>52</v>
      </c>
    </row>
    <row r="77" spans="3:21" x14ac:dyDescent="0.25">
      <c r="C77" s="24"/>
      <c r="D77" s="20"/>
      <c r="E77" s="4"/>
      <c r="F77" s="37"/>
      <c r="G77" s="38"/>
      <c r="H77" s="31">
        <f>_xlfn.XLOOKUP(PO[[#This Row],[Supplier name]], Supplier_master[Supplier name], Supplier_master[Category L1], 0)</f>
        <v>0</v>
      </c>
      <c r="I77" s="31">
        <f>_xlfn.XLOOKUP(PO[[#This Row],[Supplier name]], Supplier_master[Supplier name], Supplier_master[Category L2], 0)</f>
        <v>0</v>
      </c>
      <c r="J77" s="55"/>
      <c r="K77" s="55"/>
      <c r="L77" s="31">
        <f>IF(PO[[#This Row],[Spend category L1 - Override]] &lt;&gt; "", PO[[#This Row],[Spend category L1 - Override]], PO[[#This Row],[Spend category L1]])</f>
        <v>0</v>
      </c>
      <c r="M77" s="31">
        <f>IF(PO[[#This Row],[Spend category L2 - Override]] &lt;&gt; "", PO[[#This Row],[Spend category L2 - Override]], PO[[#This Row],[Spend category L2]])</f>
        <v>0</v>
      </c>
      <c r="N77" s="63">
        <f>Assumptions!$D$15</f>
        <v>0.1</v>
      </c>
      <c r="O77" s="45">
        <f>IF(PO[[#This Row],[GST applies?]] = "Yes", (PO[[#This Row],[Value inc. GST]] / 1 + PO[[#This Row],[GST %]]) * PO[[#This Row],[GST %]], 0)</f>
        <v>0</v>
      </c>
      <c r="P77" s="31">
        <f>_xlfn.XLOOKUP(PO[[#This Row],[Supplier name]], Supplier_master[Supplier name], Supplier_master[EOM or Net], 0)</f>
        <v>0</v>
      </c>
      <c r="Q77" s="31">
        <f>_xlfn.XLOOKUP(PO[[#This Row],[Supplier name]], Supplier_master[Supplier name], Supplier_master[Terms days], 0)</f>
        <v>0</v>
      </c>
      <c r="R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" s="4"/>
      <c r="T77" s="46">
        <f>IF(PO[[#This Row],[Payment date - override (dd/mm/yyyy)]] &lt;&gt; "", PO[[#This Row],[Payment date - override (dd/mm/yyyy)]], PO[[#This Row],[Due date (dd/mm/yyyy)]])</f>
        <v>0</v>
      </c>
      <c r="U77" s="46">
        <f t="shared" si="1"/>
        <v>52</v>
      </c>
    </row>
    <row r="78" spans="3:21" x14ac:dyDescent="0.25">
      <c r="C78" s="24"/>
      <c r="D78" s="20"/>
      <c r="E78" s="4"/>
      <c r="F78" s="37"/>
      <c r="G78" s="38"/>
      <c r="H78" s="31">
        <f>_xlfn.XLOOKUP(PO[[#This Row],[Supplier name]], Supplier_master[Supplier name], Supplier_master[Category L1], 0)</f>
        <v>0</v>
      </c>
      <c r="I78" s="31">
        <f>_xlfn.XLOOKUP(PO[[#This Row],[Supplier name]], Supplier_master[Supplier name], Supplier_master[Category L2], 0)</f>
        <v>0</v>
      </c>
      <c r="J78" s="55"/>
      <c r="K78" s="55"/>
      <c r="L78" s="31">
        <f>IF(PO[[#This Row],[Spend category L1 - Override]] &lt;&gt; "", PO[[#This Row],[Spend category L1 - Override]], PO[[#This Row],[Spend category L1]])</f>
        <v>0</v>
      </c>
      <c r="M78" s="31">
        <f>IF(PO[[#This Row],[Spend category L2 - Override]] &lt;&gt; "", PO[[#This Row],[Spend category L2 - Override]], PO[[#This Row],[Spend category L2]])</f>
        <v>0</v>
      </c>
      <c r="N78" s="63">
        <f>Assumptions!$D$15</f>
        <v>0.1</v>
      </c>
      <c r="O78" s="45">
        <f>IF(PO[[#This Row],[GST applies?]] = "Yes", (PO[[#This Row],[Value inc. GST]] / 1 + PO[[#This Row],[GST %]]) * PO[[#This Row],[GST %]], 0)</f>
        <v>0</v>
      </c>
      <c r="P78" s="31">
        <f>_xlfn.XLOOKUP(PO[[#This Row],[Supplier name]], Supplier_master[Supplier name], Supplier_master[EOM or Net], 0)</f>
        <v>0</v>
      </c>
      <c r="Q78" s="31">
        <f>_xlfn.XLOOKUP(PO[[#This Row],[Supplier name]], Supplier_master[Supplier name], Supplier_master[Terms days], 0)</f>
        <v>0</v>
      </c>
      <c r="R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" s="4"/>
      <c r="T78" s="46">
        <f>IF(PO[[#This Row],[Payment date - override (dd/mm/yyyy)]] &lt;&gt; "", PO[[#This Row],[Payment date - override (dd/mm/yyyy)]], PO[[#This Row],[Due date (dd/mm/yyyy)]])</f>
        <v>0</v>
      </c>
      <c r="U78" s="46">
        <f t="shared" si="1"/>
        <v>52</v>
      </c>
    </row>
    <row r="79" spans="3:21" x14ac:dyDescent="0.25">
      <c r="C79" s="24"/>
      <c r="D79" s="20"/>
      <c r="E79" s="4"/>
      <c r="F79" s="37"/>
      <c r="G79" s="38"/>
      <c r="H79" s="31">
        <f>_xlfn.XLOOKUP(PO[[#This Row],[Supplier name]], Supplier_master[Supplier name], Supplier_master[Category L1], 0)</f>
        <v>0</v>
      </c>
      <c r="I79" s="31">
        <f>_xlfn.XLOOKUP(PO[[#This Row],[Supplier name]], Supplier_master[Supplier name], Supplier_master[Category L2], 0)</f>
        <v>0</v>
      </c>
      <c r="J79" s="55"/>
      <c r="K79" s="55"/>
      <c r="L79" s="31">
        <f>IF(PO[[#This Row],[Spend category L1 - Override]] &lt;&gt; "", PO[[#This Row],[Spend category L1 - Override]], PO[[#This Row],[Spend category L1]])</f>
        <v>0</v>
      </c>
      <c r="M79" s="31">
        <f>IF(PO[[#This Row],[Spend category L2 - Override]] &lt;&gt; "", PO[[#This Row],[Spend category L2 - Override]], PO[[#This Row],[Spend category L2]])</f>
        <v>0</v>
      </c>
      <c r="N79" s="63">
        <f>Assumptions!$D$15</f>
        <v>0.1</v>
      </c>
      <c r="O79" s="45">
        <f>IF(PO[[#This Row],[GST applies?]] = "Yes", (PO[[#This Row],[Value inc. GST]] / 1 + PO[[#This Row],[GST %]]) * PO[[#This Row],[GST %]], 0)</f>
        <v>0</v>
      </c>
      <c r="P79" s="31">
        <f>_xlfn.XLOOKUP(PO[[#This Row],[Supplier name]], Supplier_master[Supplier name], Supplier_master[EOM or Net], 0)</f>
        <v>0</v>
      </c>
      <c r="Q79" s="31">
        <f>_xlfn.XLOOKUP(PO[[#This Row],[Supplier name]], Supplier_master[Supplier name], Supplier_master[Terms days], 0)</f>
        <v>0</v>
      </c>
      <c r="R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" s="4"/>
      <c r="T79" s="46">
        <f>IF(PO[[#This Row],[Payment date - override (dd/mm/yyyy)]] &lt;&gt; "", PO[[#This Row],[Payment date - override (dd/mm/yyyy)]], PO[[#This Row],[Due date (dd/mm/yyyy)]])</f>
        <v>0</v>
      </c>
      <c r="U79" s="46">
        <f t="shared" si="1"/>
        <v>52</v>
      </c>
    </row>
    <row r="80" spans="3:21" x14ac:dyDescent="0.25">
      <c r="C80" s="24"/>
      <c r="D80" s="20"/>
      <c r="E80" s="4"/>
      <c r="F80" s="37"/>
      <c r="G80" s="38"/>
      <c r="H80" s="31">
        <f>_xlfn.XLOOKUP(PO[[#This Row],[Supplier name]], Supplier_master[Supplier name], Supplier_master[Category L1], 0)</f>
        <v>0</v>
      </c>
      <c r="I80" s="31">
        <f>_xlfn.XLOOKUP(PO[[#This Row],[Supplier name]], Supplier_master[Supplier name], Supplier_master[Category L2], 0)</f>
        <v>0</v>
      </c>
      <c r="J80" s="55"/>
      <c r="K80" s="55"/>
      <c r="L80" s="31">
        <f>IF(PO[[#This Row],[Spend category L1 - Override]] &lt;&gt; "", PO[[#This Row],[Spend category L1 - Override]], PO[[#This Row],[Spend category L1]])</f>
        <v>0</v>
      </c>
      <c r="M80" s="31">
        <f>IF(PO[[#This Row],[Spend category L2 - Override]] &lt;&gt; "", PO[[#This Row],[Spend category L2 - Override]], PO[[#This Row],[Spend category L2]])</f>
        <v>0</v>
      </c>
      <c r="N80" s="63">
        <f>Assumptions!$D$15</f>
        <v>0.1</v>
      </c>
      <c r="O80" s="45">
        <f>IF(PO[[#This Row],[GST applies?]] = "Yes", (PO[[#This Row],[Value inc. GST]] / 1 + PO[[#This Row],[GST %]]) * PO[[#This Row],[GST %]], 0)</f>
        <v>0</v>
      </c>
      <c r="P80" s="31">
        <f>_xlfn.XLOOKUP(PO[[#This Row],[Supplier name]], Supplier_master[Supplier name], Supplier_master[EOM or Net], 0)</f>
        <v>0</v>
      </c>
      <c r="Q80" s="31">
        <f>_xlfn.XLOOKUP(PO[[#This Row],[Supplier name]], Supplier_master[Supplier name], Supplier_master[Terms days], 0)</f>
        <v>0</v>
      </c>
      <c r="R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" s="4"/>
      <c r="T80" s="46">
        <f>IF(PO[[#This Row],[Payment date - override (dd/mm/yyyy)]] &lt;&gt; "", PO[[#This Row],[Payment date - override (dd/mm/yyyy)]], PO[[#This Row],[Due date (dd/mm/yyyy)]])</f>
        <v>0</v>
      </c>
      <c r="U80" s="46">
        <f t="shared" si="1"/>
        <v>52</v>
      </c>
    </row>
    <row r="81" spans="3:21" x14ac:dyDescent="0.25">
      <c r="C81" s="24"/>
      <c r="D81" s="20"/>
      <c r="E81" s="4"/>
      <c r="F81" s="37"/>
      <c r="G81" s="38"/>
      <c r="H81" s="31">
        <f>_xlfn.XLOOKUP(PO[[#This Row],[Supplier name]], Supplier_master[Supplier name], Supplier_master[Category L1], 0)</f>
        <v>0</v>
      </c>
      <c r="I81" s="31">
        <f>_xlfn.XLOOKUP(PO[[#This Row],[Supplier name]], Supplier_master[Supplier name], Supplier_master[Category L2], 0)</f>
        <v>0</v>
      </c>
      <c r="J81" s="55"/>
      <c r="K81" s="55"/>
      <c r="L81" s="31">
        <f>IF(PO[[#This Row],[Spend category L1 - Override]] &lt;&gt; "", PO[[#This Row],[Spend category L1 - Override]], PO[[#This Row],[Spend category L1]])</f>
        <v>0</v>
      </c>
      <c r="M81" s="31">
        <f>IF(PO[[#This Row],[Spend category L2 - Override]] &lt;&gt; "", PO[[#This Row],[Spend category L2 - Override]], PO[[#This Row],[Spend category L2]])</f>
        <v>0</v>
      </c>
      <c r="N81" s="63">
        <f>Assumptions!$D$15</f>
        <v>0.1</v>
      </c>
      <c r="O81" s="45">
        <f>IF(PO[[#This Row],[GST applies?]] = "Yes", (PO[[#This Row],[Value inc. GST]] / 1 + PO[[#This Row],[GST %]]) * PO[[#This Row],[GST %]], 0)</f>
        <v>0</v>
      </c>
      <c r="P81" s="31">
        <f>_xlfn.XLOOKUP(PO[[#This Row],[Supplier name]], Supplier_master[Supplier name], Supplier_master[EOM or Net], 0)</f>
        <v>0</v>
      </c>
      <c r="Q81" s="31">
        <f>_xlfn.XLOOKUP(PO[[#This Row],[Supplier name]], Supplier_master[Supplier name], Supplier_master[Terms days], 0)</f>
        <v>0</v>
      </c>
      <c r="R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" s="4"/>
      <c r="T81" s="46">
        <f>IF(PO[[#This Row],[Payment date - override (dd/mm/yyyy)]] &lt;&gt; "", PO[[#This Row],[Payment date - override (dd/mm/yyyy)]], PO[[#This Row],[Due date (dd/mm/yyyy)]])</f>
        <v>0</v>
      </c>
      <c r="U81" s="46">
        <f t="shared" si="1"/>
        <v>52</v>
      </c>
    </row>
    <row r="82" spans="3:21" x14ac:dyDescent="0.25">
      <c r="C82" s="24"/>
      <c r="D82" s="20"/>
      <c r="E82" s="4"/>
      <c r="F82" s="37"/>
      <c r="G82" s="38"/>
      <c r="H82" s="31">
        <f>_xlfn.XLOOKUP(PO[[#This Row],[Supplier name]], Supplier_master[Supplier name], Supplier_master[Category L1], 0)</f>
        <v>0</v>
      </c>
      <c r="I82" s="31">
        <f>_xlfn.XLOOKUP(PO[[#This Row],[Supplier name]], Supplier_master[Supplier name], Supplier_master[Category L2], 0)</f>
        <v>0</v>
      </c>
      <c r="J82" s="55"/>
      <c r="K82" s="55"/>
      <c r="L82" s="31">
        <f>IF(PO[[#This Row],[Spend category L1 - Override]] &lt;&gt; "", PO[[#This Row],[Spend category L1 - Override]], PO[[#This Row],[Spend category L1]])</f>
        <v>0</v>
      </c>
      <c r="M82" s="31">
        <f>IF(PO[[#This Row],[Spend category L2 - Override]] &lt;&gt; "", PO[[#This Row],[Spend category L2 - Override]], PO[[#This Row],[Spend category L2]])</f>
        <v>0</v>
      </c>
      <c r="N82" s="63">
        <f>Assumptions!$D$15</f>
        <v>0.1</v>
      </c>
      <c r="O82" s="45">
        <f>IF(PO[[#This Row],[GST applies?]] = "Yes", (PO[[#This Row],[Value inc. GST]] / 1 + PO[[#This Row],[GST %]]) * PO[[#This Row],[GST %]], 0)</f>
        <v>0</v>
      </c>
      <c r="P82" s="31">
        <f>_xlfn.XLOOKUP(PO[[#This Row],[Supplier name]], Supplier_master[Supplier name], Supplier_master[EOM or Net], 0)</f>
        <v>0</v>
      </c>
      <c r="Q82" s="31">
        <f>_xlfn.XLOOKUP(PO[[#This Row],[Supplier name]], Supplier_master[Supplier name], Supplier_master[Terms days], 0)</f>
        <v>0</v>
      </c>
      <c r="R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" s="4"/>
      <c r="T82" s="46">
        <f>IF(PO[[#This Row],[Payment date - override (dd/mm/yyyy)]] &lt;&gt; "", PO[[#This Row],[Payment date - override (dd/mm/yyyy)]], PO[[#This Row],[Due date (dd/mm/yyyy)]])</f>
        <v>0</v>
      </c>
      <c r="U82" s="46">
        <f t="shared" si="1"/>
        <v>52</v>
      </c>
    </row>
    <row r="83" spans="3:21" x14ac:dyDescent="0.25">
      <c r="C83" s="24"/>
      <c r="D83" s="20"/>
      <c r="E83" s="4"/>
      <c r="F83" s="37"/>
      <c r="G83" s="38"/>
      <c r="H83" s="31">
        <f>_xlfn.XLOOKUP(PO[[#This Row],[Supplier name]], Supplier_master[Supplier name], Supplier_master[Category L1], 0)</f>
        <v>0</v>
      </c>
      <c r="I83" s="31">
        <f>_xlfn.XLOOKUP(PO[[#This Row],[Supplier name]], Supplier_master[Supplier name], Supplier_master[Category L2], 0)</f>
        <v>0</v>
      </c>
      <c r="J83" s="55"/>
      <c r="K83" s="55"/>
      <c r="L83" s="31">
        <f>IF(PO[[#This Row],[Spend category L1 - Override]] &lt;&gt; "", PO[[#This Row],[Spend category L1 - Override]], PO[[#This Row],[Spend category L1]])</f>
        <v>0</v>
      </c>
      <c r="M83" s="31">
        <f>IF(PO[[#This Row],[Spend category L2 - Override]] &lt;&gt; "", PO[[#This Row],[Spend category L2 - Override]], PO[[#This Row],[Spend category L2]])</f>
        <v>0</v>
      </c>
      <c r="N83" s="63">
        <f>Assumptions!$D$15</f>
        <v>0.1</v>
      </c>
      <c r="O83" s="45">
        <f>IF(PO[[#This Row],[GST applies?]] = "Yes", (PO[[#This Row],[Value inc. GST]] / 1 + PO[[#This Row],[GST %]]) * PO[[#This Row],[GST %]], 0)</f>
        <v>0</v>
      </c>
      <c r="P83" s="31">
        <f>_xlfn.XLOOKUP(PO[[#This Row],[Supplier name]], Supplier_master[Supplier name], Supplier_master[EOM or Net], 0)</f>
        <v>0</v>
      </c>
      <c r="Q83" s="31">
        <f>_xlfn.XLOOKUP(PO[[#This Row],[Supplier name]], Supplier_master[Supplier name], Supplier_master[Terms days], 0)</f>
        <v>0</v>
      </c>
      <c r="R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" s="4"/>
      <c r="T83" s="46">
        <f>IF(PO[[#This Row],[Payment date - override (dd/mm/yyyy)]] &lt;&gt; "", PO[[#This Row],[Payment date - override (dd/mm/yyyy)]], PO[[#This Row],[Due date (dd/mm/yyyy)]])</f>
        <v>0</v>
      </c>
      <c r="U83" s="46">
        <f t="shared" si="1"/>
        <v>52</v>
      </c>
    </row>
    <row r="84" spans="3:21" x14ac:dyDescent="0.25">
      <c r="C84" s="24"/>
      <c r="D84" s="20"/>
      <c r="E84" s="4"/>
      <c r="F84" s="37"/>
      <c r="G84" s="38"/>
      <c r="H84" s="31">
        <f>_xlfn.XLOOKUP(PO[[#This Row],[Supplier name]], Supplier_master[Supplier name], Supplier_master[Category L1], 0)</f>
        <v>0</v>
      </c>
      <c r="I84" s="31">
        <f>_xlfn.XLOOKUP(PO[[#This Row],[Supplier name]], Supplier_master[Supplier name], Supplier_master[Category L2], 0)</f>
        <v>0</v>
      </c>
      <c r="J84" s="55"/>
      <c r="K84" s="55"/>
      <c r="L84" s="31">
        <f>IF(PO[[#This Row],[Spend category L1 - Override]] &lt;&gt; "", PO[[#This Row],[Spend category L1 - Override]], PO[[#This Row],[Spend category L1]])</f>
        <v>0</v>
      </c>
      <c r="M84" s="31">
        <f>IF(PO[[#This Row],[Spend category L2 - Override]] &lt;&gt; "", PO[[#This Row],[Spend category L2 - Override]], PO[[#This Row],[Spend category L2]])</f>
        <v>0</v>
      </c>
      <c r="N84" s="63">
        <f>Assumptions!$D$15</f>
        <v>0.1</v>
      </c>
      <c r="O84" s="45">
        <f>IF(PO[[#This Row],[GST applies?]] = "Yes", (PO[[#This Row],[Value inc. GST]] / 1 + PO[[#This Row],[GST %]]) * PO[[#This Row],[GST %]], 0)</f>
        <v>0</v>
      </c>
      <c r="P84" s="31">
        <f>_xlfn.XLOOKUP(PO[[#This Row],[Supplier name]], Supplier_master[Supplier name], Supplier_master[EOM or Net], 0)</f>
        <v>0</v>
      </c>
      <c r="Q84" s="31">
        <f>_xlfn.XLOOKUP(PO[[#This Row],[Supplier name]], Supplier_master[Supplier name], Supplier_master[Terms days], 0)</f>
        <v>0</v>
      </c>
      <c r="R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" s="4"/>
      <c r="T84" s="46">
        <f>IF(PO[[#This Row],[Payment date - override (dd/mm/yyyy)]] &lt;&gt; "", PO[[#This Row],[Payment date - override (dd/mm/yyyy)]], PO[[#This Row],[Due date (dd/mm/yyyy)]])</f>
        <v>0</v>
      </c>
      <c r="U84" s="46">
        <f t="shared" si="1"/>
        <v>52</v>
      </c>
    </row>
    <row r="85" spans="3:21" x14ac:dyDescent="0.25">
      <c r="C85" s="24"/>
      <c r="D85" s="20"/>
      <c r="E85" s="4"/>
      <c r="F85" s="37"/>
      <c r="G85" s="38"/>
      <c r="H85" s="31">
        <f>_xlfn.XLOOKUP(PO[[#This Row],[Supplier name]], Supplier_master[Supplier name], Supplier_master[Category L1], 0)</f>
        <v>0</v>
      </c>
      <c r="I85" s="31">
        <f>_xlfn.XLOOKUP(PO[[#This Row],[Supplier name]], Supplier_master[Supplier name], Supplier_master[Category L2], 0)</f>
        <v>0</v>
      </c>
      <c r="J85" s="55"/>
      <c r="K85" s="55"/>
      <c r="L85" s="31">
        <f>IF(PO[[#This Row],[Spend category L1 - Override]] &lt;&gt; "", PO[[#This Row],[Spend category L1 - Override]], PO[[#This Row],[Spend category L1]])</f>
        <v>0</v>
      </c>
      <c r="M85" s="31">
        <f>IF(PO[[#This Row],[Spend category L2 - Override]] &lt;&gt; "", PO[[#This Row],[Spend category L2 - Override]], PO[[#This Row],[Spend category L2]])</f>
        <v>0</v>
      </c>
      <c r="N85" s="63">
        <f>Assumptions!$D$15</f>
        <v>0.1</v>
      </c>
      <c r="O85" s="45">
        <f>IF(PO[[#This Row],[GST applies?]] = "Yes", (PO[[#This Row],[Value inc. GST]] / 1 + PO[[#This Row],[GST %]]) * PO[[#This Row],[GST %]], 0)</f>
        <v>0</v>
      </c>
      <c r="P85" s="31">
        <f>_xlfn.XLOOKUP(PO[[#This Row],[Supplier name]], Supplier_master[Supplier name], Supplier_master[EOM or Net], 0)</f>
        <v>0</v>
      </c>
      <c r="Q85" s="31">
        <f>_xlfn.XLOOKUP(PO[[#This Row],[Supplier name]], Supplier_master[Supplier name], Supplier_master[Terms days], 0)</f>
        <v>0</v>
      </c>
      <c r="R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" s="4"/>
      <c r="T85" s="46">
        <f>IF(PO[[#This Row],[Payment date - override (dd/mm/yyyy)]] &lt;&gt; "", PO[[#This Row],[Payment date - override (dd/mm/yyyy)]], PO[[#This Row],[Due date (dd/mm/yyyy)]])</f>
        <v>0</v>
      </c>
      <c r="U85" s="46">
        <f t="shared" si="1"/>
        <v>52</v>
      </c>
    </row>
    <row r="86" spans="3:21" x14ac:dyDescent="0.25">
      <c r="C86" s="24"/>
      <c r="D86" s="20"/>
      <c r="E86" s="4"/>
      <c r="F86" s="37"/>
      <c r="G86" s="38"/>
      <c r="H86" s="31">
        <f>_xlfn.XLOOKUP(PO[[#This Row],[Supplier name]], Supplier_master[Supplier name], Supplier_master[Category L1], 0)</f>
        <v>0</v>
      </c>
      <c r="I86" s="31">
        <f>_xlfn.XLOOKUP(PO[[#This Row],[Supplier name]], Supplier_master[Supplier name], Supplier_master[Category L2], 0)</f>
        <v>0</v>
      </c>
      <c r="J86" s="55"/>
      <c r="K86" s="55"/>
      <c r="L86" s="31">
        <f>IF(PO[[#This Row],[Spend category L1 - Override]] &lt;&gt; "", PO[[#This Row],[Spend category L1 - Override]], PO[[#This Row],[Spend category L1]])</f>
        <v>0</v>
      </c>
      <c r="M86" s="31">
        <f>IF(PO[[#This Row],[Spend category L2 - Override]] &lt;&gt; "", PO[[#This Row],[Spend category L2 - Override]], PO[[#This Row],[Spend category L2]])</f>
        <v>0</v>
      </c>
      <c r="N86" s="63">
        <f>Assumptions!$D$15</f>
        <v>0.1</v>
      </c>
      <c r="O86" s="45">
        <f>IF(PO[[#This Row],[GST applies?]] = "Yes", (PO[[#This Row],[Value inc. GST]] / 1 + PO[[#This Row],[GST %]]) * PO[[#This Row],[GST %]], 0)</f>
        <v>0</v>
      </c>
      <c r="P86" s="31">
        <f>_xlfn.XLOOKUP(PO[[#This Row],[Supplier name]], Supplier_master[Supplier name], Supplier_master[EOM or Net], 0)</f>
        <v>0</v>
      </c>
      <c r="Q86" s="31">
        <f>_xlfn.XLOOKUP(PO[[#This Row],[Supplier name]], Supplier_master[Supplier name], Supplier_master[Terms days], 0)</f>
        <v>0</v>
      </c>
      <c r="R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" s="4"/>
      <c r="T86" s="46">
        <f>IF(PO[[#This Row],[Payment date - override (dd/mm/yyyy)]] &lt;&gt; "", PO[[#This Row],[Payment date - override (dd/mm/yyyy)]], PO[[#This Row],[Due date (dd/mm/yyyy)]])</f>
        <v>0</v>
      </c>
      <c r="U86" s="46">
        <f t="shared" si="1"/>
        <v>52</v>
      </c>
    </row>
    <row r="87" spans="3:21" x14ac:dyDescent="0.25">
      <c r="C87" s="24"/>
      <c r="D87" s="20"/>
      <c r="E87" s="4"/>
      <c r="F87" s="37"/>
      <c r="G87" s="38"/>
      <c r="H87" s="31">
        <f>_xlfn.XLOOKUP(PO[[#This Row],[Supplier name]], Supplier_master[Supplier name], Supplier_master[Category L1], 0)</f>
        <v>0</v>
      </c>
      <c r="I87" s="31">
        <f>_xlfn.XLOOKUP(PO[[#This Row],[Supplier name]], Supplier_master[Supplier name], Supplier_master[Category L2], 0)</f>
        <v>0</v>
      </c>
      <c r="J87" s="55"/>
      <c r="K87" s="55"/>
      <c r="L87" s="31">
        <f>IF(PO[[#This Row],[Spend category L1 - Override]] &lt;&gt; "", PO[[#This Row],[Spend category L1 - Override]], PO[[#This Row],[Spend category L1]])</f>
        <v>0</v>
      </c>
      <c r="M87" s="31">
        <f>IF(PO[[#This Row],[Spend category L2 - Override]] &lt;&gt; "", PO[[#This Row],[Spend category L2 - Override]], PO[[#This Row],[Spend category L2]])</f>
        <v>0</v>
      </c>
      <c r="N87" s="63">
        <f>Assumptions!$D$15</f>
        <v>0.1</v>
      </c>
      <c r="O87" s="45">
        <f>IF(PO[[#This Row],[GST applies?]] = "Yes", (PO[[#This Row],[Value inc. GST]] / 1 + PO[[#This Row],[GST %]]) * PO[[#This Row],[GST %]], 0)</f>
        <v>0</v>
      </c>
      <c r="P87" s="31">
        <f>_xlfn.XLOOKUP(PO[[#This Row],[Supplier name]], Supplier_master[Supplier name], Supplier_master[EOM or Net], 0)</f>
        <v>0</v>
      </c>
      <c r="Q87" s="31">
        <f>_xlfn.XLOOKUP(PO[[#This Row],[Supplier name]], Supplier_master[Supplier name], Supplier_master[Terms days], 0)</f>
        <v>0</v>
      </c>
      <c r="R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" s="4"/>
      <c r="T87" s="46">
        <f>IF(PO[[#This Row],[Payment date - override (dd/mm/yyyy)]] &lt;&gt; "", PO[[#This Row],[Payment date - override (dd/mm/yyyy)]], PO[[#This Row],[Due date (dd/mm/yyyy)]])</f>
        <v>0</v>
      </c>
      <c r="U87" s="46">
        <f t="shared" si="1"/>
        <v>52</v>
      </c>
    </row>
    <row r="88" spans="3:21" x14ac:dyDescent="0.25">
      <c r="C88" s="24"/>
      <c r="D88" s="20"/>
      <c r="E88" s="4"/>
      <c r="F88" s="37"/>
      <c r="G88" s="38"/>
      <c r="H88" s="31">
        <f>_xlfn.XLOOKUP(PO[[#This Row],[Supplier name]], Supplier_master[Supplier name], Supplier_master[Category L1], 0)</f>
        <v>0</v>
      </c>
      <c r="I88" s="31">
        <f>_xlfn.XLOOKUP(PO[[#This Row],[Supplier name]], Supplier_master[Supplier name], Supplier_master[Category L2], 0)</f>
        <v>0</v>
      </c>
      <c r="J88" s="55"/>
      <c r="K88" s="55"/>
      <c r="L88" s="31">
        <f>IF(PO[[#This Row],[Spend category L1 - Override]] &lt;&gt; "", PO[[#This Row],[Spend category L1 - Override]], PO[[#This Row],[Spend category L1]])</f>
        <v>0</v>
      </c>
      <c r="M88" s="31">
        <f>IF(PO[[#This Row],[Spend category L2 - Override]] &lt;&gt; "", PO[[#This Row],[Spend category L2 - Override]], PO[[#This Row],[Spend category L2]])</f>
        <v>0</v>
      </c>
      <c r="N88" s="63">
        <f>Assumptions!$D$15</f>
        <v>0.1</v>
      </c>
      <c r="O88" s="45">
        <f>IF(PO[[#This Row],[GST applies?]] = "Yes", (PO[[#This Row],[Value inc. GST]] / 1 + PO[[#This Row],[GST %]]) * PO[[#This Row],[GST %]], 0)</f>
        <v>0</v>
      </c>
      <c r="P88" s="31">
        <f>_xlfn.XLOOKUP(PO[[#This Row],[Supplier name]], Supplier_master[Supplier name], Supplier_master[EOM or Net], 0)</f>
        <v>0</v>
      </c>
      <c r="Q88" s="31">
        <f>_xlfn.XLOOKUP(PO[[#This Row],[Supplier name]], Supplier_master[Supplier name], Supplier_master[Terms days], 0)</f>
        <v>0</v>
      </c>
      <c r="R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" s="4"/>
      <c r="T88" s="46">
        <f>IF(PO[[#This Row],[Payment date - override (dd/mm/yyyy)]] &lt;&gt; "", PO[[#This Row],[Payment date - override (dd/mm/yyyy)]], PO[[#This Row],[Due date (dd/mm/yyyy)]])</f>
        <v>0</v>
      </c>
      <c r="U88" s="46">
        <f t="shared" si="1"/>
        <v>52</v>
      </c>
    </row>
    <row r="89" spans="3:21" x14ac:dyDescent="0.25">
      <c r="C89" s="24"/>
      <c r="D89" s="20"/>
      <c r="E89" s="4"/>
      <c r="F89" s="37"/>
      <c r="G89" s="38"/>
      <c r="H89" s="31">
        <f>_xlfn.XLOOKUP(PO[[#This Row],[Supplier name]], Supplier_master[Supplier name], Supplier_master[Category L1], 0)</f>
        <v>0</v>
      </c>
      <c r="I89" s="31">
        <f>_xlfn.XLOOKUP(PO[[#This Row],[Supplier name]], Supplier_master[Supplier name], Supplier_master[Category L2], 0)</f>
        <v>0</v>
      </c>
      <c r="J89" s="55"/>
      <c r="K89" s="55"/>
      <c r="L89" s="31">
        <f>IF(PO[[#This Row],[Spend category L1 - Override]] &lt;&gt; "", PO[[#This Row],[Spend category L1 - Override]], PO[[#This Row],[Spend category L1]])</f>
        <v>0</v>
      </c>
      <c r="M89" s="31">
        <f>IF(PO[[#This Row],[Spend category L2 - Override]] &lt;&gt; "", PO[[#This Row],[Spend category L2 - Override]], PO[[#This Row],[Spend category L2]])</f>
        <v>0</v>
      </c>
      <c r="N89" s="63">
        <f>Assumptions!$D$15</f>
        <v>0.1</v>
      </c>
      <c r="O89" s="45">
        <f>IF(PO[[#This Row],[GST applies?]] = "Yes", (PO[[#This Row],[Value inc. GST]] / 1 + PO[[#This Row],[GST %]]) * PO[[#This Row],[GST %]], 0)</f>
        <v>0</v>
      </c>
      <c r="P89" s="31">
        <f>_xlfn.XLOOKUP(PO[[#This Row],[Supplier name]], Supplier_master[Supplier name], Supplier_master[EOM or Net], 0)</f>
        <v>0</v>
      </c>
      <c r="Q89" s="31">
        <f>_xlfn.XLOOKUP(PO[[#This Row],[Supplier name]], Supplier_master[Supplier name], Supplier_master[Terms days], 0)</f>
        <v>0</v>
      </c>
      <c r="R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" s="4"/>
      <c r="T89" s="46">
        <f>IF(PO[[#This Row],[Payment date - override (dd/mm/yyyy)]] &lt;&gt; "", PO[[#This Row],[Payment date - override (dd/mm/yyyy)]], PO[[#This Row],[Due date (dd/mm/yyyy)]])</f>
        <v>0</v>
      </c>
      <c r="U89" s="46">
        <f t="shared" si="1"/>
        <v>52</v>
      </c>
    </row>
    <row r="90" spans="3:21" x14ac:dyDescent="0.25">
      <c r="C90" s="24"/>
      <c r="D90" s="20"/>
      <c r="E90" s="4"/>
      <c r="F90" s="37"/>
      <c r="G90" s="38"/>
      <c r="H90" s="31">
        <f>_xlfn.XLOOKUP(PO[[#This Row],[Supplier name]], Supplier_master[Supplier name], Supplier_master[Category L1], 0)</f>
        <v>0</v>
      </c>
      <c r="I90" s="31">
        <f>_xlfn.XLOOKUP(PO[[#This Row],[Supplier name]], Supplier_master[Supplier name], Supplier_master[Category L2], 0)</f>
        <v>0</v>
      </c>
      <c r="J90" s="55"/>
      <c r="K90" s="55"/>
      <c r="L90" s="31">
        <f>IF(PO[[#This Row],[Spend category L1 - Override]] &lt;&gt; "", PO[[#This Row],[Spend category L1 - Override]], PO[[#This Row],[Spend category L1]])</f>
        <v>0</v>
      </c>
      <c r="M90" s="31">
        <f>IF(PO[[#This Row],[Spend category L2 - Override]] &lt;&gt; "", PO[[#This Row],[Spend category L2 - Override]], PO[[#This Row],[Spend category L2]])</f>
        <v>0</v>
      </c>
      <c r="N90" s="63">
        <f>Assumptions!$D$15</f>
        <v>0.1</v>
      </c>
      <c r="O90" s="45">
        <f>IF(PO[[#This Row],[GST applies?]] = "Yes", (PO[[#This Row],[Value inc. GST]] / 1 + PO[[#This Row],[GST %]]) * PO[[#This Row],[GST %]], 0)</f>
        <v>0</v>
      </c>
      <c r="P90" s="31">
        <f>_xlfn.XLOOKUP(PO[[#This Row],[Supplier name]], Supplier_master[Supplier name], Supplier_master[EOM or Net], 0)</f>
        <v>0</v>
      </c>
      <c r="Q90" s="31">
        <f>_xlfn.XLOOKUP(PO[[#This Row],[Supplier name]], Supplier_master[Supplier name], Supplier_master[Terms days], 0)</f>
        <v>0</v>
      </c>
      <c r="R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" s="4"/>
      <c r="T90" s="46">
        <f>IF(PO[[#This Row],[Payment date - override (dd/mm/yyyy)]] &lt;&gt; "", PO[[#This Row],[Payment date - override (dd/mm/yyyy)]], PO[[#This Row],[Due date (dd/mm/yyyy)]])</f>
        <v>0</v>
      </c>
      <c r="U90" s="46">
        <f t="shared" si="1"/>
        <v>52</v>
      </c>
    </row>
    <row r="91" spans="3:21" x14ac:dyDescent="0.25">
      <c r="C91" s="24"/>
      <c r="D91" s="20"/>
      <c r="E91" s="4"/>
      <c r="F91" s="37"/>
      <c r="G91" s="38"/>
      <c r="H91" s="31">
        <f>_xlfn.XLOOKUP(PO[[#This Row],[Supplier name]], Supplier_master[Supplier name], Supplier_master[Category L1], 0)</f>
        <v>0</v>
      </c>
      <c r="I91" s="31">
        <f>_xlfn.XLOOKUP(PO[[#This Row],[Supplier name]], Supplier_master[Supplier name], Supplier_master[Category L2], 0)</f>
        <v>0</v>
      </c>
      <c r="J91" s="55"/>
      <c r="K91" s="55"/>
      <c r="L91" s="31">
        <f>IF(PO[[#This Row],[Spend category L1 - Override]] &lt;&gt; "", PO[[#This Row],[Spend category L1 - Override]], PO[[#This Row],[Spend category L1]])</f>
        <v>0</v>
      </c>
      <c r="M91" s="31">
        <f>IF(PO[[#This Row],[Spend category L2 - Override]] &lt;&gt; "", PO[[#This Row],[Spend category L2 - Override]], PO[[#This Row],[Spend category L2]])</f>
        <v>0</v>
      </c>
      <c r="N91" s="63">
        <f>Assumptions!$D$15</f>
        <v>0.1</v>
      </c>
      <c r="O91" s="45">
        <f>IF(PO[[#This Row],[GST applies?]] = "Yes", (PO[[#This Row],[Value inc. GST]] / 1 + PO[[#This Row],[GST %]]) * PO[[#This Row],[GST %]], 0)</f>
        <v>0</v>
      </c>
      <c r="P91" s="31">
        <f>_xlfn.XLOOKUP(PO[[#This Row],[Supplier name]], Supplier_master[Supplier name], Supplier_master[EOM or Net], 0)</f>
        <v>0</v>
      </c>
      <c r="Q91" s="31">
        <f>_xlfn.XLOOKUP(PO[[#This Row],[Supplier name]], Supplier_master[Supplier name], Supplier_master[Terms days], 0)</f>
        <v>0</v>
      </c>
      <c r="R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" s="4"/>
      <c r="T91" s="46">
        <f>IF(PO[[#This Row],[Payment date - override (dd/mm/yyyy)]] &lt;&gt; "", PO[[#This Row],[Payment date - override (dd/mm/yyyy)]], PO[[#This Row],[Due date (dd/mm/yyyy)]])</f>
        <v>0</v>
      </c>
      <c r="U91" s="46">
        <f t="shared" si="1"/>
        <v>52</v>
      </c>
    </row>
    <row r="92" spans="3:21" x14ac:dyDescent="0.25">
      <c r="C92" s="24"/>
      <c r="D92" s="20"/>
      <c r="E92" s="4"/>
      <c r="F92" s="37"/>
      <c r="G92" s="38"/>
      <c r="H92" s="31">
        <f>_xlfn.XLOOKUP(PO[[#This Row],[Supplier name]], Supplier_master[Supplier name], Supplier_master[Category L1], 0)</f>
        <v>0</v>
      </c>
      <c r="I92" s="31">
        <f>_xlfn.XLOOKUP(PO[[#This Row],[Supplier name]], Supplier_master[Supplier name], Supplier_master[Category L2], 0)</f>
        <v>0</v>
      </c>
      <c r="J92" s="55"/>
      <c r="K92" s="55"/>
      <c r="L92" s="31">
        <f>IF(PO[[#This Row],[Spend category L1 - Override]] &lt;&gt; "", PO[[#This Row],[Spend category L1 - Override]], PO[[#This Row],[Spend category L1]])</f>
        <v>0</v>
      </c>
      <c r="M92" s="31">
        <f>IF(PO[[#This Row],[Spend category L2 - Override]] &lt;&gt; "", PO[[#This Row],[Spend category L2 - Override]], PO[[#This Row],[Spend category L2]])</f>
        <v>0</v>
      </c>
      <c r="N92" s="63">
        <f>Assumptions!$D$15</f>
        <v>0.1</v>
      </c>
      <c r="O92" s="45">
        <f>IF(PO[[#This Row],[GST applies?]] = "Yes", (PO[[#This Row],[Value inc. GST]] / 1 + PO[[#This Row],[GST %]]) * PO[[#This Row],[GST %]], 0)</f>
        <v>0</v>
      </c>
      <c r="P92" s="31">
        <f>_xlfn.XLOOKUP(PO[[#This Row],[Supplier name]], Supplier_master[Supplier name], Supplier_master[EOM or Net], 0)</f>
        <v>0</v>
      </c>
      <c r="Q92" s="31">
        <f>_xlfn.XLOOKUP(PO[[#This Row],[Supplier name]], Supplier_master[Supplier name], Supplier_master[Terms days], 0)</f>
        <v>0</v>
      </c>
      <c r="R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" s="4"/>
      <c r="T92" s="46">
        <f>IF(PO[[#This Row],[Payment date - override (dd/mm/yyyy)]] &lt;&gt; "", PO[[#This Row],[Payment date - override (dd/mm/yyyy)]], PO[[#This Row],[Due date (dd/mm/yyyy)]])</f>
        <v>0</v>
      </c>
      <c r="U92" s="46">
        <f t="shared" si="1"/>
        <v>52</v>
      </c>
    </row>
    <row r="93" spans="3:21" x14ac:dyDescent="0.25">
      <c r="C93" s="24"/>
      <c r="D93" s="20"/>
      <c r="E93" s="4"/>
      <c r="F93" s="37"/>
      <c r="G93" s="38"/>
      <c r="H93" s="31">
        <f>_xlfn.XLOOKUP(PO[[#This Row],[Supplier name]], Supplier_master[Supplier name], Supplier_master[Category L1], 0)</f>
        <v>0</v>
      </c>
      <c r="I93" s="31">
        <f>_xlfn.XLOOKUP(PO[[#This Row],[Supplier name]], Supplier_master[Supplier name], Supplier_master[Category L2], 0)</f>
        <v>0</v>
      </c>
      <c r="J93" s="55"/>
      <c r="K93" s="55"/>
      <c r="L93" s="31">
        <f>IF(PO[[#This Row],[Spend category L1 - Override]] &lt;&gt; "", PO[[#This Row],[Spend category L1 - Override]], PO[[#This Row],[Spend category L1]])</f>
        <v>0</v>
      </c>
      <c r="M93" s="31">
        <f>IF(PO[[#This Row],[Spend category L2 - Override]] &lt;&gt; "", PO[[#This Row],[Spend category L2 - Override]], PO[[#This Row],[Spend category L2]])</f>
        <v>0</v>
      </c>
      <c r="N93" s="63">
        <f>Assumptions!$D$15</f>
        <v>0.1</v>
      </c>
      <c r="O93" s="45">
        <f>IF(PO[[#This Row],[GST applies?]] = "Yes", (PO[[#This Row],[Value inc. GST]] / 1 + PO[[#This Row],[GST %]]) * PO[[#This Row],[GST %]], 0)</f>
        <v>0</v>
      </c>
      <c r="P93" s="31">
        <f>_xlfn.XLOOKUP(PO[[#This Row],[Supplier name]], Supplier_master[Supplier name], Supplier_master[EOM or Net], 0)</f>
        <v>0</v>
      </c>
      <c r="Q93" s="31">
        <f>_xlfn.XLOOKUP(PO[[#This Row],[Supplier name]], Supplier_master[Supplier name], Supplier_master[Terms days], 0)</f>
        <v>0</v>
      </c>
      <c r="R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" s="4"/>
      <c r="T93" s="46">
        <f>IF(PO[[#This Row],[Payment date - override (dd/mm/yyyy)]] &lt;&gt; "", PO[[#This Row],[Payment date - override (dd/mm/yyyy)]], PO[[#This Row],[Due date (dd/mm/yyyy)]])</f>
        <v>0</v>
      </c>
      <c r="U93" s="46">
        <f t="shared" si="1"/>
        <v>52</v>
      </c>
    </row>
    <row r="94" spans="3:21" x14ac:dyDescent="0.25">
      <c r="C94" s="24"/>
      <c r="D94" s="20"/>
      <c r="E94" s="4"/>
      <c r="F94" s="37"/>
      <c r="G94" s="38"/>
      <c r="H94" s="31">
        <f>_xlfn.XLOOKUP(PO[[#This Row],[Supplier name]], Supplier_master[Supplier name], Supplier_master[Category L1], 0)</f>
        <v>0</v>
      </c>
      <c r="I94" s="31">
        <f>_xlfn.XLOOKUP(PO[[#This Row],[Supplier name]], Supplier_master[Supplier name], Supplier_master[Category L2], 0)</f>
        <v>0</v>
      </c>
      <c r="J94" s="55"/>
      <c r="K94" s="55"/>
      <c r="L94" s="31">
        <f>IF(PO[[#This Row],[Spend category L1 - Override]] &lt;&gt; "", PO[[#This Row],[Spend category L1 - Override]], PO[[#This Row],[Spend category L1]])</f>
        <v>0</v>
      </c>
      <c r="M94" s="31">
        <f>IF(PO[[#This Row],[Spend category L2 - Override]] &lt;&gt; "", PO[[#This Row],[Spend category L2 - Override]], PO[[#This Row],[Spend category L2]])</f>
        <v>0</v>
      </c>
      <c r="N94" s="63">
        <f>Assumptions!$D$15</f>
        <v>0.1</v>
      </c>
      <c r="O94" s="45">
        <f>IF(PO[[#This Row],[GST applies?]] = "Yes", (PO[[#This Row],[Value inc. GST]] / 1 + PO[[#This Row],[GST %]]) * PO[[#This Row],[GST %]], 0)</f>
        <v>0</v>
      </c>
      <c r="P94" s="31">
        <f>_xlfn.XLOOKUP(PO[[#This Row],[Supplier name]], Supplier_master[Supplier name], Supplier_master[EOM or Net], 0)</f>
        <v>0</v>
      </c>
      <c r="Q94" s="31">
        <f>_xlfn.XLOOKUP(PO[[#This Row],[Supplier name]], Supplier_master[Supplier name], Supplier_master[Terms days], 0)</f>
        <v>0</v>
      </c>
      <c r="R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" s="4"/>
      <c r="T94" s="46">
        <f>IF(PO[[#This Row],[Payment date - override (dd/mm/yyyy)]] &lt;&gt; "", PO[[#This Row],[Payment date - override (dd/mm/yyyy)]], PO[[#This Row],[Due date (dd/mm/yyyy)]])</f>
        <v>0</v>
      </c>
      <c r="U94" s="46">
        <f t="shared" si="1"/>
        <v>52</v>
      </c>
    </row>
    <row r="95" spans="3:21" x14ac:dyDescent="0.25">
      <c r="C95" s="24"/>
      <c r="D95" s="20"/>
      <c r="E95" s="4"/>
      <c r="F95" s="37"/>
      <c r="G95" s="38"/>
      <c r="H95" s="31">
        <f>_xlfn.XLOOKUP(PO[[#This Row],[Supplier name]], Supplier_master[Supplier name], Supplier_master[Category L1], 0)</f>
        <v>0</v>
      </c>
      <c r="I95" s="31">
        <f>_xlfn.XLOOKUP(PO[[#This Row],[Supplier name]], Supplier_master[Supplier name], Supplier_master[Category L2], 0)</f>
        <v>0</v>
      </c>
      <c r="J95" s="55"/>
      <c r="K95" s="55"/>
      <c r="L95" s="31">
        <f>IF(PO[[#This Row],[Spend category L1 - Override]] &lt;&gt; "", PO[[#This Row],[Spend category L1 - Override]], PO[[#This Row],[Spend category L1]])</f>
        <v>0</v>
      </c>
      <c r="M95" s="31">
        <f>IF(PO[[#This Row],[Spend category L2 - Override]] &lt;&gt; "", PO[[#This Row],[Spend category L2 - Override]], PO[[#This Row],[Spend category L2]])</f>
        <v>0</v>
      </c>
      <c r="N95" s="63">
        <f>Assumptions!$D$15</f>
        <v>0.1</v>
      </c>
      <c r="O95" s="45">
        <f>IF(PO[[#This Row],[GST applies?]] = "Yes", (PO[[#This Row],[Value inc. GST]] / 1 + PO[[#This Row],[GST %]]) * PO[[#This Row],[GST %]], 0)</f>
        <v>0</v>
      </c>
      <c r="P95" s="31">
        <f>_xlfn.XLOOKUP(PO[[#This Row],[Supplier name]], Supplier_master[Supplier name], Supplier_master[EOM or Net], 0)</f>
        <v>0</v>
      </c>
      <c r="Q95" s="31">
        <f>_xlfn.XLOOKUP(PO[[#This Row],[Supplier name]], Supplier_master[Supplier name], Supplier_master[Terms days], 0)</f>
        <v>0</v>
      </c>
      <c r="R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" s="4"/>
      <c r="T95" s="46">
        <f>IF(PO[[#This Row],[Payment date - override (dd/mm/yyyy)]] &lt;&gt; "", PO[[#This Row],[Payment date - override (dd/mm/yyyy)]], PO[[#This Row],[Due date (dd/mm/yyyy)]])</f>
        <v>0</v>
      </c>
      <c r="U95" s="46">
        <f t="shared" si="1"/>
        <v>52</v>
      </c>
    </row>
    <row r="96" spans="3:21" x14ac:dyDescent="0.25">
      <c r="C96" s="24"/>
      <c r="D96" s="20"/>
      <c r="E96" s="4"/>
      <c r="F96" s="37"/>
      <c r="G96" s="38"/>
      <c r="H96" s="31">
        <f>_xlfn.XLOOKUP(PO[[#This Row],[Supplier name]], Supplier_master[Supplier name], Supplier_master[Category L1], 0)</f>
        <v>0</v>
      </c>
      <c r="I96" s="31">
        <f>_xlfn.XLOOKUP(PO[[#This Row],[Supplier name]], Supplier_master[Supplier name], Supplier_master[Category L2], 0)</f>
        <v>0</v>
      </c>
      <c r="J96" s="55"/>
      <c r="K96" s="55"/>
      <c r="L96" s="31">
        <f>IF(PO[[#This Row],[Spend category L1 - Override]] &lt;&gt; "", PO[[#This Row],[Spend category L1 - Override]], PO[[#This Row],[Spend category L1]])</f>
        <v>0</v>
      </c>
      <c r="M96" s="31">
        <f>IF(PO[[#This Row],[Spend category L2 - Override]] &lt;&gt; "", PO[[#This Row],[Spend category L2 - Override]], PO[[#This Row],[Spend category L2]])</f>
        <v>0</v>
      </c>
      <c r="N96" s="63">
        <f>Assumptions!$D$15</f>
        <v>0.1</v>
      </c>
      <c r="O96" s="45">
        <f>IF(PO[[#This Row],[GST applies?]] = "Yes", (PO[[#This Row],[Value inc. GST]] / 1 + PO[[#This Row],[GST %]]) * PO[[#This Row],[GST %]], 0)</f>
        <v>0</v>
      </c>
      <c r="P96" s="31">
        <f>_xlfn.XLOOKUP(PO[[#This Row],[Supplier name]], Supplier_master[Supplier name], Supplier_master[EOM or Net], 0)</f>
        <v>0</v>
      </c>
      <c r="Q96" s="31">
        <f>_xlfn.XLOOKUP(PO[[#This Row],[Supplier name]], Supplier_master[Supplier name], Supplier_master[Terms days], 0)</f>
        <v>0</v>
      </c>
      <c r="R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" s="4"/>
      <c r="T96" s="46">
        <f>IF(PO[[#This Row],[Payment date - override (dd/mm/yyyy)]] &lt;&gt; "", PO[[#This Row],[Payment date - override (dd/mm/yyyy)]], PO[[#This Row],[Due date (dd/mm/yyyy)]])</f>
        <v>0</v>
      </c>
      <c r="U96" s="46">
        <f t="shared" si="1"/>
        <v>52</v>
      </c>
    </row>
    <row r="97" spans="3:21" x14ac:dyDescent="0.25">
      <c r="C97" s="24"/>
      <c r="D97" s="20"/>
      <c r="E97" s="4"/>
      <c r="F97" s="37"/>
      <c r="G97" s="38"/>
      <c r="H97" s="31">
        <f>_xlfn.XLOOKUP(PO[[#This Row],[Supplier name]], Supplier_master[Supplier name], Supplier_master[Category L1], 0)</f>
        <v>0</v>
      </c>
      <c r="I97" s="31">
        <f>_xlfn.XLOOKUP(PO[[#This Row],[Supplier name]], Supplier_master[Supplier name], Supplier_master[Category L2], 0)</f>
        <v>0</v>
      </c>
      <c r="J97" s="55"/>
      <c r="K97" s="55"/>
      <c r="L97" s="31">
        <f>IF(PO[[#This Row],[Spend category L1 - Override]] &lt;&gt; "", PO[[#This Row],[Spend category L1 - Override]], PO[[#This Row],[Spend category L1]])</f>
        <v>0</v>
      </c>
      <c r="M97" s="31">
        <f>IF(PO[[#This Row],[Spend category L2 - Override]] &lt;&gt; "", PO[[#This Row],[Spend category L2 - Override]], PO[[#This Row],[Spend category L2]])</f>
        <v>0</v>
      </c>
      <c r="N97" s="63">
        <f>Assumptions!$D$15</f>
        <v>0.1</v>
      </c>
      <c r="O97" s="45">
        <f>IF(PO[[#This Row],[GST applies?]] = "Yes", (PO[[#This Row],[Value inc. GST]] / 1 + PO[[#This Row],[GST %]]) * PO[[#This Row],[GST %]], 0)</f>
        <v>0</v>
      </c>
      <c r="P97" s="31">
        <f>_xlfn.XLOOKUP(PO[[#This Row],[Supplier name]], Supplier_master[Supplier name], Supplier_master[EOM or Net], 0)</f>
        <v>0</v>
      </c>
      <c r="Q97" s="31">
        <f>_xlfn.XLOOKUP(PO[[#This Row],[Supplier name]], Supplier_master[Supplier name], Supplier_master[Terms days], 0)</f>
        <v>0</v>
      </c>
      <c r="R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" s="4"/>
      <c r="T97" s="46">
        <f>IF(PO[[#This Row],[Payment date - override (dd/mm/yyyy)]] &lt;&gt; "", PO[[#This Row],[Payment date - override (dd/mm/yyyy)]], PO[[#This Row],[Due date (dd/mm/yyyy)]])</f>
        <v>0</v>
      </c>
      <c r="U97" s="46">
        <f t="shared" si="1"/>
        <v>52</v>
      </c>
    </row>
    <row r="98" spans="3:21" x14ac:dyDescent="0.25">
      <c r="C98" s="24"/>
      <c r="D98" s="20"/>
      <c r="E98" s="4"/>
      <c r="F98" s="37"/>
      <c r="G98" s="38"/>
      <c r="H98" s="31">
        <f>_xlfn.XLOOKUP(PO[[#This Row],[Supplier name]], Supplier_master[Supplier name], Supplier_master[Category L1], 0)</f>
        <v>0</v>
      </c>
      <c r="I98" s="31">
        <f>_xlfn.XLOOKUP(PO[[#This Row],[Supplier name]], Supplier_master[Supplier name], Supplier_master[Category L2], 0)</f>
        <v>0</v>
      </c>
      <c r="J98" s="55"/>
      <c r="K98" s="55"/>
      <c r="L98" s="31">
        <f>IF(PO[[#This Row],[Spend category L1 - Override]] &lt;&gt; "", PO[[#This Row],[Spend category L1 - Override]], PO[[#This Row],[Spend category L1]])</f>
        <v>0</v>
      </c>
      <c r="M98" s="31">
        <f>IF(PO[[#This Row],[Spend category L2 - Override]] &lt;&gt; "", PO[[#This Row],[Spend category L2 - Override]], PO[[#This Row],[Spend category L2]])</f>
        <v>0</v>
      </c>
      <c r="N98" s="63">
        <f>Assumptions!$D$15</f>
        <v>0.1</v>
      </c>
      <c r="O98" s="45">
        <f>IF(PO[[#This Row],[GST applies?]] = "Yes", (PO[[#This Row],[Value inc. GST]] / 1 + PO[[#This Row],[GST %]]) * PO[[#This Row],[GST %]], 0)</f>
        <v>0</v>
      </c>
      <c r="P98" s="31">
        <f>_xlfn.XLOOKUP(PO[[#This Row],[Supplier name]], Supplier_master[Supplier name], Supplier_master[EOM or Net], 0)</f>
        <v>0</v>
      </c>
      <c r="Q98" s="31">
        <f>_xlfn.XLOOKUP(PO[[#This Row],[Supplier name]], Supplier_master[Supplier name], Supplier_master[Terms days], 0)</f>
        <v>0</v>
      </c>
      <c r="R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" s="4"/>
      <c r="T98" s="46">
        <f>IF(PO[[#This Row],[Payment date - override (dd/mm/yyyy)]] &lt;&gt; "", PO[[#This Row],[Payment date - override (dd/mm/yyyy)]], PO[[#This Row],[Due date (dd/mm/yyyy)]])</f>
        <v>0</v>
      </c>
      <c r="U98" s="46">
        <f t="shared" si="1"/>
        <v>52</v>
      </c>
    </row>
    <row r="99" spans="3:21" x14ac:dyDescent="0.25">
      <c r="C99" s="24"/>
      <c r="D99" s="20"/>
      <c r="E99" s="4"/>
      <c r="F99" s="37"/>
      <c r="G99" s="38"/>
      <c r="H99" s="31">
        <f>_xlfn.XLOOKUP(PO[[#This Row],[Supplier name]], Supplier_master[Supplier name], Supplier_master[Category L1], 0)</f>
        <v>0</v>
      </c>
      <c r="I99" s="31">
        <f>_xlfn.XLOOKUP(PO[[#This Row],[Supplier name]], Supplier_master[Supplier name], Supplier_master[Category L2], 0)</f>
        <v>0</v>
      </c>
      <c r="J99" s="55"/>
      <c r="K99" s="55"/>
      <c r="L99" s="31">
        <f>IF(PO[[#This Row],[Spend category L1 - Override]] &lt;&gt; "", PO[[#This Row],[Spend category L1 - Override]], PO[[#This Row],[Spend category L1]])</f>
        <v>0</v>
      </c>
      <c r="M99" s="31">
        <f>IF(PO[[#This Row],[Spend category L2 - Override]] &lt;&gt; "", PO[[#This Row],[Spend category L2 - Override]], PO[[#This Row],[Spend category L2]])</f>
        <v>0</v>
      </c>
      <c r="N99" s="63">
        <f>Assumptions!$D$15</f>
        <v>0.1</v>
      </c>
      <c r="O99" s="45">
        <f>IF(PO[[#This Row],[GST applies?]] = "Yes", (PO[[#This Row],[Value inc. GST]] / 1 + PO[[#This Row],[GST %]]) * PO[[#This Row],[GST %]], 0)</f>
        <v>0</v>
      </c>
      <c r="P99" s="31">
        <f>_xlfn.XLOOKUP(PO[[#This Row],[Supplier name]], Supplier_master[Supplier name], Supplier_master[EOM or Net], 0)</f>
        <v>0</v>
      </c>
      <c r="Q99" s="31">
        <f>_xlfn.XLOOKUP(PO[[#This Row],[Supplier name]], Supplier_master[Supplier name], Supplier_master[Terms days], 0)</f>
        <v>0</v>
      </c>
      <c r="R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" s="4"/>
      <c r="T99" s="46">
        <f>IF(PO[[#This Row],[Payment date - override (dd/mm/yyyy)]] &lt;&gt; "", PO[[#This Row],[Payment date - override (dd/mm/yyyy)]], PO[[#This Row],[Due date (dd/mm/yyyy)]])</f>
        <v>0</v>
      </c>
      <c r="U99" s="46">
        <f t="shared" si="1"/>
        <v>52</v>
      </c>
    </row>
    <row r="100" spans="3:21" x14ac:dyDescent="0.25">
      <c r="C100" s="24"/>
      <c r="D100" s="20"/>
      <c r="E100" s="4"/>
      <c r="F100" s="37"/>
      <c r="G100" s="38"/>
      <c r="H100" s="31">
        <f>_xlfn.XLOOKUP(PO[[#This Row],[Supplier name]], Supplier_master[Supplier name], Supplier_master[Category L1], 0)</f>
        <v>0</v>
      </c>
      <c r="I100" s="31">
        <f>_xlfn.XLOOKUP(PO[[#This Row],[Supplier name]], Supplier_master[Supplier name], Supplier_master[Category L2], 0)</f>
        <v>0</v>
      </c>
      <c r="J100" s="55"/>
      <c r="K100" s="55"/>
      <c r="L100" s="31">
        <f>IF(PO[[#This Row],[Spend category L1 - Override]] &lt;&gt; "", PO[[#This Row],[Spend category L1 - Override]], PO[[#This Row],[Spend category L1]])</f>
        <v>0</v>
      </c>
      <c r="M100" s="31">
        <f>IF(PO[[#This Row],[Spend category L2 - Override]] &lt;&gt; "", PO[[#This Row],[Spend category L2 - Override]], PO[[#This Row],[Spend category L2]])</f>
        <v>0</v>
      </c>
      <c r="N100" s="63">
        <f>Assumptions!$D$15</f>
        <v>0.1</v>
      </c>
      <c r="O100" s="45">
        <f>IF(PO[[#This Row],[GST applies?]] = "Yes", (PO[[#This Row],[Value inc. GST]] / 1 + PO[[#This Row],[GST %]]) * PO[[#This Row],[GST %]], 0)</f>
        <v>0</v>
      </c>
      <c r="P100" s="31">
        <f>_xlfn.XLOOKUP(PO[[#This Row],[Supplier name]], Supplier_master[Supplier name], Supplier_master[EOM or Net], 0)</f>
        <v>0</v>
      </c>
      <c r="Q100" s="31">
        <f>_xlfn.XLOOKUP(PO[[#This Row],[Supplier name]], Supplier_master[Supplier name], Supplier_master[Terms days], 0)</f>
        <v>0</v>
      </c>
      <c r="R1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0" s="4"/>
      <c r="T100" s="46">
        <f>IF(PO[[#This Row],[Payment date - override (dd/mm/yyyy)]] &lt;&gt; "", PO[[#This Row],[Payment date - override (dd/mm/yyyy)]], PO[[#This Row],[Due date (dd/mm/yyyy)]])</f>
        <v>0</v>
      </c>
      <c r="U100" s="46">
        <f t="shared" si="1"/>
        <v>52</v>
      </c>
    </row>
    <row r="101" spans="3:21" x14ac:dyDescent="0.25">
      <c r="C101" s="24"/>
      <c r="D101" s="20"/>
      <c r="E101" s="4"/>
      <c r="F101" s="37"/>
      <c r="G101" s="38"/>
      <c r="H101" s="31">
        <f>_xlfn.XLOOKUP(PO[[#This Row],[Supplier name]], Supplier_master[Supplier name], Supplier_master[Category L1], 0)</f>
        <v>0</v>
      </c>
      <c r="I101" s="31">
        <f>_xlfn.XLOOKUP(PO[[#This Row],[Supplier name]], Supplier_master[Supplier name], Supplier_master[Category L2], 0)</f>
        <v>0</v>
      </c>
      <c r="J101" s="55"/>
      <c r="K101" s="55"/>
      <c r="L101" s="31">
        <f>IF(PO[[#This Row],[Spend category L1 - Override]] &lt;&gt; "", PO[[#This Row],[Spend category L1 - Override]], PO[[#This Row],[Spend category L1]])</f>
        <v>0</v>
      </c>
      <c r="M101" s="31">
        <f>IF(PO[[#This Row],[Spend category L2 - Override]] &lt;&gt; "", PO[[#This Row],[Spend category L2 - Override]], PO[[#This Row],[Spend category L2]])</f>
        <v>0</v>
      </c>
      <c r="N101" s="63">
        <f>Assumptions!$D$15</f>
        <v>0.1</v>
      </c>
      <c r="O101" s="45">
        <f>IF(PO[[#This Row],[GST applies?]] = "Yes", (PO[[#This Row],[Value inc. GST]] / 1 + PO[[#This Row],[GST %]]) * PO[[#This Row],[GST %]], 0)</f>
        <v>0</v>
      </c>
      <c r="P101" s="31">
        <f>_xlfn.XLOOKUP(PO[[#This Row],[Supplier name]], Supplier_master[Supplier name], Supplier_master[EOM or Net], 0)</f>
        <v>0</v>
      </c>
      <c r="Q101" s="31">
        <f>_xlfn.XLOOKUP(PO[[#This Row],[Supplier name]], Supplier_master[Supplier name], Supplier_master[Terms days], 0)</f>
        <v>0</v>
      </c>
      <c r="R1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1" s="4"/>
      <c r="T101" s="46">
        <f>IF(PO[[#This Row],[Payment date - override (dd/mm/yyyy)]] &lt;&gt; "", PO[[#This Row],[Payment date - override (dd/mm/yyyy)]], PO[[#This Row],[Due date (dd/mm/yyyy)]])</f>
        <v>0</v>
      </c>
      <c r="U101" s="46">
        <f t="shared" si="1"/>
        <v>52</v>
      </c>
    </row>
    <row r="102" spans="3:21" x14ac:dyDescent="0.25">
      <c r="C102" s="24"/>
      <c r="D102" s="20"/>
      <c r="E102" s="4"/>
      <c r="F102" s="37"/>
      <c r="G102" s="38"/>
      <c r="H102" s="31">
        <f>_xlfn.XLOOKUP(PO[[#This Row],[Supplier name]], Supplier_master[Supplier name], Supplier_master[Category L1], 0)</f>
        <v>0</v>
      </c>
      <c r="I102" s="31">
        <f>_xlfn.XLOOKUP(PO[[#This Row],[Supplier name]], Supplier_master[Supplier name], Supplier_master[Category L2], 0)</f>
        <v>0</v>
      </c>
      <c r="J102" s="55"/>
      <c r="K102" s="55"/>
      <c r="L102" s="31">
        <f>IF(PO[[#This Row],[Spend category L1 - Override]] &lt;&gt; "", PO[[#This Row],[Spend category L1 - Override]], PO[[#This Row],[Spend category L1]])</f>
        <v>0</v>
      </c>
      <c r="M102" s="31">
        <f>IF(PO[[#This Row],[Spend category L2 - Override]] &lt;&gt; "", PO[[#This Row],[Spend category L2 - Override]], PO[[#This Row],[Spend category L2]])</f>
        <v>0</v>
      </c>
      <c r="N102" s="63">
        <f>Assumptions!$D$15</f>
        <v>0.1</v>
      </c>
      <c r="O102" s="45">
        <f>IF(PO[[#This Row],[GST applies?]] = "Yes", (PO[[#This Row],[Value inc. GST]] / 1 + PO[[#This Row],[GST %]]) * PO[[#This Row],[GST %]], 0)</f>
        <v>0</v>
      </c>
      <c r="P102" s="31">
        <f>_xlfn.XLOOKUP(PO[[#This Row],[Supplier name]], Supplier_master[Supplier name], Supplier_master[EOM or Net], 0)</f>
        <v>0</v>
      </c>
      <c r="Q102" s="31">
        <f>_xlfn.XLOOKUP(PO[[#This Row],[Supplier name]], Supplier_master[Supplier name], Supplier_master[Terms days], 0)</f>
        <v>0</v>
      </c>
      <c r="R1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2" s="4"/>
      <c r="T102" s="46">
        <f>IF(PO[[#This Row],[Payment date - override (dd/mm/yyyy)]] &lt;&gt; "", PO[[#This Row],[Payment date - override (dd/mm/yyyy)]], PO[[#This Row],[Due date (dd/mm/yyyy)]])</f>
        <v>0</v>
      </c>
      <c r="U102" s="46">
        <f t="shared" si="1"/>
        <v>52</v>
      </c>
    </row>
    <row r="103" spans="3:21" x14ac:dyDescent="0.25">
      <c r="C103" s="24"/>
      <c r="D103" s="20"/>
      <c r="E103" s="4"/>
      <c r="F103" s="37"/>
      <c r="G103" s="38"/>
      <c r="H103" s="31">
        <f>_xlfn.XLOOKUP(PO[[#This Row],[Supplier name]], Supplier_master[Supplier name], Supplier_master[Category L1], 0)</f>
        <v>0</v>
      </c>
      <c r="I103" s="31">
        <f>_xlfn.XLOOKUP(PO[[#This Row],[Supplier name]], Supplier_master[Supplier name], Supplier_master[Category L2], 0)</f>
        <v>0</v>
      </c>
      <c r="J103" s="55"/>
      <c r="K103" s="55"/>
      <c r="L103" s="31">
        <f>IF(PO[[#This Row],[Spend category L1 - Override]] &lt;&gt; "", PO[[#This Row],[Spend category L1 - Override]], PO[[#This Row],[Spend category L1]])</f>
        <v>0</v>
      </c>
      <c r="M103" s="31">
        <f>IF(PO[[#This Row],[Spend category L2 - Override]] &lt;&gt; "", PO[[#This Row],[Spend category L2 - Override]], PO[[#This Row],[Spend category L2]])</f>
        <v>0</v>
      </c>
      <c r="N103" s="63">
        <f>Assumptions!$D$15</f>
        <v>0.1</v>
      </c>
      <c r="O103" s="45">
        <f>IF(PO[[#This Row],[GST applies?]] = "Yes", (PO[[#This Row],[Value inc. GST]] / 1 + PO[[#This Row],[GST %]]) * PO[[#This Row],[GST %]], 0)</f>
        <v>0</v>
      </c>
      <c r="P103" s="31">
        <f>_xlfn.XLOOKUP(PO[[#This Row],[Supplier name]], Supplier_master[Supplier name], Supplier_master[EOM or Net], 0)</f>
        <v>0</v>
      </c>
      <c r="Q103" s="31">
        <f>_xlfn.XLOOKUP(PO[[#This Row],[Supplier name]], Supplier_master[Supplier name], Supplier_master[Terms days], 0)</f>
        <v>0</v>
      </c>
      <c r="R1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3" s="4"/>
      <c r="T103" s="46">
        <f>IF(PO[[#This Row],[Payment date - override (dd/mm/yyyy)]] &lt;&gt; "", PO[[#This Row],[Payment date - override (dd/mm/yyyy)]], PO[[#This Row],[Due date (dd/mm/yyyy)]])</f>
        <v>0</v>
      </c>
      <c r="U103" s="46">
        <f t="shared" si="1"/>
        <v>52</v>
      </c>
    </row>
    <row r="104" spans="3:21" x14ac:dyDescent="0.25">
      <c r="C104" s="24"/>
      <c r="D104" s="20"/>
      <c r="E104" s="4"/>
      <c r="F104" s="37"/>
      <c r="G104" s="38"/>
      <c r="H104" s="31">
        <f>_xlfn.XLOOKUP(PO[[#This Row],[Supplier name]], Supplier_master[Supplier name], Supplier_master[Category L1], 0)</f>
        <v>0</v>
      </c>
      <c r="I104" s="31">
        <f>_xlfn.XLOOKUP(PO[[#This Row],[Supplier name]], Supplier_master[Supplier name], Supplier_master[Category L2], 0)</f>
        <v>0</v>
      </c>
      <c r="J104" s="55"/>
      <c r="K104" s="55"/>
      <c r="L104" s="31">
        <f>IF(PO[[#This Row],[Spend category L1 - Override]] &lt;&gt; "", PO[[#This Row],[Spend category L1 - Override]], PO[[#This Row],[Spend category L1]])</f>
        <v>0</v>
      </c>
      <c r="M104" s="31">
        <f>IF(PO[[#This Row],[Spend category L2 - Override]] &lt;&gt; "", PO[[#This Row],[Spend category L2 - Override]], PO[[#This Row],[Spend category L2]])</f>
        <v>0</v>
      </c>
      <c r="N104" s="63">
        <f>Assumptions!$D$15</f>
        <v>0.1</v>
      </c>
      <c r="O104" s="45">
        <f>IF(PO[[#This Row],[GST applies?]] = "Yes", (PO[[#This Row],[Value inc. GST]] / 1 + PO[[#This Row],[GST %]]) * PO[[#This Row],[GST %]], 0)</f>
        <v>0</v>
      </c>
      <c r="P104" s="31">
        <f>_xlfn.XLOOKUP(PO[[#This Row],[Supplier name]], Supplier_master[Supplier name], Supplier_master[EOM or Net], 0)</f>
        <v>0</v>
      </c>
      <c r="Q104" s="31">
        <f>_xlfn.XLOOKUP(PO[[#This Row],[Supplier name]], Supplier_master[Supplier name], Supplier_master[Terms days], 0)</f>
        <v>0</v>
      </c>
      <c r="R1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4" s="4"/>
      <c r="T104" s="46">
        <f>IF(PO[[#This Row],[Payment date - override (dd/mm/yyyy)]] &lt;&gt; "", PO[[#This Row],[Payment date - override (dd/mm/yyyy)]], PO[[#This Row],[Due date (dd/mm/yyyy)]])</f>
        <v>0</v>
      </c>
      <c r="U104" s="46">
        <f t="shared" si="1"/>
        <v>52</v>
      </c>
    </row>
    <row r="105" spans="3:21" x14ac:dyDescent="0.25">
      <c r="C105" s="24"/>
      <c r="D105" s="20"/>
      <c r="E105" s="4"/>
      <c r="F105" s="37"/>
      <c r="G105" s="38"/>
      <c r="H105" s="31">
        <f>_xlfn.XLOOKUP(PO[[#This Row],[Supplier name]], Supplier_master[Supplier name], Supplier_master[Category L1], 0)</f>
        <v>0</v>
      </c>
      <c r="I105" s="31">
        <f>_xlfn.XLOOKUP(PO[[#This Row],[Supplier name]], Supplier_master[Supplier name], Supplier_master[Category L2], 0)</f>
        <v>0</v>
      </c>
      <c r="J105" s="55"/>
      <c r="K105" s="55"/>
      <c r="L105" s="31">
        <f>IF(PO[[#This Row],[Spend category L1 - Override]] &lt;&gt; "", PO[[#This Row],[Spend category L1 - Override]], PO[[#This Row],[Spend category L1]])</f>
        <v>0</v>
      </c>
      <c r="M105" s="31">
        <f>IF(PO[[#This Row],[Spend category L2 - Override]] &lt;&gt; "", PO[[#This Row],[Spend category L2 - Override]], PO[[#This Row],[Spend category L2]])</f>
        <v>0</v>
      </c>
      <c r="N105" s="63">
        <f>Assumptions!$D$15</f>
        <v>0.1</v>
      </c>
      <c r="O105" s="45">
        <f>IF(PO[[#This Row],[GST applies?]] = "Yes", (PO[[#This Row],[Value inc. GST]] / 1 + PO[[#This Row],[GST %]]) * PO[[#This Row],[GST %]], 0)</f>
        <v>0</v>
      </c>
      <c r="P105" s="31">
        <f>_xlfn.XLOOKUP(PO[[#This Row],[Supplier name]], Supplier_master[Supplier name], Supplier_master[EOM or Net], 0)</f>
        <v>0</v>
      </c>
      <c r="Q105" s="31">
        <f>_xlfn.XLOOKUP(PO[[#This Row],[Supplier name]], Supplier_master[Supplier name], Supplier_master[Terms days], 0)</f>
        <v>0</v>
      </c>
      <c r="R1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5" s="4"/>
      <c r="T105" s="46">
        <f>IF(PO[[#This Row],[Payment date - override (dd/mm/yyyy)]] &lt;&gt; "", PO[[#This Row],[Payment date - override (dd/mm/yyyy)]], PO[[#This Row],[Due date (dd/mm/yyyy)]])</f>
        <v>0</v>
      </c>
      <c r="U105" s="46">
        <f t="shared" si="1"/>
        <v>52</v>
      </c>
    </row>
    <row r="106" spans="3:21" x14ac:dyDescent="0.25">
      <c r="C106" s="24"/>
      <c r="D106" s="20"/>
      <c r="E106" s="4"/>
      <c r="F106" s="37"/>
      <c r="G106" s="38"/>
      <c r="H106" s="31">
        <f>_xlfn.XLOOKUP(PO[[#This Row],[Supplier name]], Supplier_master[Supplier name], Supplier_master[Category L1], 0)</f>
        <v>0</v>
      </c>
      <c r="I106" s="31">
        <f>_xlfn.XLOOKUP(PO[[#This Row],[Supplier name]], Supplier_master[Supplier name], Supplier_master[Category L2], 0)</f>
        <v>0</v>
      </c>
      <c r="J106" s="55"/>
      <c r="K106" s="55"/>
      <c r="L106" s="31">
        <f>IF(PO[[#This Row],[Spend category L1 - Override]] &lt;&gt; "", PO[[#This Row],[Spend category L1 - Override]], PO[[#This Row],[Spend category L1]])</f>
        <v>0</v>
      </c>
      <c r="M106" s="31">
        <f>IF(PO[[#This Row],[Spend category L2 - Override]] &lt;&gt; "", PO[[#This Row],[Spend category L2 - Override]], PO[[#This Row],[Spend category L2]])</f>
        <v>0</v>
      </c>
      <c r="N106" s="63">
        <f>Assumptions!$D$15</f>
        <v>0.1</v>
      </c>
      <c r="O106" s="45">
        <f>IF(PO[[#This Row],[GST applies?]] = "Yes", (PO[[#This Row],[Value inc. GST]] / 1 + PO[[#This Row],[GST %]]) * PO[[#This Row],[GST %]], 0)</f>
        <v>0</v>
      </c>
      <c r="P106" s="31">
        <f>_xlfn.XLOOKUP(PO[[#This Row],[Supplier name]], Supplier_master[Supplier name], Supplier_master[EOM or Net], 0)</f>
        <v>0</v>
      </c>
      <c r="Q106" s="31">
        <f>_xlfn.XLOOKUP(PO[[#This Row],[Supplier name]], Supplier_master[Supplier name], Supplier_master[Terms days], 0)</f>
        <v>0</v>
      </c>
      <c r="R1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6" s="4"/>
      <c r="T106" s="46">
        <f>IF(PO[[#This Row],[Payment date - override (dd/mm/yyyy)]] &lt;&gt; "", PO[[#This Row],[Payment date - override (dd/mm/yyyy)]], PO[[#This Row],[Due date (dd/mm/yyyy)]])</f>
        <v>0</v>
      </c>
      <c r="U106" s="46">
        <f t="shared" si="1"/>
        <v>52</v>
      </c>
    </row>
    <row r="107" spans="3:21" x14ac:dyDescent="0.25">
      <c r="C107" s="24"/>
      <c r="D107" s="20"/>
      <c r="E107" s="4"/>
      <c r="F107" s="37"/>
      <c r="G107" s="38"/>
      <c r="H107" s="31">
        <f>_xlfn.XLOOKUP(PO[[#This Row],[Supplier name]], Supplier_master[Supplier name], Supplier_master[Category L1], 0)</f>
        <v>0</v>
      </c>
      <c r="I107" s="31">
        <f>_xlfn.XLOOKUP(PO[[#This Row],[Supplier name]], Supplier_master[Supplier name], Supplier_master[Category L2], 0)</f>
        <v>0</v>
      </c>
      <c r="J107" s="55"/>
      <c r="K107" s="55"/>
      <c r="L107" s="31">
        <f>IF(PO[[#This Row],[Spend category L1 - Override]] &lt;&gt; "", PO[[#This Row],[Spend category L1 - Override]], PO[[#This Row],[Spend category L1]])</f>
        <v>0</v>
      </c>
      <c r="M107" s="31">
        <f>IF(PO[[#This Row],[Spend category L2 - Override]] &lt;&gt; "", PO[[#This Row],[Spend category L2 - Override]], PO[[#This Row],[Spend category L2]])</f>
        <v>0</v>
      </c>
      <c r="N107" s="63">
        <f>Assumptions!$D$15</f>
        <v>0.1</v>
      </c>
      <c r="O107" s="45">
        <f>IF(PO[[#This Row],[GST applies?]] = "Yes", (PO[[#This Row],[Value inc. GST]] / 1 + PO[[#This Row],[GST %]]) * PO[[#This Row],[GST %]], 0)</f>
        <v>0</v>
      </c>
      <c r="P107" s="31">
        <f>_xlfn.XLOOKUP(PO[[#This Row],[Supplier name]], Supplier_master[Supplier name], Supplier_master[EOM or Net], 0)</f>
        <v>0</v>
      </c>
      <c r="Q107" s="31">
        <f>_xlfn.XLOOKUP(PO[[#This Row],[Supplier name]], Supplier_master[Supplier name], Supplier_master[Terms days], 0)</f>
        <v>0</v>
      </c>
      <c r="R1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7" s="4"/>
      <c r="T107" s="46">
        <f>IF(PO[[#This Row],[Payment date - override (dd/mm/yyyy)]] &lt;&gt; "", PO[[#This Row],[Payment date - override (dd/mm/yyyy)]], PO[[#This Row],[Due date (dd/mm/yyyy)]])</f>
        <v>0</v>
      </c>
      <c r="U107" s="46">
        <f t="shared" si="1"/>
        <v>52</v>
      </c>
    </row>
    <row r="108" spans="3:21" x14ac:dyDescent="0.25">
      <c r="C108" s="24"/>
      <c r="D108" s="20"/>
      <c r="E108" s="4"/>
      <c r="F108" s="37"/>
      <c r="G108" s="38"/>
      <c r="H108" s="31">
        <f>_xlfn.XLOOKUP(PO[[#This Row],[Supplier name]], Supplier_master[Supplier name], Supplier_master[Category L1], 0)</f>
        <v>0</v>
      </c>
      <c r="I108" s="31">
        <f>_xlfn.XLOOKUP(PO[[#This Row],[Supplier name]], Supplier_master[Supplier name], Supplier_master[Category L2], 0)</f>
        <v>0</v>
      </c>
      <c r="J108" s="55"/>
      <c r="K108" s="55"/>
      <c r="L108" s="31">
        <f>IF(PO[[#This Row],[Spend category L1 - Override]] &lt;&gt; "", PO[[#This Row],[Spend category L1 - Override]], PO[[#This Row],[Spend category L1]])</f>
        <v>0</v>
      </c>
      <c r="M108" s="31">
        <f>IF(PO[[#This Row],[Spend category L2 - Override]] &lt;&gt; "", PO[[#This Row],[Spend category L2 - Override]], PO[[#This Row],[Spend category L2]])</f>
        <v>0</v>
      </c>
      <c r="N108" s="63">
        <f>Assumptions!$D$15</f>
        <v>0.1</v>
      </c>
      <c r="O108" s="45">
        <f>IF(PO[[#This Row],[GST applies?]] = "Yes", (PO[[#This Row],[Value inc. GST]] / 1 + PO[[#This Row],[GST %]]) * PO[[#This Row],[GST %]], 0)</f>
        <v>0</v>
      </c>
      <c r="P108" s="31">
        <f>_xlfn.XLOOKUP(PO[[#This Row],[Supplier name]], Supplier_master[Supplier name], Supplier_master[EOM or Net], 0)</f>
        <v>0</v>
      </c>
      <c r="Q108" s="31">
        <f>_xlfn.XLOOKUP(PO[[#This Row],[Supplier name]], Supplier_master[Supplier name], Supplier_master[Terms days], 0)</f>
        <v>0</v>
      </c>
      <c r="R1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8" s="4"/>
      <c r="T108" s="46">
        <f>IF(PO[[#This Row],[Payment date - override (dd/mm/yyyy)]] &lt;&gt; "", PO[[#This Row],[Payment date - override (dd/mm/yyyy)]], PO[[#This Row],[Due date (dd/mm/yyyy)]])</f>
        <v>0</v>
      </c>
      <c r="U108" s="46">
        <f t="shared" si="1"/>
        <v>52</v>
      </c>
    </row>
    <row r="109" spans="3:21" x14ac:dyDescent="0.25">
      <c r="C109" s="24"/>
      <c r="D109" s="20"/>
      <c r="E109" s="4"/>
      <c r="F109" s="37"/>
      <c r="G109" s="38"/>
      <c r="H109" s="31">
        <f>_xlfn.XLOOKUP(PO[[#This Row],[Supplier name]], Supplier_master[Supplier name], Supplier_master[Category L1], 0)</f>
        <v>0</v>
      </c>
      <c r="I109" s="31">
        <f>_xlfn.XLOOKUP(PO[[#This Row],[Supplier name]], Supplier_master[Supplier name], Supplier_master[Category L2], 0)</f>
        <v>0</v>
      </c>
      <c r="J109" s="55"/>
      <c r="K109" s="55"/>
      <c r="L109" s="31">
        <f>IF(PO[[#This Row],[Spend category L1 - Override]] &lt;&gt; "", PO[[#This Row],[Spend category L1 - Override]], PO[[#This Row],[Spend category L1]])</f>
        <v>0</v>
      </c>
      <c r="M109" s="31">
        <f>IF(PO[[#This Row],[Spend category L2 - Override]] &lt;&gt; "", PO[[#This Row],[Spend category L2 - Override]], PO[[#This Row],[Spend category L2]])</f>
        <v>0</v>
      </c>
      <c r="N109" s="63">
        <f>Assumptions!$D$15</f>
        <v>0.1</v>
      </c>
      <c r="O109" s="45">
        <f>IF(PO[[#This Row],[GST applies?]] = "Yes", (PO[[#This Row],[Value inc. GST]] / 1 + PO[[#This Row],[GST %]]) * PO[[#This Row],[GST %]], 0)</f>
        <v>0</v>
      </c>
      <c r="P109" s="31">
        <f>_xlfn.XLOOKUP(PO[[#This Row],[Supplier name]], Supplier_master[Supplier name], Supplier_master[EOM or Net], 0)</f>
        <v>0</v>
      </c>
      <c r="Q109" s="31">
        <f>_xlfn.XLOOKUP(PO[[#This Row],[Supplier name]], Supplier_master[Supplier name], Supplier_master[Terms days], 0)</f>
        <v>0</v>
      </c>
      <c r="R1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9" s="4"/>
      <c r="T109" s="46">
        <f>IF(PO[[#This Row],[Payment date - override (dd/mm/yyyy)]] &lt;&gt; "", PO[[#This Row],[Payment date - override (dd/mm/yyyy)]], PO[[#This Row],[Due date (dd/mm/yyyy)]])</f>
        <v>0</v>
      </c>
      <c r="U109" s="46">
        <f t="shared" si="1"/>
        <v>52</v>
      </c>
    </row>
    <row r="110" spans="3:21" x14ac:dyDescent="0.25">
      <c r="C110" s="24"/>
      <c r="D110" s="20"/>
      <c r="E110" s="4"/>
      <c r="F110" s="37"/>
      <c r="G110" s="38"/>
      <c r="H110" s="31">
        <f>_xlfn.XLOOKUP(PO[[#This Row],[Supplier name]], Supplier_master[Supplier name], Supplier_master[Category L1], 0)</f>
        <v>0</v>
      </c>
      <c r="I110" s="31">
        <f>_xlfn.XLOOKUP(PO[[#This Row],[Supplier name]], Supplier_master[Supplier name], Supplier_master[Category L2], 0)</f>
        <v>0</v>
      </c>
      <c r="J110" s="55"/>
      <c r="K110" s="55"/>
      <c r="L110" s="31">
        <f>IF(PO[[#This Row],[Spend category L1 - Override]] &lt;&gt; "", PO[[#This Row],[Spend category L1 - Override]], PO[[#This Row],[Spend category L1]])</f>
        <v>0</v>
      </c>
      <c r="M110" s="31">
        <f>IF(PO[[#This Row],[Spend category L2 - Override]] &lt;&gt; "", PO[[#This Row],[Spend category L2 - Override]], PO[[#This Row],[Spend category L2]])</f>
        <v>0</v>
      </c>
      <c r="N110" s="63">
        <f>Assumptions!$D$15</f>
        <v>0.1</v>
      </c>
      <c r="O110" s="45">
        <f>IF(PO[[#This Row],[GST applies?]] = "Yes", (PO[[#This Row],[Value inc. GST]] / 1 + PO[[#This Row],[GST %]]) * PO[[#This Row],[GST %]], 0)</f>
        <v>0</v>
      </c>
      <c r="P110" s="31">
        <f>_xlfn.XLOOKUP(PO[[#This Row],[Supplier name]], Supplier_master[Supplier name], Supplier_master[EOM or Net], 0)</f>
        <v>0</v>
      </c>
      <c r="Q110" s="31">
        <f>_xlfn.XLOOKUP(PO[[#This Row],[Supplier name]], Supplier_master[Supplier name], Supplier_master[Terms days], 0)</f>
        <v>0</v>
      </c>
      <c r="R1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0" s="4"/>
      <c r="T110" s="46">
        <f>IF(PO[[#This Row],[Payment date - override (dd/mm/yyyy)]] &lt;&gt; "", PO[[#This Row],[Payment date - override (dd/mm/yyyy)]], PO[[#This Row],[Due date (dd/mm/yyyy)]])</f>
        <v>0</v>
      </c>
      <c r="U110" s="46">
        <f t="shared" si="1"/>
        <v>52</v>
      </c>
    </row>
    <row r="111" spans="3:21" x14ac:dyDescent="0.25">
      <c r="C111" s="24"/>
      <c r="D111" s="20"/>
      <c r="E111" s="4"/>
      <c r="F111" s="37"/>
      <c r="G111" s="38"/>
      <c r="H111" s="31">
        <f>_xlfn.XLOOKUP(PO[[#This Row],[Supplier name]], Supplier_master[Supplier name], Supplier_master[Category L1], 0)</f>
        <v>0</v>
      </c>
      <c r="I111" s="31">
        <f>_xlfn.XLOOKUP(PO[[#This Row],[Supplier name]], Supplier_master[Supplier name], Supplier_master[Category L2], 0)</f>
        <v>0</v>
      </c>
      <c r="J111" s="55"/>
      <c r="K111" s="55"/>
      <c r="L111" s="31">
        <f>IF(PO[[#This Row],[Spend category L1 - Override]] &lt;&gt; "", PO[[#This Row],[Spend category L1 - Override]], PO[[#This Row],[Spend category L1]])</f>
        <v>0</v>
      </c>
      <c r="M111" s="31">
        <f>IF(PO[[#This Row],[Spend category L2 - Override]] &lt;&gt; "", PO[[#This Row],[Spend category L2 - Override]], PO[[#This Row],[Spend category L2]])</f>
        <v>0</v>
      </c>
      <c r="N111" s="63">
        <f>Assumptions!$D$15</f>
        <v>0.1</v>
      </c>
      <c r="O111" s="45">
        <f>IF(PO[[#This Row],[GST applies?]] = "Yes", (PO[[#This Row],[Value inc. GST]] / 1 + PO[[#This Row],[GST %]]) * PO[[#This Row],[GST %]], 0)</f>
        <v>0</v>
      </c>
      <c r="P111" s="31">
        <f>_xlfn.XLOOKUP(PO[[#This Row],[Supplier name]], Supplier_master[Supplier name], Supplier_master[EOM or Net], 0)</f>
        <v>0</v>
      </c>
      <c r="Q111" s="31">
        <f>_xlfn.XLOOKUP(PO[[#This Row],[Supplier name]], Supplier_master[Supplier name], Supplier_master[Terms days], 0)</f>
        <v>0</v>
      </c>
      <c r="R1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1" s="4"/>
      <c r="T111" s="46">
        <f>IF(PO[[#This Row],[Payment date - override (dd/mm/yyyy)]] &lt;&gt; "", PO[[#This Row],[Payment date - override (dd/mm/yyyy)]], PO[[#This Row],[Due date (dd/mm/yyyy)]])</f>
        <v>0</v>
      </c>
      <c r="U111" s="46">
        <f t="shared" si="1"/>
        <v>52</v>
      </c>
    </row>
    <row r="112" spans="3:21" x14ac:dyDescent="0.25">
      <c r="C112" s="24"/>
      <c r="D112" s="20"/>
      <c r="E112" s="4"/>
      <c r="F112" s="37"/>
      <c r="G112" s="38"/>
      <c r="H112" s="31">
        <f>_xlfn.XLOOKUP(PO[[#This Row],[Supplier name]], Supplier_master[Supplier name], Supplier_master[Category L1], 0)</f>
        <v>0</v>
      </c>
      <c r="I112" s="31">
        <f>_xlfn.XLOOKUP(PO[[#This Row],[Supplier name]], Supplier_master[Supplier name], Supplier_master[Category L2], 0)</f>
        <v>0</v>
      </c>
      <c r="J112" s="55"/>
      <c r="K112" s="55"/>
      <c r="L112" s="31">
        <f>IF(PO[[#This Row],[Spend category L1 - Override]] &lt;&gt; "", PO[[#This Row],[Spend category L1 - Override]], PO[[#This Row],[Spend category L1]])</f>
        <v>0</v>
      </c>
      <c r="M112" s="31">
        <f>IF(PO[[#This Row],[Spend category L2 - Override]] &lt;&gt; "", PO[[#This Row],[Spend category L2 - Override]], PO[[#This Row],[Spend category L2]])</f>
        <v>0</v>
      </c>
      <c r="N112" s="63">
        <f>Assumptions!$D$15</f>
        <v>0.1</v>
      </c>
      <c r="O112" s="45">
        <f>IF(PO[[#This Row],[GST applies?]] = "Yes", (PO[[#This Row],[Value inc. GST]] / 1 + PO[[#This Row],[GST %]]) * PO[[#This Row],[GST %]], 0)</f>
        <v>0</v>
      </c>
      <c r="P112" s="31">
        <f>_xlfn.XLOOKUP(PO[[#This Row],[Supplier name]], Supplier_master[Supplier name], Supplier_master[EOM or Net], 0)</f>
        <v>0</v>
      </c>
      <c r="Q112" s="31">
        <f>_xlfn.XLOOKUP(PO[[#This Row],[Supplier name]], Supplier_master[Supplier name], Supplier_master[Terms days], 0)</f>
        <v>0</v>
      </c>
      <c r="R1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2" s="4"/>
      <c r="T112" s="46">
        <f>IF(PO[[#This Row],[Payment date - override (dd/mm/yyyy)]] &lt;&gt; "", PO[[#This Row],[Payment date - override (dd/mm/yyyy)]], PO[[#This Row],[Due date (dd/mm/yyyy)]])</f>
        <v>0</v>
      </c>
      <c r="U112" s="46">
        <f t="shared" si="1"/>
        <v>52</v>
      </c>
    </row>
    <row r="113" spans="3:21" x14ac:dyDescent="0.25">
      <c r="C113" s="24"/>
      <c r="D113" s="20"/>
      <c r="E113" s="4"/>
      <c r="F113" s="37"/>
      <c r="G113" s="38"/>
      <c r="H113" s="31">
        <f>_xlfn.XLOOKUP(PO[[#This Row],[Supplier name]], Supplier_master[Supplier name], Supplier_master[Category L1], 0)</f>
        <v>0</v>
      </c>
      <c r="I113" s="31">
        <f>_xlfn.XLOOKUP(PO[[#This Row],[Supplier name]], Supplier_master[Supplier name], Supplier_master[Category L2], 0)</f>
        <v>0</v>
      </c>
      <c r="J113" s="55"/>
      <c r="K113" s="55"/>
      <c r="L113" s="31">
        <f>IF(PO[[#This Row],[Spend category L1 - Override]] &lt;&gt; "", PO[[#This Row],[Spend category L1 - Override]], PO[[#This Row],[Spend category L1]])</f>
        <v>0</v>
      </c>
      <c r="M113" s="31">
        <f>IF(PO[[#This Row],[Spend category L2 - Override]] &lt;&gt; "", PO[[#This Row],[Spend category L2 - Override]], PO[[#This Row],[Spend category L2]])</f>
        <v>0</v>
      </c>
      <c r="N113" s="63">
        <f>Assumptions!$D$15</f>
        <v>0.1</v>
      </c>
      <c r="O113" s="45">
        <f>IF(PO[[#This Row],[GST applies?]] = "Yes", (PO[[#This Row],[Value inc. GST]] / 1 + PO[[#This Row],[GST %]]) * PO[[#This Row],[GST %]], 0)</f>
        <v>0</v>
      </c>
      <c r="P113" s="31">
        <f>_xlfn.XLOOKUP(PO[[#This Row],[Supplier name]], Supplier_master[Supplier name], Supplier_master[EOM or Net], 0)</f>
        <v>0</v>
      </c>
      <c r="Q113" s="31">
        <f>_xlfn.XLOOKUP(PO[[#This Row],[Supplier name]], Supplier_master[Supplier name], Supplier_master[Terms days], 0)</f>
        <v>0</v>
      </c>
      <c r="R1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3" s="4"/>
      <c r="T113" s="46">
        <f>IF(PO[[#This Row],[Payment date - override (dd/mm/yyyy)]] &lt;&gt; "", PO[[#This Row],[Payment date - override (dd/mm/yyyy)]], PO[[#This Row],[Due date (dd/mm/yyyy)]])</f>
        <v>0</v>
      </c>
      <c r="U113" s="46">
        <f t="shared" si="1"/>
        <v>52</v>
      </c>
    </row>
    <row r="114" spans="3:21" x14ac:dyDescent="0.25">
      <c r="C114" s="24"/>
      <c r="D114" s="20"/>
      <c r="E114" s="4"/>
      <c r="F114" s="37"/>
      <c r="G114" s="38"/>
      <c r="H114" s="31">
        <f>_xlfn.XLOOKUP(PO[[#This Row],[Supplier name]], Supplier_master[Supplier name], Supplier_master[Category L1], 0)</f>
        <v>0</v>
      </c>
      <c r="I114" s="31">
        <f>_xlfn.XLOOKUP(PO[[#This Row],[Supplier name]], Supplier_master[Supplier name], Supplier_master[Category L2], 0)</f>
        <v>0</v>
      </c>
      <c r="J114" s="55"/>
      <c r="K114" s="55"/>
      <c r="L114" s="31">
        <f>IF(PO[[#This Row],[Spend category L1 - Override]] &lt;&gt; "", PO[[#This Row],[Spend category L1 - Override]], PO[[#This Row],[Spend category L1]])</f>
        <v>0</v>
      </c>
      <c r="M114" s="31">
        <f>IF(PO[[#This Row],[Spend category L2 - Override]] &lt;&gt; "", PO[[#This Row],[Spend category L2 - Override]], PO[[#This Row],[Spend category L2]])</f>
        <v>0</v>
      </c>
      <c r="N114" s="63">
        <f>Assumptions!$D$15</f>
        <v>0.1</v>
      </c>
      <c r="O114" s="45">
        <f>IF(PO[[#This Row],[GST applies?]] = "Yes", (PO[[#This Row],[Value inc. GST]] / 1 + PO[[#This Row],[GST %]]) * PO[[#This Row],[GST %]], 0)</f>
        <v>0</v>
      </c>
      <c r="P114" s="31">
        <f>_xlfn.XLOOKUP(PO[[#This Row],[Supplier name]], Supplier_master[Supplier name], Supplier_master[EOM or Net], 0)</f>
        <v>0</v>
      </c>
      <c r="Q114" s="31">
        <f>_xlfn.XLOOKUP(PO[[#This Row],[Supplier name]], Supplier_master[Supplier name], Supplier_master[Terms days], 0)</f>
        <v>0</v>
      </c>
      <c r="R1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4" s="4"/>
      <c r="T114" s="46">
        <f>IF(PO[[#This Row],[Payment date - override (dd/mm/yyyy)]] &lt;&gt; "", PO[[#This Row],[Payment date - override (dd/mm/yyyy)]], PO[[#This Row],[Due date (dd/mm/yyyy)]])</f>
        <v>0</v>
      </c>
      <c r="U114" s="46">
        <f t="shared" si="1"/>
        <v>52</v>
      </c>
    </row>
    <row r="115" spans="3:21" x14ac:dyDescent="0.25">
      <c r="C115" s="24"/>
      <c r="D115" s="20"/>
      <c r="E115" s="4"/>
      <c r="F115" s="37"/>
      <c r="G115" s="38"/>
      <c r="H115" s="31">
        <f>_xlfn.XLOOKUP(PO[[#This Row],[Supplier name]], Supplier_master[Supplier name], Supplier_master[Category L1], 0)</f>
        <v>0</v>
      </c>
      <c r="I115" s="31">
        <f>_xlfn.XLOOKUP(PO[[#This Row],[Supplier name]], Supplier_master[Supplier name], Supplier_master[Category L2], 0)</f>
        <v>0</v>
      </c>
      <c r="J115" s="55"/>
      <c r="K115" s="55"/>
      <c r="L115" s="31">
        <f>IF(PO[[#This Row],[Spend category L1 - Override]] &lt;&gt; "", PO[[#This Row],[Spend category L1 - Override]], PO[[#This Row],[Spend category L1]])</f>
        <v>0</v>
      </c>
      <c r="M115" s="31">
        <f>IF(PO[[#This Row],[Spend category L2 - Override]] &lt;&gt; "", PO[[#This Row],[Spend category L2 - Override]], PO[[#This Row],[Spend category L2]])</f>
        <v>0</v>
      </c>
      <c r="N115" s="63">
        <f>Assumptions!$D$15</f>
        <v>0.1</v>
      </c>
      <c r="O115" s="45">
        <f>IF(PO[[#This Row],[GST applies?]] = "Yes", (PO[[#This Row],[Value inc. GST]] / 1 + PO[[#This Row],[GST %]]) * PO[[#This Row],[GST %]], 0)</f>
        <v>0</v>
      </c>
      <c r="P115" s="31">
        <f>_xlfn.XLOOKUP(PO[[#This Row],[Supplier name]], Supplier_master[Supplier name], Supplier_master[EOM or Net], 0)</f>
        <v>0</v>
      </c>
      <c r="Q115" s="31">
        <f>_xlfn.XLOOKUP(PO[[#This Row],[Supplier name]], Supplier_master[Supplier name], Supplier_master[Terms days], 0)</f>
        <v>0</v>
      </c>
      <c r="R1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5" s="4"/>
      <c r="T115" s="46">
        <f>IF(PO[[#This Row],[Payment date - override (dd/mm/yyyy)]] &lt;&gt; "", PO[[#This Row],[Payment date - override (dd/mm/yyyy)]], PO[[#This Row],[Due date (dd/mm/yyyy)]])</f>
        <v>0</v>
      </c>
      <c r="U115" s="46">
        <f t="shared" si="1"/>
        <v>52</v>
      </c>
    </row>
    <row r="116" spans="3:21" x14ac:dyDescent="0.25">
      <c r="C116" s="24"/>
      <c r="D116" s="20"/>
      <c r="E116" s="4"/>
      <c r="F116" s="37"/>
      <c r="G116" s="38"/>
      <c r="H116" s="31">
        <f>_xlfn.XLOOKUP(PO[[#This Row],[Supplier name]], Supplier_master[Supplier name], Supplier_master[Category L1], 0)</f>
        <v>0</v>
      </c>
      <c r="I116" s="31">
        <f>_xlfn.XLOOKUP(PO[[#This Row],[Supplier name]], Supplier_master[Supplier name], Supplier_master[Category L2], 0)</f>
        <v>0</v>
      </c>
      <c r="J116" s="55"/>
      <c r="K116" s="55"/>
      <c r="L116" s="31">
        <f>IF(PO[[#This Row],[Spend category L1 - Override]] &lt;&gt; "", PO[[#This Row],[Spend category L1 - Override]], PO[[#This Row],[Spend category L1]])</f>
        <v>0</v>
      </c>
      <c r="M116" s="31">
        <f>IF(PO[[#This Row],[Spend category L2 - Override]] &lt;&gt; "", PO[[#This Row],[Spend category L2 - Override]], PO[[#This Row],[Spend category L2]])</f>
        <v>0</v>
      </c>
      <c r="N116" s="63">
        <f>Assumptions!$D$15</f>
        <v>0.1</v>
      </c>
      <c r="O116" s="45">
        <f>IF(PO[[#This Row],[GST applies?]] = "Yes", (PO[[#This Row],[Value inc. GST]] / 1 + PO[[#This Row],[GST %]]) * PO[[#This Row],[GST %]], 0)</f>
        <v>0</v>
      </c>
      <c r="P116" s="31">
        <f>_xlfn.XLOOKUP(PO[[#This Row],[Supplier name]], Supplier_master[Supplier name], Supplier_master[EOM or Net], 0)</f>
        <v>0</v>
      </c>
      <c r="Q116" s="31">
        <f>_xlfn.XLOOKUP(PO[[#This Row],[Supplier name]], Supplier_master[Supplier name], Supplier_master[Terms days], 0)</f>
        <v>0</v>
      </c>
      <c r="R1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6" s="4"/>
      <c r="T116" s="46">
        <f>IF(PO[[#This Row],[Payment date - override (dd/mm/yyyy)]] &lt;&gt; "", PO[[#This Row],[Payment date - override (dd/mm/yyyy)]], PO[[#This Row],[Due date (dd/mm/yyyy)]])</f>
        <v>0</v>
      </c>
      <c r="U116" s="46">
        <f t="shared" si="1"/>
        <v>52</v>
      </c>
    </row>
    <row r="117" spans="3:21" x14ac:dyDescent="0.25">
      <c r="C117" s="24"/>
      <c r="D117" s="20"/>
      <c r="E117" s="4"/>
      <c r="F117" s="37"/>
      <c r="G117" s="38"/>
      <c r="H117" s="31">
        <f>_xlfn.XLOOKUP(PO[[#This Row],[Supplier name]], Supplier_master[Supplier name], Supplier_master[Category L1], 0)</f>
        <v>0</v>
      </c>
      <c r="I117" s="31">
        <f>_xlfn.XLOOKUP(PO[[#This Row],[Supplier name]], Supplier_master[Supplier name], Supplier_master[Category L2], 0)</f>
        <v>0</v>
      </c>
      <c r="J117" s="55"/>
      <c r="K117" s="55"/>
      <c r="L117" s="31">
        <f>IF(PO[[#This Row],[Spend category L1 - Override]] &lt;&gt; "", PO[[#This Row],[Spend category L1 - Override]], PO[[#This Row],[Spend category L1]])</f>
        <v>0</v>
      </c>
      <c r="M117" s="31">
        <f>IF(PO[[#This Row],[Spend category L2 - Override]] &lt;&gt; "", PO[[#This Row],[Spend category L2 - Override]], PO[[#This Row],[Spend category L2]])</f>
        <v>0</v>
      </c>
      <c r="N117" s="63">
        <f>Assumptions!$D$15</f>
        <v>0.1</v>
      </c>
      <c r="O117" s="45">
        <f>IF(PO[[#This Row],[GST applies?]] = "Yes", (PO[[#This Row],[Value inc. GST]] / 1 + PO[[#This Row],[GST %]]) * PO[[#This Row],[GST %]], 0)</f>
        <v>0</v>
      </c>
      <c r="P117" s="31">
        <f>_xlfn.XLOOKUP(PO[[#This Row],[Supplier name]], Supplier_master[Supplier name], Supplier_master[EOM or Net], 0)</f>
        <v>0</v>
      </c>
      <c r="Q117" s="31">
        <f>_xlfn.XLOOKUP(PO[[#This Row],[Supplier name]], Supplier_master[Supplier name], Supplier_master[Terms days], 0)</f>
        <v>0</v>
      </c>
      <c r="R1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7" s="4"/>
      <c r="T117" s="46">
        <f>IF(PO[[#This Row],[Payment date - override (dd/mm/yyyy)]] &lt;&gt; "", PO[[#This Row],[Payment date - override (dd/mm/yyyy)]], PO[[#This Row],[Due date (dd/mm/yyyy)]])</f>
        <v>0</v>
      </c>
      <c r="U117" s="46">
        <f t="shared" si="1"/>
        <v>52</v>
      </c>
    </row>
    <row r="118" spans="3:21" x14ac:dyDescent="0.25">
      <c r="C118" s="24"/>
      <c r="D118" s="20"/>
      <c r="E118" s="4"/>
      <c r="F118" s="37"/>
      <c r="G118" s="38"/>
      <c r="H118" s="31">
        <f>_xlfn.XLOOKUP(PO[[#This Row],[Supplier name]], Supplier_master[Supplier name], Supplier_master[Category L1], 0)</f>
        <v>0</v>
      </c>
      <c r="I118" s="31">
        <f>_xlfn.XLOOKUP(PO[[#This Row],[Supplier name]], Supplier_master[Supplier name], Supplier_master[Category L2], 0)</f>
        <v>0</v>
      </c>
      <c r="J118" s="55"/>
      <c r="K118" s="55"/>
      <c r="L118" s="31">
        <f>IF(PO[[#This Row],[Spend category L1 - Override]] &lt;&gt; "", PO[[#This Row],[Spend category L1 - Override]], PO[[#This Row],[Spend category L1]])</f>
        <v>0</v>
      </c>
      <c r="M118" s="31">
        <f>IF(PO[[#This Row],[Spend category L2 - Override]] &lt;&gt; "", PO[[#This Row],[Spend category L2 - Override]], PO[[#This Row],[Spend category L2]])</f>
        <v>0</v>
      </c>
      <c r="N118" s="63">
        <f>Assumptions!$D$15</f>
        <v>0.1</v>
      </c>
      <c r="O118" s="45">
        <f>IF(PO[[#This Row],[GST applies?]] = "Yes", (PO[[#This Row],[Value inc. GST]] / 1 + PO[[#This Row],[GST %]]) * PO[[#This Row],[GST %]], 0)</f>
        <v>0</v>
      </c>
      <c r="P118" s="31">
        <f>_xlfn.XLOOKUP(PO[[#This Row],[Supplier name]], Supplier_master[Supplier name], Supplier_master[EOM or Net], 0)</f>
        <v>0</v>
      </c>
      <c r="Q118" s="31">
        <f>_xlfn.XLOOKUP(PO[[#This Row],[Supplier name]], Supplier_master[Supplier name], Supplier_master[Terms days], 0)</f>
        <v>0</v>
      </c>
      <c r="R1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8" s="4"/>
      <c r="T118" s="46">
        <f>IF(PO[[#This Row],[Payment date - override (dd/mm/yyyy)]] &lt;&gt; "", PO[[#This Row],[Payment date - override (dd/mm/yyyy)]], PO[[#This Row],[Due date (dd/mm/yyyy)]])</f>
        <v>0</v>
      </c>
      <c r="U118" s="46">
        <f t="shared" si="1"/>
        <v>52</v>
      </c>
    </row>
    <row r="119" spans="3:21" x14ac:dyDescent="0.25">
      <c r="C119" s="24"/>
      <c r="D119" s="20"/>
      <c r="E119" s="4"/>
      <c r="F119" s="37"/>
      <c r="G119" s="38"/>
      <c r="H119" s="31">
        <f>_xlfn.XLOOKUP(PO[[#This Row],[Supplier name]], Supplier_master[Supplier name], Supplier_master[Category L1], 0)</f>
        <v>0</v>
      </c>
      <c r="I119" s="31">
        <f>_xlfn.XLOOKUP(PO[[#This Row],[Supplier name]], Supplier_master[Supplier name], Supplier_master[Category L2], 0)</f>
        <v>0</v>
      </c>
      <c r="J119" s="55"/>
      <c r="K119" s="55"/>
      <c r="L119" s="31">
        <f>IF(PO[[#This Row],[Spend category L1 - Override]] &lt;&gt; "", PO[[#This Row],[Spend category L1 - Override]], PO[[#This Row],[Spend category L1]])</f>
        <v>0</v>
      </c>
      <c r="M119" s="31">
        <f>IF(PO[[#This Row],[Spend category L2 - Override]] &lt;&gt; "", PO[[#This Row],[Spend category L2 - Override]], PO[[#This Row],[Spend category L2]])</f>
        <v>0</v>
      </c>
      <c r="N119" s="63">
        <f>Assumptions!$D$15</f>
        <v>0.1</v>
      </c>
      <c r="O119" s="45">
        <f>IF(PO[[#This Row],[GST applies?]] = "Yes", (PO[[#This Row],[Value inc. GST]] / 1 + PO[[#This Row],[GST %]]) * PO[[#This Row],[GST %]], 0)</f>
        <v>0</v>
      </c>
      <c r="P119" s="31">
        <f>_xlfn.XLOOKUP(PO[[#This Row],[Supplier name]], Supplier_master[Supplier name], Supplier_master[EOM or Net], 0)</f>
        <v>0</v>
      </c>
      <c r="Q119" s="31">
        <f>_xlfn.XLOOKUP(PO[[#This Row],[Supplier name]], Supplier_master[Supplier name], Supplier_master[Terms days], 0)</f>
        <v>0</v>
      </c>
      <c r="R1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9" s="4"/>
      <c r="T119" s="46">
        <f>IF(PO[[#This Row],[Payment date - override (dd/mm/yyyy)]] &lt;&gt; "", PO[[#This Row],[Payment date - override (dd/mm/yyyy)]], PO[[#This Row],[Due date (dd/mm/yyyy)]])</f>
        <v>0</v>
      </c>
      <c r="U119" s="46">
        <f t="shared" si="1"/>
        <v>52</v>
      </c>
    </row>
    <row r="120" spans="3:21" x14ac:dyDescent="0.25">
      <c r="C120" s="24"/>
      <c r="D120" s="20"/>
      <c r="E120" s="4"/>
      <c r="F120" s="37"/>
      <c r="G120" s="38"/>
      <c r="H120" s="31">
        <f>_xlfn.XLOOKUP(PO[[#This Row],[Supplier name]], Supplier_master[Supplier name], Supplier_master[Category L1], 0)</f>
        <v>0</v>
      </c>
      <c r="I120" s="31">
        <f>_xlfn.XLOOKUP(PO[[#This Row],[Supplier name]], Supplier_master[Supplier name], Supplier_master[Category L2], 0)</f>
        <v>0</v>
      </c>
      <c r="J120" s="55"/>
      <c r="K120" s="55"/>
      <c r="L120" s="31">
        <f>IF(PO[[#This Row],[Spend category L1 - Override]] &lt;&gt; "", PO[[#This Row],[Spend category L1 - Override]], PO[[#This Row],[Spend category L1]])</f>
        <v>0</v>
      </c>
      <c r="M120" s="31">
        <f>IF(PO[[#This Row],[Spend category L2 - Override]] &lt;&gt; "", PO[[#This Row],[Spend category L2 - Override]], PO[[#This Row],[Spend category L2]])</f>
        <v>0</v>
      </c>
      <c r="N120" s="63">
        <f>Assumptions!$D$15</f>
        <v>0.1</v>
      </c>
      <c r="O120" s="45">
        <f>IF(PO[[#This Row],[GST applies?]] = "Yes", (PO[[#This Row],[Value inc. GST]] / 1 + PO[[#This Row],[GST %]]) * PO[[#This Row],[GST %]], 0)</f>
        <v>0</v>
      </c>
      <c r="P120" s="31">
        <f>_xlfn.XLOOKUP(PO[[#This Row],[Supplier name]], Supplier_master[Supplier name], Supplier_master[EOM or Net], 0)</f>
        <v>0</v>
      </c>
      <c r="Q120" s="31">
        <f>_xlfn.XLOOKUP(PO[[#This Row],[Supplier name]], Supplier_master[Supplier name], Supplier_master[Terms days], 0)</f>
        <v>0</v>
      </c>
      <c r="R1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0" s="4"/>
      <c r="T120" s="46">
        <f>IF(PO[[#This Row],[Payment date - override (dd/mm/yyyy)]] &lt;&gt; "", PO[[#This Row],[Payment date - override (dd/mm/yyyy)]], PO[[#This Row],[Due date (dd/mm/yyyy)]])</f>
        <v>0</v>
      </c>
      <c r="U120" s="46">
        <f t="shared" si="1"/>
        <v>52</v>
      </c>
    </row>
    <row r="121" spans="3:21" x14ac:dyDescent="0.25">
      <c r="C121" s="24"/>
      <c r="D121" s="20"/>
      <c r="E121" s="4"/>
      <c r="F121" s="37"/>
      <c r="G121" s="38"/>
      <c r="H121" s="31">
        <f>_xlfn.XLOOKUP(PO[[#This Row],[Supplier name]], Supplier_master[Supplier name], Supplier_master[Category L1], 0)</f>
        <v>0</v>
      </c>
      <c r="I121" s="31">
        <f>_xlfn.XLOOKUP(PO[[#This Row],[Supplier name]], Supplier_master[Supplier name], Supplier_master[Category L2], 0)</f>
        <v>0</v>
      </c>
      <c r="J121" s="55"/>
      <c r="K121" s="55"/>
      <c r="L121" s="31">
        <f>IF(PO[[#This Row],[Spend category L1 - Override]] &lt;&gt; "", PO[[#This Row],[Spend category L1 - Override]], PO[[#This Row],[Spend category L1]])</f>
        <v>0</v>
      </c>
      <c r="M121" s="31">
        <f>IF(PO[[#This Row],[Spend category L2 - Override]] &lt;&gt; "", PO[[#This Row],[Spend category L2 - Override]], PO[[#This Row],[Spend category L2]])</f>
        <v>0</v>
      </c>
      <c r="N121" s="63">
        <f>Assumptions!$D$15</f>
        <v>0.1</v>
      </c>
      <c r="O121" s="45">
        <f>IF(PO[[#This Row],[GST applies?]] = "Yes", (PO[[#This Row],[Value inc. GST]] / 1 + PO[[#This Row],[GST %]]) * PO[[#This Row],[GST %]], 0)</f>
        <v>0</v>
      </c>
      <c r="P121" s="31">
        <f>_xlfn.XLOOKUP(PO[[#This Row],[Supplier name]], Supplier_master[Supplier name], Supplier_master[EOM or Net], 0)</f>
        <v>0</v>
      </c>
      <c r="Q121" s="31">
        <f>_xlfn.XLOOKUP(PO[[#This Row],[Supplier name]], Supplier_master[Supplier name], Supplier_master[Terms days], 0)</f>
        <v>0</v>
      </c>
      <c r="R1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1" s="4"/>
      <c r="T121" s="46">
        <f>IF(PO[[#This Row],[Payment date - override (dd/mm/yyyy)]] &lt;&gt; "", PO[[#This Row],[Payment date - override (dd/mm/yyyy)]], PO[[#This Row],[Due date (dd/mm/yyyy)]])</f>
        <v>0</v>
      </c>
      <c r="U121" s="46">
        <f t="shared" si="1"/>
        <v>52</v>
      </c>
    </row>
    <row r="122" spans="3:21" x14ac:dyDescent="0.25">
      <c r="C122" s="24"/>
      <c r="D122" s="20"/>
      <c r="E122" s="4"/>
      <c r="F122" s="37"/>
      <c r="G122" s="38"/>
      <c r="H122" s="31">
        <f>_xlfn.XLOOKUP(PO[[#This Row],[Supplier name]], Supplier_master[Supplier name], Supplier_master[Category L1], 0)</f>
        <v>0</v>
      </c>
      <c r="I122" s="31">
        <f>_xlfn.XLOOKUP(PO[[#This Row],[Supplier name]], Supplier_master[Supplier name], Supplier_master[Category L2], 0)</f>
        <v>0</v>
      </c>
      <c r="J122" s="55"/>
      <c r="K122" s="55"/>
      <c r="L122" s="31">
        <f>IF(PO[[#This Row],[Spend category L1 - Override]] &lt;&gt; "", PO[[#This Row],[Spend category L1 - Override]], PO[[#This Row],[Spend category L1]])</f>
        <v>0</v>
      </c>
      <c r="M122" s="31">
        <f>IF(PO[[#This Row],[Spend category L2 - Override]] &lt;&gt; "", PO[[#This Row],[Spend category L2 - Override]], PO[[#This Row],[Spend category L2]])</f>
        <v>0</v>
      </c>
      <c r="N122" s="63">
        <f>Assumptions!$D$15</f>
        <v>0.1</v>
      </c>
      <c r="O122" s="45">
        <f>IF(PO[[#This Row],[GST applies?]] = "Yes", (PO[[#This Row],[Value inc. GST]] / 1 + PO[[#This Row],[GST %]]) * PO[[#This Row],[GST %]], 0)</f>
        <v>0</v>
      </c>
      <c r="P122" s="31">
        <f>_xlfn.XLOOKUP(PO[[#This Row],[Supplier name]], Supplier_master[Supplier name], Supplier_master[EOM or Net], 0)</f>
        <v>0</v>
      </c>
      <c r="Q122" s="31">
        <f>_xlfn.XLOOKUP(PO[[#This Row],[Supplier name]], Supplier_master[Supplier name], Supplier_master[Terms days], 0)</f>
        <v>0</v>
      </c>
      <c r="R1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2" s="4"/>
      <c r="T122" s="46">
        <f>IF(PO[[#This Row],[Payment date - override (dd/mm/yyyy)]] &lt;&gt; "", PO[[#This Row],[Payment date - override (dd/mm/yyyy)]], PO[[#This Row],[Due date (dd/mm/yyyy)]])</f>
        <v>0</v>
      </c>
      <c r="U122" s="46">
        <f t="shared" si="1"/>
        <v>52</v>
      </c>
    </row>
    <row r="123" spans="3:21" x14ac:dyDescent="0.25">
      <c r="C123" s="24"/>
      <c r="D123" s="20"/>
      <c r="E123" s="4"/>
      <c r="F123" s="37"/>
      <c r="G123" s="38"/>
      <c r="H123" s="31">
        <f>_xlfn.XLOOKUP(PO[[#This Row],[Supplier name]], Supplier_master[Supplier name], Supplier_master[Category L1], 0)</f>
        <v>0</v>
      </c>
      <c r="I123" s="31">
        <f>_xlfn.XLOOKUP(PO[[#This Row],[Supplier name]], Supplier_master[Supplier name], Supplier_master[Category L2], 0)</f>
        <v>0</v>
      </c>
      <c r="J123" s="55"/>
      <c r="K123" s="55"/>
      <c r="L123" s="31">
        <f>IF(PO[[#This Row],[Spend category L1 - Override]] &lt;&gt; "", PO[[#This Row],[Spend category L1 - Override]], PO[[#This Row],[Spend category L1]])</f>
        <v>0</v>
      </c>
      <c r="M123" s="31">
        <f>IF(PO[[#This Row],[Spend category L2 - Override]] &lt;&gt; "", PO[[#This Row],[Spend category L2 - Override]], PO[[#This Row],[Spend category L2]])</f>
        <v>0</v>
      </c>
      <c r="N123" s="63">
        <f>Assumptions!$D$15</f>
        <v>0.1</v>
      </c>
      <c r="O123" s="45">
        <f>IF(PO[[#This Row],[GST applies?]] = "Yes", (PO[[#This Row],[Value inc. GST]] / 1 + PO[[#This Row],[GST %]]) * PO[[#This Row],[GST %]], 0)</f>
        <v>0</v>
      </c>
      <c r="P123" s="31">
        <f>_xlfn.XLOOKUP(PO[[#This Row],[Supplier name]], Supplier_master[Supplier name], Supplier_master[EOM or Net], 0)</f>
        <v>0</v>
      </c>
      <c r="Q123" s="31">
        <f>_xlfn.XLOOKUP(PO[[#This Row],[Supplier name]], Supplier_master[Supplier name], Supplier_master[Terms days], 0)</f>
        <v>0</v>
      </c>
      <c r="R1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3" s="4"/>
      <c r="T123" s="46">
        <f>IF(PO[[#This Row],[Payment date - override (dd/mm/yyyy)]] &lt;&gt; "", PO[[#This Row],[Payment date - override (dd/mm/yyyy)]], PO[[#This Row],[Due date (dd/mm/yyyy)]])</f>
        <v>0</v>
      </c>
      <c r="U123" s="46">
        <f t="shared" si="1"/>
        <v>52</v>
      </c>
    </row>
    <row r="124" spans="3:21" x14ac:dyDescent="0.25">
      <c r="C124" s="24"/>
      <c r="D124" s="20"/>
      <c r="E124" s="4"/>
      <c r="F124" s="37"/>
      <c r="G124" s="38"/>
      <c r="H124" s="31">
        <f>_xlfn.XLOOKUP(PO[[#This Row],[Supplier name]], Supplier_master[Supplier name], Supplier_master[Category L1], 0)</f>
        <v>0</v>
      </c>
      <c r="I124" s="31">
        <f>_xlfn.XLOOKUP(PO[[#This Row],[Supplier name]], Supplier_master[Supplier name], Supplier_master[Category L2], 0)</f>
        <v>0</v>
      </c>
      <c r="J124" s="55"/>
      <c r="K124" s="55"/>
      <c r="L124" s="31">
        <f>IF(PO[[#This Row],[Spend category L1 - Override]] &lt;&gt; "", PO[[#This Row],[Spend category L1 - Override]], PO[[#This Row],[Spend category L1]])</f>
        <v>0</v>
      </c>
      <c r="M124" s="31">
        <f>IF(PO[[#This Row],[Spend category L2 - Override]] &lt;&gt; "", PO[[#This Row],[Spend category L2 - Override]], PO[[#This Row],[Spend category L2]])</f>
        <v>0</v>
      </c>
      <c r="N124" s="63">
        <f>Assumptions!$D$15</f>
        <v>0.1</v>
      </c>
      <c r="O124" s="45">
        <f>IF(PO[[#This Row],[GST applies?]] = "Yes", (PO[[#This Row],[Value inc. GST]] / 1 + PO[[#This Row],[GST %]]) * PO[[#This Row],[GST %]], 0)</f>
        <v>0</v>
      </c>
      <c r="P124" s="31">
        <f>_xlfn.XLOOKUP(PO[[#This Row],[Supplier name]], Supplier_master[Supplier name], Supplier_master[EOM or Net], 0)</f>
        <v>0</v>
      </c>
      <c r="Q124" s="31">
        <f>_xlfn.XLOOKUP(PO[[#This Row],[Supplier name]], Supplier_master[Supplier name], Supplier_master[Terms days], 0)</f>
        <v>0</v>
      </c>
      <c r="R1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4" s="4"/>
      <c r="T124" s="46">
        <f>IF(PO[[#This Row],[Payment date - override (dd/mm/yyyy)]] &lt;&gt; "", PO[[#This Row],[Payment date - override (dd/mm/yyyy)]], PO[[#This Row],[Due date (dd/mm/yyyy)]])</f>
        <v>0</v>
      </c>
      <c r="U124" s="46">
        <f t="shared" si="1"/>
        <v>52</v>
      </c>
    </row>
    <row r="125" spans="3:21" x14ac:dyDescent="0.25">
      <c r="C125" s="24"/>
      <c r="D125" s="20"/>
      <c r="E125" s="4"/>
      <c r="F125" s="37"/>
      <c r="G125" s="38"/>
      <c r="H125" s="31">
        <f>_xlfn.XLOOKUP(PO[[#This Row],[Supplier name]], Supplier_master[Supplier name], Supplier_master[Category L1], 0)</f>
        <v>0</v>
      </c>
      <c r="I125" s="31">
        <f>_xlfn.XLOOKUP(PO[[#This Row],[Supplier name]], Supplier_master[Supplier name], Supplier_master[Category L2], 0)</f>
        <v>0</v>
      </c>
      <c r="J125" s="55"/>
      <c r="K125" s="55"/>
      <c r="L125" s="31">
        <f>IF(PO[[#This Row],[Spend category L1 - Override]] &lt;&gt; "", PO[[#This Row],[Spend category L1 - Override]], PO[[#This Row],[Spend category L1]])</f>
        <v>0</v>
      </c>
      <c r="M125" s="31">
        <f>IF(PO[[#This Row],[Spend category L2 - Override]] &lt;&gt; "", PO[[#This Row],[Spend category L2 - Override]], PO[[#This Row],[Spend category L2]])</f>
        <v>0</v>
      </c>
      <c r="N125" s="63">
        <f>Assumptions!$D$15</f>
        <v>0.1</v>
      </c>
      <c r="O125" s="45">
        <f>IF(PO[[#This Row],[GST applies?]] = "Yes", (PO[[#This Row],[Value inc. GST]] / 1 + PO[[#This Row],[GST %]]) * PO[[#This Row],[GST %]], 0)</f>
        <v>0</v>
      </c>
      <c r="P125" s="31">
        <f>_xlfn.XLOOKUP(PO[[#This Row],[Supplier name]], Supplier_master[Supplier name], Supplier_master[EOM or Net], 0)</f>
        <v>0</v>
      </c>
      <c r="Q125" s="31">
        <f>_xlfn.XLOOKUP(PO[[#This Row],[Supplier name]], Supplier_master[Supplier name], Supplier_master[Terms days], 0)</f>
        <v>0</v>
      </c>
      <c r="R1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5" s="4"/>
      <c r="T125" s="46">
        <f>IF(PO[[#This Row],[Payment date - override (dd/mm/yyyy)]] &lt;&gt; "", PO[[#This Row],[Payment date - override (dd/mm/yyyy)]], PO[[#This Row],[Due date (dd/mm/yyyy)]])</f>
        <v>0</v>
      </c>
      <c r="U125" s="46">
        <f t="shared" si="1"/>
        <v>52</v>
      </c>
    </row>
    <row r="126" spans="3:21" x14ac:dyDescent="0.25">
      <c r="C126" s="24"/>
      <c r="D126" s="20"/>
      <c r="E126" s="4"/>
      <c r="F126" s="37"/>
      <c r="G126" s="38"/>
      <c r="H126" s="31">
        <f>_xlfn.XLOOKUP(PO[[#This Row],[Supplier name]], Supplier_master[Supplier name], Supplier_master[Category L1], 0)</f>
        <v>0</v>
      </c>
      <c r="I126" s="31">
        <f>_xlfn.XLOOKUP(PO[[#This Row],[Supplier name]], Supplier_master[Supplier name], Supplier_master[Category L2], 0)</f>
        <v>0</v>
      </c>
      <c r="J126" s="55"/>
      <c r="K126" s="55"/>
      <c r="L126" s="31">
        <f>IF(PO[[#This Row],[Spend category L1 - Override]] &lt;&gt; "", PO[[#This Row],[Spend category L1 - Override]], PO[[#This Row],[Spend category L1]])</f>
        <v>0</v>
      </c>
      <c r="M126" s="31">
        <f>IF(PO[[#This Row],[Spend category L2 - Override]] &lt;&gt; "", PO[[#This Row],[Spend category L2 - Override]], PO[[#This Row],[Spend category L2]])</f>
        <v>0</v>
      </c>
      <c r="N126" s="63">
        <f>Assumptions!$D$15</f>
        <v>0.1</v>
      </c>
      <c r="O126" s="45">
        <f>IF(PO[[#This Row],[GST applies?]] = "Yes", (PO[[#This Row],[Value inc. GST]] / 1 + PO[[#This Row],[GST %]]) * PO[[#This Row],[GST %]], 0)</f>
        <v>0</v>
      </c>
      <c r="P126" s="31">
        <f>_xlfn.XLOOKUP(PO[[#This Row],[Supplier name]], Supplier_master[Supplier name], Supplier_master[EOM or Net], 0)</f>
        <v>0</v>
      </c>
      <c r="Q126" s="31">
        <f>_xlfn.XLOOKUP(PO[[#This Row],[Supplier name]], Supplier_master[Supplier name], Supplier_master[Terms days], 0)</f>
        <v>0</v>
      </c>
      <c r="R1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6" s="4"/>
      <c r="T126" s="46">
        <f>IF(PO[[#This Row],[Payment date - override (dd/mm/yyyy)]] &lt;&gt; "", PO[[#This Row],[Payment date - override (dd/mm/yyyy)]], PO[[#This Row],[Due date (dd/mm/yyyy)]])</f>
        <v>0</v>
      </c>
      <c r="U126" s="46">
        <f t="shared" si="1"/>
        <v>52</v>
      </c>
    </row>
    <row r="127" spans="3:21" x14ac:dyDescent="0.25">
      <c r="C127" s="24"/>
      <c r="D127" s="20"/>
      <c r="E127" s="4"/>
      <c r="F127" s="37"/>
      <c r="G127" s="38"/>
      <c r="H127" s="31">
        <f>_xlfn.XLOOKUP(PO[[#This Row],[Supplier name]], Supplier_master[Supplier name], Supplier_master[Category L1], 0)</f>
        <v>0</v>
      </c>
      <c r="I127" s="31">
        <f>_xlfn.XLOOKUP(PO[[#This Row],[Supplier name]], Supplier_master[Supplier name], Supplier_master[Category L2], 0)</f>
        <v>0</v>
      </c>
      <c r="J127" s="55"/>
      <c r="K127" s="55"/>
      <c r="L127" s="31">
        <f>IF(PO[[#This Row],[Spend category L1 - Override]] &lt;&gt; "", PO[[#This Row],[Spend category L1 - Override]], PO[[#This Row],[Spend category L1]])</f>
        <v>0</v>
      </c>
      <c r="M127" s="31">
        <f>IF(PO[[#This Row],[Spend category L2 - Override]] &lt;&gt; "", PO[[#This Row],[Spend category L2 - Override]], PO[[#This Row],[Spend category L2]])</f>
        <v>0</v>
      </c>
      <c r="N127" s="63">
        <f>Assumptions!$D$15</f>
        <v>0.1</v>
      </c>
      <c r="O127" s="45">
        <f>IF(PO[[#This Row],[GST applies?]] = "Yes", (PO[[#This Row],[Value inc. GST]] / 1 + PO[[#This Row],[GST %]]) * PO[[#This Row],[GST %]], 0)</f>
        <v>0</v>
      </c>
      <c r="P127" s="31">
        <f>_xlfn.XLOOKUP(PO[[#This Row],[Supplier name]], Supplier_master[Supplier name], Supplier_master[EOM or Net], 0)</f>
        <v>0</v>
      </c>
      <c r="Q127" s="31">
        <f>_xlfn.XLOOKUP(PO[[#This Row],[Supplier name]], Supplier_master[Supplier name], Supplier_master[Terms days], 0)</f>
        <v>0</v>
      </c>
      <c r="R1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7" s="4"/>
      <c r="T127" s="46">
        <f>IF(PO[[#This Row],[Payment date - override (dd/mm/yyyy)]] &lt;&gt; "", PO[[#This Row],[Payment date - override (dd/mm/yyyy)]], PO[[#This Row],[Due date (dd/mm/yyyy)]])</f>
        <v>0</v>
      </c>
      <c r="U127" s="46">
        <f t="shared" si="1"/>
        <v>52</v>
      </c>
    </row>
    <row r="128" spans="3:21" x14ac:dyDescent="0.25">
      <c r="C128" s="24"/>
      <c r="D128" s="20"/>
      <c r="E128" s="4"/>
      <c r="F128" s="37"/>
      <c r="G128" s="38"/>
      <c r="H128" s="31">
        <f>_xlfn.XLOOKUP(PO[[#This Row],[Supplier name]], Supplier_master[Supplier name], Supplier_master[Category L1], 0)</f>
        <v>0</v>
      </c>
      <c r="I128" s="31">
        <f>_xlfn.XLOOKUP(PO[[#This Row],[Supplier name]], Supplier_master[Supplier name], Supplier_master[Category L2], 0)</f>
        <v>0</v>
      </c>
      <c r="J128" s="55"/>
      <c r="K128" s="55"/>
      <c r="L128" s="31">
        <f>IF(PO[[#This Row],[Spend category L1 - Override]] &lt;&gt; "", PO[[#This Row],[Spend category L1 - Override]], PO[[#This Row],[Spend category L1]])</f>
        <v>0</v>
      </c>
      <c r="M128" s="31">
        <f>IF(PO[[#This Row],[Spend category L2 - Override]] &lt;&gt; "", PO[[#This Row],[Spend category L2 - Override]], PO[[#This Row],[Spend category L2]])</f>
        <v>0</v>
      </c>
      <c r="N128" s="63">
        <f>Assumptions!$D$15</f>
        <v>0.1</v>
      </c>
      <c r="O128" s="45">
        <f>IF(PO[[#This Row],[GST applies?]] = "Yes", (PO[[#This Row],[Value inc. GST]] / 1 + PO[[#This Row],[GST %]]) * PO[[#This Row],[GST %]], 0)</f>
        <v>0</v>
      </c>
      <c r="P128" s="31">
        <f>_xlfn.XLOOKUP(PO[[#This Row],[Supplier name]], Supplier_master[Supplier name], Supplier_master[EOM or Net], 0)</f>
        <v>0</v>
      </c>
      <c r="Q128" s="31">
        <f>_xlfn.XLOOKUP(PO[[#This Row],[Supplier name]], Supplier_master[Supplier name], Supplier_master[Terms days], 0)</f>
        <v>0</v>
      </c>
      <c r="R1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8" s="4"/>
      <c r="T128" s="46">
        <f>IF(PO[[#This Row],[Payment date - override (dd/mm/yyyy)]] &lt;&gt; "", PO[[#This Row],[Payment date - override (dd/mm/yyyy)]], PO[[#This Row],[Due date (dd/mm/yyyy)]])</f>
        <v>0</v>
      </c>
      <c r="U128" s="46">
        <f t="shared" si="1"/>
        <v>52</v>
      </c>
    </row>
    <row r="129" spans="3:21" x14ac:dyDescent="0.25">
      <c r="C129" s="24"/>
      <c r="D129" s="20"/>
      <c r="E129" s="4"/>
      <c r="F129" s="37"/>
      <c r="G129" s="38"/>
      <c r="H129" s="31">
        <f>_xlfn.XLOOKUP(PO[[#This Row],[Supplier name]], Supplier_master[Supplier name], Supplier_master[Category L1], 0)</f>
        <v>0</v>
      </c>
      <c r="I129" s="31">
        <f>_xlfn.XLOOKUP(PO[[#This Row],[Supplier name]], Supplier_master[Supplier name], Supplier_master[Category L2], 0)</f>
        <v>0</v>
      </c>
      <c r="J129" s="55"/>
      <c r="K129" s="55"/>
      <c r="L129" s="31">
        <f>IF(PO[[#This Row],[Spend category L1 - Override]] &lt;&gt; "", PO[[#This Row],[Spend category L1 - Override]], PO[[#This Row],[Spend category L1]])</f>
        <v>0</v>
      </c>
      <c r="M129" s="31">
        <f>IF(PO[[#This Row],[Spend category L2 - Override]] &lt;&gt; "", PO[[#This Row],[Spend category L2 - Override]], PO[[#This Row],[Spend category L2]])</f>
        <v>0</v>
      </c>
      <c r="N129" s="63">
        <f>Assumptions!$D$15</f>
        <v>0.1</v>
      </c>
      <c r="O129" s="45">
        <f>IF(PO[[#This Row],[GST applies?]] = "Yes", (PO[[#This Row],[Value inc. GST]] / 1 + PO[[#This Row],[GST %]]) * PO[[#This Row],[GST %]], 0)</f>
        <v>0</v>
      </c>
      <c r="P129" s="31">
        <f>_xlfn.XLOOKUP(PO[[#This Row],[Supplier name]], Supplier_master[Supplier name], Supplier_master[EOM or Net], 0)</f>
        <v>0</v>
      </c>
      <c r="Q129" s="31">
        <f>_xlfn.XLOOKUP(PO[[#This Row],[Supplier name]], Supplier_master[Supplier name], Supplier_master[Terms days], 0)</f>
        <v>0</v>
      </c>
      <c r="R1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9" s="4"/>
      <c r="T129" s="46">
        <f>IF(PO[[#This Row],[Payment date - override (dd/mm/yyyy)]] &lt;&gt; "", PO[[#This Row],[Payment date - override (dd/mm/yyyy)]], PO[[#This Row],[Due date (dd/mm/yyyy)]])</f>
        <v>0</v>
      </c>
      <c r="U129" s="46">
        <f t="shared" si="1"/>
        <v>52</v>
      </c>
    </row>
    <row r="130" spans="3:21" x14ac:dyDescent="0.25">
      <c r="C130" s="24"/>
      <c r="D130" s="20"/>
      <c r="E130" s="4"/>
      <c r="F130" s="37"/>
      <c r="G130" s="38"/>
      <c r="H130" s="31">
        <f>_xlfn.XLOOKUP(PO[[#This Row],[Supplier name]], Supplier_master[Supplier name], Supplier_master[Category L1], 0)</f>
        <v>0</v>
      </c>
      <c r="I130" s="31">
        <f>_xlfn.XLOOKUP(PO[[#This Row],[Supplier name]], Supplier_master[Supplier name], Supplier_master[Category L2], 0)</f>
        <v>0</v>
      </c>
      <c r="J130" s="55"/>
      <c r="K130" s="55"/>
      <c r="L130" s="31">
        <f>IF(PO[[#This Row],[Spend category L1 - Override]] &lt;&gt; "", PO[[#This Row],[Spend category L1 - Override]], PO[[#This Row],[Spend category L1]])</f>
        <v>0</v>
      </c>
      <c r="M130" s="31">
        <f>IF(PO[[#This Row],[Spend category L2 - Override]] &lt;&gt; "", PO[[#This Row],[Spend category L2 - Override]], PO[[#This Row],[Spend category L2]])</f>
        <v>0</v>
      </c>
      <c r="N130" s="63">
        <f>Assumptions!$D$15</f>
        <v>0.1</v>
      </c>
      <c r="O130" s="45">
        <f>IF(PO[[#This Row],[GST applies?]] = "Yes", (PO[[#This Row],[Value inc. GST]] / 1 + PO[[#This Row],[GST %]]) * PO[[#This Row],[GST %]], 0)</f>
        <v>0</v>
      </c>
      <c r="P130" s="31">
        <f>_xlfn.XLOOKUP(PO[[#This Row],[Supplier name]], Supplier_master[Supplier name], Supplier_master[EOM or Net], 0)</f>
        <v>0</v>
      </c>
      <c r="Q130" s="31">
        <f>_xlfn.XLOOKUP(PO[[#This Row],[Supplier name]], Supplier_master[Supplier name], Supplier_master[Terms days], 0)</f>
        <v>0</v>
      </c>
      <c r="R1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0" s="4"/>
      <c r="T130" s="46">
        <f>IF(PO[[#This Row],[Payment date - override (dd/mm/yyyy)]] &lt;&gt; "", PO[[#This Row],[Payment date - override (dd/mm/yyyy)]], PO[[#This Row],[Due date (dd/mm/yyyy)]])</f>
        <v>0</v>
      </c>
      <c r="U130" s="46">
        <f t="shared" si="1"/>
        <v>52</v>
      </c>
    </row>
    <row r="131" spans="3:21" x14ac:dyDescent="0.25">
      <c r="C131" s="24"/>
      <c r="D131" s="20"/>
      <c r="E131" s="4"/>
      <c r="F131" s="37"/>
      <c r="G131" s="38"/>
      <c r="H131" s="31">
        <f>_xlfn.XLOOKUP(PO[[#This Row],[Supplier name]], Supplier_master[Supplier name], Supplier_master[Category L1], 0)</f>
        <v>0</v>
      </c>
      <c r="I131" s="31">
        <f>_xlfn.XLOOKUP(PO[[#This Row],[Supplier name]], Supplier_master[Supplier name], Supplier_master[Category L2], 0)</f>
        <v>0</v>
      </c>
      <c r="J131" s="55"/>
      <c r="K131" s="55"/>
      <c r="L131" s="31">
        <f>IF(PO[[#This Row],[Spend category L1 - Override]] &lt;&gt; "", PO[[#This Row],[Spend category L1 - Override]], PO[[#This Row],[Spend category L1]])</f>
        <v>0</v>
      </c>
      <c r="M131" s="31">
        <f>IF(PO[[#This Row],[Spend category L2 - Override]] &lt;&gt; "", PO[[#This Row],[Spend category L2 - Override]], PO[[#This Row],[Spend category L2]])</f>
        <v>0</v>
      </c>
      <c r="N131" s="63">
        <f>Assumptions!$D$15</f>
        <v>0.1</v>
      </c>
      <c r="O131" s="45">
        <f>IF(PO[[#This Row],[GST applies?]] = "Yes", (PO[[#This Row],[Value inc. GST]] / 1 + PO[[#This Row],[GST %]]) * PO[[#This Row],[GST %]], 0)</f>
        <v>0</v>
      </c>
      <c r="P131" s="31">
        <f>_xlfn.XLOOKUP(PO[[#This Row],[Supplier name]], Supplier_master[Supplier name], Supplier_master[EOM or Net], 0)</f>
        <v>0</v>
      </c>
      <c r="Q131" s="31">
        <f>_xlfn.XLOOKUP(PO[[#This Row],[Supplier name]], Supplier_master[Supplier name], Supplier_master[Terms days], 0)</f>
        <v>0</v>
      </c>
      <c r="R1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1" s="4"/>
      <c r="T131" s="46">
        <f>IF(PO[[#This Row],[Payment date - override (dd/mm/yyyy)]] &lt;&gt; "", PO[[#This Row],[Payment date - override (dd/mm/yyyy)]], PO[[#This Row],[Due date (dd/mm/yyyy)]])</f>
        <v>0</v>
      </c>
      <c r="U131" s="46">
        <f t="shared" si="1"/>
        <v>52</v>
      </c>
    </row>
    <row r="132" spans="3:21" x14ac:dyDescent="0.25">
      <c r="C132" s="24"/>
      <c r="D132" s="20"/>
      <c r="E132" s="4"/>
      <c r="F132" s="37"/>
      <c r="G132" s="38"/>
      <c r="H132" s="31">
        <f>_xlfn.XLOOKUP(PO[[#This Row],[Supplier name]], Supplier_master[Supplier name], Supplier_master[Category L1], 0)</f>
        <v>0</v>
      </c>
      <c r="I132" s="31">
        <f>_xlfn.XLOOKUP(PO[[#This Row],[Supplier name]], Supplier_master[Supplier name], Supplier_master[Category L2], 0)</f>
        <v>0</v>
      </c>
      <c r="J132" s="55"/>
      <c r="K132" s="55"/>
      <c r="L132" s="31">
        <f>IF(PO[[#This Row],[Spend category L1 - Override]] &lt;&gt; "", PO[[#This Row],[Spend category L1 - Override]], PO[[#This Row],[Spend category L1]])</f>
        <v>0</v>
      </c>
      <c r="M132" s="31">
        <f>IF(PO[[#This Row],[Spend category L2 - Override]] &lt;&gt; "", PO[[#This Row],[Spend category L2 - Override]], PO[[#This Row],[Spend category L2]])</f>
        <v>0</v>
      </c>
      <c r="N132" s="63">
        <f>Assumptions!$D$15</f>
        <v>0.1</v>
      </c>
      <c r="O132" s="45">
        <f>IF(PO[[#This Row],[GST applies?]] = "Yes", (PO[[#This Row],[Value inc. GST]] / 1 + PO[[#This Row],[GST %]]) * PO[[#This Row],[GST %]], 0)</f>
        <v>0</v>
      </c>
      <c r="P132" s="31">
        <f>_xlfn.XLOOKUP(PO[[#This Row],[Supplier name]], Supplier_master[Supplier name], Supplier_master[EOM or Net], 0)</f>
        <v>0</v>
      </c>
      <c r="Q132" s="31">
        <f>_xlfn.XLOOKUP(PO[[#This Row],[Supplier name]], Supplier_master[Supplier name], Supplier_master[Terms days], 0)</f>
        <v>0</v>
      </c>
      <c r="R1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2" s="4"/>
      <c r="T132" s="46">
        <f>IF(PO[[#This Row],[Payment date - override (dd/mm/yyyy)]] &lt;&gt; "", PO[[#This Row],[Payment date - override (dd/mm/yyyy)]], PO[[#This Row],[Due date (dd/mm/yyyy)]])</f>
        <v>0</v>
      </c>
      <c r="U132" s="46">
        <f t="shared" si="1"/>
        <v>52</v>
      </c>
    </row>
    <row r="133" spans="3:21" x14ac:dyDescent="0.25">
      <c r="C133" s="24"/>
      <c r="D133" s="20"/>
      <c r="E133" s="4"/>
      <c r="F133" s="37"/>
      <c r="G133" s="38"/>
      <c r="H133" s="31">
        <f>_xlfn.XLOOKUP(PO[[#This Row],[Supplier name]], Supplier_master[Supplier name], Supplier_master[Category L1], 0)</f>
        <v>0</v>
      </c>
      <c r="I133" s="31">
        <f>_xlfn.XLOOKUP(PO[[#This Row],[Supplier name]], Supplier_master[Supplier name], Supplier_master[Category L2], 0)</f>
        <v>0</v>
      </c>
      <c r="J133" s="55"/>
      <c r="K133" s="55"/>
      <c r="L133" s="31">
        <f>IF(PO[[#This Row],[Spend category L1 - Override]] &lt;&gt; "", PO[[#This Row],[Spend category L1 - Override]], PO[[#This Row],[Spend category L1]])</f>
        <v>0</v>
      </c>
      <c r="M133" s="31">
        <f>IF(PO[[#This Row],[Spend category L2 - Override]] &lt;&gt; "", PO[[#This Row],[Spend category L2 - Override]], PO[[#This Row],[Spend category L2]])</f>
        <v>0</v>
      </c>
      <c r="N133" s="63">
        <f>Assumptions!$D$15</f>
        <v>0.1</v>
      </c>
      <c r="O133" s="45">
        <f>IF(PO[[#This Row],[GST applies?]] = "Yes", (PO[[#This Row],[Value inc. GST]] / 1 + PO[[#This Row],[GST %]]) * PO[[#This Row],[GST %]], 0)</f>
        <v>0</v>
      </c>
      <c r="P133" s="31">
        <f>_xlfn.XLOOKUP(PO[[#This Row],[Supplier name]], Supplier_master[Supplier name], Supplier_master[EOM or Net], 0)</f>
        <v>0</v>
      </c>
      <c r="Q133" s="31">
        <f>_xlfn.XLOOKUP(PO[[#This Row],[Supplier name]], Supplier_master[Supplier name], Supplier_master[Terms days], 0)</f>
        <v>0</v>
      </c>
      <c r="R1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3" s="4"/>
      <c r="T133" s="46">
        <f>IF(PO[[#This Row],[Payment date - override (dd/mm/yyyy)]] &lt;&gt; "", PO[[#This Row],[Payment date - override (dd/mm/yyyy)]], PO[[#This Row],[Due date (dd/mm/yyyy)]])</f>
        <v>0</v>
      </c>
      <c r="U133" s="46">
        <f t="shared" si="1"/>
        <v>52</v>
      </c>
    </row>
    <row r="134" spans="3:21" x14ac:dyDescent="0.25">
      <c r="C134" s="24"/>
      <c r="D134" s="20"/>
      <c r="E134" s="4"/>
      <c r="F134" s="37"/>
      <c r="G134" s="38"/>
      <c r="H134" s="31">
        <f>_xlfn.XLOOKUP(PO[[#This Row],[Supplier name]], Supplier_master[Supplier name], Supplier_master[Category L1], 0)</f>
        <v>0</v>
      </c>
      <c r="I134" s="31">
        <f>_xlfn.XLOOKUP(PO[[#This Row],[Supplier name]], Supplier_master[Supplier name], Supplier_master[Category L2], 0)</f>
        <v>0</v>
      </c>
      <c r="J134" s="55"/>
      <c r="K134" s="55"/>
      <c r="L134" s="31">
        <f>IF(PO[[#This Row],[Spend category L1 - Override]] &lt;&gt; "", PO[[#This Row],[Spend category L1 - Override]], PO[[#This Row],[Spend category L1]])</f>
        <v>0</v>
      </c>
      <c r="M134" s="31">
        <f>IF(PO[[#This Row],[Spend category L2 - Override]] &lt;&gt; "", PO[[#This Row],[Spend category L2 - Override]], PO[[#This Row],[Spend category L2]])</f>
        <v>0</v>
      </c>
      <c r="N134" s="63">
        <f>Assumptions!$D$15</f>
        <v>0.1</v>
      </c>
      <c r="O134" s="45">
        <f>IF(PO[[#This Row],[GST applies?]] = "Yes", (PO[[#This Row],[Value inc. GST]] / 1 + PO[[#This Row],[GST %]]) * PO[[#This Row],[GST %]], 0)</f>
        <v>0</v>
      </c>
      <c r="P134" s="31">
        <f>_xlfn.XLOOKUP(PO[[#This Row],[Supplier name]], Supplier_master[Supplier name], Supplier_master[EOM or Net], 0)</f>
        <v>0</v>
      </c>
      <c r="Q134" s="31">
        <f>_xlfn.XLOOKUP(PO[[#This Row],[Supplier name]], Supplier_master[Supplier name], Supplier_master[Terms days], 0)</f>
        <v>0</v>
      </c>
      <c r="R1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4" s="4"/>
      <c r="T134" s="46">
        <f>IF(PO[[#This Row],[Payment date - override (dd/mm/yyyy)]] &lt;&gt; "", PO[[#This Row],[Payment date - override (dd/mm/yyyy)]], PO[[#This Row],[Due date (dd/mm/yyyy)]])</f>
        <v>0</v>
      </c>
      <c r="U134" s="46">
        <f t="shared" si="1"/>
        <v>52</v>
      </c>
    </row>
    <row r="135" spans="3:21" x14ac:dyDescent="0.25">
      <c r="C135" s="24"/>
      <c r="D135" s="20"/>
      <c r="E135" s="4"/>
      <c r="F135" s="37"/>
      <c r="G135" s="38"/>
      <c r="H135" s="31">
        <f>_xlfn.XLOOKUP(PO[[#This Row],[Supplier name]], Supplier_master[Supplier name], Supplier_master[Category L1], 0)</f>
        <v>0</v>
      </c>
      <c r="I135" s="31">
        <f>_xlfn.XLOOKUP(PO[[#This Row],[Supplier name]], Supplier_master[Supplier name], Supplier_master[Category L2], 0)</f>
        <v>0</v>
      </c>
      <c r="J135" s="55"/>
      <c r="K135" s="55"/>
      <c r="L135" s="31">
        <f>IF(PO[[#This Row],[Spend category L1 - Override]] &lt;&gt; "", PO[[#This Row],[Spend category L1 - Override]], PO[[#This Row],[Spend category L1]])</f>
        <v>0</v>
      </c>
      <c r="M135" s="31">
        <f>IF(PO[[#This Row],[Spend category L2 - Override]] &lt;&gt; "", PO[[#This Row],[Spend category L2 - Override]], PO[[#This Row],[Spend category L2]])</f>
        <v>0</v>
      </c>
      <c r="N135" s="63">
        <f>Assumptions!$D$15</f>
        <v>0.1</v>
      </c>
      <c r="O135" s="45">
        <f>IF(PO[[#This Row],[GST applies?]] = "Yes", (PO[[#This Row],[Value inc. GST]] / 1 + PO[[#This Row],[GST %]]) * PO[[#This Row],[GST %]], 0)</f>
        <v>0</v>
      </c>
      <c r="P135" s="31">
        <f>_xlfn.XLOOKUP(PO[[#This Row],[Supplier name]], Supplier_master[Supplier name], Supplier_master[EOM or Net], 0)</f>
        <v>0</v>
      </c>
      <c r="Q135" s="31">
        <f>_xlfn.XLOOKUP(PO[[#This Row],[Supplier name]], Supplier_master[Supplier name], Supplier_master[Terms days], 0)</f>
        <v>0</v>
      </c>
      <c r="R1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5" s="4"/>
      <c r="T135" s="46">
        <f>IF(PO[[#This Row],[Payment date - override (dd/mm/yyyy)]] &lt;&gt; "", PO[[#This Row],[Payment date - override (dd/mm/yyyy)]], PO[[#This Row],[Due date (dd/mm/yyyy)]])</f>
        <v>0</v>
      </c>
      <c r="U135" s="46">
        <f t="shared" si="1"/>
        <v>52</v>
      </c>
    </row>
    <row r="136" spans="3:21" x14ac:dyDescent="0.25">
      <c r="C136" s="24"/>
      <c r="D136" s="20"/>
      <c r="E136" s="4"/>
      <c r="F136" s="37"/>
      <c r="G136" s="38"/>
      <c r="H136" s="31">
        <f>_xlfn.XLOOKUP(PO[[#This Row],[Supplier name]], Supplier_master[Supplier name], Supplier_master[Category L1], 0)</f>
        <v>0</v>
      </c>
      <c r="I136" s="31">
        <f>_xlfn.XLOOKUP(PO[[#This Row],[Supplier name]], Supplier_master[Supplier name], Supplier_master[Category L2], 0)</f>
        <v>0</v>
      </c>
      <c r="J136" s="55"/>
      <c r="K136" s="55"/>
      <c r="L136" s="31">
        <f>IF(PO[[#This Row],[Spend category L1 - Override]] &lt;&gt; "", PO[[#This Row],[Spend category L1 - Override]], PO[[#This Row],[Spend category L1]])</f>
        <v>0</v>
      </c>
      <c r="M136" s="31">
        <f>IF(PO[[#This Row],[Spend category L2 - Override]] &lt;&gt; "", PO[[#This Row],[Spend category L2 - Override]], PO[[#This Row],[Spend category L2]])</f>
        <v>0</v>
      </c>
      <c r="N136" s="63">
        <f>Assumptions!$D$15</f>
        <v>0.1</v>
      </c>
      <c r="O136" s="45">
        <f>IF(PO[[#This Row],[GST applies?]] = "Yes", (PO[[#This Row],[Value inc. GST]] / 1 + PO[[#This Row],[GST %]]) * PO[[#This Row],[GST %]], 0)</f>
        <v>0</v>
      </c>
      <c r="P136" s="31">
        <f>_xlfn.XLOOKUP(PO[[#This Row],[Supplier name]], Supplier_master[Supplier name], Supplier_master[EOM or Net], 0)</f>
        <v>0</v>
      </c>
      <c r="Q136" s="31">
        <f>_xlfn.XLOOKUP(PO[[#This Row],[Supplier name]], Supplier_master[Supplier name], Supplier_master[Terms days], 0)</f>
        <v>0</v>
      </c>
      <c r="R1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6" s="4"/>
      <c r="T136" s="46">
        <f>IF(PO[[#This Row],[Payment date - override (dd/mm/yyyy)]] &lt;&gt; "", PO[[#This Row],[Payment date - override (dd/mm/yyyy)]], PO[[#This Row],[Due date (dd/mm/yyyy)]])</f>
        <v>0</v>
      </c>
      <c r="U136" s="46">
        <f t="shared" si="1"/>
        <v>52</v>
      </c>
    </row>
    <row r="137" spans="3:21" x14ac:dyDescent="0.25">
      <c r="C137" s="24"/>
      <c r="D137" s="20"/>
      <c r="E137" s="4"/>
      <c r="F137" s="37"/>
      <c r="G137" s="38"/>
      <c r="H137" s="31">
        <f>_xlfn.XLOOKUP(PO[[#This Row],[Supplier name]], Supplier_master[Supplier name], Supplier_master[Category L1], 0)</f>
        <v>0</v>
      </c>
      <c r="I137" s="31">
        <f>_xlfn.XLOOKUP(PO[[#This Row],[Supplier name]], Supplier_master[Supplier name], Supplier_master[Category L2], 0)</f>
        <v>0</v>
      </c>
      <c r="J137" s="55"/>
      <c r="K137" s="55"/>
      <c r="L137" s="31">
        <f>IF(PO[[#This Row],[Spend category L1 - Override]] &lt;&gt; "", PO[[#This Row],[Spend category L1 - Override]], PO[[#This Row],[Spend category L1]])</f>
        <v>0</v>
      </c>
      <c r="M137" s="31">
        <f>IF(PO[[#This Row],[Spend category L2 - Override]] &lt;&gt; "", PO[[#This Row],[Spend category L2 - Override]], PO[[#This Row],[Spend category L2]])</f>
        <v>0</v>
      </c>
      <c r="N137" s="63">
        <f>Assumptions!$D$15</f>
        <v>0.1</v>
      </c>
      <c r="O137" s="45">
        <f>IF(PO[[#This Row],[GST applies?]] = "Yes", (PO[[#This Row],[Value inc. GST]] / 1 + PO[[#This Row],[GST %]]) * PO[[#This Row],[GST %]], 0)</f>
        <v>0</v>
      </c>
      <c r="P137" s="31">
        <f>_xlfn.XLOOKUP(PO[[#This Row],[Supplier name]], Supplier_master[Supplier name], Supplier_master[EOM or Net], 0)</f>
        <v>0</v>
      </c>
      <c r="Q137" s="31">
        <f>_xlfn.XLOOKUP(PO[[#This Row],[Supplier name]], Supplier_master[Supplier name], Supplier_master[Terms days], 0)</f>
        <v>0</v>
      </c>
      <c r="R1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7" s="4"/>
      <c r="T137" s="46">
        <f>IF(PO[[#This Row],[Payment date - override (dd/mm/yyyy)]] &lt;&gt; "", PO[[#This Row],[Payment date - override (dd/mm/yyyy)]], PO[[#This Row],[Due date (dd/mm/yyyy)]])</f>
        <v>0</v>
      </c>
      <c r="U137" s="46">
        <f t="shared" ref="U137:U200" si="2">IF(GST_Freq="Monthly",
    DATE(YEAR(E137), MONTH(E137) + 1, 21),
    IF(GST_Freq="Quarterly",
        IF(MOD(MONTH(E137) + 2 - MOD(MOD(MONTH(E137) - GST_First_Month, 12), 3), 12) = 0,
            DATE(YEAR(E137), MONTH(E137) + 4 - MOD(MOD(MONTH(E137) - GST_First_Month, 12), 3), 28),
            DATE(YEAR(E137), MONTH(E137) + 3 - MOD(MOD(MONTH(E137) - GST_First_Month, 12), 3), 28)
        ),
        "Invalid frequency"
    )
)</f>
        <v>52</v>
      </c>
    </row>
    <row r="138" spans="3:21" x14ac:dyDescent="0.25">
      <c r="C138" s="24"/>
      <c r="D138" s="20"/>
      <c r="E138" s="4"/>
      <c r="F138" s="37"/>
      <c r="G138" s="38"/>
      <c r="H138" s="31">
        <f>_xlfn.XLOOKUP(PO[[#This Row],[Supplier name]], Supplier_master[Supplier name], Supplier_master[Category L1], 0)</f>
        <v>0</v>
      </c>
      <c r="I138" s="31">
        <f>_xlfn.XLOOKUP(PO[[#This Row],[Supplier name]], Supplier_master[Supplier name], Supplier_master[Category L2], 0)</f>
        <v>0</v>
      </c>
      <c r="J138" s="55"/>
      <c r="K138" s="55"/>
      <c r="L138" s="31">
        <f>IF(PO[[#This Row],[Spend category L1 - Override]] &lt;&gt; "", PO[[#This Row],[Spend category L1 - Override]], PO[[#This Row],[Spend category L1]])</f>
        <v>0</v>
      </c>
      <c r="M138" s="31">
        <f>IF(PO[[#This Row],[Spend category L2 - Override]] &lt;&gt; "", PO[[#This Row],[Spend category L2 - Override]], PO[[#This Row],[Spend category L2]])</f>
        <v>0</v>
      </c>
      <c r="N138" s="63">
        <f>Assumptions!$D$15</f>
        <v>0.1</v>
      </c>
      <c r="O138" s="45">
        <f>IF(PO[[#This Row],[GST applies?]] = "Yes", (PO[[#This Row],[Value inc. GST]] / 1 + PO[[#This Row],[GST %]]) * PO[[#This Row],[GST %]], 0)</f>
        <v>0</v>
      </c>
      <c r="P138" s="31">
        <f>_xlfn.XLOOKUP(PO[[#This Row],[Supplier name]], Supplier_master[Supplier name], Supplier_master[EOM or Net], 0)</f>
        <v>0</v>
      </c>
      <c r="Q138" s="31">
        <f>_xlfn.XLOOKUP(PO[[#This Row],[Supplier name]], Supplier_master[Supplier name], Supplier_master[Terms days], 0)</f>
        <v>0</v>
      </c>
      <c r="R1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8" s="4"/>
      <c r="T138" s="46">
        <f>IF(PO[[#This Row],[Payment date - override (dd/mm/yyyy)]] &lt;&gt; "", PO[[#This Row],[Payment date - override (dd/mm/yyyy)]], PO[[#This Row],[Due date (dd/mm/yyyy)]])</f>
        <v>0</v>
      </c>
      <c r="U138" s="46">
        <f t="shared" si="2"/>
        <v>52</v>
      </c>
    </row>
    <row r="139" spans="3:21" x14ac:dyDescent="0.25">
      <c r="C139" s="24"/>
      <c r="D139" s="20"/>
      <c r="E139" s="4"/>
      <c r="F139" s="37"/>
      <c r="G139" s="38"/>
      <c r="H139" s="31">
        <f>_xlfn.XLOOKUP(PO[[#This Row],[Supplier name]], Supplier_master[Supplier name], Supplier_master[Category L1], 0)</f>
        <v>0</v>
      </c>
      <c r="I139" s="31">
        <f>_xlfn.XLOOKUP(PO[[#This Row],[Supplier name]], Supplier_master[Supplier name], Supplier_master[Category L2], 0)</f>
        <v>0</v>
      </c>
      <c r="J139" s="55"/>
      <c r="K139" s="55"/>
      <c r="L139" s="31">
        <f>IF(PO[[#This Row],[Spend category L1 - Override]] &lt;&gt; "", PO[[#This Row],[Spend category L1 - Override]], PO[[#This Row],[Spend category L1]])</f>
        <v>0</v>
      </c>
      <c r="M139" s="31">
        <f>IF(PO[[#This Row],[Spend category L2 - Override]] &lt;&gt; "", PO[[#This Row],[Spend category L2 - Override]], PO[[#This Row],[Spend category L2]])</f>
        <v>0</v>
      </c>
      <c r="N139" s="63">
        <f>Assumptions!$D$15</f>
        <v>0.1</v>
      </c>
      <c r="O139" s="45">
        <f>IF(PO[[#This Row],[GST applies?]] = "Yes", (PO[[#This Row],[Value inc. GST]] / 1 + PO[[#This Row],[GST %]]) * PO[[#This Row],[GST %]], 0)</f>
        <v>0</v>
      </c>
      <c r="P139" s="31">
        <f>_xlfn.XLOOKUP(PO[[#This Row],[Supplier name]], Supplier_master[Supplier name], Supplier_master[EOM or Net], 0)</f>
        <v>0</v>
      </c>
      <c r="Q139" s="31">
        <f>_xlfn.XLOOKUP(PO[[#This Row],[Supplier name]], Supplier_master[Supplier name], Supplier_master[Terms days], 0)</f>
        <v>0</v>
      </c>
      <c r="R1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9" s="4"/>
      <c r="T139" s="46">
        <f>IF(PO[[#This Row],[Payment date - override (dd/mm/yyyy)]] &lt;&gt; "", PO[[#This Row],[Payment date - override (dd/mm/yyyy)]], PO[[#This Row],[Due date (dd/mm/yyyy)]])</f>
        <v>0</v>
      </c>
      <c r="U139" s="46">
        <f t="shared" si="2"/>
        <v>52</v>
      </c>
    </row>
    <row r="140" spans="3:21" x14ac:dyDescent="0.25">
      <c r="C140" s="24"/>
      <c r="D140" s="20"/>
      <c r="E140" s="4"/>
      <c r="F140" s="37"/>
      <c r="G140" s="38"/>
      <c r="H140" s="31">
        <f>_xlfn.XLOOKUP(PO[[#This Row],[Supplier name]], Supplier_master[Supplier name], Supplier_master[Category L1], 0)</f>
        <v>0</v>
      </c>
      <c r="I140" s="31">
        <f>_xlfn.XLOOKUP(PO[[#This Row],[Supplier name]], Supplier_master[Supplier name], Supplier_master[Category L2], 0)</f>
        <v>0</v>
      </c>
      <c r="J140" s="55"/>
      <c r="K140" s="55"/>
      <c r="L140" s="31">
        <f>IF(PO[[#This Row],[Spend category L1 - Override]] &lt;&gt; "", PO[[#This Row],[Spend category L1 - Override]], PO[[#This Row],[Spend category L1]])</f>
        <v>0</v>
      </c>
      <c r="M140" s="31">
        <f>IF(PO[[#This Row],[Spend category L2 - Override]] &lt;&gt; "", PO[[#This Row],[Spend category L2 - Override]], PO[[#This Row],[Spend category L2]])</f>
        <v>0</v>
      </c>
      <c r="N140" s="63">
        <f>Assumptions!$D$15</f>
        <v>0.1</v>
      </c>
      <c r="O140" s="45">
        <f>IF(PO[[#This Row],[GST applies?]] = "Yes", (PO[[#This Row],[Value inc. GST]] / 1 + PO[[#This Row],[GST %]]) * PO[[#This Row],[GST %]], 0)</f>
        <v>0</v>
      </c>
      <c r="P140" s="31">
        <f>_xlfn.XLOOKUP(PO[[#This Row],[Supplier name]], Supplier_master[Supplier name], Supplier_master[EOM or Net], 0)</f>
        <v>0</v>
      </c>
      <c r="Q140" s="31">
        <f>_xlfn.XLOOKUP(PO[[#This Row],[Supplier name]], Supplier_master[Supplier name], Supplier_master[Terms days], 0)</f>
        <v>0</v>
      </c>
      <c r="R1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0" s="4"/>
      <c r="T140" s="46">
        <f>IF(PO[[#This Row],[Payment date - override (dd/mm/yyyy)]] &lt;&gt; "", PO[[#This Row],[Payment date - override (dd/mm/yyyy)]], PO[[#This Row],[Due date (dd/mm/yyyy)]])</f>
        <v>0</v>
      </c>
      <c r="U140" s="46">
        <f t="shared" si="2"/>
        <v>52</v>
      </c>
    </row>
    <row r="141" spans="3:21" x14ac:dyDescent="0.25">
      <c r="C141" s="24"/>
      <c r="D141" s="20"/>
      <c r="E141" s="4"/>
      <c r="F141" s="37"/>
      <c r="G141" s="38"/>
      <c r="H141" s="31">
        <f>_xlfn.XLOOKUP(PO[[#This Row],[Supplier name]], Supplier_master[Supplier name], Supplier_master[Category L1], 0)</f>
        <v>0</v>
      </c>
      <c r="I141" s="31">
        <f>_xlfn.XLOOKUP(PO[[#This Row],[Supplier name]], Supplier_master[Supplier name], Supplier_master[Category L2], 0)</f>
        <v>0</v>
      </c>
      <c r="J141" s="55"/>
      <c r="K141" s="55"/>
      <c r="L141" s="31">
        <f>IF(PO[[#This Row],[Spend category L1 - Override]] &lt;&gt; "", PO[[#This Row],[Spend category L1 - Override]], PO[[#This Row],[Spend category L1]])</f>
        <v>0</v>
      </c>
      <c r="M141" s="31">
        <f>IF(PO[[#This Row],[Spend category L2 - Override]] &lt;&gt; "", PO[[#This Row],[Spend category L2 - Override]], PO[[#This Row],[Spend category L2]])</f>
        <v>0</v>
      </c>
      <c r="N141" s="63">
        <f>Assumptions!$D$15</f>
        <v>0.1</v>
      </c>
      <c r="O141" s="45">
        <f>IF(PO[[#This Row],[GST applies?]] = "Yes", (PO[[#This Row],[Value inc. GST]] / 1 + PO[[#This Row],[GST %]]) * PO[[#This Row],[GST %]], 0)</f>
        <v>0</v>
      </c>
      <c r="P141" s="31">
        <f>_xlfn.XLOOKUP(PO[[#This Row],[Supplier name]], Supplier_master[Supplier name], Supplier_master[EOM or Net], 0)</f>
        <v>0</v>
      </c>
      <c r="Q141" s="31">
        <f>_xlfn.XLOOKUP(PO[[#This Row],[Supplier name]], Supplier_master[Supplier name], Supplier_master[Terms days], 0)</f>
        <v>0</v>
      </c>
      <c r="R1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1" s="4"/>
      <c r="T141" s="46">
        <f>IF(PO[[#This Row],[Payment date - override (dd/mm/yyyy)]] &lt;&gt; "", PO[[#This Row],[Payment date - override (dd/mm/yyyy)]], PO[[#This Row],[Due date (dd/mm/yyyy)]])</f>
        <v>0</v>
      </c>
      <c r="U141" s="46">
        <f t="shared" si="2"/>
        <v>52</v>
      </c>
    </row>
    <row r="142" spans="3:21" x14ac:dyDescent="0.25">
      <c r="C142" s="24"/>
      <c r="D142" s="20"/>
      <c r="E142" s="4"/>
      <c r="F142" s="37"/>
      <c r="G142" s="38"/>
      <c r="H142" s="31">
        <f>_xlfn.XLOOKUP(PO[[#This Row],[Supplier name]], Supplier_master[Supplier name], Supplier_master[Category L1], 0)</f>
        <v>0</v>
      </c>
      <c r="I142" s="31">
        <f>_xlfn.XLOOKUP(PO[[#This Row],[Supplier name]], Supplier_master[Supplier name], Supplier_master[Category L2], 0)</f>
        <v>0</v>
      </c>
      <c r="J142" s="55"/>
      <c r="K142" s="55"/>
      <c r="L142" s="31">
        <f>IF(PO[[#This Row],[Spend category L1 - Override]] &lt;&gt; "", PO[[#This Row],[Spend category L1 - Override]], PO[[#This Row],[Spend category L1]])</f>
        <v>0</v>
      </c>
      <c r="M142" s="31">
        <f>IF(PO[[#This Row],[Spend category L2 - Override]] &lt;&gt; "", PO[[#This Row],[Spend category L2 - Override]], PO[[#This Row],[Spend category L2]])</f>
        <v>0</v>
      </c>
      <c r="N142" s="63">
        <f>Assumptions!$D$15</f>
        <v>0.1</v>
      </c>
      <c r="O142" s="45">
        <f>IF(PO[[#This Row],[GST applies?]] = "Yes", (PO[[#This Row],[Value inc. GST]] / 1 + PO[[#This Row],[GST %]]) * PO[[#This Row],[GST %]], 0)</f>
        <v>0</v>
      </c>
      <c r="P142" s="31">
        <f>_xlfn.XLOOKUP(PO[[#This Row],[Supplier name]], Supplier_master[Supplier name], Supplier_master[EOM or Net], 0)</f>
        <v>0</v>
      </c>
      <c r="Q142" s="31">
        <f>_xlfn.XLOOKUP(PO[[#This Row],[Supplier name]], Supplier_master[Supplier name], Supplier_master[Terms days], 0)</f>
        <v>0</v>
      </c>
      <c r="R1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2" s="4"/>
      <c r="T142" s="46">
        <f>IF(PO[[#This Row],[Payment date - override (dd/mm/yyyy)]] &lt;&gt; "", PO[[#This Row],[Payment date - override (dd/mm/yyyy)]], PO[[#This Row],[Due date (dd/mm/yyyy)]])</f>
        <v>0</v>
      </c>
      <c r="U142" s="46">
        <f t="shared" si="2"/>
        <v>52</v>
      </c>
    </row>
    <row r="143" spans="3:21" x14ac:dyDescent="0.25">
      <c r="C143" s="24"/>
      <c r="D143" s="20"/>
      <c r="E143" s="4"/>
      <c r="F143" s="37"/>
      <c r="G143" s="38"/>
      <c r="H143" s="31">
        <f>_xlfn.XLOOKUP(PO[[#This Row],[Supplier name]], Supplier_master[Supplier name], Supplier_master[Category L1], 0)</f>
        <v>0</v>
      </c>
      <c r="I143" s="31">
        <f>_xlfn.XLOOKUP(PO[[#This Row],[Supplier name]], Supplier_master[Supplier name], Supplier_master[Category L2], 0)</f>
        <v>0</v>
      </c>
      <c r="J143" s="55"/>
      <c r="K143" s="55"/>
      <c r="L143" s="31">
        <f>IF(PO[[#This Row],[Spend category L1 - Override]] &lt;&gt; "", PO[[#This Row],[Spend category L1 - Override]], PO[[#This Row],[Spend category L1]])</f>
        <v>0</v>
      </c>
      <c r="M143" s="31">
        <f>IF(PO[[#This Row],[Spend category L2 - Override]] &lt;&gt; "", PO[[#This Row],[Spend category L2 - Override]], PO[[#This Row],[Spend category L2]])</f>
        <v>0</v>
      </c>
      <c r="N143" s="63">
        <f>Assumptions!$D$15</f>
        <v>0.1</v>
      </c>
      <c r="O143" s="45">
        <f>IF(PO[[#This Row],[GST applies?]] = "Yes", (PO[[#This Row],[Value inc. GST]] / 1 + PO[[#This Row],[GST %]]) * PO[[#This Row],[GST %]], 0)</f>
        <v>0</v>
      </c>
      <c r="P143" s="31">
        <f>_xlfn.XLOOKUP(PO[[#This Row],[Supplier name]], Supplier_master[Supplier name], Supplier_master[EOM or Net], 0)</f>
        <v>0</v>
      </c>
      <c r="Q143" s="31">
        <f>_xlfn.XLOOKUP(PO[[#This Row],[Supplier name]], Supplier_master[Supplier name], Supplier_master[Terms days], 0)</f>
        <v>0</v>
      </c>
      <c r="R1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3" s="4"/>
      <c r="T143" s="46">
        <f>IF(PO[[#This Row],[Payment date - override (dd/mm/yyyy)]] &lt;&gt; "", PO[[#This Row],[Payment date - override (dd/mm/yyyy)]], PO[[#This Row],[Due date (dd/mm/yyyy)]])</f>
        <v>0</v>
      </c>
      <c r="U143" s="46">
        <f t="shared" si="2"/>
        <v>52</v>
      </c>
    </row>
    <row r="144" spans="3:21" x14ac:dyDescent="0.25">
      <c r="C144" s="24"/>
      <c r="D144" s="20"/>
      <c r="E144" s="4"/>
      <c r="F144" s="37"/>
      <c r="G144" s="38"/>
      <c r="H144" s="31">
        <f>_xlfn.XLOOKUP(PO[[#This Row],[Supplier name]], Supplier_master[Supplier name], Supplier_master[Category L1], 0)</f>
        <v>0</v>
      </c>
      <c r="I144" s="31">
        <f>_xlfn.XLOOKUP(PO[[#This Row],[Supplier name]], Supplier_master[Supplier name], Supplier_master[Category L2], 0)</f>
        <v>0</v>
      </c>
      <c r="J144" s="55"/>
      <c r="K144" s="55"/>
      <c r="L144" s="31">
        <f>IF(PO[[#This Row],[Spend category L1 - Override]] &lt;&gt; "", PO[[#This Row],[Spend category L1 - Override]], PO[[#This Row],[Spend category L1]])</f>
        <v>0</v>
      </c>
      <c r="M144" s="31">
        <f>IF(PO[[#This Row],[Spend category L2 - Override]] &lt;&gt; "", PO[[#This Row],[Spend category L2 - Override]], PO[[#This Row],[Spend category L2]])</f>
        <v>0</v>
      </c>
      <c r="N144" s="63">
        <f>Assumptions!$D$15</f>
        <v>0.1</v>
      </c>
      <c r="O144" s="45">
        <f>IF(PO[[#This Row],[GST applies?]] = "Yes", (PO[[#This Row],[Value inc. GST]] / 1 + PO[[#This Row],[GST %]]) * PO[[#This Row],[GST %]], 0)</f>
        <v>0</v>
      </c>
      <c r="P144" s="31">
        <f>_xlfn.XLOOKUP(PO[[#This Row],[Supplier name]], Supplier_master[Supplier name], Supplier_master[EOM or Net], 0)</f>
        <v>0</v>
      </c>
      <c r="Q144" s="31">
        <f>_xlfn.XLOOKUP(PO[[#This Row],[Supplier name]], Supplier_master[Supplier name], Supplier_master[Terms days], 0)</f>
        <v>0</v>
      </c>
      <c r="R1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4" s="4"/>
      <c r="T144" s="46">
        <f>IF(PO[[#This Row],[Payment date - override (dd/mm/yyyy)]] &lt;&gt; "", PO[[#This Row],[Payment date - override (dd/mm/yyyy)]], PO[[#This Row],[Due date (dd/mm/yyyy)]])</f>
        <v>0</v>
      </c>
      <c r="U144" s="46">
        <f t="shared" si="2"/>
        <v>52</v>
      </c>
    </row>
    <row r="145" spans="3:21" x14ac:dyDescent="0.25">
      <c r="C145" s="24"/>
      <c r="D145" s="20"/>
      <c r="E145" s="4"/>
      <c r="F145" s="37"/>
      <c r="G145" s="38"/>
      <c r="H145" s="31">
        <f>_xlfn.XLOOKUP(PO[[#This Row],[Supplier name]], Supplier_master[Supplier name], Supplier_master[Category L1], 0)</f>
        <v>0</v>
      </c>
      <c r="I145" s="31">
        <f>_xlfn.XLOOKUP(PO[[#This Row],[Supplier name]], Supplier_master[Supplier name], Supplier_master[Category L2], 0)</f>
        <v>0</v>
      </c>
      <c r="J145" s="55"/>
      <c r="K145" s="55"/>
      <c r="L145" s="31">
        <f>IF(PO[[#This Row],[Spend category L1 - Override]] &lt;&gt; "", PO[[#This Row],[Spend category L1 - Override]], PO[[#This Row],[Spend category L1]])</f>
        <v>0</v>
      </c>
      <c r="M145" s="31">
        <f>IF(PO[[#This Row],[Spend category L2 - Override]] &lt;&gt; "", PO[[#This Row],[Spend category L2 - Override]], PO[[#This Row],[Spend category L2]])</f>
        <v>0</v>
      </c>
      <c r="N145" s="63">
        <f>Assumptions!$D$15</f>
        <v>0.1</v>
      </c>
      <c r="O145" s="45">
        <f>IF(PO[[#This Row],[GST applies?]] = "Yes", (PO[[#This Row],[Value inc. GST]] / 1 + PO[[#This Row],[GST %]]) * PO[[#This Row],[GST %]], 0)</f>
        <v>0</v>
      </c>
      <c r="P145" s="31">
        <f>_xlfn.XLOOKUP(PO[[#This Row],[Supplier name]], Supplier_master[Supplier name], Supplier_master[EOM or Net], 0)</f>
        <v>0</v>
      </c>
      <c r="Q145" s="31">
        <f>_xlfn.XLOOKUP(PO[[#This Row],[Supplier name]], Supplier_master[Supplier name], Supplier_master[Terms days], 0)</f>
        <v>0</v>
      </c>
      <c r="R1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5" s="4"/>
      <c r="T145" s="46">
        <f>IF(PO[[#This Row],[Payment date - override (dd/mm/yyyy)]] &lt;&gt; "", PO[[#This Row],[Payment date - override (dd/mm/yyyy)]], PO[[#This Row],[Due date (dd/mm/yyyy)]])</f>
        <v>0</v>
      </c>
      <c r="U145" s="46">
        <f t="shared" si="2"/>
        <v>52</v>
      </c>
    </row>
    <row r="146" spans="3:21" x14ac:dyDescent="0.25">
      <c r="C146" s="24"/>
      <c r="D146" s="20"/>
      <c r="E146" s="4"/>
      <c r="F146" s="37"/>
      <c r="G146" s="38"/>
      <c r="H146" s="31">
        <f>_xlfn.XLOOKUP(PO[[#This Row],[Supplier name]], Supplier_master[Supplier name], Supplier_master[Category L1], 0)</f>
        <v>0</v>
      </c>
      <c r="I146" s="31">
        <f>_xlfn.XLOOKUP(PO[[#This Row],[Supplier name]], Supplier_master[Supplier name], Supplier_master[Category L2], 0)</f>
        <v>0</v>
      </c>
      <c r="J146" s="55"/>
      <c r="K146" s="55"/>
      <c r="L146" s="31">
        <f>IF(PO[[#This Row],[Spend category L1 - Override]] &lt;&gt; "", PO[[#This Row],[Spend category L1 - Override]], PO[[#This Row],[Spend category L1]])</f>
        <v>0</v>
      </c>
      <c r="M146" s="31">
        <f>IF(PO[[#This Row],[Spend category L2 - Override]] &lt;&gt; "", PO[[#This Row],[Spend category L2 - Override]], PO[[#This Row],[Spend category L2]])</f>
        <v>0</v>
      </c>
      <c r="N146" s="63">
        <f>Assumptions!$D$15</f>
        <v>0.1</v>
      </c>
      <c r="O146" s="45">
        <f>IF(PO[[#This Row],[GST applies?]] = "Yes", (PO[[#This Row],[Value inc. GST]] / 1 + PO[[#This Row],[GST %]]) * PO[[#This Row],[GST %]], 0)</f>
        <v>0</v>
      </c>
      <c r="P146" s="31">
        <f>_xlfn.XLOOKUP(PO[[#This Row],[Supplier name]], Supplier_master[Supplier name], Supplier_master[EOM or Net], 0)</f>
        <v>0</v>
      </c>
      <c r="Q146" s="31">
        <f>_xlfn.XLOOKUP(PO[[#This Row],[Supplier name]], Supplier_master[Supplier name], Supplier_master[Terms days], 0)</f>
        <v>0</v>
      </c>
      <c r="R1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6" s="4"/>
      <c r="T146" s="46">
        <f>IF(PO[[#This Row],[Payment date - override (dd/mm/yyyy)]] &lt;&gt; "", PO[[#This Row],[Payment date - override (dd/mm/yyyy)]], PO[[#This Row],[Due date (dd/mm/yyyy)]])</f>
        <v>0</v>
      </c>
      <c r="U146" s="46">
        <f t="shared" si="2"/>
        <v>52</v>
      </c>
    </row>
    <row r="147" spans="3:21" x14ac:dyDescent="0.25">
      <c r="C147" s="24"/>
      <c r="D147" s="20"/>
      <c r="E147" s="4"/>
      <c r="F147" s="37"/>
      <c r="G147" s="38"/>
      <c r="H147" s="31">
        <f>_xlfn.XLOOKUP(PO[[#This Row],[Supplier name]], Supplier_master[Supplier name], Supplier_master[Category L1], 0)</f>
        <v>0</v>
      </c>
      <c r="I147" s="31">
        <f>_xlfn.XLOOKUP(PO[[#This Row],[Supplier name]], Supplier_master[Supplier name], Supplier_master[Category L2], 0)</f>
        <v>0</v>
      </c>
      <c r="J147" s="55"/>
      <c r="K147" s="55"/>
      <c r="L147" s="31">
        <f>IF(PO[[#This Row],[Spend category L1 - Override]] &lt;&gt; "", PO[[#This Row],[Spend category L1 - Override]], PO[[#This Row],[Spend category L1]])</f>
        <v>0</v>
      </c>
      <c r="M147" s="31">
        <f>IF(PO[[#This Row],[Spend category L2 - Override]] &lt;&gt; "", PO[[#This Row],[Spend category L2 - Override]], PO[[#This Row],[Spend category L2]])</f>
        <v>0</v>
      </c>
      <c r="N147" s="63">
        <f>Assumptions!$D$15</f>
        <v>0.1</v>
      </c>
      <c r="O147" s="45">
        <f>IF(PO[[#This Row],[GST applies?]] = "Yes", (PO[[#This Row],[Value inc. GST]] / 1 + PO[[#This Row],[GST %]]) * PO[[#This Row],[GST %]], 0)</f>
        <v>0</v>
      </c>
      <c r="P147" s="31">
        <f>_xlfn.XLOOKUP(PO[[#This Row],[Supplier name]], Supplier_master[Supplier name], Supplier_master[EOM or Net], 0)</f>
        <v>0</v>
      </c>
      <c r="Q147" s="31">
        <f>_xlfn.XLOOKUP(PO[[#This Row],[Supplier name]], Supplier_master[Supplier name], Supplier_master[Terms days], 0)</f>
        <v>0</v>
      </c>
      <c r="R1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7" s="4"/>
      <c r="T147" s="46">
        <f>IF(PO[[#This Row],[Payment date - override (dd/mm/yyyy)]] &lt;&gt; "", PO[[#This Row],[Payment date - override (dd/mm/yyyy)]], PO[[#This Row],[Due date (dd/mm/yyyy)]])</f>
        <v>0</v>
      </c>
      <c r="U147" s="46">
        <f t="shared" si="2"/>
        <v>52</v>
      </c>
    </row>
    <row r="148" spans="3:21" x14ac:dyDescent="0.25">
      <c r="C148" s="24"/>
      <c r="D148" s="20"/>
      <c r="E148" s="4"/>
      <c r="F148" s="37"/>
      <c r="G148" s="38"/>
      <c r="H148" s="31">
        <f>_xlfn.XLOOKUP(PO[[#This Row],[Supplier name]], Supplier_master[Supplier name], Supplier_master[Category L1], 0)</f>
        <v>0</v>
      </c>
      <c r="I148" s="31">
        <f>_xlfn.XLOOKUP(PO[[#This Row],[Supplier name]], Supplier_master[Supplier name], Supplier_master[Category L2], 0)</f>
        <v>0</v>
      </c>
      <c r="J148" s="55"/>
      <c r="K148" s="55"/>
      <c r="L148" s="31">
        <f>IF(PO[[#This Row],[Spend category L1 - Override]] &lt;&gt; "", PO[[#This Row],[Spend category L1 - Override]], PO[[#This Row],[Spend category L1]])</f>
        <v>0</v>
      </c>
      <c r="M148" s="31">
        <f>IF(PO[[#This Row],[Spend category L2 - Override]] &lt;&gt; "", PO[[#This Row],[Spend category L2 - Override]], PO[[#This Row],[Spend category L2]])</f>
        <v>0</v>
      </c>
      <c r="N148" s="63">
        <f>Assumptions!$D$15</f>
        <v>0.1</v>
      </c>
      <c r="O148" s="45">
        <f>IF(PO[[#This Row],[GST applies?]] = "Yes", (PO[[#This Row],[Value inc. GST]] / 1 + PO[[#This Row],[GST %]]) * PO[[#This Row],[GST %]], 0)</f>
        <v>0</v>
      </c>
      <c r="P148" s="31">
        <f>_xlfn.XLOOKUP(PO[[#This Row],[Supplier name]], Supplier_master[Supplier name], Supplier_master[EOM or Net], 0)</f>
        <v>0</v>
      </c>
      <c r="Q148" s="31">
        <f>_xlfn.XLOOKUP(PO[[#This Row],[Supplier name]], Supplier_master[Supplier name], Supplier_master[Terms days], 0)</f>
        <v>0</v>
      </c>
      <c r="R1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8" s="4"/>
      <c r="T148" s="46">
        <f>IF(PO[[#This Row],[Payment date - override (dd/mm/yyyy)]] &lt;&gt; "", PO[[#This Row],[Payment date - override (dd/mm/yyyy)]], PO[[#This Row],[Due date (dd/mm/yyyy)]])</f>
        <v>0</v>
      </c>
      <c r="U148" s="46">
        <f t="shared" si="2"/>
        <v>52</v>
      </c>
    </row>
    <row r="149" spans="3:21" x14ac:dyDescent="0.25">
      <c r="C149" s="24"/>
      <c r="D149" s="20"/>
      <c r="E149" s="4"/>
      <c r="F149" s="37"/>
      <c r="G149" s="38"/>
      <c r="H149" s="31">
        <f>_xlfn.XLOOKUP(PO[[#This Row],[Supplier name]], Supplier_master[Supplier name], Supplier_master[Category L1], 0)</f>
        <v>0</v>
      </c>
      <c r="I149" s="31">
        <f>_xlfn.XLOOKUP(PO[[#This Row],[Supplier name]], Supplier_master[Supplier name], Supplier_master[Category L2], 0)</f>
        <v>0</v>
      </c>
      <c r="J149" s="55"/>
      <c r="K149" s="55"/>
      <c r="L149" s="31">
        <f>IF(PO[[#This Row],[Spend category L1 - Override]] &lt;&gt; "", PO[[#This Row],[Spend category L1 - Override]], PO[[#This Row],[Spend category L1]])</f>
        <v>0</v>
      </c>
      <c r="M149" s="31">
        <f>IF(PO[[#This Row],[Spend category L2 - Override]] &lt;&gt; "", PO[[#This Row],[Spend category L2 - Override]], PO[[#This Row],[Spend category L2]])</f>
        <v>0</v>
      </c>
      <c r="N149" s="63">
        <f>Assumptions!$D$15</f>
        <v>0.1</v>
      </c>
      <c r="O149" s="45">
        <f>IF(PO[[#This Row],[GST applies?]] = "Yes", (PO[[#This Row],[Value inc. GST]] / 1 + PO[[#This Row],[GST %]]) * PO[[#This Row],[GST %]], 0)</f>
        <v>0</v>
      </c>
      <c r="P149" s="31">
        <f>_xlfn.XLOOKUP(PO[[#This Row],[Supplier name]], Supplier_master[Supplier name], Supplier_master[EOM or Net], 0)</f>
        <v>0</v>
      </c>
      <c r="Q149" s="31">
        <f>_xlfn.XLOOKUP(PO[[#This Row],[Supplier name]], Supplier_master[Supplier name], Supplier_master[Terms days], 0)</f>
        <v>0</v>
      </c>
      <c r="R1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9" s="4"/>
      <c r="T149" s="46">
        <f>IF(PO[[#This Row],[Payment date - override (dd/mm/yyyy)]] &lt;&gt; "", PO[[#This Row],[Payment date - override (dd/mm/yyyy)]], PO[[#This Row],[Due date (dd/mm/yyyy)]])</f>
        <v>0</v>
      </c>
      <c r="U149" s="46">
        <f t="shared" si="2"/>
        <v>52</v>
      </c>
    </row>
    <row r="150" spans="3:21" x14ac:dyDescent="0.25">
      <c r="C150" s="24"/>
      <c r="D150" s="20"/>
      <c r="E150" s="4"/>
      <c r="F150" s="37"/>
      <c r="G150" s="38"/>
      <c r="H150" s="31">
        <f>_xlfn.XLOOKUP(PO[[#This Row],[Supplier name]], Supplier_master[Supplier name], Supplier_master[Category L1], 0)</f>
        <v>0</v>
      </c>
      <c r="I150" s="31">
        <f>_xlfn.XLOOKUP(PO[[#This Row],[Supplier name]], Supplier_master[Supplier name], Supplier_master[Category L2], 0)</f>
        <v>0</v>
      </c>
      <c r="J150" s="55"/>
      <c r="K150" s="55"/>
      <c r="L150" s="31">
        <f>IF(PO[[#This Row],[Spend category L1 - Override]] &lt;&gt; "", PO[[#This Row],[Spend category L1 - Override]], PO[[#This Row],[Spend category L1]])</f>
        <v>0</v>
      </c>
      <c r="M150" s="31">
        <f>IF(PO[[#This Row],[Spend category L2 - Override]] &lt;&gt; "", PO[[#This Row],[Spend category L2 - Override]], PO[[#This Row],[Spend category L2]])</f>
        <v>0</v>
      </c>
      <c r="N150" s="63">
        <f>Assumptions!$D$15</f>
        <v>0.1</v>
      </c>
      <c r="O150" s="45">
        <f>IF(PO[[#This Row],[GST applies?]] = "Yes", (PO[[#This Row],[Value inc. GST]] / 1 + PO[[#This Row],[GST %]]) * PO[[#This Row],[GST %]], 0)</f>
        <v>0</v>
      </c>
      <c r="P150" s="31">
        <f>_xlfn.XLOOKUP(PO[[#This Row],[Supplier name]], Supplier_master[Supplier name], Supplier_master[EOM or Net], 0)</f>
        <v>0</v>
      </c>
      <c r="Q150" s="31">
        <f>_xlfn.XLOOKUP(PO[[#This Row],[Supplier name]], Supplier_master[Supplier name], Supplier_master[Terms days], 0)</f>
        <v>0</v>
      </c>
      <c r="R1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0" s="4"/>
      <c r="T150" s="46">
        <f>IF(PO[[#This Row],[Payment date - override (dd/mm/yyyy)]] &lt;&gt; "", PO[[#This Row],[Payment date - override (dd/mm/yyyy)]], PO[[#This Row],[Due date (dd/mm/yyyy)]])</f>
        <v>0</v>
      </c>
      <c r="U150" s="46">
        <f t="shared" si="2"/>
        <v>52</v>
      </c>
    </row>
    <row r="151" spans="3:21" x14ac:dyDescent="0.25">
      <c r="C151" s="24"/>
      <c r="D151" s="20"/>
      <c r="E151" s="4"/>
      <c r="F151" s="37"/>
      <c r="G151" s="38"/>
      <c r="H151" s="31">
        <f>_xlfn.XLOOKUP(PO[[#This Row],[Supplier name]], Supplier_master[Supplier name], Supplier_master[Category L1], 0)</f>
        <v>0</v>
      </c>
      <c r="I151" s="31">
        <f>_xlfn.XLOOKUP(PO[[#This Row],[Supplier name]], Supplier_master[Supplier name], Supplier_master[Category L2], 0)</f>
        <v>0</v>
      </c>
      <c r="J151" s="55"/>
      <c r="K151" s="55"/>
      <c r="L151" s="31">
        <f>IF(PO[[#This Row],[Spend category L1 - Override]] &lt;&gt; "", PO[[#This Row],[Spend category L1 - Override]], PO[[#This Row],[Spend category L1]])</f>
        <v>0</v>
      </c>
      <c r="M151" s="31">
        <f>IF(PO[[#This Row],[Spend category L2 - Override]] &lt;&gt; "", PO[[#This Row],[Spend category L2 - Override]], PO[[#This Row],[Spend category L2]])</f>
        <v>0</v>
      </c>
      <c r="N151" s="63">
        <f>Assumptions!$D$15</f>
        <v>0.1</v>
      </c>
      <c r="O151" s="45">
        <f>IF(PO[[#This Row],[GST applies?]] = "Yes", (PO[[#This Row],[Value inc. GST]] / 1 + PO[[#This Row],[GST %]]) * PO[[#This Row],[GST %]], 0)</f>
        <v>0</v>
      </c>
      <c r="P151" s="31">
        <f>_xlfn.XLOOKUP(PO[[#This Row],[Supplier name]], Supplier_master[Supplier name], Supplier_master[EOM or Net], 0)</f>
        <v>0</v>
      </c>
      <c r="Q151" s="31">
        <f>_xlfn.XLOOKUP(PO[[#This Row],[Supplier name]], Supplier_master[Supplier name], Supplier_master[Terms days], 0)</f>
        <v>0</v>
      </c>
      <c r="R1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1" s="4"/>
      <c r="T151" s="46">
        <f>IF(PO[[#This Row],[Payment date - override (dd/mm/yyyy)]] &lt;&gt; "", PO[[#This Row],[Payment date - override (dd/mm/yyyy)]], PO[[#This Row],[Due date (dd/mm/yyyy)]])</f>
        <v>0</v>
      </c>
      <c r="U151" s="46">
        <f t="shared" si="2"/>
        <v>52</v>
      </c>
    </row>
    <row r="152" spans="3:21" x14ac:dyDescent="0.25">
      <c r="C152" s="24"/>
      <c r="D152" s="20"/>
      <c r="E152" s="4"/>
      <c r="F152" s="37"/>
      <c r="G152" s="38"/>
      <c r="H152" s="31">
        <f>_xlfn.XLOOKUP(PO[[#This Row],[Supplier name]], Supplier_master[Supplier name], Supplier_master[Category L1], 0)</f>
        <v>0</v>
      </c>
      <c r="I152" s="31">
        <f>_xlfn.XLOOKUP(PO[[#This Row],[Supplier name]], Supplier_master[Supplier name], Supplier_master[Category L2], 0)</f>
        <v>0</v>
      </c>
      <c r="J152" s="55"/>
      <c r="K152" s="55"/>
      <c r="L152" s="31">
        <f>IF(PO[[#This Row],[Spend category L1 - Override]] &lt;&gt; "", PO[[#This Row],[Spend category L1 - Override]], PO[[#This Row],[Spend category L1]])</f>
        <v>0</v>
      </c>
      <c r="M152" s="31">
        <f>IF(PO[[#This Row],[Spend category L2 - Override]] &lt;&gt; "", PO[[#This Row],[Spend category L2 - Override]], PO[[#This Row],[Spend category L2]])</f>
        <v>0</v>
      </c>
      <c r="N152" s="63">
        <f>Assumptions!$D$15</f>
        <v>0.1</v>
      </c>
      <c r="O152" s="45">
        <f>IF(PO[[#This Row],[GST applies?]] = "Yes", (PO[[#This Row],[Value inc. GST]] / 1 + PO[[#This Row],[GST %]]) * PO[[#This Row],[GST %]], 0)</f>
        <v>0</v>
      </c>
      <c r="P152" s="31">
        <f>_xlfn.XLOOKUP(PO[[#This Row],[Supplier name]], Supplier_master[Supplier name], Supplier_master[EOM or Net], 0)</f>
        <v>0</v>
      </c>
      <c r="Q152" s="31">
        <f>_xlfn.XLOOKUP(PO[[#This Row],[Supplier name]], Supplier_master[Supplier name], Supplier_master[Terms days], 0)</f>
        <v>0</v>
      </c>
      <c r="R1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2" s="4"/>
      <c r="T152" s="46">
        <f>IF(PO[[#This Row],[Payment date - override (dd/mm/yyyy)]] &lt;&gt; "", PO[[#This Row],[Payment date - override (dd/mm/yyyy)]], PO[[#This Row],[Due date (dd/mm/yyyy)]])</f>
        <v>0</v>
      </c>
      <c r="U152" s="46">
        <f t="shared" si="2"/>
        <v>52</v>
      </c>
    </row>
    <row r="153" spans="3:21" x14ac:dyDescent="0.25">
      <c r="C153" s="24"/>
      <c r="D153" s="20"/>
      <c r="E153" s="4"/>
      <c r="F153" s="37"/>
      <c r="G153" s="38"/>
      <c r="H153" s="31">
        <f>_xlfn.XLOOKUP(PO[[#This Row],[Supplier name]], Supplier_master[Supplier name], Supplier_master[Category L1], 0)</f>
        <v>0</v>
      </c>
      <c r="I153" s="31">
        <f>_xlfn.XLOOKUP(PO[[#This Row],[Supplier name]], Supplier_master[Supplier name], Supplier_master[Category L2], 0)</f>
        <v>0</v>
      </c>
      <c r="J153" s="55"/>
      <c r="K153" s="55"/>
      <c r="L153" s="31">
        <f>IF(PO[[#This Row],[Spend category L1 - Override]] &lt;&gt; "", PO[[#This Row],[Spend category L1 - Override]], PO[[#This Row],[Spend category L1]])</f>
        <v>0</v>
      </c>
      <c r="M153" s="31">
        <f>IF(PO[[#This Row],[Spend category L2 - Override]] &lt;&gt; "", PO[[#This Row],[Spend category L2 - Override]], PO[[#This Row],[Spend category L2]])</f>
        <v>0</v>
      </c>
      <c r="N153" s="63">
        <f>Assumptions!$D$15</f>
        <v>0.1</v>
      </c>
      <c r="O153" s="45">
        <f>IF(PO[[#This Row],[GST applies?]] = "Yes", (PO[[#This Row],[Value inc. GST]] / 1 + PO[[#This Row],[GST %]]) * PO[[#This Row],[GST %]], 0)</f>
        <v>0</v>
      </c>
      <c r="P153" s="31">
        <f>_xlfn.XLOOKUP(PO[[#This Row],[Supplier name]], Supplier_master[Supplier name], Supplier_master[EOM or Net], 0)</f>
        <v>0</v>
      </c>
      <c r="Q153" s="31">
        <f>_xlfn.XLOOKUP(PO[[#This Row],[Supplier name]], Supplier_master[Supplier name], Supplier_master[Terms days], 0)</f>
        <v>0</v>
      </c>
      <c r="R1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3" s="4"/>
      <c r="T153" s="46">
        <f>IF(PO[[#This Row],[Payment date - override (dd/mm/yyyy)]] &lt;&gt; "", PO[[#This Row],[Payment date - override (dd/mm/yyyy)]], PO[[#This Row],[Due date (dd/mm/yyyy)]])</f>
        <v>0</v>
      </c>
      <c r="U153" s="46">
        <f t="shared" si="2"/>
        <v>52</v>
      </c>
    </row>
    <row r="154" spans="3:21" x14ac:dyDescent="0.25">
      <c r="C154" s="24"/>
      <c r="D154" s="20"/>
      <c r="E154" s="4"/>
      <c r="F154" s="37"/>
      <c r="G154" s="38"/>
      <c r="H154" s="31">
        <f>_xlfn.XLOOKUP(PO[[#This Row],[Supplier name]], Supplier_master[Supplier name], Supplier_master[Category L1], 0)</f>
        <v>0</v>
      </c>
      <c r="I154" s="31">
        <f>_xlfn.XLOOKUP(PO[[#This Row],[Supplier name]], Supplier_master[Supplier name], Supplier_master[Category L2], 0)</f>
        <v>0</v>
      </c>
      <c r="J154" s="55"/>
      <c r="K154" s="55"/>
      <c r="L154" s="31">
        <f>IF(PO[[#This Row],[Spend category L1 - Override]] &lt;&gt; "", PO[[#This Row],[Spend category L1 - Override]], PO[[#This Row],[Spend category L1]])</f>
        <v>0</v>
      </c>
      <c r="M154" s="31">
        <f>IF(PO[[#This Row],[Spend category L2 - Override]] &lt;&gt; "", PO[[#This Row],[Spend category L2 - Override]], PO[[#This Row],[Spend category L2]])</f>
        <v>0</v>
      </c>
      <c r="N154" s="63">
        <f>Assumptions!$D$15</f>
        <v>0.1</v>
      </c>
      <c r="O154" s="45">
        <f>IF(PO[[#This Row],[GST applies?]] = "Yes", (PO[[#This Row],[Value inc. GST]] / 1 + PO[[#This Row],[GST %]]) * PO[[#This Row],[GST %]], 0)</f>
        <v>0</v>
      </c>
      <c r="P154" s="31">
        <f>_xlfn.XLOOKUP(PO[[#This Row],[Supplier name]], Supplier_master[Supplier name], Supplier_master[EOM or Net], 0)</f>
        <v>0</v>
      </c>
      <c r="Q154" s="31">
        <f>_xlfn.XLOOKUP(PO[[#This Row],[Supplier name]], Supplier_master[Supplier name], Supplier_master[Terms days], 0)</f>
        <v>0</v>
      </c>
      <c r="R1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4" s="4"/>
      <c r="T154" s="46">
        <f>IF(PO[[#This Row],[Payment date - override (dd/mm/yyyy)]] &lt;&gt; "", PO[[#This Row],[Payment date - override (dd/mm/yyyy)]], PO[[#This Row],[Due date (dd/mm/yyyy)]])</f>
        <v>0</v>
      </c>
      <c r="U154" s="46">
        <f t="shared" si="2"/>
        <v>52</v>
      </c>
    </row>
    <row r="155" spans="3:21" x14ac:dyDescent="0.25">
      <c r="C155" s="24"/>
      <c r="D155" s="20"/>
      <c r="E155" s="4"/>
      <c r="F155" s="37"/>
      <c r="G155" s="38"/>
      <c r="H155" s="31">
        <f>_xlfn.XLOOKUP(PO[[#This Row],[Supplier name]], Supplier_master[Supplier name], Supplier_master[Category L1], 0)</f>
        <v>0</v>
      </c>
      <c r="I155" s="31">
        <f>_xlfn.XLOOKUP(PO[[#This Row],[Supplier name]], Supplier_master[Supplier name], Supplier_master[Category L2], 0)</f>
        <v>0</v>
      </c>
      <c r="J155" s="55"/>
      <c r="K155" s="55"/>
      <c r="L155" s="31">
        <f>IF(PO[[#This Row],[Spend category L1 - Override]] &lt;&gt; "", PO[[#This Row],[Spend category L1 - Override]], PO[[#This Row],[Spend category L1]])</f>
        <v>0</v>
      </c>
      <c r="M155" s="31">
        <f>IF(PO[[#This Row],[Spend category L2 - Override]] &lt;&gt; "", PO[[#This Row],[Spend category L2 - Override]], PO[[#This Row],[Spend category L2]])</f>
        <v>0</v>
      </c>
      <c r="N155" s="63">
        <f>Assumptions!$D$15</f>
        <v>0.1</v>
      </c>
      <c r="O155" s="45">
        <f>IF(PO[[#This Row],[GST applies?]] = "Yes", (PO[[#This Row],[Value inc. GST]] / 1 + PO[[#This Row],[GST %]]) * PO[[#This Row],[GST %]], 0)</f>
        <v>0</v>
      </c>
      <c r="P155" s="31">
        <f>_xlfn.XLOOKUP(PO[[#This Row],[Supplier name]], Supplier_master[Supplier name], Supplier_master[EOM or Net], 0)</f>
        <v>0</v>
      </c>
      <c r="Q155" s="31">
        <f>_xlfn.XLOOKUP(PO[[#This Row],[Supplier name]], Supplier_master[Supplier name], Supplier_master[Terms days], 0)</f>
        <v>0</v>
      </c>
      <c r="R1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5" s="4"/>
      <c r="T155" s="46">
        <f>IF(PO[[#This Row],[Payment date - override (dd/mm/yyyy)]] &lt;&gt; "", PO[[#This Row],[Payment date - override (dd/mm/yyyy)]], PO[[#This Row],[Due date (dd/mm/yyyy)]])</f>
        <v>0</v>
      </c>
      <c r="U155" s="46">
        <f t="shared" si="2"/>
        <v>52</v>
      </c>
    </row>
    <row r="156" spans="3:21" x14ac:dyDescent="0.25">
      <c r="C156" s="24"/>
      <c r="D156" s="20"/>
      <c r="E156" s="4"/>
      <c r="F156" s="37"/>
      <c r="G156" s="38"/>
      <c r="H156" s="31">
        <f>_xlfn.XLOOKUP(PO[[#This Row],[Supplier name]], Supplier_master[Supplier name], Supplier_master[Category L1], 0)</f>
        <v>0</v>
      </c>
      <c r="I156" s="31">
        <f>_xlfn.XLOOKUP(PO[[#This Row],[Supplier name]], Supplier_master[Supplier name], Supplier_master[Category L2], 0)</f>
        <v>0</v>
      </c>
      <c r="J156" s="55"/>
      <c r="K156" s="55"/>
      <c r="L156" s="31">
        <f>IF(PO[[#This Row],[Spend category L1 - Override]] &lt;&gt; "", PO[[#This Row],[Spend category L1 - Override]], PO[[#This Row],[Spend category L1]])</f>
        <v>0</v>
      </c>
      <c r="M156" s="31">
        <f>IF(PO[[#This Row],[Spend category L2 - Override]] &lt;&gt; "", PO[[#This Row],[Spend category L2 - Override]], PO[[#This Row],[Spend category L2]])</f>
        <v>0</v>
      </c>
      <c r="N156" s="63">
        <f>Assumptions!$D$15</f>
        <v>0.1</v>
      </c>
      <c r="O156" s="45">
        <f>IF(PO[[#This Row],[GST applies?]] = "Yes", (PO[[#This Row],[Value inc. GST]] / 1 + PO[[#This Row],[GST %]]) * PO[[#This Row],[GST %]], 0)</f>
        <v>0</v>
      </c>
      <c r="P156" s="31">
        <f>_xlfn.XLOOKUP(PO[[#This Row],[Supplier name]], Supplier_master[Supplier name], Supplier_master[EOM or Net], 0)</f>
        <v>0</v>
      </c>
      <c r="Q156" s="31">
        <f>_xlfn.XLOOKUP(PO[[#This Row],[Supplier name]], Supplier_master[Supplier name], Supplier_master[Terms days], 0)</f>
        <v>0</v>
      </c>
      <c r="R1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6" s="4"/>
      <c r="T156" s="46">
        <f>IF(PO[[#This Row],[Payment date - override (dd/mm/yyyy)]] &lt;&gt; "", PO[[#This Row],[Payment date - override (dd/mm/yyyy)]], PO[[#This Row],[Due date (dd/mm/yyyy)]])</f>
        <v>0</v>
      </c>
      <c r="U156" s="46">
        <f t="shared" si="2"/>
        <v>52</v>
      </c>
    </row>
    <row r="157" spans="3:21" x14ac:dyDescent="0.25">
      <c r="C157" s="24"/>
      <c r="D157" s="20"/>
      <c r="E157" s="4"/>
      <c r="F157" s="37"/>
      <c r="G157" s="38"/>
      <c r="H157" s="31">
        <f>_xlfn.XLOOKUP(PO[[#This Row],[Supplier name]], Supplier_master[Supplier name], Supplier_master[Category L1], 0)</f>
        <v>0</v>
      </c>
      <c r="I157" s="31">
        <f>_xlfn.XLOOKUP(PO[[#This Row],[Supplier name]], Supplier_master[Supplier name], Supplier_master[Category L2], 0)</f>
        <v>0</v>
      </c>
      <c r="J157" s="55"/>
      <c r="K157" s="55"/>
      <c r="L157" s="31">
        <f>IF(PO[[#This Row],[Spend category L1 - Override]] &lt;&gt; "", PO[[#This Row],[Spend category L1 - Override]], PO[[#This Row],[Spend category L1]])</f>
        <v>0</v>
      </c>
      <c r="M157" s="31">
        <f>IF(PO[[#This Row],[Spend category L2 - Override]] &lt;&gt; "", PO[[#This Row],[Spend category L2 - Override]], PO[[#This Row],[Spend category L2]])</f>
        <v>0</v>
      </c>
      <c r="N157" s="63">
        <f>Assumptions!$D$15</f>
        <v>0.1</v>
      </c>
      <c r="O157" s="45">
        <f>IF(PO[[#This Row],[GST applies?]] = "Yes", (PO[[#This Row],[Value inc. GST]] / 1 + PO[[#This Row],[GST %]]) * PO[[#This Row],[GST %]], 0)</f>
        <v>0</v>
      </c>
      <c r="P157" s="31">
        <f>_xlfn.XLOOKUP(PO[[#This Row],[Supplier name]], Supplier_master[Supplier name], Supplier_master[EOM or Net], 0)</f>
        <v>0</v>
      </c>
      <c r="Q157" s="31">
        <f>_xlfn.XLOOKUP(PO[[#This Row],[Supplier name]], Supplier_master[Supplier name], Supplier_master[Terms days], 0)</f>
        <v>0</v>
      </c>
      <c r="R1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7" s="4"/>
      <c r="T157" s="46">
        <f>IF(PO[[#This Row],[Payment date - override (dd/mm/yyyy)]] &lt;&gt; "", PO[[#This Row],[Payment date - override (dd/mm/yyyy)]], PO[[#This Row],[Due date (dd/mm/yyyy)]])</f>
        <v>0</v>
      </c>
      <c r="U157" s="46">
        <f t="shared" si="2"/>
        <v>52</v>
      </c>
    </row>
    <row r="158" spans="3:21" x14ac:dyDescent="0.25">
      <c r="C158" s="24"/>
      <c r="D158" s="20"/>
      <c r="E158" s="4"/>
      <c r="F158" s="37"/>
      <c r="G158" s="38"/>
      <c r="H158" s="31">
        <f>_xlfn.XLOOKUP(PO[[#This Row],[Supplier name]], Supplier_master[Supplier name], Supplier_master[Category L1], 0)</f>
        <v>0</v>
      </c>
      <c r="I158" s="31">
        <f>_xlfn.XLOOKUP(PO[[#This Row],[Supplier name]], Supplier_master[Supplier name], Supplier_master[Category L2], 0)</f>
        <v>0</v>
      </c>
      <c r="J158" s="55"/>
      <c r="K158" s="55"/>
      <c r="L158" s="31">
        <f>IF(PO[[#This Row],[Spend category L1 - Override]] &lt;&gt; "", PO[[#This Row],[Spend category L1 - Override]], PO[[#This Row],[Spend category L1]])</f>
        <v>0</v>
      </c>
      <c r="M158" s="31">
        <f>IF(PO[[#This Row],[Spend category L2 - Override]] &lt;&gt; "", PO[[#This Row],[Spend category L2 - Override]], PO[[#This Row],[Spend category L2]])</f>
        <v>0</v>
      </c>
      <c r="N158" s="63">
        <f>Assumptions!$D$15</f>
        <v>0.1</v>
      </c>
      <c r="O158" s="45">
        <f>IF(PO[[#This Row],[GST applies?]] = "Yes", (PO[[#This Row],[Value inc. GST]] / 1 + PO[[#This Row],[GST %]]) * PO[[#This Row],[GST %]], 0)</f>
        <v>0</v>
      </c>
      <c r="P158" s="31">
        <f>_xlfn.XLOOKUP(PO[[#This Row],[Supplier name]], Supplier_master[Supplier name], Supplier_master[EOM or Net], 0)</f>
        <v>0</v>
      </c>
      <c r="Q158" s="31">
        <f>_xlfn.XLOOKUP(PO[[#This Row],[Supplier name]], Supplier_master[Supplier name], Supplier_master[Terms days], 0)</f>
        <v>0</v>
      </c>
      <c r="R1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8" s="4"/>
      <c r="T158" s="46">
        <f>IF(PO[[#This Row],[Payment date - override (dd/mm/yyyy)]] &lt;&gt; "", PO[[#This Row],[Payment date - override (dd/mm/yyyy)]], PO[[#This Row],[Due date (dd/mm/yyyy)]])</f>
        <v>0</v>
      </c>
      <c r="U158" s="46">
        <f t="shared" si="2"/>
        <v>52</v>
      </c>
    </row>
    <row r="159" spans="3:21" x14ac:dyDescent="0.25">
      <c r="C159" s="24"/>
      <c r="D159" s="20"/>
      <c r="E159" s="4"/>
      <c r="F159" s="37"/>
      <c r="G159" s="38"/>
      <c r="H159" s="31">
        <f>_xlfn.XLOOKUP(PO[[#This Row],[Supplier name]], Supplier_master[Supplier name], Supplier_master[Category L1], 0)</f>
        <v>0</v>
      </c>
      <c r="I159" s="31">
        <f>_xlfn.XLOOKUP(PO[[#This Row],[Supplier name]], Supplier_master[Supplier name], Supplier_master[Category L2], 0)</f>
        <v>0</v>
      </c>
      <c r="J159" s="55"/>
      <c r="K159" s="55"/>
      <c r="L159" s="31">
        <f>IF(PO[[#This Row],[Spend category L1 - Override]] &lt;&gt; "", PO[[#This Row],[Spend category L1 - Override]], PO[[#This Row],[Spend category L1]])</f>
        <v>0</v>
      </c>
      <c r="M159" s="31">
        <f>IF(PO[[#This Row],[Spend category L2 - Override]] &lt;&gt; "", PO[[#This Row],[Spend category L2 - Override]], PO[[#This Row],[Spend category L2]])</f>
        <v>0</v>
      </c>
      <c r="N159" s="63">
        <f>Assumptions!$D$15</f>
        <v>0.1</v>
      </c>
      <c r="O159" s="45">
        <f>IF(PO[[#This Row],[GST applies?]] = "Yes", (PO[[#This Row],[Value inc. GST]] / 1 + PO[[#This Row],[GST %]]) * PO[[#This Row],[GST %]], 0)</f>
        <v>0</v>
      </c>
      <c r="P159" s="31">
        <f>_xlfn.XLOOKUP(PO[[#This Row],[Supplier name]], Supplier_master[Supplier name], Supplier_master[EOM or Net], 0)</f>
        <v>0</v>
      </c>
      <c r="Q159" s="31">
        <f>_xlfn.XLOOKUP(PO[[#This Row],[Supplier name]], Supplier_master[Supplier name], Supplier_master[Terms days], 0)</f>
        <v>0</v>
      </c>
      <c r="R1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9" s="4"/>
      <c r="T159" s="46">
        <f>IF(PO[[#This Row],[Payment date - override (dd/mm/yyyy)]] &lt;&gt; "", PO[[#This Row],[Payment date - override (dd/mm/yyyy)]], PO[[#This Row],[Due date (dd/mm/yyyy)]])</f>
        <v>0</v>
      </c>
      <c r="U159" s="46">
        <f t="shared" si="2"/>
        <v>52</v>
      </c>
    </row>
    <row r="160" spans="3:21" x14ac:dyDescent="0.25">
      <c r="C160" s="24"/>
      <c r="D160" s="20"/>
      <c r="E160" s="4"/>
      <c r="F160" s="37"/>
      <c r="G160" s="38"/>
      <c r="H160" s="31">
        <f>_xlfn.XLOOKUP(PO[[#This Row],[Supplier name]], Supplier_master[Supplier name], Supplier_master[Category L1], 0)</f>
        <v>0</v>
      </c>
      <c r="I160" s="31">
        <f>_xlfn.XLOOKUP(PO[[#This Row],[Supplier name]], Supplier_master[Supplier name], Supplier_master[Category L2], 0)</f>
        <v>0</v>
      </c>
      <c r="J160" s="55"/>
      <c r="K160" s="55"/>
      <c r="L160" s="31">
        <f>IF(PO[[#This Row],[Spend category L1 - Override]] &lt;&gt; "", PO[[#This Row],[Spend category L1 - Override]], PO[[#This Row],[Spend category L1]])</f>
        <v>0</v>
      </c>
      <c r="M160" s="31">
        <f>IF(PO[[#This Row],[Spend category L2 - Override]] &lt;&gt; "", PO[[#This Row],[Spend category L2 - Override]], PO[[#This Row],[Spend category L2]])</f>
        <v>0</v>
      </c>
      <c r="N160" s="63">
        <f>Assumptions!$D$15</f>
        <v>0.1</v>
      </c>
      <c r="O160" s="45">
        <f>IF(PO[[#This Row],[GST applies?]] = "Yes", (PO[[#This Row],[Value inc. GST]] / 1 + PO[[#This Row],[GST %]]) * PO[[#This Row],[GST %]], 0)</f>
        <v>0</v>
      </c>
      <c r="P160" s="31">
        <f>_xlfn.XLOOKUP(PO[[#This Row],[Supplier name]], Supplier_master[Supplier name], Supplier_master[EOM or Net], 0)</f>
        <v>0</v>
      </c>
      <c r="Q160" s="31">
        <f>_xlfn.XLOOKUP(PO[[#This Row],[Supplier name]], Supplier_master[Supplier name], Supplier_master[Terms days], 0)</f>
        <v>0</v>
      </c>
      <c r="R1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0" s="4"/>
      <c r="T160" s="46">
        <f>IF(PO[[#This Row],[Payment date - override (dd/mm/yyyy)]] &lt;&gt; "", PO[[#This Row],[Payment date - override (dd/mm/yyyy)]], PO[[#This Row],[Due date (dd/mm/yyyy)]])</f>
        <v>0</v>
      </c>
      <c r="U160" s="46">
        <f t="shared" si="2"/>
        <v>52</v>
      </c>
    </row>
    <row r="161" spans="3:21" x14ac:dyDescent="0.25">
      <c r="C161" s="24"/>
      <c r="D161" s="20"/>
      <c r="E161" s="4"/>
      <c r="F161" s="37"/>
      <c r="G161" s="38"/>
      <c r="H161" s="31">
        <f>_xlfn.XLOOKUP(PO[[#This Row],[Supplier name]], Supplier_master[Supplier name], Supplier_master[Category L1], 0)</f>
        <v>0</v>
      </c>
      <c r="I161" s="31">
        <f>_xlfn.XLOOKUP(PO[[#This Row],[Supplier name]], Supplier_master[Supplier name], Supplier_master[Category L2], 0)</f>
        <v>0</v>
      </c>
      <c r="J161" s="55"/>
      <c r="K161" s="55"/>
      <c r="L161" s="31">
        <f>IF(PO[[#This Row],[Spend category L1 - Override]] &lt;&gt; "", PO[[#This Row],[Spend category L1 - Override]], PO[[#This Row],[Spend category L1]])</f>
        <v>0</v>
      </c>
      <c r="M161" s="31">
        <f>IF(PO[[#This Row],[Spend category L2 - Override]] &lt;&gt; "", PO[[#This Row],[Spend category L2 - Override]], PO[[#This Row],[Spend category L2]])</f>
        <v>0</v>
      </c>
      <c r="N161" s="63">
        <f>Assumptions!$D$15</f>
        <v>0.1</v>
      </c>
      <c r="O161" s="45">
        <f>IF(PO[[#This Row],[GST applies?]] = "Yes", (PO[[#This Row],[Value inc. GST]] / 1 + PO[[#This Row],[GST %]]) * PO[[#This Row],[GST %]], 0)</f>
        <v>0</v>
      </c>
      <c r="P161" s="31">
        <f>_xlfn.XLOOKUP(PO[[#This Row],[Supplier name]], Supplier_master[Supplier name], Supplier_master[EOM or Net], 0)</f>
        <v>0</v>
      </c>
      <c r="Q161" s="31">
        <f>_xlfn.XLOOKUP(PO[[#This Row],[Supplier name]], Supplier_master[Supplier name], Supplier_master[Terms days], 0)</f>
        <v>0</v>
      </c>
      <c r="R1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1" s="4"/>
      <c r="T161" s="46">
        <f>IF(PO[[#This Row],[Payment date - override (dd/mm/yyyy)]] &lt;&gt; "", PO[[#This Row],[Payment date - override (dd/mm/yyyy)]], PO[[#This Row],[Due date (dd/mm/yyyy)]])</f>
        <v>0</v>
      </c>
      <c r="U161" s="46">
        <f t="shared" si="2"/>
        <v>52</v>
      </c>
    </row>
    <row r="162" spans="3:21" x14ac:dyDescent="0.25">
      <c r="C162" s="24"/>
      <c r="D162" s="20"/>
      <c r="E162" s="4"/>
      <c r="F162" s="37"/>
      <c r="G162" s="38"/>
      <c r="H162" s="31">
        <f>_xlfn.XLOOKUP(PO[[#This Row],[Supplier name]], Supplier_master[Supplier name], Supplier_master[Category L1], 0)</f>
        <v>0</v>
      </c>
      <c r="I162" s="31">
        <f>_xlfn.XLOOKUP(PO[[#This Row],[Supplier name]], Supplier_master[Supplier name], Supplier_master[Category L2], 0)</f>
        <v>0</v>
      </c>
      <c r="J162" s="55"/>
      <c r="K162" s="55"/>
      <c r="L162" s="31">
        <f>IF(PO[[#This Row],[Spend category L1 - Override]] &lt;&gt; "", PO[[#This Row],[Spend category L1 - Override]], PO[[#This Row],[Spend category L1]])</f>
        <v>0</v>
      </c>
      <c r="M162" s="31">
        <f>IF(PO[[#This Row],[Spend category L2 - Override]] &lt;&gt; "", PO[[#This Row],[Spend category L2 - Override]], PO[[#This Row],[Spend category L2]])</f>
        <v>0</v>
      </c>
      <c r="N162" s="63">
        <f>Assumptions!$D$15</f>
        <v>0.1</v>
      </c>
      <c r="O162" s="45">
        <f>IF(PO[[#This Row],[GST applies?]] = "Yes", (PO[[#This Row],[Value inc. GST]] / 1 + PO[[#This Row],[GST %]]) * PO[[#This Row],[GST %]], 0)</f>
        <v>0</v>
      </c>
      <c r="P162" s="31">
        <f>_xlfn.XLOOKUP(PO[[#This Row],[Supplier name]], Supplier_master[Supplier name], Supplier_master[EOM or Net], 0)</f>
        <v>0</v>
      </c>
      <c r="Q162" s="31">
        <f>_xlfn.XLOOKUP(PO[[#This Row],[Supplier name]], Supplier_master[Supplier name], Supplier_master[Terms days], 0)</f>
        <v>0</v>
      </c>
      <c r="R1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2" s="4"/>
      <c r="T162" s="46">
        <f>IF(PO[[#This Row],[Payment date - override (dd/mm/yyyy)]] &lt;&gt; "", PO[[#This Row],[Payment date - override (dd/mm/yyyy)]], PO[[#This Row],[Due date (dd/mm/yyyy)]])</f>
        <v>0</v>
      </c>
      <c r="U162" s="46">
        <f t="shared" si="2"/>
        <v>52</v>
      </c>
    </row>
    <row r="163" spans="3:21" x14ac:dyDescent="0.25">
      <c r="C163" s="24"/>
      <c r="D163" s="20"/>
      <c r="E163" s="4"/>
      <c r="F163" s="37"/>
      <c r="G163" s="38"/>
      <c r="H163" s="31">
        <f>_xlfn.XLOOKUP(PO[[#This Row],[Supplier name]], Supplier_master[Supplier name], Supplier_master[Category L1], 0)</f>
        <v>0</v>
      </c>
      <c r="I163" s="31">
        <f>_xlfn.XLOOKUP(PO[[#This Row],[Supplier name]], Supplier_master[Supplier name], Supplier_master[Category L2], 0)</f>
        <v>0</v>
      </c>
      <c r="J163" s="55"/>
      <c r="K163" s="55"/>
      <c r="L163" s="31">
        <f>IF(PO[[#This Row],[Spend category L1 - Override]] &lt;&gt; "", PO[[#This Row],[Spend category L1 - Override]], PO[[#This Row],[Spend category L1]])</f>
        <v>0</v>
      </c>
      <c r="M163" s="31">
        <f>IF(PO[[#This Row],[Spend category L2 - Override]] &lt;&gt; "", PO[[#This Row],[Spend category L2 - Override]], PO[[#This Row],[Spend category L2]])</f>
        <v>0</v>
      </c>
      <c r="N163" s="63">
        <f>Assumptions!$D$15</f>
        <v>0.1</v>
      </c>
      <c r="O163" s="45">
        <f>IF(PO[[#This Row],[GST applies?]] = "Yes", (PO[[#This Row],[Value inc. GST]] / 1 + PO[[#This Row],[GST %]]) * PO[[#This Row],[GST %]], 0)</f>
        <v>0</v>
      </c>
      <c r="P163" s="31">
        <f>_xlfn.XLOOKUP(PO[[#This Row],[Supplier name]], Supplier_master[Supplier name], Supplier_master[EOM or Net], 0)</f>
        <v>0</v>
      </c>
      <c r="Q163" s="31">
        <f>_xlfn.XLOOKUP(PO[[#This Row],[Supplier name]], Supplier_master[Supplier name], Supplier_master[Terms days], 0)</f>
        <v>0</v>
      </c>
      <c r="R1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3" s="4"/>
      <c r="T163" s="46">
        <f>IF(PO[[#This Row],[Payment date - override (dd/mm/yyyy)]] &lt;&gt; "", PO[[#This Row],[Payment date - override (dd/mm/yyyy)]], PO[[#This Row],[Due date (dd/mm/yyyy)]])</f>
        <v>0</v>
      </c>
      <c r="U163" s="46">
        <f t="shared" si="2"/>
        <v>52</v>
      </c>
    </row>
    <row r="164" spans="3:21" x14ac:dyDescent="0.25">
      <c r="C164" s="24"/>
      <c r="D164" s="20"/>
      <c r="E164" s="4"/>
      <c r="F164" s="37"/>
      <c r="G164" s="38"/>
      <c r="H164" s="31">
        <f>_xlfn.XLOOKUP(PO[[#This Row],[Supplier name]], Supplier_master[Supplier name], Supplier_master[Category L1], 0)</f>
        <v>0</v>
      </c>
      <c r="I164" s="31">
        <f>_xlfn.XLOOKUP(PO[[#This Row],[Supplier name]], Supplier_master[Supplier name], Supplier_master[Category L2], 0)</f>
        <v>0</v>
      </c>
      <c r="J164" s="55"/>
      <c r="K164" s="55"/>
      <c r="L164" s="31">
        <f>IF(PO[[#This Row],[Spend category L1 - Override]] &lt;&gt; "", PO[[#This Row],[Spend category L1 - Override]], PO[[#This Row],[Spend category L1]])</f>
        <v>0</v>
      </c>
      <c r="M164" s="31">
        <f>IF(PO[[#This Row],[Spend category L2 - Override]] &lt;&gt; "", PO[[#This Row],[Spend category L2 - Override]], PO[[#This Row],[Spend category L2]])</f>
        <v>0</v>
      </c>
      <c r="N164" s="63">
        <f>Assumptions!$D$15</f>
        <v>0.1</v>
      </c>
      <c r="O164" s="45">
        <f>IF(PO[[#This Row],[GST applies?]] = "Yes", (PO[[#This Row],[Value inc. GST]] / 1 + PO[[#This Row],[GST %]]) * PO[[#This Row],[GST %]], 0)</f>
        <v>0</v>
      </c>
      <c r="P164" s="31">
        <f>_xlfn.XLOOKUP(PO[[#This Row],[Supplier name]], Supplier_master[Supplier name], Supplier_master[EOM or Net], 0)</f>
        <v>0</v>
      </c>
      <c r="Q164" s="31">
        <f>_xlfn.XLOOKUP(PO[[#This Row],[Supplier name]], Supplier_master[Supplier name], Supplier_master[Terms days], 0)</f>
        <v>0</v>
      </c>
      <c r="R1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4" s="4"/>
      <c r="T164" s="46">
        <f>IF(PO[[#This Row],[Payment date - override (dd/mm/yyyy)]] &lt;&gt; "", PO[[#This Row],[Payment date - override (dd/mm/yyyy)]], PO[[#This Row],[Due date (dd/mm/yyyy)]])</f>
        <v>0</v>
      </c>
      <c r="U164" s="46">
        <f t="shared" si="2"/>
        <v>52</v>
      </c>
    </row>
    <row r="165" spans="3:21" x14ac:dyDescent="0.25">
      <c r="C165" s="24"/>
      <c r="D165" s="20"/>
      <c r="E165" s="4"/>
      <c r="F165" s="37"/>
      <c r="G165" s="38"/>
      <c r="H165" s="31">
        <f>_xlfn.XLOOKUP(PO[[#This Row],[Supplier name]], Supplier_master[Supplier name], Supplier_master[Category L1], 0)</f>
        <v>0</v>
      </c>
      <c r="I165" s="31">
        <f>_xlfn.XLOOKUP(PO[[#This Row],[Supplier name]], Supplier_master[Supplier name], Supplier_master[Category L2], 0)</f>
        <v>0</v>
      </c>
      <c r="J165" s="55"/>
      <c r="K165" s="55"/>
      <c r="L165" s="31">
        <f>IF(PO[[#This Row],[Spend category L1 - Override]] &lt;&gt; "", PO[[#This Row],[Spend category L1 - Override]], PO[[#This Row],[Spend category L1]])</f>
        <v>0</v>
      </c>
      <c r="M165" s="31">
        <f>IF(PO[[#This Row],[Spend category L2 - Override]] &lt;&gt; "", PO[[#This Row],[Spend category L2 - Override]], PO[[#This Row],[Spend category L2]])</f>
        <v>0</v>
      </c>
      <c r="N165" s="63">
        <f>Assumptions!$D$15</f>
        <v>0.1</v>
      </c>
      <c r="O165" s="45">
        <f>IF(PO[[#This Row],[GST applies?]] = "Yes", (PO[[#This Row],[Value inc. GST]] / 1 + PO[[#This Row],[GST %]]) * PO[[#This Row],[GST %]], 0)</f>
        <v>0</v>
      </c>
      <c r="P165" s="31">
        <f>_xlfn.XLOOKUP(PO[[#This Row],[Supplier name]], Supplier_master[Supplier name], Supplier_master[EOM or Net], 0)</f>
        <v>0</v>
      </c>
      <c r="Q165" s="31">
        <f>_xlfn.XLOOKUP(PO[[#This Row],[Supplier name]], Supplier_master[Supplier name], Supplier_master[Terms days], 0)</f>
        <v>0</v>
      </c>
      <c r="R1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5" s="4"/>
      <c r="T165" s="46">
        <f>IF(PO[[#This Row],[Payment date - override (dd/mm/yyyy)]] &lt;&gt; "", PO[[#This Row],[Payment date - override (dd/mm/yyyy)]], PO[[#This Row],[Due date (dd/mm/yyyy)]])</f>
        <v>0</v>
      </c>
      <c r="U165" s="46">
        <f t="shared" si="2"/>
        <v>52</v>
      </c>
    </row>
    <row r="166" spans="3:21" x14ac:dyDescent="0.25">
      <c r="C166" s="24"/>
      <c r="D166" s="20"/>
      <c r="E166" s="4"/>
      <c r="F166" s="37"/>
      <c r="G166" s="38"/>
      <c r="H166" s="31">
        <f>_xlfn.XLOOKUP(PO[[#This Row],[Supplier name]], Supplier_master[Supplier name], Supplier_master[Category L1], 0)</f>
        <v>0</v>
      </c>
      <c r="I166" s="31">
        <f>_xlfn.XLOOKUP(PO[[#This Row],[Supplier name]], Supplier_master[Supplier name], Supplier_master[Category L2], 0)</f>
        <v>0</v>
      </c>
      <c r="J166" s="55"/>
      <c r="K166" s="55"/>
      <c r="L166" s="31">
        <f>IF(PO[[#This Row],[Spend category L1 - Override]] &lt;&gt; "", PO[[#This Row],[Spend category L1 - Override]], PO[[#This Row],[Spend category L1]])</f>
        <v>0</v>
      </c>
      <c r="M166" s="31">
        <f>IF(PO[[#This Row],[Spend category L2 - Override]] &lt;&gt; "", PO[[#This Row],[Spend category L2 - Override]], PO[[#This Row],[Spend category L2]])</f>
        <v>0</v>
      </c>
      <c r="N166" s="63">
        <f>Assumptions!$D$15</f>
        <v>0.1</v>
      </c>
      <c r="O166" s="45">
        <f>IF(PO[[#This Row],[GST applies?]] = "Yes", (PO[[#This Row],[Value inc. GST]] / 1 + PO[[#This Row],[GST %]]) * PO[[#This Row],[GST %]], 0)</f>
        <v>0</v>
      </c>
      <c r="P166" s="31">
        <f>_xlfn.XLOOKUP(PO[[#This Row],[Supplier name]], Supplier_master[Supplier name], Supplier_master[EOM or Net], 0)</f>
        <v>0</v>
      </c>
      <c r="Q166" s="31">
        <f>_xlfn.XLOOKUP(PO[[#This Row],[Supplier name]], Supplier_master[Supplier name], Supplier_master[Terms days], 0)</f>
        <v>0</v>
      </c>
      <c r="R1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6" s="4"/>
      <c r="T166" s="46">
        <f>IF(PO[[#This Row],[Payment date - override (dd/mm/yyyy)]] &lt;&gt; "", PO[[#This Row],[Payment date - override (dd/mm/yyyy)]], PO[[#This Row],[Due date (dd/mm/yyyy)]])</f>
        <v>0</v>
      </c>
      <c r="U166" s="46">
        <f t="shared" si="2"/>
        <v>52</v>
      </c>
    </row>
    <row r="167" spans="3:21" x14ac:dyDescent="0.25">
      <c r="C167" s="24"/>
      <c r="D167" s="20"/>
      <c r="E167" s="4"/>
      <c r="F167" s="37"/>
      <c r="G167" s="38"/>
      <c r="H167" s="31">
        <f>_xlfn.XLOOKUP(PO[[#This Row],[Supplier name]], Supplier_master[Supplier name], Supplier_master[Category L1], 0)</f>
        <v>0</v>
      </c>
      <c r="I167" s="31">
        <f>_xlfn.XLOOKUP(PO[[#This Row],[Supplier name]], Supplier_master[Supplier name], Supplier_master[Category L2], 0)</f>
        <v>0</v>
      </c>
      <c r="J167" s="55"/>
      <c r="K167" s="55"/>
      <c r="L167" s="31">
        <f>IF(PO[[#This Row],[Spend category L1 - Override]] &lt;&gt; "", PO[[#This Row],[Spend category L1 - Override]], PO[[#This Row],[Spend category L1]])</f>
        <v>0</v>
      </c>
      <c r="M167" s="31">
        <f>IF(PO[[#This Row],[Spend category L2 - Override]] &lt;&gt; "", PO[[#This Row],[Spend category L2 - Override]], PO[[#This Row],[Spend category L2]])</f>
        <v>0</v>
      </c>
      <c r="N167" s="63">
        <f>Assumptions!$D$15</f>
        <v>0.1</v>
      </c>
      <c r="O167" s="45">
        <f>IF(PO[[#This Row],[GST applies?]] = "Yes", (PO[[#This Row],[Value inc. GST]] / 1 + PO[[#This Row],[GST %]]) * PO[[#This Row],[GST %]], 0)</f>
        <v>0</v>
      </c>
      <c r="P167" s="31">
        <f>_xlfn.XLOOKUP(PO[[#This Row],[Supplier name]], Supplier_master[Supplier name], Supplier_master[EOM or Net], 0)</f>
        <v>0</v>
      </c>
      <c r="Q167" s="31">
        <f>_xlfn.XLOOKUP(PO[[#This Row],[Supplier name]], Supplier_master[Supplier name], Supplier_master[Terms days], 0)</f>
        <v>0</v>
      </c>
      <c r="R1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7" s="4"/>
      <c r="T167" s="46">
        <f>IF(PO[[#This Row],[Payment date - override (dd/mm/yyyy)]] &lt;&gt; "", PO[[#This Row],[Payment date - override (dd/mm/yyyy)]], PO[[#This Row],[Due date (dd/mm/yyyy)]])</f>
        <v>0</v>
      </c>
      <c r="U167" s="46">
        <f t="shared" si="2"/>
        <v>52</v>
      </c>
    </row>
    <row r="168" spans="3:21" x14ac:dyDescent="0.25">
      <c r="C168" s="24"/>
      <c r="D168" s="20"/>
      <c r="E168" s="4"/>
      <c r="F168" s="37"/>
      <c r="G168" s="38"/>
      <c r="H168" s="31">
        <f>_xlfn.XLOOKUP(PO[[#This Row],[Supplier name]], Supplier_master[Supplier name], Supplier_master[Category L1], 0)</f>
        <v>0</v>
      </c>
      <c r="I168" s="31">
        <f>_xlfn.XLOOKUP(PO[[#This Row],[Supplier name]], Supplier_master[Supplier name], Supplier_master[Category L2], 0)</f>
        <v>0</v>
      </c>
      <c r="J168" s="55"/>
      <c r="K168" s="55"/>
      <c r="L168" s="31">
        <f>IF(PO[[#This Row],[Spend category L1 - Override]] &lt;&gt; "", PO[[#This Row],[Spend category L1 - Override]], PO[[#This Row],[Spend category L1]])</f>
        <v>0</v>
      </c>
      <c r="M168" s="31">
        <f>IF(PO[[#This Row],[Spend category L2 - Override]] &lt;&gt; "", PO[[#This Row],[Spend category L2 - Override]], PO[[#This Row],[Spend category L2]])</f>
        <v>0</v>
      </c>
      <c r="N168" s="63">
        <f>Assumptions!$D$15</f>
        <v>0.1</v>
      </c>
      <c r="O168" s="45">
        <f>IF(PO[[#This Row],[GST applies?]] = "Yes", (PO[[#This Row],[Value inc. GST]] / 1 + PO[[#This Row],[GST %]]) * PO[[#This Row],[GST %]], 0)</f>
        <v>0</v>
      </c>
      <c r="P168" s="31">
        <f>_xlfn.XLOOKUP(PO[[#This Row],[Supplier name]], Supplier_master[Supplier name], Supplier_master[EOM or Net], 0)</f>
        <v>0</v>
      </c>
      <c r="Q168" s="31">
        <f>_xlfn.XLOOKUP(PO[[#This Row],[Supplier name]], Supplier_master[Supplier name], Supplier_master[Terms days], 0)</f>
        <v>0</v>
      </c>
      <c r="R1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8" s="4"/>
      <c r="T168" s="46">
        <f>IF(PO[[#This Row],[Payment date - override (dd/mm/yyyy)]] &lt;&gt; "", PO[[#This Row],[Payment date - override (dd/mm/yyyy)]], PO[[#This Row],[Due date (dd/mm/yyyy)]])</f>
        <v>0</v>
      </c>
      <c r="U168" s="46">
        <f t="shared" si="2"/>
        <v>52</v>
      </c>
    </row>
    <row r="169" spans="3:21" x14ac:dyDescent="0.25">
      <c r="C169" s="24"/>
      <c r="D169" s="20"/>
      <c r="E169" s="4"/>
      <c r="F169" s="37"/>
      <c r="G169" s="38"/>
      <c r="H169" s="31">
        <f>_xlfn.XLOOKUP(PO[[#This Row],[Supplier name]], Supplier_master[Supplier name], Supplier_master[Category L1], 0)</f>
        <v>0</v>
      </c>
      <c r="I169" s="31">
        <f>_xlfn.XLOOKUP(PO[[#This Row],[Supplier name]], Supplier_master[Supplier name], Supplier_master[Category L2], 0)</f>
        <v>0</v>
      </c>
      <c r="J169" s="55"/>
      <c r="K169" s="55"/>
      <c r="L169" s="31">
        <f>IF(PO[[#This Row],[Spend category L1 - Override]] &lt;&gt; "", PO[[#This Row],[Spend category L1 - Override]], PO[[#This Row],[Spend category L1]])</f>
        <v>0</v>
      </c>
      <c r="M169" s="31">
        <f>IF(PO[[#This Row],[Spend category L2 - Override]] &lt;&gt; "", PO[[#This Row],[Spend category L2 - Override]], PO[[#This Row],[Spend category L2]])</f>
        <v>0</v>
      </c>
      <c r="N169" s="63">
        <f>Assumptions!$D$15</f>
        <v>0.1</v>
      </c>
      <c r="O169" s="45">
        <f>IF(PO[[#This Row],[GST applies?]] = "Yes", (PO[[#This Row],[Value inc. GST]] / 1 + PO[[#This Row],[GST %]]) * PO[[#This Row],[GST %]], 0)</f>
        <v>0</v>
      </c>
      <c r="P169" s="31">
        <f>_xlfn.XLOOKUP(PO[[#This Row],[Supplier name]], Supplier_master[Supplier name], Supplier_master[EOM or Net], 0)</f>
        <v>0</v>
      </c>
      <c r="Q169" s="31">
        <f>_xlfn.XLOOKUP(PO[[#This Row],[Supplier name]], Supplier_master[Supplier name], Supplier_master[Terms days], 0)</f>
        <v>0</v>
      </c>
      <c r="R1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9" s="4"/>
      <c r="T169" s="46">
        <f>IF(PO[[#This Row],[Payment date - override (dd/mm/yyyy)]] &lt;&gt; "", PO[[#This Row],[Payment date - override (dd/mm/yyyy)]], PO[[#This Row],[Due date (dd/mm/yyyy)]])</f>
        <v>0</v>
      </c>
      <c r="U169" s="46">
        <f t="shared" si="2"/>
        <v>52</v>
      </c>
    </row>
    <row r="170" spans="3:21" x14ac:dyDescent="0.25">
      <c r="C170" s="24"/>
      <c r="D170" s="20"/>
      <c r="E170" s="4"/>
      <c r="F170" s="37"/>
      <c r="G170" s="38"/>
      <c r="H170" s="31">
        <f>_xlfn.XLOOKUP(PO[[#This Row],[Supplier name]], Supplier_master[Supplier name], Supplier_master[Category L1], 0)</f>
        <v>0</v>
      </c>
      <c r="I170" s="31">
        <f>_xlfn.XLOOKUP(PO[[#This Row],[Supplier name]], Supplier_master[Supplier name], Supplier_master[Category L2], 0)</f>
        <v>0</v>
      </c>
      <c r="J170" s="55"/>
      <c r="K170" s="55"/>
      <c r="L170" s="31">
        <f>IF(PO[[#This Row],[Spend category L1 - Override]] &lt;&gt; "", PO[[#This Row],[Spend category L1 - Override]], PO[[#This Row],[Spend category L1]])</f>
        <v>0</v>
      </c>
      <c r="M170" s="31">
        <f>IF(PO[[#This Row],[Spend category L2 - Override]] &lt;&gt; "", PO[[#This Row],[Spend category L2 - Override]], PO[[#This Row],[Spend category L2]])</f>
        <v>0</v>
      </c>
      <c r="N170" s="63">
        <f>Assumptions!$D$15</f>
        <v>0.1</v>
      </c>
      <c r="O170" s="45">
        <f>IF(PO[[#This Row],[GST applies?]] = "Yes", (PO[[#This Row],[Value inc. GST]] / 1 + PO[[#This Row],[GST %]]) * PO[[#This Row],[GST %]], 0)</f>
        <v>0</v>
      </c>
      <c r="P170" s="31">
        <f>_xlfn.XLOOKUP(PO[[#This Row],[Supplier name]], Supplier_master[Supplier name], Supplier_master[EOM or Net], 0)</f>
        <v>0</v>
      </c>
      <c r="Q170" s="31">
        <f>_xlfn.XLOOKUP(PO[[#This Row],[Supplier name]], Supplier_master[Supplier name], Supplier_master[Terms days], 0)</f>
        <v>0</v>
      </c>
      <c r="R1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0" s="4"/>
      <c r="T170" s="46">
        <f>IF(PO[[#This Row],[Payment date - override (dd/mm/yyyy)]] &lt;&gt; "", PO[[#This Row],[Payment date - override (dd/mm/yyyy)]], PO[[#This Row],[Due date (dd/mm/yyyy)]])</f>
        <v>0</v>
      </c>
      <c r="U170" s="46">
        <f t="shared" si="2"/>
        <v>52</v>
      </c>
    </row>
    <row r="171" spans="3:21" x14ac:dyDescent="0.25">
      <c r="C171" s="24"/>
      <c r="D171" s="20"/>
      <c r="E171" s="4"/>
      <c r="F171" s="37"/>
      <c r="G171" s="38"/>
      <c r="H171" s="31">
        <f>_xlfn.XLOOKUP(PO[[#This Row],[Supplier name]], Supplier_master[Supplier name], Supplier_master[Category L1], 0)</f>
        <v>0</v>
      </c>
      <c r="I171" s="31">
        <f>_xlfn.XLOOKUP(PO[[#This Row],[Supplier name]], Supplier_master[Supplier name], Supplier_master[Category L2], 0)</f>
        <v>0</v>
      </c>
      <c r="J171" s="55"/>
      <c r="K171" s="55"/>
      <c r="L171" s="31">
        <f>IF(PO[[#This Row],[Spend category L1 - Override]] &lt;&gt; "", PO[[#This Row],[Spend category L1 - Override]], PO[[#This Row],[Spend category L1]])</f>
        <v>0</v>
      </c>
      <c r="M171" s="31">
        <f>IF(PO[[#This Row],[Spend category L2 - Override]] &lt;&gt; "", PO[[#This Row],[Spend category L2 - Override]], PO[[#This Row],[Spend category L2]])</f>
        <v>0</v>
      </c>
      <c r="N171" s="63">
        <f>Assumptions!$D$15</f>
        <v>0.1</v>
      </c>
      <c r="O171" s="45">
        <f>IF(PO[[#This Row],[GST applies?]] = "Yes", (PO[[#This Row],[Value inc. GST]] / 1 + PO[[#This Row],[GST %]]) * PO[[#This Row],[GST %]], 0)</f>
        <v>0</v>
      </c>
      <c r="P171" s="31">
        <f>_xlfn.XLOOKUP(PO[[#This Row],[Supplier name]], Supplier_master[Supplier name], Supplier_master[EOM or Net], 0)</f>
        <v>0</v>
      </c>
      <c r="Q171" s="31">
        <f>_xlfn.XLOOKUP(PO[[#This Row],[Supplier name]], Supplier_master[Supplier name], Supplier_master[Terms days], 0)</f>
        <v>0</v>
      </c>
      <c r="R1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1" s="4"/>
      <c r="T171" s="46">
        <f>IF(PO[[#This Row],[Payment date - override (dd/mm/yyyy)]] &lt;&gt; "", PO[[#This Row],[Payment date - override (dd/mm/yyyy)]], PO[[#This Row],[Due date (dd/mm/yyyy)]])</f>
        <v>0</v>
      </c>
      <c r="U171" s="46">
        <f t="shared" si="2"/>
        <v>52</v>
      </c>
    </row>
    <row r="172" spans="3:21" x14ac:dyDescent="0.25">
      <c r="C172" s="24"/>
      <c r="D172" s="20"/>
      <c r="E172" s="4"/>
      <c r="F172" s="37"/>
      <c r="G172" s="38"/>
      <c r="H172" s="31">
        <f>_xlfn.XLOOKUP(PO[[#This Row],[Supplier name]], Supplier_master[Supplier name], Supplier_master[Category L1], 0)</f>
        <v>0</v>
      </c>
      <c r="I172" s="31">
        <f>_xlfn.XLOOKUP(PO[[#This Row],[Supplier name]], Supplier_master[Supplier name], Supplier_master[Category L2], 0)</f>
        <v>0</v>
      </c>
      <c r="J172" s="55"/>
      <c r="K172" s="55"/>
      <c r="L172" s="31">
        <f>IF(PO[[#This Row],[Spend category L1 - Override]] &lt;&gt; "", PO[[#This Row],[Spend category L1 - Override]], PO[[#This Row],[Spend category L1]])</f>
        <v>0</v>
      </c>
      <c r="M172" s="31">
        <f>IF(PO[[#This Row],[Spend category L2 - Override]] &lt;&gt; "", PO[[#This Row],[Spend category L2 - Override]], PO[[#This Row],[Spend category L2]])</f>
        <v>0</v>
      </c>
      <c r="N172" s="63">
        <f>Assumptions!$D$15</f>
        <v>0.1</v>
      </c>
      <c r="O172" s="45">
        <f>IF(PO[[#This Row],[GST applies?]] = "Yes", (PO[[#This Row],[Value inc. GST]] / 1 + PO[[#This Row],[GST %]]) * PO[[#This Row],[GST %]], 0)</f>
        <v>0</v>
      </c>
      <c r="P172" s="31">
        <f>_xlfn.XLOOKUP(PO[[#This Row],[Supplier name]], Supplier_master[Supplier name], Supplier_master[EOM or Net], 0)</f>
        <v>0</v>
      </c>
      <c r="Q172" s="31">
        <f>_xlfn.XLOOKUP(PO[[#This Row],[Supplier name]], Supplier_master[Supplier name], Supplier_master[Terms days], 0)</f>
        <v>0</v>
      </c>
      <c r="R1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2" s="4"/>
      <c r="T172" s="46">
        <f>IF(PO[[#This Row],[Payment date - override (dd/mm/yyyy)]] &lt;&gt; "", PO[[#This Row],[Payment date - override (dd/mm/yyyy)]], PO[[#This Row],[Due date (dd/mm/yyyy)]])</f>
        <v>0</v>
      </c>
      <c r="U172" s="46">
        <f t="shared" si="2"/>
        <v>52</v>
      </c>
    </row>
    <row r="173" spans="3:21" x14ac:dyDescent="0.25">
      <c r="C173" s="24"/>
      <c r="D173" s="20"/>
      <c r="E173" s="4"/>
      <c r="F173" s="37"/>
      <c r="G173" s="38"/>
      <c r="H173" s="31">
        <f>_xlfn.XLOOKUP(PO[[#This Row],[Supplier name]], Supplier_master[Supplier name], Supplier_master[Category L1], 0)</f>
        <v>0</v>
      </c>
      <c r="I173" s="31">
        <f>_xlfn.XLOOKUP(PO[[#This Row],[Supplier name]], Supplier_master[Supplier name], Supplier_master[Category L2], 0)</f>
        <v>0</v>
      </c>
      <c r="J173" s="55"/>
      <c r="K173" s="55"/>
      <c r="L173" s="31">
        <f>IF(PO[[#This Row],[Spend category L1 - Override]] &lt;&gt; "", PO[[#This Row],[Spend category L1 - Override]], PO[[#This Row],[Spend category L1]])</f>
        <v>0</v>
      </c>
      <c r="M173" s="31">
        <f>IF(PO[[#This Row],[Spend category L2 - Override]] &lt;&gt; "", PO[[#This Row],[Spend category L2 - Override]], PO[[#This Row],[Spend category L2]])</f>
        <v>0</v>
      </c>
      <c r="N173" s="63">
        <f>Assumptions!$D$15</f>
        <v>0.1</v>
      </c>
      <c r="O173" s="45">
        <f>IF(PO[[#This Row],[GST applies?]] = "Yes", (PO[[#This Row],[Value inc. GST]] / 1 + PO[[#This Row],[GST %]]) * PO[[#This Row],[GST %]], 0)</f>
        <v>0</v>
      </c>
      <c r="P173" s="31">
        <f>_xlfn.XLOOKUP(PO[[#This Row],[Supplier name]], Supplier_master[Supplier name], Supplier_master[EOM or Net], 0)</f>
        <v>0</v>
      </c>
      <c r="Q173" s="31">
        <f>_xlfn.XLOOKUP(PO[[#This Row],[Supplier name]], Supplier_master[Supplier name], Supplier_master[Terms days], 0)</f>
        <v>0</v>
      </c>
      <c r="R1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3" s="4"/>
      <c r="T173" s="46">
        <f>IF(PO[[#This Row],[Payment date - override (dd/mm/yyyy)]] &lt;&gt; "", PO[[#This Row],[Payment date - override (dd/mm/yyyy)]], PO[[#This Row],[Due date (dd/mm/yyyy)]])</f>
        <v>0</v>
      </c>
      <c r="U173" s="46">
        <f t="shared" si="2"/>
        <v>52</v>
      </c>
    </row>
    <row r="174" spans="3:21" x14ac:dyDescent="0.25">
      <c r="C174" s="24"/>
      <c r="D174" s="20"/>
      <c r="E174" s="4"/>
      <c r="F174" s="37"/>
      <c r="G174" s="38"/>
      <c r="H174" s="31">
        <f>_xlfn.XLOOKUP(PO[[#This Row],[Supplier name]], Supplier_master[Supplier name], Supplier_master[Category L1], 0)</f>
        <v>0</v>
      </c>
      <c r="I174" s="31">
        <f>_xlfn.XLOOKUP(PO[[#This Row],[Supplier name]], Supplier_master[Supplier name], Supplier_master[Category L2], 0)</f>
        <v>0</v>
      </c>
      <c r="J174" s="55"/>
      <c r="K174" s="55"/>
      <c r="L174" s="31">
        <f>IF(PO[[#This Row],[Spend category L1 - Override]] &lt;&gt; "", PO[[#This Row],[Spend category L1 - Override]], PO[[#This Row],[Spend category L1]])</f>
        <v>0</v>
      </c>
      <c r="M174" s="31">
        <f>IF(PO[[#This Row],[Spend category L2 - Override]] &lt;&gt; "", PO[[#This Row],[Spend category L2 - Override]], PO[[#This Row],[Spend category L2]])</f>
        <v>0</v>
      </c>
      <c r="N174" s="63">
        <f>Assumptions!$D$15</f>
        <v>0.1</v>
      </c>
      <c r="O174" s="45">
        <f>IF(PO[[#This Row],[GST applies?]] = "Yes", (PO[[#This Row],[Value inc. GST]] / 1 + PO[[#This Row],[GST %]]) * PO[[#This Row],[GST %]], 0)</f>
        <v>0</v>
      </c>
      <c r="P174" s="31">
        <f>_xlfn.XLOOKUP(PO[[#This Row],[Supplier name]], Supplier_master[Supplier name], Supplier_master[EOM or Net], 0)</f>
        <v>0</v>
      </c>
      <c r="Q174" s="31">
        <f>_xlfn.XLOOKUP(PO[[#This Row],[Supplier name]], Supplier_master[Supplier name], Supplier_master[Terms days], 0)</f>
        <v>0</v>
      </c>
      <c r="R1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4" s="4"/>
      <c r="T174" s="46">
        <f>IF(PO[[#This Row],[Payment date - override (dd/mm/yyyy)]] &lt;&gt; "", PO[[#This Row],[Payment date - override (dd/mm/yyyy)]], PO[[#This Row],[Due date (dd/mm/yyyy)]])</f>
        <v>0</v>
      </c>
      <c r="U174" s="46">
        <f t="shared" si="2"/>
        <v>52</v>
      </c>
    </row>
    <row r="175" spans="3:21" x14ac:dyDescent="0.25">
      <c r="C175" s="24"/>
      <c r="D175" s="20"/>
      <c r="E175" s="4"/>
      <c r="F175" s="37"/>
      <c r="G175" s="38"/>
      <c r="H175" s="31">
        <f>_xlfn.XLOOKUP(PO[[#This Row],[Supplier name]], Supplier_master[Supplier name], Supplier_master[Category L1], 0)</f>
        <v>0</v>
      </c>
      <c r="I175" s="31">
        <f>_xlfn.XLOOKUP(PO[[#This Row],[Supplier name]], Supplier_master[Supplier name], Supplier_master[Category L2], 0)</f>
        <v>0</v>
      </c>
      <c r="J175" s="55"/>
      <c r="K175" s="55"/>
      <c r="L175" s="31">
        <f>IF(PO[[#This Row],[Spend category L1 - Override]] &lt;&gt; "", PO[[#This Row],[Spend category L1 - Override]], PO[[#This Row],[Spend category L1]])</f>
        <v>0</v>
      </c>
      <c r="M175" s="31">
        <f>IF(PO[[#This Row],[Spend category L2 - Override]] &lt;&gt; "", PO[[#This Row],[Spend category L2 - Override]], PO[[#This Row],[Spend category L2]])</f>
        <v>0</v>
      </c>
      <c r="N175" s="63">
        <f>Assumptions!$D$15</f>
        <v>0.1</v>
      </c>
      <c r="O175" s="45">
        <f>IF(PO[[#This Row],[GST applies?]] = "Yes", (PO[[#This Row],[Value inc. GST]] / 1 + PO[[#This Row],[GST %]]) * PO[[#This Row],[GST %]], 0)</f>
        <v>0</v>
      </c>
      <c r="P175" s="31">
        <f>_xlfn.XLOOKUP(PO[[#This Row],[Supplier name]], Supplier_master[Supplier name], Supplier_master[EOM or Net], 0)</f>
        <v>0</v>
      </c>
      <c r="Q175" s="31">
        <f>_xlfn.XLOOKUP(PO[[#This Row],[Supplier name]], Supplier_master[Supplier name], Supplier_master[Terms days], 0)</f>
        <v>0</v>
      </c>
      <c r="R1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5" s="4"/>
      <c r="T175" s="46">
        <f>IF(PO[[#This Row],[Payment date - override (dd/mm/yyyy)]] &lt;&gt; "", PO[[#This Row],[Payment date - override (dd/mm/yyyy)]], PO[[#This Row],[Due date (dd/mm/yyyy)]])</f>
        <v>0</v>
      </c>
      <c r="U175" s="46">
        <f t="shared" si="2"/>
        <v>52</v>
      </c>
    </row>
    <row r="176" spans="3:21" x14ac:dyDescent="0.25">
      <c r="C176" s="24"/>
      <c r="D176" s="20"/>
      <c r="E176" s="4"/>
      <c r="F176" s="37"/>
      <c r="G176" s="38"/>
      <c r="H176" s="31">
        <f>_xlfn.XLOOKUP(PO[[#This Row],[Supplier name]], Supplier_master[Supplier name], Supplier_master[Category L1], 0)</f>
        <v>0</v>
      </c>
      <c r="I176" s="31">
        <f>_xlfn.XLOOKUP(PO[[#This Row],[Supplier name]], Supplier_master[Supplier name], Supplier_master[Category L2], 0)</f>
        <v>0</v>
      </c>
      <c r="J176" s="55"/>
      <c r="K176" s="55"/>
      <c r="L176" s="31">
        <f>IF(PO[[#This Row],[Spend category L1 - Override]] &lt;&gt; "", PO[[#This Row],[Spend category L1 - Override]], PO[[#This Row],[Spend category L1]])</f>
        <v>0</v>
      </c>
      <c r="M176" s="31">
        <f>IF(PO[[#This Row],[Spend category L2 - Override]] &lt;&gt; "", PO[[#This Row],[Spend category L2 - Override]], PO[[#This Row],[Spend category L2]])</f>
        <v>0</v>
      </c>
      <c r="N176" s="63">
        <f>Assumptions!$D$15</f>
        <v>0.1</v>
      </c>
      <c r="O176" s="45">
        <f>IF(PO[[#This Row],[GST applies?]] = "Yes", (PO[[#This Row],[Value inc. GST]] / 1 + PO[[#This Row],[GST %]]) * PO[[#This Row],[GST %]], 0)</f>
        <v>0</v>
      </c>
      <c r="P176" s="31">
        <f>_xlfn.XLOOKUP(PO[[#This Row],[Supplier name]], Supplier_master[Supplier name], Supplier_master[EOM or Net], 0)</f>
        <v>0</v>
      </c>
      <c r="Q176" s="31">
        <f>_xlfn.XLOOKUP(PO[[#This Row],[Supplier name]], Supplier_master[Supplier name], Supplier_master[Terms days], 0)</f>
        <v>0</v>
      </c>
      <c r="R1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6" s="4"/>
      <c r="T176" s="46">
        <f>IF(PO[[#This Row],[Payment date - override (dd/mm/yyyy)]] &lt;&gt; "", PO[[#This Row],[Payment date - override (dd/mm/yyyy)]], PO[[#This Row],[Due date (dd/mm/yyyy)]])</f>
        <v>0</v>
      </c>
      <c r="U176" s="46">
        <f t="shared" si="2"/>
        <v>52</v>
      </c>
    </row>
    <row r="177" spans="3:21" x14ac:dyDescent="0.25">
      <c r="C177" s="24"/>
      <c r="D177" s="20"/>
      <c r="E177" s="4"/>
      <c r="F177" s="37"/>
      <c r="G177" s="38"/>
      <c r="H177" s="31">
        <f>_xlfn.XLOOKUP(PO[[#This Row],[Supplier name]], Supplier_master[Supplier name], Supplier_master[Category L1], 0)</f>
        <v>0</v>
      </c>
      <c r="I177" s="31">
        <f>_xlfn.XLOOKUP(PO[[#This Row],[Supplier name]], Supplier_master[Supplier name], Supplier_master[Category L2], 0)</f>
        <v>0</v>
      </c>
      <c r="J177" s="55"/>
      <c r="K177" s="55"/>
      <c r="L177" s="31">
        <f>IF(PO[[#This Row],[Spend category L1 - Override]] &lt;&gt; "", PO[[#This Row],[Spend category L1 - Override]], PO[[#This Row],[Spend category L1]])</f>
        <v>0</v>
      </c>
      <c r="M177" s="31">
        <f>IF(PO[[#This Row],[Spend category L2 - Override]] &lt;&gt; "", PO[[#This Row],[Spend category L2 - Override]], PO[[#This Row],[Spend category L2]])</f>
        <v>0</v>
      </c>
      <c r="N177" s="63">
        <f>Assumptions!$D$15</f>
        <v>0.1</v>
      </c>
      <c r="O177" s="45">
        <f>IF(PO[[#This Row],[GST applies?]] = "Yes", (PO[[#This Row],[Value inc. GST]] / 1 + PO[[#This Row],[GST %]]) * PO[[#This Row],[GST %]], 0)</f>
        <v>0</v>
      </c>
      <c r="P177" s="31">
        <f>_xlfn.XLOOKUP(PO[[#This Row],[Supplier name]], Supplier_master[Supplier name], Supplier_master[EOM or Net], 0)</f>
        <v>0</v>
      </c>
      <c r="Q177" s="31">
        <f>_xlfn.XLOOKUP(PO[[#This Row],[Supplier name]], Supplier_master[Supplier name], Supplier_master[Terms days], 0)</f>
        <v>0</v>
      </c>
      <c r="R1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7" s="4"/>
      <c r="T177" s="46">
        <f>IF(PO[[#This Row],[Payment date - override (dd/mm/yyyy)]] &lt;&gt; "", PO[[#This Row],[Payment date - override (dd/mm/yyyy)]], PO[[#This Row],[Due date (dd/mm/yyyy)]])</f>
        <v>0</v>
      </c>
      <c r="U177" s="46">
        <f t="shared" si="2"/>
        <v>52</v>
      </c>
    </row>
    <row r="178" spans="3:21" x14ac:dyDescent="0.25">
      <c r="C178" s="24"/>
      <c r="D178" s="20"/>
      <c r="E178" s="4"/>
      <c r="F178" s="37"/>
      <c r="G178" s="38"/>
      <c r="H178" s="31">
        <f>_xlfn.XLOOKUP(PO[[#This Row],[Supplier name]], Supplier_master[Supplier name], Supplier_master[Category L1], 0)</f>
        <v>0</v>
      </c>
      <c r="I178" s="31">
        <f>_xlfn.XLOOKUP(PO[[#This Row],[Supplier name]], Supplier_master[Supplier name], Supplier_master[Category L2], 0)</f>
        <v>0</v>
      </c>
      <c r="J178" s="55"/>
      <c r="K178" s="55"/>
      <c r="L178" s="31">
        <f>IF(PO[[#This Row],[Spend category L1 - Override]] &lt;&gt; "", PO[[#This Row],[Spend category L1 - Override]], PO[[#This Row],[Spend category L1]])</f>
        <v>0</v>
      </c>
      <c r="M178" s="31">
        <f>IF(PO[[#This Row],[Spend category L2 - Override]] &lt;&gt; "", PO[[#This Row],[Spend category L2 - Override]], PO[[#This Row],[Spend category L2]])</f>
        <v>0</v>
      </c>
      <c r="N178" s="63">
        <f>Assumptions!$D$15</f>
        <v>0.1</v>
      </c>
      <c r="O178" s="45">
        <f>IF(PO[[#This Row],[GST applies?]] = "Yes", (PO[[#This Row],[Value inc. GST]] / 1 + PO[[#This Row],[GST %]]) * PO[[#This Row],[GST %]], 0)</f>
        <v>0</v>
      </c>
      <c r="P178" s="31">
        <f>_xlfn.XLOOKUP(PO[[#This Row],[Supplier name]], Supplier_master[Supplier name], Supplier_master[EOM or Net], 0)</f>
        <v>0</v>
      </c>
      <c r="Q178" s="31">
        <f>_xlfn.XLOOKUP(PO[[#This Row],[Supplier name]], Supplier_master[Supplier name], Supplier_master[Terms days], 0)</f>
        <v>0</v>
      </c>
      <c r="R1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8" s="4"/>
      <c r="T178" s="46">
        <f>IF(PO[[#This Row],[Payment date - override (dd/mm/yyyy)]] &lt;&gt; "", PO[[#This Row],[Payment date - override (dd/mm/yyyy)]], PO[[#This Row],[Due date (dd/mm/yyyy)]])</f>
        <v>0</v>
      </c>
      <c r="U178" s="46">
        <f t="shared" si="2"/>
        <v>52</v>
      </c>
    </row>
    <row r="179" spans="3:21" x14ac:dyDescent="0.25">
      <c r="C179" s="24"/>
      <c r="D179" s="20"/>
      <c r="E179" s="4"/>
      <c r="F179" s="37"/>
      <c r="G179" s="38"/>
      <c r="H179" s="31">
        <f>_xlfn.XLOOKUP(PO[[#This Row],[Supplier name]], Supplier_master[Supplier name], Supplier_master[Category L1], 0)</f>
        <v>0</v>
      </c>
      <c r="I179" s="31">
        <f>_xlfn.XLOOKUP(PO[[#This Row],[Supplier name]], Supplier_master[Supplier name], Supplier_master[Category L2], 0)</f>
        <v>0</v>
      </c>
      <c r="J179" s="55"/>
      <c r="K179" s="55"/>
      <c r="L179" s="31">
        <f>IF(PO[[#This Row],[Spend category L1 - Override]] &lt;&gt; "", PO[[#This Row],[Spend category L1 - Override]], PO[[#This Row],[Spend category L1]])</f>
        <v>0</v>
      </c>
      <c r="M179" s="31">
        <f>IF(PO[[#This Row],[Spend category L2 - Override]] &lt;&gt; "", PO[[#This Row],[Spend category L2 - Override]], PO[[#This Row],[Spend category L2]])</f>
        <v>0</v>
      </c>
      <c r="N179" s="63">
        <f>Assumptions!$D$15</f>
        <v>0.1</v>
      </c>
      <c r="O179" s="45">
        <f>IF(PO[[#This Row],[GST applies?]] = "Yes", (PO[[#This Row],[Value inc. GST]] / 1 + PO[[#This Row],[GST %]]) * PO[[#This Row],[GST %]], 0)</f>
        <v>0</v>
      </c>
      <c r="P179" s="31">
        <f>_xlfn.XLOOKUP(PO[[#This Row],[Supplier name]], Supplier_master[Supplier name], Supplier_master[EOM or Net], 0)</f>
        <v>0</v>
      </c>
      <c r="Q179" s="31">
        <f>_xlfn.XLOOKUP(PO[[#This Row],[Supplier name]], Supplier_master[Supplier name], Supplier_master[Terms days], 0)</f>
        <v>0</v>
      </c>
      <c r="R1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9" s="4"/>
      <c r="T179" s="46">
        <f>IF(PO[[#This Row],[Payment date - override (dd/mm/yyyy)]] &lt;&gt; "", PO[[#This Row],[Payment date - override (dd/mm/yyyy)]], PO[[#This Row],[Due date (dd/mm/yyyy)]])</f>
        <v>0</v>
      </c>
      <c r="U179" s="46">
        <f t="shared" si="2"/>
        <v>52</v>
      </c>
    </row>
    <row r="180" spans="3:21" x14ac:dyDescent="0.25">
      <c r="C180" s="24"/>
      <c r="D180" s="20"/>
      <c r="E180" s="4"/>
      <c r="F180" s="37"/>
      <c r="G180" s="38"/>
      <c r="H180" s="31">
        <f>_xlfn.XLOOKUP(PO[[#This Row],[Supplier name]], Supplier_master[Supplier name], Supplier_master[Category L1], 0)</f>
        <v>0</v>
      </c>
      <c r="I180" s="31">
        <f>_xlfn.XLOOKUP(PO[[#This Row],[Supplier name]], Supplier_master[Supplier name], Supplier_master[Category L2], 0)</f>
        <v>0</v>
      </c>
      <c r="J180" s="55"/>
      <c r="K180" s="55"/>
      <c r="L180" s="31">
        <f>IF(PO[[#This Row],[Spend category L1 - Override]] &lt;&gt; "", PO[[#This Row],[Spend category L1 - Override]], PO[[#This Row],[Spend category L1]])</f>
        <v>0</v>
      </c>
      <c r="M180" s="31">
        <f>IF(PO[[#This Row],[Spend category L2 - Override]] &lt;&gt; "", PO[[#This Row],[Spend category L2 - Override]], PO[[#This Row],[Spend category L2]])</f>
        <v>0</v>
      </c>
      <c r="N180" s="63">
        <f>Assumptions!$D$15</f>
        <v>0.1</v>
      </c>
      <c r="O180" s="45">
        <f>IF(PO[[#This Row],[GST applies?]] = "Yes", (PO[[#This Row],[Value inc. GST]] / 1 + PO[[#This Row],[GST %]]) * PO[[#This Row],[GST %]], 0)</f>
        <v>0</v>
      </c>
      <c r="P180" s="31">
        <f>_xlfn.XLOOKUP(PO[[#This Row],[Supplier name]], Supplier_master[Supplier name], Supplier_master[EOM or Net], 0)</f>
        <v>0</v>
      </c>
      <c r="Q180" s="31">
        <f>_xlfn.XLOOKUP(PO[[#This Row],[Supplier name]], Supplier_master[Supplier name], Supplier_master[Terms days], 0)</f>
        <v>0</v>
      </c>
      <c r="R1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0" s="4"/>
      <c r="T180" s="46">
        <f>IF(PO[[#This Row],[Payment date - override (dd/mm/yyyy)]] &lt;&gt; "", PO[[#This Row],[Payment date - override (dd/mm/yyyy)]], PO[[#This Row],[Due date (dd/mm/yyyy)]])</f>
        <v>0</v>
      </c>
      <c r="U180" s="46">
        <f t="shared" si="2"/>
        <v>52</v>
      </c>
    </row>
    <row r="181" spans="3:21" x14ac:dyDescent="0.25">
      <c r="C181" s="24"/>
      <c r="D181" s="20"/>
      <c r="E181" s="4"/>
      <c r="F181" s="37"/>
      <c r="G181" s="38"/>
      <c r="H181" s="31">
        <f>_xlfn.XLOOKUP(PO[[#This Row],[Supplier name]], Supplier_master[Supplier name], Supplier_master[Category L1], 0)</f>
        <v>0</v>
      </c>
      <c r="I181" s="31">
        <f>_xlfn.XLOOKUP(PO[[#This Row],[Supplier name]], Supplier_master[Supplier name], Supplier_master[Category L2], 0)</f>
        <v>0</v>
      </c>
      <c r="J181" s="55"/>
      <c r="K181" s="55"/>
      <c r="L181" s="31">
        <f>IF(PO[[#This Row],[Spend category L1 - Override]] &lt;&gt; "", PO[[#This Row],[Spend category L1 - Override]], PO[[#This Row],[Spend category L1]])</f>
        <v>0</v>
      </c>
      <c r="M181" s="31">
        <f>IF(PO[[#This Row],[Spend category L2 - Override]] &lt;&gt; "", PO[[#This Row],[Spend category L2 - Override]], PO[[#This Row],[Spend category L2]])</f>
        <v>0</v>
      </c>
      <c r="N181" s="63">
        <f>Assumptions!$D$15</f>
        <v>0.1</v>
      </c>
      <c r="O181" s="45">
        <f>IF(PO[[#This Row],[GST applies?]] = "Yes", (PO[[#This Row],[Value inc. GST]] / 1 + PO[[#This Row],[GST %]]) * PO[[#This Row],[GST %]], 0)</f>
        <v>0</v>
      </c>
      <c r="P181" s="31">
        <f>_xlfn.XLOOKUP(PO[[#This Row],[Supplier name]], Supplier_master[Supplier name], Supplier_master[EOM or Net], 0)</f>
        <v>0</v>
      </c>
      <c r="Q181" s="31">
        <f>_xlfn.XLOOKUP(PO[[#This Row],[Supplier name]], Supplier_master[Supplier name], Supplier_master[Terms days], 0)</f>
        <v>0</v>
      </c>
      <c r="R1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1" s="4"/>
      <c r="T181" s="46">
        <f>IF(PO[[#This Row],[Payment date - override (dd/mm/yyyy)]] &lt;&gt; "", PO[[#This Row],[Payment date - override (dd/mm/yyyy)]], PO[[#This Row],[Due date (dd/mm/yyyy)]])</f>
        <v>0</v>
      </c>
      <c r="U181" s="46">
        <f t="shared" si="2"/>
        <v>52</v>
      </c>
    </row>
    <row r="182" spans="3:21" x14ac:dyDescent="0.25">
      <c r="C182" s="24"/>
      <c r="D182" s="20"/>
      <c r="E182" s="4"/>
      <c r="F182" s="37"/>
      <c r="G182" s="38"/>
      <c r="H182" s="31">
        <f>_xlfn.XLOOKUP(PO[[#This Row],[Supplier name]], Supplier_master[Supplier name], Supplier_master[Category L1], 0)</f>
        <v>0</v>
      </c>
      <c r="I182" s="31">
        <f>_xlfn.XLOOKUP(PO[[#This Row],[Supplier name]], Supplier_master[Supplier name], Supplier_master[Category L2], 0)</f>
        <v>0</v>
      </c>
      <c r="J182" s="55"/>
      <c r="K182" s="55"/>
      <c r="L182" s="31">
        <f>IF(PO[[#This Row],[Spend category L1 - Override]] &lt;&gt; "", PO[[#This Row],[Spend category L1 - Override]], PO[[#This Row],[Spend category L1]])</f>
        <v>0</v>
      </c>
      <c r="M182" s="31">
        <f>IF(PO[[#This Row],[Spend category L2 - Override]] &lt;&gt; "", PO[[#This Row],[Spend category L2 - Override]], PO[[#This Row],[Spend category L2]])</f>
        <v>0</v>
      </c>
      <c r="N182" s="63">
        <f>Assumptions!$D$15</f>
        <v>0.1</v>
      </c>
      <c r="O182" s="45">
        <f>IF(PO[[#This Row],[GST applies?]] = "Yes", (PO[[#This Row],[Value inc. GST]] / 1 + PO[[#This Row],[GST %]]) * PO[[#This Row],[GST %]], 0)</f>
        <v>0</v>
      </c>
      <c r="P182" s="31">
        <f>_xlfn.XLOOKUP(PO[[#This Row],[Supplier name]], Supplier_master[Supplier name], Supplier_master[EOM or Net], 0)</f>
        <v>0</v>
      </c>
      <c r="Q182" s="31">
        <f>_xlfn.XLOOKUP(PO[[#This Row],[Supplier name]], Supplier_master[Supplier name], Supplier_master[Terms days], 0)</f>
        <v>0</v>
      </c>
      <c r="R1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2" s="4"/>
      <c r="T182" s="46">
        <f>IF(PO[[#This Row],[Payment date - override (dd/mm/yyyy)]] &lt;&gt; "", PO[[#This Row],[Payment date - override (dd/mm/yyyy)]], PO[[#This Row],[Due date (dd/mm/yyyy)]])</f>
        <v>0</v>
      </c>
      <c r="U182" s="46">
        <f t="shared" si="2"/>
        <v>52</v>
      </c>
    </row>
    <row r="183" spans="3:21" x14ac:dyDescent="0.25">
      <c r="C183" s="24"/>
      <c r="D183" s="20"/>
      <c r="E183" s="4"/>
      <c r="F183" s="37"/>
      <c r="G183" s="38"/>
      <c r="H183" s="31">
        <f>_xlfn.XLOOKUP(PO[[#This Row],[Supplier name]], Supplier_master[Supplier name], Supplier_master[Category L1], 0)</f>
        <v>0</v>
      </c>
      <c r="I183" s="31">
        <f>_xlfn.XLOOKUP(PO[[#This Row],[Supplier name]], Supplier_master[Supplier name], Supplier_master[Category L2], 0)</f>
        <v>0</v>
      </c>
      <c r="J183" s="55"/>
      <c r="K183" s="55"/>
      <c r="L183" s="31">
        <f>IF(PO[[#This Row],[Spend category L1 - Override]] &lt;&gt; "", PO[[#This Row],[Spend category L1 - Override]], PO[[#This Row],[Spend category L1]])</f>
        <v>0</v>
      </c>
      <c r="M183" s="31">
        <f>IF(PO[[#This Row],[Spend category L2 - Override]] &lt;&gt; "", PO[[#This Row],[Spend category L2 - Override]], PO[[#This Row],[Spend category L2]])</f>
        <v>0</v>
      </c>
      <c r="N183" s="63">
        <f>Assumptions!$D$15</f>
        <v>0.1</v>
      </c>
      <c r="O183" s="45">
        <f>IF(PO[[#This Row],[GST applies?]] = "Yes", (PO[[#This Row],[Value inc. GST]] / 1 + PO[[#This Row],[GST %]]) * PO[[#This Row],[GST %]], 0)</f>
        <v>0</v>
      </c>
      <c r="P183" s="31">
        <f>_xlfn.XLOOKUP(PO[[#This Row],[Supplier name]], Supplier_master[Supplier name], Supplier_master[EOM or Net], 0)</f>
        <v>0</v>
      </c>
      <c r="Q183" s="31">
        <f>_xlfn.XLOOKUP(PO[[#This Row],[Supplier name]], Supplier_master[Supplier name], Supplier_master[Terms days], 0)</f>
        <v>0</v>
      </c>
      <c r="R1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3" s="4"/>
      <c r="T183" s="46">
        <f>IF(PO[[#This Row],[Payment date - override (dd/mm/yyyy)]] &lt;&gt; "", PO[[#This Row],[Payment date - override (dd/mm/yyyy)]], PO[[#This Row],[Due date (dd/mm/yyyy)]])</f>
        <v>0</v>
      </c>
      <c r="U183" s="46">
        <f t="shared" si="2"/>
        <v>52</v>
      </c>
    </row>
    <row r="184" spans="3:21" x14ac:dyDescent="0.25">
      <c r="C184" s="24"/>
      <c r="D184" s="20"/>
      <c r="E184" s="4"/>
      <c r="F184" s="37"/>
      <c r="G184" s="38"/>
      <c r="H184" s="31">
        <f>_xlfn.XLOOKUP(PO[[#This Row],[Supplier name]], Supplier_master[Supplier name], Supplier_master[Category L1], 0)</f>
        <v>0</v>
      </c>
      <c r="I184" s="31">
        <f>_xlfn.XLOOKUP(PO[[#This Row],[Supplier name]], Supplier_master[Supplier name], Supplier_master[Category L2], 0)</f>
        <v>0</v>
      </c>
      <c r="J184" s="55"/>
      <c r="K184" s="55"/>
      <c r="L184" s="31">
        <f>IF(PO[[#This Row],[Spend category L1 - Override]] &lt;&gt; "", PO[[#This Row],[Spend category L1 - Override]], PO[[#This Row],[Spend category L1]])</f>
        <v>0</v>
      </c>
      <c r="M184" s="31">
        <f>IF(PO[[#This Row],[Spend category L2 - Override]] &lt;&gt; "", PO[[#This Row],[Spend category L2 - Override]], PO[[#This Row],[Spend category L2]])</f>
        <v>0</v>
      </c>
      <c r="N184" s="63">
        <f>Assumptions!$D$15</f>
        <v>0.1</v>
      </c>
      <c r="O184" s="45">
        <f>IF(PO[[#This Row],[GST applies?]] = "Yes", (PO[[#This Row],[Value inc. GST]] / 1 + PO[[#This Row],[GST %]]) * PO[[#This Row],[GST %]], 0)</f>
        <v>0</v>
      </c>
      <c r="P184" s="31">
        <f>_xlfn.XLOOKUP(PO[[#This Row],[Supplier name]], Supplier_master[Supplier name], Supplier_master[EOM or Net], 0)</f>
        <v>0</v>
      </c>
      <c r="Q184" s="31">
        <f>_xlfn.XLOOKUP(PO[[#This Row],[Supplier name]], Supplier_master[Supplier name], Supplier_master[Terms days], 0)</f>
        <v>0</v>
      </c>
      <c r="R1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4" s="4"/>
      <c r="T184" s="46">
        <f>IF(PO[[#This Row],[Payment date - override (dd/mm/yyyy)]] &lt;&gt; "", PO[[#This Row],[Payment date - override (dd/mm/yyyy)]], PO[[#This Row],[Due date (dd/mm/yyyy)]])</f>
        <v>0</v>
      </c>
      <c r="U184" s="46">
        <f t="shared" si="2"/>
        <v>52</v>
      </c>
    </row>
    <row r="185" spans="3:21" x14ac:dyDescent="0.25">
      <c r="C185" s="24"/>
      <c r="D185" s="20"/>
      <c r="E185" s="4"/>
      <c r="F185" s="37"/>
      <c r="G185" s="38"/>
      <c r="H185" s="31">
        <f>_xlfn.XLOOKUP(PO[[#This Row],[Supplier name]], Supplier_master[Supplier name], Supplier_master[Category L1], 0)</f>
        <v>0</v>
      </c>
      <c r="I185" s="31">
        <f>_xlfn.XLOOKUP(PO[[#This Row],[Supplier name]], Supplier_master[Supplier name], Supplier_master[Category L2], 0)</f>
        <v>0</v>
      </c>
      <c r="J185" s="55"/>
      <c r="K185" s="55"/>
      <c r="L185" s="31">
        <f>IF(PO[[#This Row],[Spend category L1 - Override]] &lt;&gt; "", PO[[#This Row],[Spend category L1 - Override]], PO[[#This Row],[Spend category L1]])</f>
        <v>0</v>
      </c>
      <c r="M185" s="31">
        <f>IF(PO[[#This Row],[Spend category L2 - Override]] &lt;&gt; "", PO[[#This Row],[Spend category L2 - Override]], PO[[#This Row],[Spend category L2]])</f>
        <v>0</v>
      </c>
      <c r="N185" s="63">
        <f>Assumptions!$D$15</f>
        <v>0.1</v>
      </c>
      <c r="O185" s="45">
        <f>IF(PO[[#This Row],[GST applies?]] = "Yes", (PO[[#This Row],[Value inc. GST]] / 1 + PO[[#This Row],[GST %]]) * PO[[#This Row],[GST %]], 0)</f>
        <v>0</v>
      </c>
      <c r="P185" s="31">
        <f>_xlfn.XLOOKUP(PO[[#This Row],[Supplier name]], Supplier_master[Supplier name], Supplier_master[EOM or Net], 0)</f>
        <v>0</v>
      </c>
      <c r="Q185" s="31">
        <f>_xlfn.XLOOKUP(PO[[#This Row],[Supplier name]], Supplier_master[Supplier name], Supplier_master[Terms days], 0)</f>
        <v>0</v>
      </c>
      <c r="R1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5" s="4"/>
      <c r="T185" s="46">
        <f>IF(PO[[#This Row],[Payment date - override (dd/mm/yyyy)]] &lt;&gt; "", PO[[#This Row],[Payment date - override (dd/mm/yyyy)]], PO[[#This Row],[Due date (dd/mm/yyyy)]])</f>
        <v>0</v>
      </c>
      <c r="U185" s="46">
        <f t="shared" si="2"/>
        <v>52</v>
      </c>
    </row>
    <row r="186" spans="3:21" x14ac:dyDescent="0.25">
      <c r="C186" s="24"/>
      <c r="D186" s="20"/>
      <c r="E186" s="4"/>
      <c r="F186" s="37"/>
      <c r="G186" s="38"/>
      <c r="H186" s="31">
        <f>_xlfn.XLOOKUP(PO[[#This Row],[Supplier name]], Supplier_master[Supplier name], Supplier_master[Category L1], 0)</f>
        <v>0</v>
      </c>
      <c r="I186" s="31">
        <f>_xlfn.XLOOKUP(PO[[#This Row],[Supplier name]], Supplier_master[Supplier name], Supplier_master[Category L2], 0)</f>
        <v>0</v>
      </c>
      <c r="J186" s="55"/>
      <c r="K186" s="55"/>
      <c r="L186" s="31">
        <f>IF(PO[[#This Row],[Spend category L1 - Override]] &lt;&gt; "", PO[[#This Row],[Spend category L1 - Override]], PO[[#This Row],[Spend category L1]])</f>
        <v>0</v>
      </c>
      <c r="M186" s="31">
        <f>IF(PO[[#This Row],[Spend category L2 - Override]] &lt;&gt; "", PO[[#This Row],[Spend category L2 - Override]], PO[[#This Row],[Spend category L2]])</f>
        <v>0</v>
      </c>
      <c r="N186" s="63">
        <f>Assumptions!$D$15</f>
        <v>0.1</v>
      </c>
      <c r="O186" s="45">
        <f>IF(PO[[#This Row],[GST applies?]] = "Yes", (PO[[#This Row],[Value inc. GST]] / 1 + PO[[#This Row],[GST %]]) * PO[[#This Row],[GST %]], 0)</f>
        <v>0</v>
      </c>
      <c r="P186" s="31">
        <f>_xlfn.XLOOKUP(PO[[#This Row],[Supplier name]], Supplier_master[Supplier name], Supplier_master[EOM or Net], 0)</f>
        <v>0</v>
      </c>
      <c r="Q186" s="31">
        <f>_xlfn.XLOOKUP(PO[[#This Row],[Supplier name]], Supplier_master[Supplier name], Supplier_master[Terms days], 0)</f>
        <v>0</v>
      </c>
      <c r="R1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6" s="4"/>
      <c r="T186" s="46">
        <f>IF(PO[[#This Row],[Payment date - override (dd/mm/yyyy)]] &lt;&gt; "", PO[[#This Row],[Payment date - override (dd/mm/yyyy)]], PO[[#This Row],[Due date (dd/mm/yyyy)]])</f>
        <v>0</v>
      </c>
      <c r="U186" s="46">
        <f t="shared" si="2"/>
        <v>52</v>
      </c>
    </row>
    <row r="187" spans="3:21" x14ac:dyDescent="0.25">
      <c r="C187" s="24"/>
      <c r="D187" s="20"/>
      <c r="E187" s="4"/>
      <c r="F187" s="37"/>
      <c r="G187" s="38"/>
      <c r="H187" s="31">
        <f>_xlfn.XLOOKUP(PO[[#This Row],[Supplier name]], Supplier_master[Supplier name], Supplier_master[Category L1], 0)</f>
        <v>0</v>
      </c>
      <c r="I187" s="31">
        <f>_xlfn.XLOOKUP(PO[[#This Row],[Supplier name]], Supplier_master[Supplier name], Supplier_master[Category L2], 0)</f>
        <v>0</v>
      </c>
      <c r="J187" s="55"/>
      <c r="K187" s="55"/>
      <c r="L187" s="31">
        <f>IF(PO[[#This Row],[Spend category L1 - Override]] &lt;&gt; "", PO[[#This Row],[Spend category L1 - Override]], PO[[#This Row],[Spend category L1]])</f>
        <v>0</v>
      </c>
      <c r="M187" s="31">
        <f>IF(PO[[#This Row],[Spend category L2 - Override]] &lt;&gt; "", PO[[#This Row],[Spend category L2 - Override]], PO[[#This Row],[Spend category L2]])</f>
        <v>0</v>
      </c>
      <c r="N187" s="63">
        <f>Assumptions!$D$15</f>
        <v>0.1</v>
      </c>
      <c r="O187" s="45">
        <f>IF(PO[[#This Row],[GST applies?]] = "Yes", (PO[[#This Row],[Value inc. GST]] / 1 + PO[[#This Row],[GST %]]) * PO[[#This Row],[GST %]], 0)</f>
        <v>0</v>
      </c>
      <c r="P187" s="31">
        <f>_xlfn.XLOOKUP(PO[[#This Row],[Supplier name]], Supplier_master[Supplier name], Supplier_master[EOM or Net], 0)</f>
        <v>0</v>
      </c>
      <c r="Q187" s="31">
        <f>_xlfn.XLOOKUP(PO[[#This Row],[Supplier name]], Supplier_master[Supplier name], Supplier_master[Terms days], 0)</f>
        <v>0</v>
      </c>
      <c r="R1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7" s="4"/>
      <c r="T187" s="46">
        <f>IF(PO[[#This Row],[Payment date - override (dd/mm/yyyy)]] &lt;&gt; "", PO[[#This Row],[Payment date - override (dd/mm/yyyy)]], PO[[#This Row],[Due date (dd/mm/yyyy)]])</f>
        <v>0</v>
      </c>
      <c r="U187" s="46">
        <f t="shared" si="2"/>
        <v>52</v>
      </c>
    </row>
    <row r="188" spans="3:21" x14ac:dyDescent="0.25">
      <c r="C188" s="24"/>
      <c r="D188" s="20"/>
      <c r="E188" s="4"/>
      <c r="F188" s="37"/>
      <c r="G188" s="38"/>
      <c r="H188" s="31">
        <f>_xlfn.XLOOKUP(PO[[#This Row],[Supplier name]], Supplier_master[Supplier name], Supplier_master[Category L1], 0)</f>
        <v>0</v>
      </c>
      <c r="I188" s="31">
        <f>_xlfn.XLOOKUP(PO[[#This Row],[Supplier name]], Supplier_master[Supplier name], Supplier_master[Category L2], 0)</f>
        <v>0</v>
      </c>
      <c r="J188" s="55"/>
      <c r="K188" s="55"/>
      <c r="L188" s="31">
        <f>IF(PO[[#This Row],[Spend category L1 - Override]] &lt;&gt; "", PO[[#This Row],[Spend category L1 - Override]], PO[[#This Row],[Spend category L1]])</f>
        <v>0</v>
      </c>
      <c r="M188" s="31">
        <f>IF(PO[[#This Row],[Spend category L2 - Override]] &lt;&gt; "", PO[[#This Row],[Spend category L2 - Override]], PO[[#This Row],[Spend category L2]])</f>
        <v>0</v>
      </c>
      <c r="N188" s="63">
        <f>Assumptions!$D$15</f>
        <v>0.1</v>
      </c>
      <c r="O188" s="45">
        <f>IF(PO[[#This Row],[GST applies?]] = "Yes", (PO[[#This Row],[Value inc. GST]] / 1 + PO[[#This Row],[GST %]]) * PO[[#This Row],[GST %]], 0)</f>
        <v>0</v>
      </c>
      <c r="P188" s="31">
        <f>_xlfn.XLOOKUP(PO[[#This Row],[Supplier name]], Supplier_master[Supplier name], Supplier_master[EOM or Net], 0)</f>
        <v>0</v>
      </c>
      <c r="Q188" s="31">
        <f>_xlfn.XLOOKUP(PO[[#This Row],[Supplier name]], Supplier_master[Supplier name], Supplier_master[Terms days], 0)</f>
        <v>0</v>
      </c>
      <c r="R1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8" s="4"/>
      <c r="T188" s="46">
        <f>IF(PO[[#This Row],[Payment date - override (dd/mm/yyyy)]] &lt;&gt; "", PO[[#This Row],[Payment date - override (dd/mm/yyyy)]], PO[[#This Row],[Due date (dd/mm/yyyy)]])</f>
        <v>0</v>
      </c>
      <c r="U188" s="46">
        <f t="shared" si="2"/>
        <v>52</v>
      </c>
    </row>
    <row r="189" spans="3:21" x14ac:dyDescent="0.25">
      <c r="C189" s="24"/>
      <c r="D189" s="20"/>
      <c r="E189" s="4"/>
      <c r="F189" s="37"/>
      <c r="G189" s="38"/>
      <c r="H189" s="31">
        <f>_xlfn.XLOOKUP(PO[[#This Row],[Supplier name]], Supplier_master[Supplier name], Supplier_master[Category L1], 0)</f>
        <v>0</v>
      </c>
      <c r="I189" s="31">
        <f>_xlfn.XLOOKUP(PO[[#This Row],[Supplier name]], Supplier_master[Supplier name], Supplier_master[Category L2], 0)</f>
        <v>0</v>
      </c>
      <c r="J189" s="55"/>
      <c r="K189" s="55"/>
      <c r="L189" s="31">
        <f>IF(PO[[#This Row],[Spend category L1 - Override]] &lt;&gt; "", PO[[#This Row],[Spend category L1 - Override]], PO[[#This Row],[Spend category L1]])</f>
        <v>0</v>
      </c>
      <c r="M189" s="31">
        <f>IF(PO[[#This Row],[Spend category L2 - Override]] &lt;&gt; "", PO[[#This Row],[Spend category L2 - Override]], PO[[#This Row],[Spend category L2]])</f>
        <v>0</v>
      </c>
      <c r="N189" s="63">
        <f>Assumptions!$D$15</f>
        <v>0.1</v>
      </c>
      <c r="O189" s="45">
        <f>IF(PO[[#This Row],[GST applies?]] = "Yes", (PO[[#This Row],[Value inc. GST]] / 1 + PO[[#This Row],[GST %]]) * PO[[#This Row],[GST %]], 0)</f>
        <v>0</v>
      </c>
      <c r="P189" s="31">
        <f>_xlfn.XLOOKUP(PO[[#This Row],[Supplier name]], Supplier_master[Supplier name], Supplier_master[EOM or Net], 0)</f>
        <v>0</v>
      </c>
      <c r="Q189" s="31">
        <f>_xlfn.XLOOKUP(PO[[#This Row],[Supplier name]], Supplier_master[Supplier name], Supplier_master[Terms days], 0)</f>
        <v>0</v>
      </c>
      <c r="R1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9" s="4"/>
      <c r="T189" s="46">
        <f>IF(PO[[#This Row],[Payment date - override (dd/mm/yyyy)]] &lt;&gt; "", PO[[#This Row],[Payment date - override (dd/mm/yyyy)]], PO[[#This Row],[Due date (dd/mm/yyyy)]])</f>
        <v>0</v>
      </c>
      <c r="U189" s="46">
        <f t="shared" si="2"/>
        <v>52</v>
      </c>
    </row>
    <row r="190" spans="3:21" x14ac:dyDescent="0.25">
      <c r="C190" s="24"/>
      <c r="D190" s="20"/>
      <c r="E190" s="4"/>
      <c r="F190" s="37"/>
      <c r="G190" s="38"/>
      <c r="H190" s="31">
        <f>_xlfn.XLOOKUP(PO[[#This Row],[Supplier name]], Supplier_master[Supplier name], Supplier_master[Category L1], 0)</f>
        <v>0</v>
      </c>
      <c r="I190" s="31">
        <f>_xlfn.XLOOKUP(PO[[#This Row],[Supplier name]], Supplier_master[Supplier name], Supplier_master[Category L2], 0)</f>
        <v>0</v>
      </c>
      <c r="J190" s="55"/>
      <c r="K190" s="55"/>
      <c r="L190" s="31">
        <f>IF(PO[[#This Row],[Spend category L1 - Override]] &lt;&gt; "", PO[[#This Row],[Spend category L1 - Override]], PO[[#This Row],[Spend category L1]])</f>
        <v>0</v>
      </c>
      <c r="M190" s="31">
        <f>IF(PO[[#This Row],[Spend category L2 - Override]] &lt;&gt; "", PO[[#This Row],[Spend category L2 - Override]], PO[[#This Row],[Spend category L2]])</f>
        <v>0</v>
      </c>
      <c r="N190" s="63">
        <f>Assumptions!$D$15</f>
        <v>0.1</v>
      </c>
      <c r="O190" s="45">
        <f>IF(PO[[#This Row],[GST applies?]] = "Yes", (PO[[#This Row],[Value inc. GST]] / 1 + PO[[#This Row],[GST %]]) * PO[[#This Row],[GST %]], 0)</f>
        <v>0</v>
      </c>
      <c r="P190" s="31">
        <f>_xlfn.XLOOKUP(PO[[#This Row],[Supplier name]], Supplier_master[Supplier name], Supplier_master[EOM or Net], 0)</f>
        <v>0</v>
      </c>
      <c r="Q190" s="31">
        <f>_xlfn.XLOOKUP(PO[[#This Row],[Supplier name]], Supplier_master[Supplier name], Supplier_master[Terms days], 0)</f>
        <v>0</v>
      </c>
      <c r="R1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0" s="4"/>
      <c r="T190" s="46">
        <f>IF(PO[[#This Row],[Payment date - override (dd/mm/yyyy)]] &lt;&gt; "", PO[[#This Row],[Payment date - override (dd/mm/yyyy)]], PO[[#This Row],[Due date (dd/mm/yyyy)]])</f>
        <v>0</v>
      </c>
      <c r="U190" s="46">
        <f t="shared" si="2"/>
        <v>52</v>
      </c>
    </row>
    <row r="191" spans="3:21" x14ac:dyDescent="0.25">
      <c r="C191" s="24"/>
      <c r="D191" s="20"/>
      <c r="E191" s="4"/>
      <c r="F191" s="37"/>
      <c r="G191" s="38"/>
      <c r="H191" s="31">
        <f>_xlfn.XLOOKUP(PO[[#This Row],[Supplier name]], Supplier_master[Supplier name], Supplier_master[Category L1], 0)</f>
        <v>0</v>
      </c>
      <c r="I191" s="31">
        <f>_xlfn.XLOOKUP(PO[[#This Row],[Supplier name]], Supplier_master[Supplier name], Supplier_master[Category L2], 0)</f>
        <v>0</v>
      </c>
      <c r="J191" s="55"/>
      <c r="K191" s="55"/>
      <c r="L191" s="31">
        <f>IF(PO[[#This Row],[Spend category L1 - Override]] &lt;&gt; "", PO[[#This Row],[Spend category L1 - Override]], PO[[#This Row],[Spend category L1]])</f>
        <v>0</v>
      </c>
      <c r="M191" s="31">
        <f>IF(PO[[#This Row],[Spend category L2 - Override]] &lt;&gt; "", PO[[#This Row],[Spend category L2 - Override]], PO[[#This Row],[Spend category L2]])</f>
        <v>0</v>
      </c>
      <c r="N191" s="63">
        <f>Assumptions!$D$15</f>
        <v>0.1</v>
      </c>
      <c r="O191" s="45">
        <f>IF(PO[[#This Row],[GST applies?]] = "Yes", (PO[[#This Row],[Value inc. GST]] / 1 + PO[[#This Row],[GST %]]) * PO[[#This Row],[GST %]], 0)</f>
        <v>0</v>
      </c>
      <c r="P191" s="31">
        <f>_xlfn.XLOOKUP(PO[[#This Row],[Supplier name]], Supplier_master[Supplier name], Supplier_master[EOM or Net], 0)</f>
        <v>0</v>
      </c>
      <c r="Q191" s="31">
        <f>_xlfn.XLOOKUP(PO[[#This Row],[Supplier name]], Supplier_master[Supplier name], Supplier_master[Terms days], 0)</f>
        <v>0</v>
      </c>
      <c r="R1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1" s="4"/>
      <c r="T191" s="46">
        <f>IF(PO[[#This Row],[Payment date - override (dd/mm/yyyy)]] &lt;&gt; "", PO[[#This Row],[Payment date - override (dd/mm/yyyy)]], PO[[#This Row],[Due date (dd/mm/yyyy)]])</f>
        <v>0</v>
      </c>
      <c r="U191" s="46">
        <f t="shared" si="2"/>
        <v>52</v>
      </c>
    </row>
    <row r="192" spans="3:21" x14ac:dyDescent="0.25">
      <c r="C192" s="24"/>
      <c r="D192" s="20"/>
      <c r="E192" s="4"/>
      <c r="F192" s="37"/>
      <c r="G192" s="38"/>
      <c r="H192" s="31">
        <f>_xlfn.XLOOKUP(PO[[#This Row],[Supplier name]], Supplier_master[Supplier name], Supplier_master[Category L1], 0)</f>
        <v>0</v>
      </c>
      <c r="I192" s="31">
        <f>_xlfn.XLOOKUP(PO[[#This Row],[Supplier name]], Supplier_master[Supplier name], Supplier_master[Category L2], 0)</f>
        <v>0</v>
      </c>
      <c r="J192" s="55"/>
      <c r="K192" s="55"/>
      <c r="L192" s="31">
        <f>IF(PO[[#This Row],[Spend category L1 - Override]] &lt;&gt; "", PO[[#This Row],[Spend category L1 - Override]], PO[[#This Row],[Spend category L1]])</f>
        <v>0</v>
      </c>
      <c r="M192" s="31">
        <f>IF(PO[[#This Row],[Spend category L2 - Override]] &lt;&gt; "", PO[[#This Row],[Spend category L2 - Override]], PO[[#This Row],[Spend category L2]])</f>
        <v>0</v>
      </c>
      <c r="N192" s="63">
        <f>Assumptions!$D$15</f>
        <v>0.1</v>
      </c>
      <c r="O192" s="45">
        <f>IF(PO[[#This Row],[GST applies?]] = "Yes", (PO[[#This Row],[Value inc. GST]] / 1 + PO[[#This Row],[GST %]]) * PO[[#This Row],[GST %]], 0)</f>
        <v>0</v>
      </c>
      <c r="P192" s="31">
        <f>_xlfn.XLOOKUP(PO[[#This Row],[Supplier name]], Supplier_master[Supplier name], Supplier_master[EOM or Net], 0)</f>
        <v>0</v>
      </c>
      <c r="Q192" s="31">
        <f>_xlfn.XLOOKUP(PO[[#This Row],[Supplier name]], Supplier_master[Supplier name], Supplier_master[Terms days], 0)</f>
        <v>0</v>
      </c>
      <c r="R1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2" s="4"/>
      <c r="T192" s="46">
        <f>IF(PO[[#This Row],[Payment date - override (dd/mm/yyyy)]] &lt;&gt; "", PO[[#This Row],[Payment date - override (dd/mm/yyyy)]], PO[[#This Row],[Due date (dd/mm/yyyy)]])</f>
        <v>0</v>
      </c>
      <c r="U192" s="46">
        <f t="shared" si="2"/>
        <v>52</v>
      </c>
    </row>
    <row r="193" spans="3:21" x14ac:dyDescent="0.25">
      <c r="C193" s="24"/>
      <c r="D193" s="20"/>
      <c r="E193" s="4"/>
      <c r="F193" s="37"/>
      <c r="G193" s="38"/>
      <c r="H193" s="31">
        <f>_xlfn.XLOOKUP(PO[[#This Row],[Supplier name]], Supplier_master[Supplier name], Supplier_master[Category L1], 0)</f>
        <v>0</v>
      </c>
      <c r="I193" s="31">
        <f>_xlfn.XLOOKUP(PO[[#This Row],[Supplier name]], Supplier_master[Supplier name], Supplier_master[Category L2], 0)</f>
        <v>0</v>
      </c>
      <c r="J193" s="55"/>
      <c r="K193" s="55"/>
      <c r="L193" s="31">
        <f>IF(PO[[#This Row],[Spend category L1 - Override]] &lt;&gt; "", PO[[#This Row],[Spend category L1 - Override]], PO[[#This Row],[Spend category L1]])</f>
        <v>0</v>
      </c>
      <c r="M193" s="31">
        <f>IF(PO[[#This Row],[Spend category L2 - Override]] &lt;&gt; "", PO[[#This Row],[Spend category L2 - Override]], PO[[#This Row],[Spend category L2]])</f>
        <v>0</v>
      </c>
      <c r="N193" s="63">
        <f>Assumptions!$D$15</f>
        <v>0.1</v>
      </c>
      <c r="O193" s="45">
        <f>IF(PO[[#This Row],[GST applies?]] = "Yes", (PO[[#This Row],[Value inc. GST]] / 1 + PO[[#This Row],[GST %]]) * PO[[#This Row],[GST %]], 0)</f>
        <v>0</v>
      </c>
      <c r="P193" s="31">
        <f>_xlfn.XLOOKUP(PO[[#This Row],[Supplier name]], Supplier_master[Supplier name], Supplier_master[EOM or Net], 0)</f>
        <v>0</v>
      </c>
      <c r="Q193" s="31">
        <f>_xlfn.XLOOKUP(PO[[#This Row],[Supplier name]], Supplier_master[Supplier name], Supplier_master[Terms days], 0)</f>
        <v>0</v>
      </c>
      <c r="R1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3" s="4"/>
      <c r="T193" s="46">
        <f>IF(PO[[#This Row],[Payment date - override (dd/mm/yyyy)]] &lt;&gt; "", PO[[#This Row],[Payment date - override (dd/mm/yyyy)]], PO[[#This Row],[Due date (dd/mm/yyyy)]])</f>
        <v>0</v>
      </c>
      <c r="U193" s="46">
        <f t="shared" si="2"/>
        <v>52</v>
      </c>
    </row>
    <row r="194" spans="3:21" x14ac:dyDescent="0.25">
      <c r="C194" s="24"/>
      <c r="D194" s="20"/>
      <c r="E194" s="4"/>
      <c r="F194" s="37"/>
      <c r="G194" s="38"/>
      <c r="H194" s="31">
        <f>_xlfn.XLOOKUP(PO[[#This Row],[Supplier name]], Supplier_master[Supplier name], Supplier_master[Category L1], 0)</f>
        <v>0</v>
      </c>
      <c r="I194" s="31">
        <f>_xlfn.XLOOKUP(PO[[#This Row],[Supplier name]], Supplier_master[Supplier name], Supplier_master[Category L2], 0)</f>
        <v>0</v>
      </c>
      <c r="J194" s="55"/>
      <c r="K194" s="55"/>
      <c r="L194" s="31">
        <f>IF(PO[[#This Row],[Spend category L1 - Override]] &lt;&gt; "", PO[[#This Row],[Spend category L1 - Override]], PO[[#This Row],[Spend category L1]])</f>
        <v>0</v>
      </c>
      <c r="M194" s="31">
        <f>IF(PO[[#This Row],[Spend category L2 - Override]] &lt;&gt; "", PO[[#This Row],[Spend category L2 - Override]], PO[[#This Row],[Spend category L2]])</f>
        <v>0</v>
      </c>
      <c r="N194" s="63">
        <f>Assumptions!$D$15</f>
        <v>0.1</v>
      </c>
      <c r="O194" s="45">
        <f>IF(PO[[#This Row],[GST applies?]] = "Yes", (PO[[#This Row],[Value inc. GST]] / 1 + PO[[#This Row],[GST %]]) * PO[[#This Row],[GST %]], 0)</f>
        <v>0</v>
      </c>
      <c r="P194" s="31">
        <f>_xlfn.XLOOKUP(PO[[#This Row],[Supplier name]], Supplier_master[Supplier name], Supplier_master[EOM or Net], 0)</f>
        <v>0</v>
      </c>
      <c r="Q194" s="31">
        <f>_xlfn.XLOOKUP(PO[[#This Row],[Supplier name]], Supplier_master[Supplier name], Supplier_master[Terms days], 0)</f>
        <v>0</v>
      </c>
      <c r="R1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4" s="4"/>
      <c r="T194" s="46">
        <f>IF(PO[[#This Row],[Payment date - override (dd/mm/yyyy)]] &lt;&gt; "", PO[[#This Row],[Payment date - override (dd/mm/yyyy)]], PO[[#This Row],[Due date (dd/mm/yyyy)]])</f>
        <v>0</v>
      </c>
      <c r="U194" s="46">
        <f t="shared" si="2"/>
        <v>52</v>
      </c>
    </row>
    <row r="195" spans="3:21" x14ac:dyDescent="0.25">
      <c r="C195" s="24"/>
      <c r="D195" s="20"/>
      <c r="E195" s="4"/>
      <c r="F195" s="37"/>
      <c r="G195" s="38"/>
      <c r="H195" s="31">
        <f>_xlfn.XLOOKUP(PO[[#This Row],[Supplier name]], Supplier_master[Supplier name], Supplier_master[Category L1], 0)</f>
        <v>0</v>
      </c>
      <c r="I195" s="31">
        <f>_xlfn.XLOOKUP(PO[[#This Row],[Supplier name]], Supplier_master[Supplier name], Supplier_master[Category L2], 0)</f>
        <v>0</v>
      </c>
      <c r="J195" s="55"/>
      <c r="K195" s="55"/>
      <c r="L195" s="31">
        <f>IF(PO[[#This Row],[Spend category L1 - Override]] &lt;&gt; "", PO[[#This Row],[Spend category L1 - Override]], PO[[#This Row],[Spend category L1]])</f>
        <v>0</v>
      </c>
      <c r="M195" s="31">
        <f>IF(PO[[#This Row],[Spend category L2 - Override]] &lt;&gt; "", PO[[#This Row],[Spend category L2 - Override]], PO[[#This Row],[Spend category L2]])</f>
        <v>0</v>
      </c>
      <c r="N195" s="63">
        <f>Assumptions!$D$15</f>
        <v>0.1</v>
      </c>
      <c r="O195" s="45">
        <f>IF(PO[[#This Row],[GST applies?]] = "Yes", (PO[[#This Row],[Value inc. GST]] / 1 + PO[[#This Row],[GST %]]) * PO[[#This Row],[GST %]], 0)</f>
        <v>0</v>
      </c>
      <c r="P195" s="31">
        <f>_xlfn.XLOOKUP(PO[[#This Row],[Supplier name]], Supplier_master[Supplier name], Supplier_master[EOM or Net], 0)</f>
        <v>0</v>
      </c>
      <c r="Q195" s="31">
        <f>_xlfn.XLOOKUP(PO[[#This Row],[Supplier name]], Supplier_master[Supplier name], Supplier_master[Terms days], 0)</f>
        <v>0</v>
      </c>
      <c r="R1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5" s="4"/>
      <c r="T195" s="46">
        <f>IF(PO[[#This Row],[Payment date - override (dd/mm/yyyy)]] &lt;&gt; "", PO[[#This Row],[Payment date - override (dd/mm/yyyy)]], PO[[#This Row],[Due date (dd/mm/yyyy)]])</f>
        <v>0</v>
      </c>
      <c r="U195" s="46">
        <f t="shared" si="2"/>
        <v>52</v>
      </c>
    </row>
    <row r="196" spans="3:21" x14ac:dyDescent="0.25">
      <c r="C196" s="24"/>
      <c r="D196" s="20"/>
      <c r="E196" s="4"/>
      <c r="F196" s="37"/>
      <c r="G196" s="38"/>
      <c r="H196" s="31">
        <f>_xlfn.XLOOKUP(PO[[#This Row],[Supplier name]], Supplier_master[Supplier name], Supplier_master[Category L1], 0)</f>
        <v>0</v>
      </c>
      <c r="I196" s="31">
        <f>_xlfn.XLOOKUP(PO[[#This Row],[Supplier name]], Supplier_master[Supplier name], Supplier_master[Category L2], 0)</f>
        <v>0</v>
      </c>
      <c r="J196" s="55"/>
      <c r="K196" s="55"/>
      <c r="L196" s="31">
        <f>IF(PO[[#This Row],[Spend category L1 - Override]] &lt;&gt; "", PO[[#This Row],[Spend category L1 - Override]], PO[[#This Row],[Spend category L1]])</f>
        <v>0</v>
      </c>
      <c r="M196" s="31">
        <f>IF(PO[[#This Row],[Spend category L2 - Override]] &lt;&gt; "", PO[[#This Row],[Spend category L2 - Override]], PO[[#This Row],[Spend category L2]])</f>
        <v>0</v>
      </c>
      <c r="N196" s="63">
        <f>Assumptions!$D$15</f>
        <v>0.1</v>
      </c>
      <c r="O196" s="45">
        <f>IF(PO[[#This Row],[GST applies?]] = "Yes", (PO[[#This Row],[Value inc. GST]] / 1 + PO[[#This Row],[GST %]]) * PO[[#This Row],[GST %]], 0)</f>
        <v>0</v>
      </c>
      <c r="P196" s="31">
        <f>_xlfn.XLOOKUP(PO[[#This Row],[Supplier name]], Supplier_master[Supplier name], Supplier_master[EOM or Net], 0)</f>
        <v>0</v>
      </c>
      <c r="Q196" s="31">
        <f>_xlfn.XLOOKUP(PO[[#This Row],[Supplier name]], Supplier_master[Supplier name], Supplier_master[Terms days], 0)</f>
        <v>0</v>
      </c>
      <c r="R1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6" s="4"/>
      <c r="T196" s="46">
        <f>IF(PO[[#This Row],[Payment date - override (dd/mm/yyyy)]] &lt;&gt; "", PO[[#This Row],[Payment date - override (dd/mm/yyyy)]], PO[[#This Row],[Due date (dd/mm/yyyy)]])</f>
        <v>0</v>
      </c>
      <c r="U196" s="46">
        <f t="shared" si="2"/>
        <v>52</v>
      </c>
    </row>
    <row r="197" spans="3:21" x14ac:dyDescent="0.25">
      <c r="C197" s="24"/>
      <c r="D197" s="20"/>
      <c r="E197" s="4"/>
      <c r="F197" s="37"/>
      <c r="G197" s="38"/>
      <c r="H197" s="31">
        <f>_xlfn.XLOOKUP(PO[[#This Row],[Supplier name]], Supplier_master[Supplier name], Supplier_master[Category L1], 0)</f>
        <v>0</v>
      </c>
      <c r="I197" s="31">
        <f>_xlfn.XLOOKUP(PO[[#This Row],[Supplier name]], Supplier_master[Supplier name], Supplier_master[Category L2], 0)</f>
        <v>0</v>
      </c>
      <c r="J197" s="55"/>
      <c r="K197" s="55"/>
      <c r="L197" s="31">
        <f>IF(PO[[#This Row],[Spend category L1 - Override]] &lt;&gt; "", PO[[#This Row],[Spend category L1 - Override]], PO[[#This Row],[Spend category L1]])</f>
        <v>0</v>
      </c>
      <c r="M197" s="31">
        <f>IF(PO[[#This Row],[Spend category L2 - Override]] &lt;&gt; "", PO[[#This Row],[Spend category L2 - Override]], PO[[#This Row],[Spend category L2]])</f>
        <v>0</v>
      </c>
      <c r="N197" s="63">
        <f>Assumptions!$D$15</f>
        <v>0.1</v>
      </c>
      <c r="O197" s="45">
        <f>IF(PO[[#This Row],[GST applies?]] = "Yes", (PO[[#This Row],[Value inc. GST]] / 1 + PO[[#This Row],[GST %]]) * PO[[#This Row],[GST %]], 0)</f>
        <v>0</v>
      </c>
      <c r="P197" s="31">
        <f>_xlfn.XLOOKUP(PO[[#This Row],[Supplier name]], Supplier_master[Supplier name], Supplier_master[EOM or Net], 0)</f>
        <v>0</v>
      </c>
      <c r="Q197" s="31">
        <f>_xlfn.XLOOKUP(PO[[#This Row],[Supplier name]], Supplier_master[Supplier name], Supplier_master[Terms days], 0)</f>
        <v>0</v>
      </c>
      <c r="R1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7" s="4"/>
      <c r="T197" s="46">
        <f>IF(PO[[#This Row],[Payment date - override (dd/mm/yyyy)]] &lt;&gt; "", PO[[#This Row],[Payment date - override (dd/mm/yyyy)]], PO[[#This Row],[Due date (dd/mm/yyyy)]])</f>
        <v>0</v>
      </c>
      <c r="U197" s="46">
        <f t="shared" si="2"/>
        <v>52</v>
      </c>
    </row>
    <row r="198" spans="3:21" x14ac:dyDescent="0.25">
      <c r="C198" s="24"/>
      <c r="D198" s="20"/>
      <c r="E198" s="4"/>
      <c r="F198" s="37"/>
      <c r="G198" s="38"/>
      <c r="H198" s="31">
        <f>_xlfn.XLOOKUP(PO[[#This Row],[Supplier name]], Supplier_master[Supplier name], Supplier_master[Category L1], 0)</f>
        <v>0</v>
      </c>
      <c r="I198" s="31">
        <f>_xlfn.XLOOKUP(PO[[#This Row],[Supplier name]], Supplier_master[Supplier name], Supplier_master[Category L2], 0)</f>
        <v>0</v>
      </c>
      <c r="J198" s="55"/>
      <c r="K198" s="55"/>
      <c r="L198" s="31">
        <f>IF(PO[[#This Row],[Spend category L1 - Override]] &lt;&gt; "", PO[[#This Row],[Spend category L1 - Override]], PO[[#This Row],[Spend category L1]])</f>
        <v>0</v>
      </c>
      <c r="M198" s="31">
        <f>IF(PO[[#This Row],[Spend category L2 - Override]] &lt;&gt; "", PO[[#This Row],[Spend category L2 - Override]], PO[[#This Row],[Spend category L2]])</f>
        <v>0</v>
      </c>
      <c r="N198" s="63">
        <f>Assumptions!$D$15</f>
        <v>0.1</v>
      </c>
      <c r="O198" s="45">
        <f>IF(PO[[#This Row],[GST applies?]] = "Yes", (PO[[#This Row],[Value inc. GST]] / 1 + PO[[#This Row],[GST %]]) * PO[[#This Row],[GST %]], 0)</f>
        <v>0</v>
      </c>
      <c r="P198" s="31">
        <f>_xlfn.XLOOKUP(PO[[#This Row],[Supplier name]], Supplier_master[Supplier name], Supplier_master[EOM or Net], 0)</f>
        <v>0</v>
      </c>
      <c r="Q198" s="31">
        <f>_xlfn.XLOOKUP(PO[[#This Row],[Supplier name]], Supplier_master[Supplier name], Supplier_master[Terms days], 0)</f>
        <v>0</v>
      </c>
      <c r="R1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8" s="4"/>
      <c r="T198" s="46">
        <f>IF(PO[[#This Row],[Payment date - override (dd/mm/yyyy)]] &lt;&gt; "", PO[[#This Row],[Payment date - override (dd/mm/yyyy)]], PO[[#This Row],[Due date (dd/mm/yyyy)]])</f>
        <v>0</v>
      </c>
      <c r="U198" s="46">
        <f t="shared" si="2"/>
        <v>52</v>
      </c>
    </row>
    <row r="199" spans="3:21" x14ac:dyDescent="0.25">
      <c r="C199" s="24"/>
      <c r="D199" s="20"/>
      <c r="E199" s="4"/>
      <c r="F199" s="37"/>
      <c r="G199" s="38"/>
      <c r="H199" s="31">
        <f>_xlfn.XLOOKUP(PO[[#This Row],[Supplier name]], Supplier_master[Supplier name], Supplier_master[Category L1], 0)</f>
        <v>0</v>
      </c>
      <c r="I199" s="31">
        <f>_xlfn.XLOOKUP(PO[[#This Row],[Supplier name]], Supplier_master[Supplier name], Supplier_master[Category L2], 0)</f>
        <v>0</v>
      </c>
      <c r="J199" s="55"/>
      <c r="K199" s="55"/>
      <c r="L199" s="31">
        <f>IF(PO[[#This Row],[Spend category L1 - Override]] &lt;&gt; "", PO[[#This Row],[Spend category L1 - Override]], PO[[#This Row],[Spend category L1]])</f>
        <v>0</v>
      </c>
      <c r="M199" s="31">
        <f>IF(PO[[#This Row],[Spend category L2 - Override]] &lt;&gt; "", PO[[#This Row],[Spend category L2 - Override]], PO[[#This Row],[Spend category L2]])</f>
        <v>0</v>
      </c>
      <c r="N199" s="63">
        <f>Assumptions!$D$15</f>
        <v>0.1</v>
      </c>
      <c r="O199" s="45">
        <f>IF(PO[[#This Row],[GST applies?]] = "Yes", (PO[[#This Row],[Value inc. GST]] / 1 + PO[[#This Row],[GST %]]) * PO[[#This Row],[GST %]], 0)</f>
        <v>0</v>
      </c>
      <c r="P199" s="31">
        <f>_xlfn.XLOOKUP(PO[[#This Row],[Supplier name]], Supplier_master[Supplier name], Supplier_master[EOM or Net], 0)</f>
        <v>0</v>
      </c>
      <c r="Q199" s="31">
        <f>_xlfn.XLOOKUP(PO[[#This Row],[Supplier name]], Supplier_master[Supplier name], Supplier_master[Terms days], 0)</f>
        <v>0</v>
      </c>
      <c r="R1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9" s="4"/>
      <c r="T199" s="46">
        <f>IF(PO[[#This Row],[Payment date - override (dd/mm/yyyy)]] &lt;&gt; "", PO[[#This Row],[Payment date - override (dd/mm/yyyy)]], PO[[#This Row],[Due date (dd/mm/yyyy)]])</f>
        <v>0</v>
      </c>
      <c r="U199" s="46">
        <f t="shared" si="2"/>
        <v>52</v>
      </c>
    </row>
    <row r="200" spans="3:21" x14ac:dyDescent="0.25">
      <c r="C200" s="24"/>
      <c r="D200" s="20"/>
      <c r="E200" s="4"/>
      <c r="F200" s="37"/>
      <c r="G200" s="38"/>
      <c r="H200" s="31">
        <f>_xlfn.XLOOKUP(PO[[#This Row],[Supplier name]], Supplier_master[Supplier name], Supplier_master[Category L1], 0)</f>
        <v>0</v>
      </c>
      <c r="I200" s="31">
        <f>_xlfn.XLOOKUP(PO[[#This Row],[Supplier name]], Supplier_master[Supplier name], Supplier_master[Category L2], 0)</f>
        <v>0</v>
      </c>
      <c r="J200" s="55"/>
      <c r="K200" s="55"/>
      <c r="L200" s="31">
        <f>IF(PO[[#This Row],[Spend category L1 - Override]] &lt;&gt; "", PO[[#This Row],[Spend category L1 - Override]], PO[[#This Row],[Spend category L1]])</f>
        <v>0</v>
      </c>
      <c r="M200" s="31">
        <f>IF(PO[[#This Row],[Spend category L2 - Override]] &lt;&gt; "", PO[[#This Row],[Spend category L2 - Override]], PO[[#This Row],[Spend category L2]])</f>
        <v>0</v>
      </c>
      <c r="N200" s="63">
        <f>Assumptions!$D$15</f>
        <v>0.1</v>
      </c>
      <c r="O200" s="45">
        <f>IF(PO[[#This Row],[GST applies?]] = "Yes", (PO[[#This Row],[Value inc. GST]] / 1 + PO[[#This Row],[GST %]]) * PO[[#This Row],[GST %]], 0)</f>
        <v>0</v>
      </c>
      <c r="P200" s="31">
        <f>_xlfn.XLOOKUP(PO[[#This Row],[Supplier name]], Supplier_master[Supplier name], Supplier_master[EOM or Net], 0)</f>
        <v>0</v>
      </c>
      <c r="Q200" s="31">
        <f>_xlfn.XLOOKUP(PO[[#This Row],[Supplier name]], Supplier_master[Supplier name], Supplier_master[Terms days], 0)</f>
        <v>0</v>
      </c>
      <c r="R2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0" s="4"/>
      <c r="T200" s="46">
        <f>IF(PO[[#This Row],[Payment date - override (dd/mm/yyyy)]] &lt;&gt; "", PO[[#This Row],[Payment date - override (dd/mm/yyyy)]], PO[[#This Row],[Due date (dd/mm/yyyy)]])</f>
        <v>0</v>
      </c>
      <c r="U200" s="46">
        <f t="shared" si="2"/>
        <v>52</v>
      </c>
    </row>
    <row r="201" spans="3:21" x14ac:dyDescent="0.25">
      <c r="C201" s="24"/>
      <c r="D201" s="20"/>
      <c r="E201" s="4"/>
      <c r="F201" s="37"/>
      <c r="G201" s="38"/>
      <c r="H201" s="31">
        <f>_xlfn.XLOOKUP(PO[[#This Row],[Supplier name]], Supplier_master[Supplier name], Supplier_master[Category L1], 0)</f>
        <v>0</v>
      </c>
      <c r="I201" s="31">
        <f>_xlfn.XLOOKUP(PO[[#This Row],[Supplier name]], Supplier_master[Supplier name], Supplier_master[Category L2], 0)</f>
        <v>0</v>
      </c>
      <c r="J201" s="55"/>
      <c r="K201" s="55"/>
      <c r="L201" s="31">
        <f>IF(PO[[#This Row],[Spend category L1 - Override]] &lt;&gt; "", PO[[#This Row],[Spend category L1 - Override]], PO[[#This Row],[Spend category L1]])</f>
        <v>0</v>
      </c>
      <c r="M201" s="31">
        <f>IF(PO[[#This Row],[Spend category L2 - Override]] &lt;&gt; "", PO[[#This Row],[Spend category L2 - Override]], PO[[#This Row],[Spend category L2]])</f>
        <v>0</v>
      </c>
      <c r="N201" s="63">
        <f>Assumptions!$D$15</f>
        <v>0.1</v>
      </c>
      <c r="O201" s="45">
        <f>IF(PO[[#This Row],[GST applies?]] = "Yes", (PO[[#This Row],[Value inc. GST]] / 1 + PO[[#This Row],[GST %]]) * PO[[#This Row],[GST %]], 0)</f>
        <v>0</v>
      </c>
      <c r="P201" s="31">
        <f>_xlfn.XLOOKUP(PO[[#This Row],[Supplier name]], Supplier_master[Supplier name], Supplier_master[EOM or Net], 0)</f>
        <v>0</v>
      </c>
      <c r="Q201" s="31">
        <f>_xlfn.XLOOKUP(PO[[#This Row],[Supplier name]], Supplier_master[Supplier name], Supplier_master[Terms days], 0)</f>
        <v>0</v>
      </c>
      <c r="R2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1" s="4"/>
      <c r="T201" s="46">
        <f>IF(PO[[#This Row],[Payment date - override (dd/mm/yyyy)]] &lt;&gt; "", PO[[#This Row],[Payment date - override (dd/mm/yyyy)]], PO[[#This Row],[Due date (dd/mm/yyyy)]])</f>
        <v>0</v>
      </c>
      <c r="U201" s="46">
        <f t="shared" ref="U201:U264" si="3">IF(GST_Freq="Monthly",
    DATE(YEAR(E201), MONTH(E201) + 1, 21),
    IF(GST_Freq="Quarterly",
        IF(MOD(MONTH(E201) + 2 - MOD(MOD(MONTH(E201) - GST_First_Month, 12), 3), 12) = 0,
            DATE(YEAR(E201), MONTH(E201) + 4 - MOD(MOD(MONTH(E201) - GST_First_Month, 12), 3), 28),
            DATE(YEAR(E201), MONTH(E201) + 3 - MOD(MOD(MONTH(E201) - GST_First_Month, 12), 3), 28)
        ),
        "Invalid frequency"
    )
)</f>
        <v>52</v>
      </c>
    </row>
    <row r="202" spans="3:21" x14ac:dyDescent="0.25">
      <c r="C202" s="24"/>
      <c r="D202" s="20"/>
      <c r="E202" s="4"/>
      <c r="F202" s="37"/>
      <c r="G202" s="38"/>
      <c r="H202" s="31">
        <f>_xlfn.XLOOKUP(PO[[#This Row],[Supplier name]], Supplier_master[Supplier name], Supplier_master[Category L1], 0)</f>
        <v>0</v>
      </c>
      <c r="I202" s="31">
        <f>_xlfn.XLOOKUP(PO[[#This Row],[Supplier name]], Supplier_master[Supplier name], Supplier_master[Category L2], 0)</f>
        <v>0</v>
      </c>
      <c r="J202" s="55"/>
      <c r="K202" s="55"/>
      <c r="L202" s="31">
        <f>IF(PO[[#This Row],[Spend category L1 - Override]] &lt;&gt; "", PO[[#This Row],[Spend category L1 - Override]], PO[[#This Row],[Spend category L1]])</f>
        <v>0</v>
      </c>
      <c r="M202" s="31">
        <f>IF(PO[[#This Row],[Spend category L2 - Override]] &lt;&gt; "", PO[[#This Row],[Spend category L2 - Override]], PO[[#This Row],[Spend category L2]])</f>
        <v>0</v>
      </c>
      <c r="N202" s="63">
        <f>Assumptions!$D$15</f>
        <v>0.1</v>
      </c>
      <c r="O202" s="45">
        <f>IF(PO[[#This Row],[GST applies?]] = "Yes", (PO[[#This Row],[Value inc. GST]] / 1 + PO[[#This Row],[GST %]]) * PO[[#This Row],[GST %]], 0)</f>
        <v>0</v>
      </c>
      <c r="P202" s="31">
        <f>_xlfn.XLOOKUP(PO[[#This Row],[Supplier name]], Supplier_master[Supplier name], Supplier_master[EOM or Net], 0)</f>
        <v>0</v>
      </c>
      <c r="Q202" s="31">
        <f>_xlfn.XLOOKUP(PO[[#This Row],[Supplier name]], Supplier_master[Supplier name], Supplier_master[Terms days], 0)</f>
        <v>0</v>
      </c>
      <c r="R2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2" s="4"/>
      <c r="T202" s="46">
        <f>IF(PO[[#This Row],[Payment date - override (dd/mm/yyyy)]] &lt;&gt; "", PO[[#This Row],[Payment date - override (dd/mm/yyyy)]], PO[[#This Row],[Due date (dd/mm/yyyy)]])</f>
        <v>0</v>
      </c>
      <c r="U202" s="46">
        <f t="shared" si="3"/>
        <v>52</v>
      </c>
    </row>
    <row r="203" spans="3:21" x14ac:dyDescent="0.25">
      <c r="C203" s="24"/>
      <c r="D203" s="20"/>
      <c r="E203" s="4"/>
      <c r="F203" s="37"/>
      <c r="G203" s="38"/>
      <c r="H203" s="31">
        <f>_xlfn.XLOOKUP(PO[[#This Row],[Supplier name]], Supplier_master[Supplier name], Supplier_master[Category L1], 0)</f>
        <v>0</v>
      </c>
      <c r="I203" s="31">
        <f>_xlfn.XLOOKUP(PO[[#This Row],[Supplier name]], Supplier_master[Supplier name], Supplier_master[Category L2], 0)</f>
        <v>0</v>
      </c>
      <c r="J203" s="55"/>
      <c r="K203" s="55"/>
      <c r="L203" s="31">
        <f>IF(PO[[#This Row],[Spend category L1 - Override]] &lt;&gt; "", PO[[#This Row],[Spend category L1 - Override]], PO[[#This Row],[Spend category L1]])</f>
        <v>0</v>
      </c>
      <c r="M203" s="31">
        <f>IF(PO[[#This Row],[Spend category L2 - Override]] &lt;&gt; "", PO[[#This Row],[Spend category L2 - Override]], PO[[#This Row],[Spend category L2]])</f>
        <v>0</v>
      </c>
      <c r="N203" s="63">
        <f>Assumptions!$D$15</f>
        <v>0.1</v>
      </c>
      <c r="O203" s="45">
        <f>IF(PO[[#This Row],[GST applies?]] = "Yes", (PO[[#This Row],[Value inc. GST]] / 1 + PO[[#This Row],[GST %]]) * PO[[#This Row],[GST %]], 0)</f>
        <v>0</v>
      </c>
      <c r="P203" s="31">
        <f>_xlfn.XLOOKUP(PO[[#This Row],[Supplier name]], Supplier_master[Supplier name], Supplier_master[EOM or Net], 0)</f>
        <v>0</v>
      </c>
      <c r="Q203" s="31">
        <f>_xlfn.XLOOKUP(PO[[#This Row],[Supplier name]], Supplier_master[Supplier name], Supplier_master[Terms days], 0)</f>
        <v>0</v>
      </c>
      <c r="R2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3" s="4"/>
      <c r="T203" s="46">
        <f>IF(PO[[#This Row],[Payment date - override (dd/mm/yyyy)]] &lt;&gt; "", PO[[#This Row],[Payment date - override (dd/mm/yyyy)]], PO[[#This Row],[Due date (dd/mm/yyyy)]])</f>
        <v>0</v>
      </c>
      <c r="U203" s="46">
        <f t="shared" si="3"/>
        <v>52</v>
      </c>
    </row>
    <row r="204" spans="3:21" x14ac:dyDescent="0.25">
      <c r="C204" s="24"/>
      <c r="D204" s="20"/>
      <c r="E204" s="4"/>
      <c r="F204" s="37"/>
      <c r="G204" s="38"/>
      <c r="H204" s="31">
        <f>_xlfn.XLOOKUP(PO[[#This Row],[Supplier name]], Supplier_master[Supplier name], Supplier_master[Category L1], 0)</f>
        <v>0</v>
      </c>
      <c r="I204" s="31">
        <f>_xlfn.XLOOKUP(PO[[#This Row],[Supplier name]], Supplier_master[Supplier name], Supplier_master[Category L2], 0)</f>
        <v>0</v>
      </c>
      <c r="J204" s="55"/>
      <c r="K204" s="55"/>
      <c r="L204" s="31">
        <f>IF(PO[[#This Row],[Spend category L1 - Override]] &lt;&gt; "", PO[[#This Row],[Spend category L1 - Override]], PO[[#This Row],[Spend category L1]])</f>
        <v>0</v>
      </c>
      <c r="M204" s="31">
        <f>IF(PO[[#This Row],[Spend category L2 - Override]] &lt;&gt; "", PO[[#This Row],[Spend category L2 - Override]], PO[[#This Row],[Spend category L2]])</f>
        <v>0</v>
      </c>
      <c r="N204" s="63">
        <f>Assumptions!$D$15</f>
        <v>0.1</v>
      </c>
      <c r="O204" s="45">
        <f>IF(PO[[#This Row],[GST applies?]] = "Yes", (PO[[#This Row],[Value inc. GST]] / 1 + PO[[#This Row],[GST %]]) * PO[[#This Row],[GST %]], 0)</f>
        <v>0</v>
      </c>
      <c r="P204" s="31">
        <f>_xlfn.XLOOKUP(PO[[#This Row],[Supplier name]], Supplier_master[Supplier name], Supplier_master[EOM or Net], 0)</f>
        <v>0</v>
      </c>
      <c r="Q204" s="31">
        <f>_xlfn.XLOOKUP(PO[[#This Row],[Supplier name]], Supplier_master[Supplier name], Supplier_master[Terms days], 0)</f>
        <v>0</v>
      </c>
      <c r="R2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4" s="4"/>
      <c r="T204" s="46">
        <f>IF(PO[[#This Row],[Payment date - override (dd/mm/yyyy)]] &lt;&gt; "", PO[[#This Row],[Payment date - override (dd/mm/yyyy)]], PO[[#This Row],[Due date (dd/mm/yyyy)]])</f>
        <v>0</v>
      </c>
      <c r="U204" s="46">
        <f t="shared" si="3"/>
        <v>52</v>
      </c>
    </row>
    <row r="205" spans="3:21" x14ac:dyDescent="0.25">
      <c r="C205" s="24"/>
      <c r="D205" s="20"/>
      <c r="E205" s="4"/>
      <c r="F205" s="37"/>
      <c r="G205" s="38"/>
      <c r="H205" s="31">
        <f>_xlfn.XLOOKUP(PO[[#This Row],[Supplier name]], Supplier_master[Supplier name], Supplier_master[Category L1], 0)</f>
        <v>0</v>
      </c>
      <c r="I205" s="31">
        <f>_xlfn.XLOOKUP(PO[[#This Row],[Supplier name]], Supplier_master[Supplier name], Supplier_master[Category L2], 0)</f>
        <v>0</v>
      </c>
      <c r="J205" s="55"/>
      <c r="K205" s="55"/>
      <c r="L205" s="31">
        <f>IF(PO[[#This Row],[Spend category L1 - Override]] &lt;&gt; "", PO[[#This Row],[Spend category L1 - Override]], PO[[#This Row],[Spend category L1]])</f>
        <v>0</v>
      </c>
      <c r="M205" s="31">
        <f>IF(PO[[#This Row],[Spend category L2 - Override]] &lt;&gt; "", PO[[#This Row],[Spend category L2 - Override]], PO[[#This Row],[Spend category L2]])</f>
        <v>0</v>
      </c>
      <c r="N205" s="63">
        <f>Assumptions!$D$15</f>
        <v>0.1</v>
      </c>
      <c r="O205" s="45">
        <f>IF(PO[[#This Row],[GST applies?]] = "Yes", (PO[[#This Row],[Value inc. GST]] / 1 + PO[[#This Row],[GST %]]) * PO[[#This Row],[GST %]], 0)</f>
        <v>0</v>
      </c>
      <c r="P205" s="31">
        <f>_xlfn.XLOOKUP(PO[[#This Row],[Supplier name]], Supplier_master[Supplier name], Supplier_master[EOM or Net], 0)</f>
        <v>0</v>
      </c>
      <c r="Q205" s="31">
        <f>_xlfn.XLOOKUP(PO[[#This Row],[Supplier name]], Supplier_master[Supplier name], Supplier_master[Terms days], 0)</f>
        <v>0</v>
      </c>
      <c r="R2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5" s="4"/>
      <c r="T205" s="46">
        <f>IF(PO[[#This Row],[Payment date - override (dd/mm/yyyy)]] &lt;&gt; "", PO[[#This Row],[Payment date - override (dd/mm/yyyy)]], PO[[#This Row],[Due date (dd/mm/yyyy)]])</f>
        <v>0</v>
      </c>
      <c r="U205" s="46">
        <f t="shared" si="3"/>
        <v>52</v>
      </c>
    </row>
    <row r="206" spans="3:21" x14ac:dyDescent="0.25">
      <c r="C206" s="24"/>
      <c r="D206" s="20"/>
      <c r="E206" s="4"/>
      <c r="F206" s="37"/>
      <c r="G206" s="38"/>
      <c r="H206" s="31">
        <f>_xlfn.XLOOKUP(PO[[#This Row],[Supplier name]], Supplier_master[Supplier name], Supplier_master[Category L1], 0)</f>
        <v>0</v>
      </c>
      <c r="I206" s="31">
        <f>_xlfn.XLOOKUP(PO[[#This Row],[Supplier name]], Supplier_master[Supplier name], Supplier_master[Category L2], 0)</f>
        <v>0</v>
      </c>
      <c r="J206" s="55"/>
      <c r="K206" s="55"/>
      <c r="L206" s="31">
        <f>IF(PO[[#This Row],[Spend category L1 - Override]] &lt;&gt; "", PO[[#This Row],[Spend category L1 - Override]], PO[[#This Row],[Spend category L1]])</f>
        <v>0</v>
      </c>
      <c r="M206" s="31">
        <f>IF(PO[[#This Row],[Spend category L2 - Override]] &lt;&gt; "", PO[[#This Row],[Spend category L2 - Override]], PO[[#This Row],[Spend category L2]])</f>
        <v>0</v>
      </c>
      <c r="N206" s="63">
        <f>Assumptions!$D$15</f>
        <v>0.1</v>
      </c>
      <c r="O206" s="45">
        <f>IF(PO[[#This Row],[GST applies?]] = "Yes", (PO[[#This Row],[Value inc. GST]] / 1 + PO[[#This Row],[GST %]]) * PO[[#This Row],[GST %]], 0)</f>
        <v>0</v>
      </c>
      <c r="P206" s="31">
        <f>_xlfn.XLOOKUP(PO[[#This Row],[Supplier name]], Supplier_master[Supplier name], Supplier_master[EOM or Net], 0)</f>
        <v>0</v>
      </c>
      <c r="Q206" s="31">
        <f>_xlfn.XLOOKUP(PO[[#This Row],[Supplier name]], Supplier_master[Supplier name], Supplier_master[Terms days], 0)</f>
        <v>0</v>
      </c>
      <c r="R2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6" s="4"/>
      <c r="T206" s="46">
        <f>IF(PO[[#This Row],[Payment date - override (dd/mm/yyyy)]] &lt;&gt; "", PO[[#This Row],[Payment date - override (dd/mm/yyyy)]], PO[[#This Row],[Due date (dd/mm/yyyy)]])</f>
        <v>0</v>
      </c>
      <c r="U206" s="46">
        <f t="shared" si="3"/>
        <v>52</v>
      </c>
    </row>
    <row r="207" spans="3:21" x14ac:dyDescent="0.25">
      <c r="C207" s="24"/>
      <c r="D207" s="20"/>
      <c r="E207" s="4"/>
      <c r="F207" s="37"/>
      <c r="G207" s="38"/>
      <c r="H207" s="31">
        <f>_xlfn.XLOOKUP(PO[[#This Row],[Supplier name]], Supplier_master[Supplier name], Supplier_master[Category L1], 0)</f>
        <v>0</v>
      </c>
      <c r="I207" s="31">
        <f>_xlfn.XLOOKUP(PO[[#This Row],[Supplier name]], Supplier_master[Supplier name], Supplier_master[Category L2], 0)</f>
        <v>0</v>
      </c>
      <c r="J207" s="55"/>
      <c r="K207" s="55"/>
      <c r="L207" s="31">
        <f>IF(PO[[#This Row],[Spend category L1 - Override]] &lt;&gt; "", PO[[#This Row],[Spend category L1 - Override]], PO[[#This Row],[Spend category L1]])</f>
        <v>0</v>
      </c>
      <c r="M207" s="31">
        <f>IF(PO[[#This Row],[Spend category L2 - Override]] &lt;&gt; "", PO[[#This Row],[Spend category L2 - Override]], PO[[#This Row],[Spend category L2]])</f>
        <v>0</v>
      </c>
      <c r="N207" s="63">
        <f>Assumptions!$D$15</f>
        <v>0.1</v>
      </c>
      <c r="O207" s="45">
        <f>IF(PO[[#This Row],[GST applies?]] = "Yes", (PO[[#This Row],[Value inc. GST]] / 1 + PO[[#This Row],[GST %]]) * PO[[#This Row],[GST %]], 0)</f>
        <v>0</v>
      </c>
      <c r="P207" s="31">
        <f>_xlfn.XLOOKUP(PO[[#This Row],[Supplier name]], Supplier_master[Supplier name], Supplier_master[EOM or Net], 0)</f>
        <v>0</v>
      </c>
      <c r="Q207" s="31">
        <f>_xlfn.XLOOKUP(PO[[#This Row],[Supplier name]], Supplier_master[Supplier name], Supplier_master[Terms days], 0)</f>
        <v>0</v>
      </c>
      <c r="R2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7" s="4"/>
      <c r="T207" s="46">
        <f>IF(PO[[#This Row],[Payment date - override (dd/mm/yyyy)]] &lt;&gt; "", PO[[#This Row],[Payment date - override (dd/mm/yyyy)]], PO[[#This Row],[Due date (dd/mm/yyyy)]])</f>
        <v>0</v>
      </c>
      <c r="U207" s="46">
        <f t="shared" si="3"/>
        <v>52</v>
      </c>
    </row>
    <row r="208" spans="3:21" x14ac:dyDescent="0.25">
      <c r="C208" s="24"/>
      <c r="D208" s="20"/>
      <c r="E208" s="4"/>
      <c r="F208" s="37"/>
      <c r="G208" s="38"/>
      <c r="H208" s="31">
        <f>_xlfn.XLOOKUP(PO[[#This Row],[Supplier name]], Supplier_master[Supplier name], Supplier_master[Category L1], 0)</f>
        <v>0</v>
      </c>
      <c r="I208" s="31">
        <f>_xlfn.XLOOKUP(PO[[#This Row],[Supplier name]], Supplier_master[Supplier name], Supplier_master[Category L2], 0)</f>
        <v>0</v>
      </c>
      <c r="J208" s="55"/>
      <c r="K208" s="55"/>
      <c r="L208" s="31">
        <f>IF(PO[[#This Row],[Spend category L1 - Override]] &lt;&gt; "", PO[[#This Row],[Spend category L1 - Override]], PO[[#This Row],[Spend category L1]])</f>
        <v>0</v>
      </c>
      <c r="M208" s="31">
        <f>IF(PO[[#This Row],[Spend category L2 - Override]] &lt;&gt; "", PO[[#This Row],[Spend category L2 - Override]], PO[[#This Row],[Spend category L2]])</f>
        <v>0</v>
      </c>
      <c r="N208" s="63">
        <f>Assumptions!$D$15</f>
        <v>0.1</v>
      </c>
      <c r="O208" s="45">
        <f>IF(PO[[#This Row],[GST applies?]] = "Yes", (PO[[#This Row],[Value inc. GST]] / 1 + PO[[#This Row],[GST %]]) * PO[[#This Row],[GST %]], 0)</f>
        <v>0</v>
      </c>
      <c r="P208" s="31">
        <f>_xlfn.XLOOKUP(PO[[#This Row],[Supplier name]], Supplier_master[Supplier name], Supplier_master[EOM or Net], 0)</f>
        <v>0</v>
      </c>
      <c r="Q208" s="31">
        <f>_xlfn.XLOOKUP(PO[[#This Row],[Supplier name]], Supplier_master[Supplier name], Supplier_master[Terms days], 0)</f>
        <v>0</v>
      </c>
      <c r="R2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8" s="4"/>
      <c r="T208" s="46">
        <f>IF(PO[[#This Row],[Payment date - override (dd/mm/yyyy)]] &lt;&gt; "", PO[[#This Row],[Payment date - override (dd/mm/yyyy)]], PO[[#This Row],[Due date (dd/mm/yyyy)]])</f>
        <v>0</v>
      </c>
      <c r="U208" s="46">
        <f t="shared" si="3"/>
        <v>52</v>
      </c>
    </row>
    <row r="209" spans="3:21" x14ac:dyDescent="0.25">
      <c r="C209" s="24"/>
      <c r="D209" s="20"/>
      <c r="E209" s="4"/>
      <c r="F209" s="37"/>
      <c r="G209" s="38"/>
      <c r="H209" s="31">
        <f>_xlfn.XLOOKUP(PO[[#This Row],[Supplier name]], Supplier_master[Supplier name], Supplier_master[Category L1], 0)</f>
        <v>0</v>
      </c>
      <c r="I209" s="31">
        <f>_xlfn.XLOOKUP(PO[[#This Row],[Supplier name]], Supplier_master[Supplier name], Supplier_master[Category L2], 0)</f>
        <v>0</v>
      </c>
      <c r="J209" s="55"/>
      <c r="K209" s="55"/>
      <c r="L209" s="31">
        <f>IF(PO[[#This Row],[Spend category L1 - Override]] &lt;&gt; "", PO[[#This Row],[Spend category L1 - Override]], PO[[#This Row],[Spend category L1]])</f>
        <v>0</v>
      </c>
      <c r="M209" s="31">
        <f>IF(PO[[#This Row],[Spend category L2 - Override]] &lt;&gt; "", PO[[#This Row],[Spend category L2 - Override]], PO[[#This Row],[Spend category L2]])</f>
        <v>0</v>
      </c>
      <c r="N209" s="63">
        <f>Assumptions!$D$15</f>
        <v>0.1</v>
      </c>
      <c r="O209" s="45">
        <f>IF(PO[[#This Row],[GST applies?]] = "Yes", (PO[[#This Row],[Value inc. GST]] / 1 + PO[[#This Row],[GST %]]) * PO[[#This Row],[GST %]], 0)</f>
        <v>0</v>
      </c>
      <c r="P209" s="31">
        <f>_xlfn.XLOOKUP(PO[[#This Row],[Supplier name]], Supplier_master[Supplier name], Supplier_master[EOM or Net], 0)</f>
        <v>0</v>
      </c>
      <c r="Q209" s="31">
        <f>_xlfn.XLOOKUP(PO[[#This Row],[Supplier name]], Supplier_master[Supplier name], Supplier_master[Terms days], 0)</f>
        <v>0</v>
      </c>
      <c r="R2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9" s="4"/>
      <c r="T209" s="46">
        <f>IF(PO[[#This Row],[Payment date - override (dd/mm/yyyy)]] &lt;&gt; "", PO[[#This Row],[Payment date - override (dd/mm/yyyy)]], PO[[#This Row],[Due date (dd/mm/yyyy)]])</f>
        <v>0</v>
      </c>
      <c r="U209" s="46">
        <f t="shared" si="3"/>
        <v>52</v>
      </c>
    </row>
    <row r="210" spans="3:21" x14ac:dyDescent="0.25">
      <c r="C210" s="24"/>
      <c r="D210" s="20"/>
      <c r="E210" s="4"/>
      <c r="F210" s="37"/>
      <c r="G210" s="38"/>
      <c r="H210" s="31">
        <f>_xlfn.XLOOKUP(PO[[#This Row],[Supplier name]], Supplier_master[Supplier name], Supplier_master[Category L1], 0)</f>
        <v>0</v>
      </c>
      <c r="I210" s="31">
        <f>_xlfn.XLOOKUP(PO[[#This Row],[Supplier name]], Supplier_master[Supplier name], Supplier_master[Category L2], 0)</f>
        <v>0</v>
      </c>
      <c r="J210" s="55"/>
      <c r="K210" s="55"/>
      <c r="L210" s="31">
        <f>IF(PO[[#This Row],[Spend category L1 - Override]] &lt;&gt; "", PO[[#This Row],[Spend category L1 - Override]], PO[[#This Row],[Spend category L1]])</f>
        <v>0</v>
      </c>
      <c r="M210" s="31">
        <f>IF(PO[[#This Row],[Spend category L2 - Override]] &lt;&gt; "", PO[[#This Row],[Spend category L2 - Override]], PO[[#This Row],[Spend category L2]])</f>
        <v>0</v>
      </c>
      <c r="N210" s="63">
        <f>Assumptions!$D$15</f>
        <v>0.1</v>
      </c>
      <c r="O210" s="45">
        <f>IF(PO[[#This Row],[GST applies?]] = "Yes", (PO[[#This Row],[Value inc. GST]] / 1 + PO[[#This Row],[GST %]]) * PO[[#This Row],[GST %]], 0)</f>
        <v>0</v>
      </c>
      <c r="P210" s="31">
        <f>_xlfn.XLOOKUP(PO[[#This Row],[Supplier name]], Supplier_master[Supplier name], Supplier_master[EOM or Net], 0)</f>
        <v>0</v>
      </c>
      <c r="Q210" s="31">
        <f>_xlfn.XLOOKUP(PO[[#This Row],[Supplier name]], Supplier_master[Supplier name], Supplier_master[Terms days], 0)</f>
        <v>0</v>
      </c>
      <c r="R2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0" s="4"/>
      <c r="T210" s="46">
        <f>IF(PO[[#This Row],[Payment date - override (dd/mm/yyyy)]] &lt;&gt; "", PO[[#This Row],[Payment date - override (dd/mm/yyyy)]], PO[[#This Row],[Due date (dd/mm/yyyy)]])</f>
        <v>0</v>
      </c>
      <c r="U210" s="46">
        <f t="shared" si="3"/>
        <v>52</v>
      </c>
    </row>
    <row r="211" spans="3:21" x14ac:dyDescent="0.25">
      <c r="C211" s="24"/>
      <c r="D211" s="20"/>
      <c r="E211" s="4"/>
      <c r="F211" s="37"/>
      <c r="G211" s="38"/>
      <c r="H211" s="31">
        <f>_xlfn.XLOOKUP(PO[[#This Row],[Supplier name]], Supplier_master[Supplier name], Supplier_master[Category L1], 0)</f>
        <v>0</v>
      </c>
      <c r="I211" s="31">
        <f>_xlfn.XLOOKUP(PO[[#This Row],[Supplier name]], Supplier_master[Supplier name], Supplier_master[Category L2], 0)</f>
        <v>0</v>
      </c>
      <c r="J211" s="55"/>
      <c r="K211" s="55"/>
      <c r="L211" s="31">
        <f>IF(PO[[#This Row],[Spend category L1 - Override]] &lt;&gt; "", PO[[#This Row],[Spend category L1 - Override]], PO[[#This Row],[Spend category L1]])</f>
        <v>0</v>
      </c>
      <c r="M211" s="31">
        <f>IF(PO[[#This Row],[Spend category L2 - Override]] &lt;&gt; "", PO[[#This Row],[Spend category L2 - Override]], PO[[#This Row],[Spend category L2]])</f>
        <v>0</v>
      </c>
      <c r="N211" s="63">
        <f>Assumptions!$D$15</f>
        <v>0.1</v>
      </c>
      <c r="O211" s="45">
        <f>IF(PO[[#This Row],[GST applies?]] = "Yes", (PO[[#This Row],[Value inc. GST]] / 1 + PO[[#This Row],[GST %]]) * PO[[#This Row],[GST %]], 0)</f>
        <v>0</v>
      </c>
      <c r="P211" s="31">
        <f>_xlfn.XLOOKUP(PO[[#This Row],[Supplier name]], Supplier_master[Supplier name], Supplier_master[EOM or Net], 0)</f>
        <v>0</v>
      </c>
      <c r="Q211" s="31">
        <f>_xlfn.XLOOKUP(PO[[#This Row],[Supplier name]], Supplier_master[Supplier name], Supplier_master[Terms days], 0)</f>
        <v>0</v>
      </c>
      <c r="R2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1" s="4"/>
      <c r="T211" s="46">
        <f>IF(PO[[#This Row],[Payment date - override (dd/mm/yyyy)]] &lt;&gt; "", PO[[#This Row],[Payment date - override (dd/mm/yyyy)]], PO[[#This Row],[Due date (dd/mm/yyyy)]])</f>
        <v>0</v>
      </c>
      <c r="U211" s="46">
        <f t="shared" si="3"/>
        <v>52</v>
      </c>
    </row>
    <row r="212" spans="3:21" x14ac:dyDescent="0.25">
      <c r="C212" s="24"/>
      <c r="D212" s="20"/>
      <c r="E212" s="4"/>
      <c r="F212" s="37"/>
      <c r="G212" s="38"/>
      <c r="H212" s="31">
        <f>_xlfn.XLOOKUP(PO[[#This Row],[Supplier name]], Supplier_master[Supplier name], Supplier_master[Category L1], 0)</f>
        <v>0</v>
      </c>
      <c r="I212" s="31">
        <f>_xlfn.XLOOKUP(PO[[#This Row],[Supplier name]], Supplier_master[Supplier name], Supplier_master[Category L2], 0)</f>
        <v>0</v>
      </c>
      <c r="J212" s="55"/>
      <c r="K212" s="55"/>
      <c r="L212" s="31">
        <f>IF(PO[[#This Row],[Spend category L1 - Override]] &lt;&gt; "", PO[[#This Row],[Spend category L1 - Override]], PO[[#This Row],[Spend category L1]])</f>
        <v>0</v>
      </c>
      <c r="M212" s="31">
        <f>IF(PO[[#This Row],[Spend category L2 - Override]] &lt;&gt; "", PO[[#This Row],[Spend category L2 - Override]], PO[[#This Row],[Spend category L2]])</f>
        <v>0</v>
      </c>
      <c r="N212" s="63">
        <f>Assumptions!$D$15</f>
        <v>0.1</v>
      </c>
      <c r="O212" s="45">
        <f>IF(PO[[#This Row],[GST applies?]] = "Yes", (PO[[#This Row],[Value inc. GST]] / 1 + PO[[#This Row],[GST %]]) * PO[[#This Row],[GST %]], 0)</f>
        <v>0</v>
      </c>
      <c r="P212" s="31">
        <f>_xlfn.XLOOKUP(PO[[#This Row],[Supplier name]], Supplier_master[Supplier name], Supplier_master[EOM or Net], 0)</f>
        <v>0</v>
      </c>
      <c r="Q212" s="31">
        <f>_xlfn.XLOOKUP(PO[[#This Row],[Supplier name]], Supplier_master[Supplier name], Supplier_master[Terms days], 0)</f>
        <v>0</v>
      </c>
      <c r="R2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2" s="4"/>
      <c r="T212" s="46">
        <f>IF(PO[[#This Row],[Payment date - override (dd/mm/yyyy)]] &lt;&gt; "", PO[[#This Row],[Payment date - override (dd/mm/yyyy)]], PO[[#This Row],[Due date (dd/mm/yyyy)]])</f>
        <v>0</v>
      </c>
      <c r="U212" s="46">
        <f t="shared" si="3"/>
        <v>52</v>
      </c>
    </row>
    <row r="213" spans="3:21" x14ac:dyDescent="0.25">
      <c r="C213" s="24"/>
      <c r="D213" s="20"/>
      <c r="E213" s="4"/>
      <c r="F213" s="37"/>
      <c r="G213" s="38"/>
      <c r="H213" s="31">
        <f>_xlfn.XLOOKUP(PO[[#This Row],[Supplier name]], Supplier_master[Supplier name], Supplier_master[Category L1], 0)</f>
        <v>0</v>
      </c>
      <c r="I213" s="31">
        <f>_xlfn.XLOOKUP(PO[[#This Row],[Supplier name]], Supplier_master[Supplier name], Supplier_master[Category L2], 0)</f>
        <v>0</v>
      </c>
      <c r="J213" s="55"/>
      <c r="K213" s="55"/>
      <c r="L213" s="31">
        <f>IF(PO[[#This Row],[Spend category L1 - Override]] &lt;&gt; "", PO[[#This Row],[Spend category L1 - Override]], PO[[#This Row],[Spend category L1]])</f>
        <v>0</v>
      </c>
      <c r="M213" s="31">
        <f>IF(PO[[#This Row],[Spend category L2 - Override]] &lt;&gt; "", PO[[#This Row],[Spend category L2 - Override]], PO[[#This Row],[Spend category L2]])</f>
        <v>0</v>
      </c>
      <c r="N213" s="63">
        <f>Assumptions!$D$15</f>
        <v>0.1</v>
      </c>
      <c r="O213" s="45">
        <f>IF(PO[[#This Row],[GST applies?]] = "Yes", (PO[[#This Row],[Value inc. GST]] / 1 + PO[[#This Row],[GST %]]) * PO[[#This Row],[GST %]], 0)</f>
        <v>0</v>
      </c>
      <c r="P213" s="31">
        <f>_xlfn.XLOOKUP(PO[[#This Row],[Supplier name]], Supplier_master[Supplier name], Supplier_master[EOM or Net], 0)</f>
        <v>0</v>
      </c>
      <c r="Q213" s="31">
        <f>_xlfn.XLOOKUP(PO[[#This Row],[Supplier name]], Supplier_master[Supplier name], Supplier_master[Terms days], 0)</f>
        <v>0</v>
      </c>
      <c r="R2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3" s="4"/>
      <c r="T213" s="46">
        <f>IF(PO[[#This Row],[Payment date - override (dd/mm/yyyy)]] &lt;&gt; "", PO[[#This Row],[Payment date - override (dd/mm/yyyy)]], PO[[#This Row],[Due date (dd/mm/yyyy)]])</f>
        <v>0</v>
      </c>
      <c r="U213" s="46">
        <f t="shared" si="3"/>
        <v>52</v>
      </c>
    </row>
    <row r="214" spans="3:21" x14ac:dyDescent="0.25">
      <c r="C214" s="24"/>
      <c r="D214" s="20"/>
      <c r="E214" s="4"/>
      <c r="F214" s="37"/>
      <c r="G214" s="38"/>
      <c r="H214" s="31">
        <f>_xlfn.XLOOKUP(PO[[#This Row],[Supplier name]], Supplier_master[Supplier name], Supplier_master[Category L1], 0)</f>
        <v>0</v>
      </c>
      <c r="I214" s="31">
        <f>_xlfn.XLOOKUP(PO[[#This Row],[Supplier name]], Supplier_master[Supplier name], Supplier_master[Category L2], 0)</f>
        <v>0</v>
      </c>
      <c r="J214" s="55"/>
      <c r="K214" s="55"/>
      <c r="L214" s="31">
        <f>IF(PO[[#This Row],[Spend category L1 - Override]] &lt;&gt; "", PO[[#This Row],[Spend category L1 - Override]], PO[[#This Row],[Spend category L1]])</f>
        <v>0</v>
      </c>
      <c r="M214" s="31">
        <f>IF(PO[[#This Row],[Spend category L2 - Override]] &lt;&gt; "", PO[[#This Row],[Spend category L2 - Override]], PO[[#This Row],[Spend category L2]])</f>
        <v>0</v>
      </c>
      <c r="N214" s="63">
        <f>Assumptions!$D$15</f>
        <v>0.1</v>
      </c>
      <c r="O214" s="45">
        <f>IF(PO[[#This Row],[GST applies?]] = "Yes", (PO[[#This Row],[Value inc. GST]] / 1 + PO[[#This Row],[GST %]]) * PO[[#This Row],[GST %]], 0)</f>
        <v>0</v>
      </c>
      <c r="P214" s="31">
        <f>_xlfn.XLOOKUP(PO[[#This Row],[Supplier name]], Supplier_master[Supplier name], Supplier_master[EOM or Net], 0)</f>
        <v>0</v>
      </c>
      <c r="Q214" s="31">
        <f>_xlfn.XLOOKUP(PO[[#This Row],[Supplier name]], Supplier_master[Supplier name], Supplier_master[Terms days], 0)</f>
        <v>0</v>
      </c>
      <c r="R2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4" s="4"/>
      <c r="T214" s="46">
        <f>IF(PO[[#This Row],[Payment date - override (dd/mm/yyyy)]] &lt;&gt; "", PO[[#This Row],[Payment date - override (dd/mm/yyyy)]], PO[[#This Row],[Due date (dd/mm/yyyy)]])</f>
        <v>0</v>
      </c>
      <c r="U214" s="46">
        <f t="shared" si="3"/>
        <v>52</v>
      </c>
    </row>
    <row r="215" spans="3:21" x14ac:dyDescent="0.25">
      <c r="C215" s="24"/>
      <c r="D215" s="20"/>
      <c r="E215" s="4"/>
      <c r="F215" s="37"/>
      <c r="G215" s="38"/>
      <c r="H215" s="31">
        <f>_xlfn.XLOOKUP(PO[[#This Row],[Supplier name]], Supplier_master[Supplier name], Supplier_master[Category L1], 0)</f>
        <v>0</v>
      </c>
      <c r="I215" s="31">
        <f>_xlfn.XLOOKUP(PO[[#This Row],[Supplier name]], Supplier_master[Supplier name], Supplier_master[Category L2], 0)</f>
        <v>0</v>
      </c>
      <c r="J215" s="55"/>
      <c r="K215" s="55"/>
      <c r="L215" s="31">
        <f>IF(PO[[#This Row],[Spend category L1 - Override]] &lt;&gt; "", PO[[#This Row],[Spend category L1 - Override]], PO[[#This Row],[Spend category L1]])</f>
        <v>0</v>
      </c>
      <c r="M215" s="31">
        <f>IF(PO[[#This Row],[Spend category L2 - Override]] &lt;&gt; "", PO[[#This Row],[Spend category L2 - Override]], PO[[#This Row],[Spend category L2]])</f>
        <v>0</v>
      </c>
      <c r="N215" s="63">
        <f>Assumptions!$D$15</f>
        <v>0.1</v>
      </c>
      <c r="O215" s="45">
        <f>IF(PO[[#This Row],[GST applies?]] = "Yes", (PO[[#This Row],[Value inc. GST]] / 1 + PO[[#This Row],[GST %]]) * PO[[#This Row],[GST %]], 0)</f>
        <v>0</v>
      </c>
      <c r="P215" s="31">
        <f>_xlfn.XLOOKUP(PO[[#This Row],[Supplier name]], Supplier_master[Supplier name], Supplier_master[EOM or Net], 0)</f>
        <v>0</v>
      </c>
      <c r="Q215" s="31">
        <f>_xlfn.XLOOKUP(PO[[#This Row],[Supplier name]], Supplier_master[Supplier name], Supplier_master[Terms days], 0)</f>
        <v>0</v>
      </c>
      <c r="R2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5" s="4"/>
      <c r="T215" s="46">
        <f>IF(PO[[#This Row],[Payment date - override (dd/mm/yyyy)]] &lt;&gt; "", PO[[#This Row],[Payment date - override (dd/mm/yyyy)]], PO[[#This Row],[Due date (dd/mm/yyyy)]])</f>
        <v>0</v>
      </c>
      <c r="U215" s="46">
        <f t="shared" si="3"/>
        <v>52</v>
      </c>
    </row>
    <row r="216" spans="3:21" x14ac:dyDescent="0.25">
      <c r="C216" s="24"/>
      <c r="D216" s="20"/>
      <c r="E216" s="4"/>
      <c r="F216" s="37"/>
      <c r="G216" s="38"/>
      <c r="H216" s="31">
        <f>_xlfn.XLOOKUP(PO[[#This Row],[Supplier name]], Supplier_master[Supplier name], Supplier_master[Category L1], 0)</f>
        <v>0</v>
      </c>
      <c r="I216" s="31">
        <f>_xlfn.XLOOKUP(PO[[#This Row],[Supplier name]], Supplier_master[Supplier name], Supplier_master[Category L2], 0)</f>
        <v>0</v>
      </c>
      <c r="J216" s="55"/>
      <c r="K216" s="55"/>
      <c r="L216" s="31">
        <f>IF(PO[[#This Row],[Spend category L1 - Override]] &lt;&gt; "", PO[[#This Row],[Spend category L1 - Override]], PO[[#This Row],[Spend category L1]])</f>
        <v>0</v>
      </c>
      <c r="M216" s="31">
        <f>IF(PO[[#This Row],[Spend category L2 - Override]] &lt;&gt; "", PO[[#This Row],[Spend category L2 - Override]], PO[[#This Row],[Spend category L2]])</f>
        <v>0</v>
      </c>
      <c r="N216" s="63">
        <f>Assumptions!$D$15</f>
        <v>0.1</v>
      </c>
      <c r="O216" s="45">
        <f>IF(PO[[#This Row],[GST applies?]] = "Yes", (PO[[#This Row],[Value inc. GST]] / 1 + PO[[#This Row],[GST %]]) * PO[[#This Row],[GST %]], 0)</f>
        <v>0</v>
      </c>
      <c r="P216" s="31">
        <f>_xlfn.XLOOKUP(PO[[#This Row],[Supplier name]], Supplier_master[Supplier name], Supplier_master[EOM or Net], 0)</f>
        <v>0</v>
      </c>
      <c r="Q216" s="31">
        <f>_xlfn.XLOOKUP(PO[[#This Row],[Supplier name]], Supplier_master[Supplier name], Supplier_master[Terms days], 0)</f>
        <v>0</v>
      </c>
      <c r="R2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6" s="4"/>
      <c r="T216" s="46">
        <f>IF(PO[[#This Row],[Payment date - override (dd/mm/yyyy)]] &lt;&gt; "", PO[[#This Row],[Payment date - override (dd/mm/yyyy)]], PO[[#This Row],[Due date (dd/mm/yyyy)]])</f>
        <v>0</v>
      </c>
      <c r="U216" s="46">
        <f t="shared" si="3"/>
        <v>52</v>
      </c>
    </row>
    <row r="217" spans="3:21" x14ac:dyDescent="0.25">
      <c r="C217" s="24"/>
      <c r="D217" s="20"/>
      <c r="E217" s="4"/>
      <c r="F217" s="37"/>
      <c r="G217" s="38"/>
      <c r="H217" s="31">
        <f>_xlfn.XLOOKUP(PO[[#This Row],[Supplier name]], Supplier_master[Supplier name], Supplier_master[Category L1], 0)</f>
        <v>0</v>
      </c>
      <c r="I217" s="31">
        <f>_xlfn.XLOOKUP(PO[[#This Row],[Supplier name]], Supplier_master[Supplier name], Supplier_master[Category L2], 0)</f>
        <v>0</v>
      </c>
      <c r="J217" s="55"/>
      <c r="K217" s="55"/>
      <c r="L217" s="31">
        <f>IF(PO[[#This Row],[Spend category L1 - Override]] &lt;&gt; "", PO[[#This Row],[Spend category L1 - Override]], PO[[#This Row],[Spend category L1]])</f>
        <v>0</v>
      </c>
      <c r="M217" s="31">
        <f>IF(PO[[#This Row],[Spend category L2 - Override]] &lt;&gt; "", PO[[#This Row],[Spend category L2 - Override]], PO[[#This Row],[Spend category L2]])</f>
        <v>0</v>
      </c>
      <c r="N217" s="63">
        <f>Assumptions!$D$15</f>
        <v>0.1</v>
      </c>
      <c r="O217" s="45">
        <f>IF(PO[[#This Row],[GST applies?]] = "Yes", (PO[[#This Row],[Value inc. GST]] / 1 + PO[[#This Row],[GST %]]) * PO[[#This Row],[GST %]], 0)</f>
        <v>0</v>
      </c>
      <c r="P217" s="31">
        <f>_xlfn.XLOOKUP(PO[[#This Row],[Supplier name]], Supplier_master[Supplier name], Supplier_master[EOM or Net], 0)</f>
        <v>0</v>
      </c>
      <c r="Q217" s="31">
        <f>_xlfn.XLOOKUP(PO[[#This Row],[Supplier name]], Supplier_master[Supplier name], Supplier_master[Terms days], 0)</f>
        <v>0</v>
      </c>
      <c r="R2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7" s="4"/>
      <c r="T217" s="46">
        <f>IF(PO[[#This Row],[Payment date - override (dd/mm/yyyy)]] &lt;&gt; "", PO[[#This Row],[Payment date - override (dd/mm/yyyy)]], PO[[#This Row],[Due date (dd/mm/yyyy)]])</f>
        <v>0</v>
      </c>
      <c r="U217" s="46">
        <f t="shared" si="3"/>
        <v>52</v>
      </c>
    </row>
    <row r="218" spans="3:21" x14ac:dyDescent="0.25">
      <c r="C218" s="24"/>
      <c r="D218" s="20"/>
      <c r="E218" s="4"/>
      <c r="F218" s="37"/>
      <c r="G218" s="38"/>
      <c r="H218" s="31">
        <f>_xlfn.XLOOKUP(PO[[#This Row],[Supplier name]], Supplier_master[Supplier name], Supplier_master[Category L1], 0)</f>
        <v>0</v>
      </c>
      <c r="I218" s="31">
        <f>_xlfn.XLOOKUP(PO[[#This Row],[Supplier name]], Supplier_master[Supplier name], Supplier_master[Category L2], 0)</f>
        <v>0</v>
      </c>
      <c r="J218" s="55"/>
      <c r="K218" s="55"/>
      <c r="L218" s="31">
        <f>IF(PO[[#This Row],[Spend category L1 - Override]] &lt;&gt; "", PO[[#This Row],[Spend category L1 - Override]], PO[[#This Row],[Spend category L1]])</f>
        <v>0</v>
      </c>
      <c r="M218" s="31">
        <f>IF(PO[[#This Row],[Spend category L2 - Override]] &lt;&gt; "", PO[[#This Row],[Spend category L2 - Override]], PO[[#This Row],[Spend category L2]])</f>
        <v>0</v>
      </c>
      <c r="N218" s="63">
        <f>Assumptions!$D$15</f>
        <v>0.1</v>
      </c>
      <c r="O218" s="45">
        <f>IF(PO[[#This Row],[GST applies?]] = "Yes", (PO[[#This Row],[Value inc. GST]] / 1 + PO[[#This Row],[GST %]]) * PO[[#This Row],[GST %]], 0)</f>
        <v>0</v>
      </c>
      <c r="P218" s="31">
        <f>_xlfn.XLOOKUP(PO[[#This Row],[Supplier name]], Supplier_master[Supplier name], Supplier_master[EOM or Net], 0)</f>
        <v>0</v>
      </c>
      <c r="Q218" s="31">
        <f>_xlfn.XLOOKUP(PO[[#This Row],[Supplier name]], Supplier_master[Supplier name], Supplier_master[Terms days], 0)</f>
        <v>0</v>
      </c>
      <c r="R2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8" s="4"/>
      <c r="T218" s="46">
        <f>IF(PO[[#This Row],[Payment date - override (dd/mm/yyyy)]] &lt;&gt; "", PO[[#This Row],[Payment date - override (dd/mm/yyyy)]], PO[[#This Row],[Due date (dd/mm/yyyy)]])</f>
        <v>0</v>
      </c>
      <c r="U218" s="46">
        <f t="shared" si="3"/>
        <v>52</v>
      </c>
    </row>
    <row r="219" spans="3:21" x14ac:dyDescent="0.25">
      <c r="C219" s="24"/>
      <c r="D219" s="20"/>
      <c r="E219" s="4"/>
      <c r="F219" s="37"/>
      <c r="G219" s="38"/>
      <c r="H219" s="31">
        <f>_xlfn.XLOOKUP(PO[[#This Row],[Supplier name]], Supplier_master[Supplier name], Supplier_master[Category L1], 0)</f>
        <v>0</v>
      </c>
      <c r="I219" s="31">
        <f>_xlfn.XLOOKUP(PO[[#This Row],[Supplier name]], Supplier_master[Supplier name], Supplier_master[Category L2], 0)</f>
        <v>0</v>
      </c>
      <c r="J219" s="55"/>
      <c r="K219" s="55"/>
      <c r="L219" s="31">
        <f>IF(PO[[#This Row],[Spend category L1 - Override]] &lt;&gt; "", PO[[#This Row],[Spend category L1 - Override]], PO[[#This Row],[Spend category L1]])</f>
        <v>0</v>
      </c>
      <c r="M219" s="31">
        <f>IF(PO[[#This Row],[Spend category L2 - Override]] &lt;&gt; "", PO[[#This Row],[Spend category L2 - Override]], PO[[#This Row],[Spend category L2]])</f>
        <v>0</v>
      </c>
      <c r="N219" s="63">
        <f>Assumptions!$D$15</f>
        <v>0.1</v>
      </c>
      <c r="O219" s="45">
        <f>IF(PO[[#This Row],[GST applies?]] = "Yes", (PO[[#This Row],[Value inc. GST]] / 1 + PO[[#This Row],[GST %]]) * PO[[#This Row],[GST %]], 0)</f>
        <v>0</v>
      </c>
      <c r="P219" s="31">
        <f>_xlfn.XLOOKUP(PO[[#This Row],[Supplier name]], Supplier_master[Supplier name], Supplier_master[EOM or Net], 0)</f>
        <v>0</v>
      </c>
      <c r="Q219" s="31">
        <f>_xlfn.XLOOKUP(PO[[#This Row],[Supplier name]], Supplier_master[Supplier name], Supplier_master[Terms days], 0)</f>
        <v>0</v>
      </c>
      <c r="R2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9" s="4"/>
      <c r="T219" s="46">
        <f>IF(PO[[#This Row],[Payment date - override (dd/mm/yyyy)]] &lt;&gt; "", PO[[#This Row],[Payment date - override (dd/mm/yyyy)]], PO[[#This Row],[Due date (dd/mm/yyyy)]])</f>
        <v>0</v>
      </c>
      <c r="U219" s="46">
        <f t="shared" si="3"/>
        <v>52</v>
      </c>
    </row>
    <row r="220" spans="3:21" x14ac:dyDescent="0.25">
      <c r="C220" s="24"/>
      <c r="D220" s="20"/>
      <c r="E220" s="4"/>
      <c r="F220" s="37"/>
      <c r="G220" s="38"/>
      <c r="H220" s="31">
        <f>_xlfn.XLOOKUP(PO[[#This Row],[Supplier name]], Supplier_master[Supplier name], Supplier_master[Category L1], 0)</f>
        <v>0</v>
      </c>
      <c r="I220" s="31">
        <f>_xlfn.XLOOKUP(PO[[#This Row],[Supplier name]], Supplier_master[Supplier name], Supplier_master[Category L2], 0)</f>
        <v>0</v>
      </c>
      <c r="J220" s="55"/>
      <c r="K220" s="55"/>
      <c r="L220" s="31">
        <f>IF(PO[[#This Row],[Spend category L1 - Override]] &lt;&gt; "", PO[[#This Row],[Spend category L1 - Override]], PO[[#This Row],[Spend category L1]])</f>
        <v>0</v>
      </c>
      <c r="M220" s="31">
        <f>IF(PO[[#This Row],[Spend category L2 - Override]] &lt;&gt; "", PO[[#This Row],[Spend category L2 - Override]], PO[[#This Row],[Spend category L2]])</f>
        <v>0</v>
      </c>
      <c r="N220" s="63">
        <f>Assumptions!$D$15</f>
        <v>0.1</v>
      </c>
      <c r="O220" s="45">
        <f>IF(PO[[#This Row],[GST applies?]] = "Yes", (PO[[#This Row],[Value inc. GST]] / 1 + PO[[#This Row],[GST %]]) * PO[[#This Row],[GST %]], 0)</f>
        <v>0</v>
      </c>
      <c r="P220" s="31">
        <f>_xlfn.XLOOKUP(PO[[#This Row],[Supplier name]], Supplier_master[Supplier name], Supplier_master[EOM or Net], 0)</f>
        <v>0</v>
      </c>
      <c r="Q220" s="31">
        <f>_xlfn.XLOOKUP(PO[[#This Row],[Supplier name]], Supplier_master[Supplier name], Supplier_master[Terms days], 0)</f>
        <v>0</v>
      </c>
      <c r="R2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0" s="4"/>
      <c r="T220" s="46">
        <f>IF(PO[[#This Row],[Payment date - override (dd/mm/yyyy)]] &lt;&gt; "", PO[[#This Row],[Payment date - override (dd/mm/yyyy)]], PO[[#This Row],[Due date (dd/mm/yyyy)]])</f>
        <v>0</v>
      </c>
      <c r="U220" s="46">
        <f t="shared" si="3"/>
        <v>52</v>
      </c>
    </row>
    <row r="221" spans="3:21" x14ac:dyDescent="0.25">
      <c r="C221" s="24"/>
      <c r="D221" s="20"/>
      <c r="E221" s="4"/>
      <c r="F221" s="37"/>
      <c r="G221" s="38"/>
      <c r="H221" s="31">
        <f>_xlfn.XLOOKUP(PO[[#This Row],[Supplier name]], Supplier_master[Supplier name], Supplier_master[Category L1], 0)</f>
        <v>0</v>
      </c>
      <c r="I221" s="31">
        <f>_xlfn.XLOOKUP(PO[[#This Row],[Supplier name]], Supplier_master[Supplier name], Supplier_master[Category L2], 0)</f>
        <v>0</v>
      </c>
      <c r="J221" s="55"/>
      <c r="K221" s="55"/>
      <c r="L221" s="31">
        <f>IF(PO[[#This Row],[Spend category L1 - Override]] &lt;&gt; "", PO[[#This Row],[Spend category L1 - Override]], PO[[#This Row],[Spend category L1]])</f>
        <v>0</v>
      </c>
      <c r="M221" s="31">
        <f>IF(PO[[#This Row],[Spend category L2 - Override]] &lt;&gt; "", PO[[#This Row],[Spend category L2 - Override]], PO[[#This Row],[Spend category L2]])</f>
        <v>0</v>
      </c>
      <c r="N221" s="63">
        <f>Assumptions!$D$15</f>
        <v>0.1</v>
      </c>
      <c r="O221" s="45">
        <f>IF(PO[[#This Row],[GST applies?]] = "Yes", (PO[[#This Row],[Value inc. GST]] / 1 + PO[[#This Row],[GST %]]) * PO[[#This Row],[GST %]], 0)</f>
        <v>0</v>
      </c>
      <c r="P221" s="31">
        <f>_xlfn.XLOOKUP(PO[[#This Row],[Supplier name]], Supplier_master[Supplier name], Supplier_master[EOM or Net], 0)</f>
        <v>0</v>
      </c>
      <c r="Q221" s="31">
        <f>_xlfn.XLOOKUP(PO[[#This Row],[Supplier name]], Supplier_master[Supplier name], Supplier_master[Terms days], 0)</f>
        <v>0</v>
      </c>
      <c r="R2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1" s="4"/>
      <c r="T221" s="46">
        <f>IF(PO[[#This Row],[Payment date - override (dd/mm/yyyy)]] &lt;&gt; "", PO[[#This Row],[Payment date - override (dd/mm/yyyy)]], PO[[#This Row],[Due date (dd/mm/yyyy)]])</f>
        <v>0</v>
      </c>
      <c r="U221" s="46">
        <f t="shared" si="3"/>
        <v>52</v>
      </c>
    </row>
    <row r="222" spans="3:21" x14ac:dyDescent="0.25">
      <c r="C222" s="24"/>
      <c r="D222" s="20"/>
      <c r="E222" s="4"/>
      <c r="F222" s="37"/>
      <c r="G222" s="38"/>
      <c r="H222" s="31">
        <f>_xlfn.XLOOKUP(PO[[#This Row],[Supplier name]], Supplier_master[Supplier name], Supplier_master[Category L1], 0)</f>
        <v>0</v>
      </c>
      <c r="I222" s="31">
        <f>_xlfn.XLOOKUP(PO[[#This Row],[Supplier name]], Supplier_master[Supplier name], Supplier_master[Category L2], 0)</f>
        <v>0</v>
      </c>
      <c r="J222" s="55"/>
      <c r="K222" s="55"/>
      <c r="L222" s="31">
        <f>IF(PO[[#This Row],[Spend category L1 - Override]] &lt;&gt; "", PO[[#This Row],[Spend category L1 - Override]], PO[[#This Row],[Spend category L1]])</f>
        <v>0</v>
      </c>
      <c r="M222" s="31">
        <f>IF(PO[[#This Row],[Spend category L2 - Override]] &lt;&gt; "", PO[[#This Row],[Spend category L2 - Override]], PO[[#This Row],[Spend category L2]])</f>
        <v>0</v>
      </c>
      <c r="N222" s="63">
        <f>Assumptions!$D$15</f>
        <v>0.1</v>
      </c>
      <c r="O222" s="45">
        <f>IF(PO[[#This Row],[GST applies?]] = "Yes", (PO[[#This Row],[Value inc. GST]] / 1 + PO[[#This Row],[GST %]]) * PO[[#This Row],[GST %]], 0)</f>
        <v>0</v>
      </c>
      <c r="P222" s="31">
        <f>_xlfn.XLOOKUP(PO[[#This Row],[Supplier name]], Supplier_master[Supplier name], Supplier_master[EOM or Net], 0)</f>
        <v>0</v>
      </c>
      <c r="Q222" s="31">
        <f>_xlfn.XLOOKUP(PO[[#This Row],[Supplier name]], Supplier_master[Supplier name], Supplier_master[Terms days], 0)</f>
        <v>0</v>
      </c>
      <c r="R2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2" s="4"/>
      <c r="T222" s="46">
        <f>IF(PO[[#This Row],[Payment date - override (dd/mm/yyyy)]] &lt;&gt; "", PO[[#This Row],[Payment date - override (dd/mm/yyyy)]], PO[[#This Row],[Due date (dd/mm/yyyy)]])</f>
        <v>0</v>
      </c>
      <c r="U222" s="46">
        <f t="shared" si="3"/>
        <v>52</v>
      </c>
    </row>
    <row r="223" spans="3:21" x14ac:dyDescent="0.25">
      <c r="C223" s="24"/>
      <c r="D223" s="20"/>
      <c r="E223" s="4"/>
      <c r="F223" s="37"/>
      <c r="G223" s="38"/>
      <c r="H223" s="31">
        <f>_xlfn.XLOOKUP(PO[[#This Row],[Supplier name]], Supplier_master[Supplier name], Supplier_master[Category L1], 0)</f>
        <v>0</v>
      </c>
      <c r="I223" s="31">
        <f>_xlfn.XLOOKUP(PO[[#This Row],[Supplier name]], Supplier_master[Supplier name], Supplier_master[Category L2], 0)</f>
        <v>0</v>
      </c>
      <c r="J223" s="55"/>
      <c r="K223" s="55"/>
      <c r="L223" s="31">
        <f>IF(PO[[#This Row],[Spend category L1 - Override]] &lt;&gt; "", PO[[#This Row],[Spend category L1 - Override]], PO[[#This Row],[Spend category L1]])</f>
        <v>0</v>
      </c>
      <c r="M223" s="31">
        <f>IF(PO[[#This Row],[Spend category L2 - Override]] &lt;&gt; "", PO[[#This Row],[Spend category L2 - Override]], PO[[#This Row],[Spend category L2]])</f>
        <v>0</v>
      </c>
      <c r="N223" s="63">
        <f>Assumptions!$D$15</f>
        <v>0.1</v>
      </c>
      <c r="O223" s="45">
        <f>IF(PO[[#This Row],[GST applies?]] = "Yes", (PO[[#This Row],[Value inc. GST]] / 1 + PO[[#This Row],[GST %]]) * PO[[#This Row],[GST %]], 0)</f>
        <v>0</v>
      </c>
      <c r="P223" s="31">
        <f>_xlfn.XLOOKUP(PO[[#This Row],[Supplier name]], Supplier_master[Supplier name], Supplier_master[EOM or Net], 0)</f>
        <v>0</v>
      </c>
      <c r="Q223" s="31">
        <f>_xlfn.XLOOKUP(PO[[#This Row],[Supplier name]], Supplier_master[Supplier name], Supplier_master[Terms days], 0)</f>
        <v>0</v>
      </c>
      <c r="R2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3" s="4"/>
      <c r="T223" s="46">
        <f>IF(PO[[#This Row],[Payment date - override (dd/mm/yyyy)]] &lt;&gt; "", PO[[#This Row],[Payment date - override (dd/mm/yyyy)]], PO[[#This Row],[Due date (dd/mm/yyyy)]])</f>
        <v>0</v>
      </c>
      <c r="U223" s="46">
        <f t="shared" si="3"/>
        <v>52</v>
      </c>
    </row>
    <row r="224" spans="3:21" x14ac:dyDescent="0.25">
      <c r="C224" s="24"/>
      <c r="D224" s="20"/>
      <c r="E224" s="4"/>
      <c r="F224" s="37"/>
      <c r="G224" s="38"/>
      <c r="H224" s="31">
        <f>_xlfn.XLOOKUP(PO[[#This Row],[Supplier name]], Supplier_master[Supplier name], Supplier_master[Category L1], 0)</f>
        <v>0</v>
      </c>
      <c r="I224" s="31">
        <f>_xlfn.XLOOKUP(PO[[#This Row],[Supplier name]], Supplier_master[Supplier name], Supplier_master[Category L2], 0)</f>
        <v>0</v>
      </c>
      <c r="J224" s="55"/>
      <c r="K224" s="55"/>
      <c r="L224" s="31">
        <f>IF(PO[[#This Row],[Spend category L1 - Override]] &lt;&gt; "", PO[[#This Row],[Spend category L1 - Override]], PO[[#This Row],[Spend category L1]])</f>
        <v>0</v>
      </c>
      <c r="M224" s="31">
        <f>IF(PO[[#This Row],[Spend category L2 - Override]] &lt;&gt; "", PO[[#This Row],[Spend category L2 - Override]], PO[[#This Row],[Spend category L2]])</f>
        <v>0</v>
      </c>
      <c r="N224" s="63">
        <f>Assumptions!$D$15</f>
        <v>0.1</v>
      </c>
      <c r="O224" s="45">
        <f>IF(PO[[#This Row],[GST applies?]] = "Yes", (PO[[#This Row],[Value inc. GST]] / 1 + PO[[#This Row],[GST %]]) * PO[[#This Row],[GST %]], 0)</f>
        <v>0</v>
      </c>
      <c r="P224" s="31">
        <f>_xlfn.XLOOKUP(PO[[#This Row],[Supplier name]], Supplier_master[Supplier name], Supplier_master[EOM or Net], 0)</f>
        <v>0</v>
      </c>
      <c r="Q224" s="31">
        <f>_xlfn.XLOOKUP(PO[[#This Row],[Supplier name]], Supplier_master[Supplier name], Supplier_master[Terms days], 0)</f>
        <v>0</v>
      </c>
      <c r="R2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4" s="4"/>
      <c r="T224" s="46">
        <f>IF(PO[[#This Row],[Payment date - override (dd/mm/yyyy)]] &lt;&gt; "", PO[[#This Row],[Payment date - override (dd/mm/yyyy)]], PO[[#This Row],[Due date (dd/mm/yyyy)]])</f>
        <v>0</v>
      </c>
      <c r="U224" s="46">
        <f t="shared" si="3"/>
        <v>52</v>
      </c>
    </row>
    <row r="225" spans="3:21" x14ac:dyDescent="0.25">
      <c r="C225" s="24"/>
      <c r="D225" s="20"/>
      <c r="E225" s="4"/>
      <c r="F225" s="37"/>
      <c r="G225" s="38"/>
      <c r="H225" s="31">
        <f>_xlfn.XLOOKUP(PO[[#This Row],[Supplier name]], Supplier_master[Supplier name], Supplier_master[Category L1], 0)</f>
        <v>0</v>
      </c>
      <c r="I225" s="31">
        <f>_xlfn.XLOOKUP(PO[[#This Row],[Supplier name]], Supplier_master[Supplier name], Supplier_master[Category L2], 0)</f>
        <v>0</v>
      </c>
      <c r="J225" s="55"/>
      <c r="K225" s="55"/>
      <c r="L225" s="31">
        <f>IF(PO[[#This Row],[Spend category L1 - Override]] &lt;&gt; "", PO[[#This Row],[Spend category L1 - Override]], PO[[#This Row],[Spend category L1]])</f>
        <v>0</v>
      </c>
      <c r="M225" s="31">
        <f>IF(PO[[#This Row],[Spend category L2 - Override]] &lt;&gt; "", PO[[#This Row],[Spend category L2 - Override]], PO[[#This Row],[Spend category L2]])</f>
        <v>0</v>
      </c>
      <c r="N225" s="63">
        <f>Assumptions!$D$15</f>
        <v>0.1</v>
      </c>
      <c r="O225" s="45">
        <f>IF(PO[[#This Row],[GST applies?]] = "Yes", (PO[[#This Row],[Value inc. GST]] / 1 + PO[[#This Row],[GST %]]) * PO[[#This Row],[GST %]], 0)</f>
        <v>0</v>
      </c>
      <c r="P225" s="31">
        <f>_xlfn.XLOOKUP(PO[[#This Row],[Supplier name]], Supplier_master[Supplier name], Supplier_master[EOM or Net], 0)</f>
        <v>0</v>
      </c>
      <c r="Q225" s="31">
        <f>_xlfn.XLOOKUP(PO[[#This Row],[Supplier name]], Supplier_master[Supplier name], Supplier_master[Terms days], 0)</f>
        <v>0</v>
      </c>
      <c r="R2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5" s="4"/>
      <c r="T225" s="46">
        <f>IF(PO[[#This Row],[Payment date - override (dd/mm/yyyy)]] &lt;&gt; "", PO[[#This Row],[Payment date - override (dd/mm/yyyy)]], PO[[#This Row],[Due date (dd/mm/yyyy)]])</f>
        <v>0</v>
      </c>
      <c r="U225" s="46">
        <f t="shared" si="3"/>
        <v>52</v>
      </c>
    </row>
    <row r="226" spans="3:21" x14ac:dyDescent="0.25">
      <c r="C226" s="24"/>
      <c r="D226" s="20"/>
      <c r="E226" s="4"/>
      <c r="F226" s="37"/>
      <c r="G226" s="38"/>
      <c r="H226" s="31">
        <f>_xlfn.XLOOKUP(PO[[#This Row],[Supplier name]], Supplier_master[Supplier name], Supplier_master[Category L1], 0)</f>
        <v>0</v>
      </c>
      <c r="I226" s="31">
        <f>_xlfn.XLOOKUP(PO[[#This Row],[Supplier name]], Supplier_master[Supplier name], Supplier_master[Category L2], 0)</f>
        <v>0</v>
      </c>
      <c r="J226" s="55"/>
      <c r="K226" s="55"/>
      <c r="L226" s="31">
        <f>IF(PO[[#This Row],[Spend category L1 - Override]] &lt;&gt; "", PO[[#This Row],[Spend category L1 - Override]], PO[[#This Row],[Spend category L1]])</f>
        <v>0</v>
      </c>
      <c r="M226" s="31">
        <f>IF(PO[[#This Row],[Spend category L2 - Override]] &lt;&gt; "", PO[[#This Row],[Spend category L2 - Override]], PO[[#This Row],[Spend category L2]])</f>
        <v>0</v>
      </c>
      <c r="N226" s="63">
        <f>Assumptions!$D$15</f>
        <v>0.1</v>
      </c>
      <c r="O226" s="45">
        <f>IF(PO[[#This Row],[GST applies?]] = "Yes", (PO[[#This Row],[Value inc. GST]] / 1 + PO[[#This Row],[GST %]]) * PO[[#This Row],[GST %]], 0)</f>
        <v>0</v>
      </c>
      <c r="P226" s="31">
        <f>_xlfn.XLOOKUP(PO[[#This Row],[Supplier name]], Supplier_master[Supplier name], Supplier_master[EOM or Net], 0)</f>
        <v>0</v>
      </c>
      <c r="Q226" s="31">
        <f>_xlfn.XLOOKUP(PO[[#This Row],[Supplier name]], Supplier_master[Supplier name], Supplier_master[Terms days], 0)</f>
        <v>0</v>
      </c>
      <c r="R2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6" s="4"/>
      <c r="T226" s="46">
        <f>IF(PO[[#This Row],[Payment date - override (dd/mm/yyyy)]] &lt;&gt; "", PO[[#This Row],[Payment date - override (dd/mm/yyyy)]], PO[[#This Row],[Due date (dd/mm/yyyy)]])</f>
        <v>0</v>
      </c>
      <c r="U226" s="46">
        <f t="shared" si="3"/>
        <v>52</v>
      </c>
    </row>
    <row r="227" spans="3:21" x14ac:dyDescent="0.25">
      <c r="C227" s="24"/>
      <c r="D227" s="20"/>
      <c r="E227" s="4"/>
      <c r="F227" s="37"/>
      <c r="G227" s="38"/>
      <c r="H227" s="31">
        <f>_xlfn.XLOOKUP(PO[[#This Row],[Supplier name]], Supplier_master[Supplier name], Supplier_master[Category L1], 0)</f>
        <v>0</v>
      </c>
      <c r="I227" s="31">
        <f>_xlfn.XLOOKUP(PO[[#This Row],[Supplier name]], Supplier_master[Supplier name], Supplier_master[Category L2], 0)</f>
        <v>0</v>
      </c>
      <c r="J227" s="55"/>
      <c r="K227" s="55"/>
      <c r="L227" s="31">
        <f>IF(PO[[#This Row],[Spend category L1 - Override]] &lt;&gt; "", PO[[#This Row],[Spend category L1 - Override]], PO[[#This Row],[Spend category L1]])</f>
        <v>0</v>
      </c>
      <c r="M227" s="31">
        <f>IF(PO[[#This Row],[Spend category L2 - Override]] &lt;&gt; "", PO[[#This Row],[Spend category L2 - Override]], PO[[#This Row],[Spend category L2]])</f>
        <v>0</v>
      </c>
      <c r="N227" s="63">
        <f>Assumptions!$D$15</f>
        <v>0.1</v>
      </c>
      <c r="O227" s="45">
        <f>IF(PO[[#This Row],[GST applies?]] = "Yes", (PO[[#This Row],[Value inc. GST]] / 1 + PO[[#This Row],[GST %]]) * PO[[#This Row],[GST %]], 0)</f>
        <v>0</v>
      </c>
      <c r="P227" s="31">
        <f>_xlfn.XLOOKUP(PO[[#This Row],[Supplier name]], Supplier_master[Supplier name], Supplier_master[EOM or Net], 0)</f>
        <v>0</v>
      </c>
      <c r="Q227" s="31">
        <f>_xlfn.XLOOKUP(PO[[#This Row],[Supplier name]], Supplier_master[Supplier name], Supplier_master[Terms days], 0)</f>
        <v>0</v>
      </c>
      <c r="R2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7" s="4"/>
      <c r="T227" s="46">
        <f>IF(PO[[#This Row],[Payment date - override (dd/mm/yyyy)]] &lt;&gt; "", PO[[#This Row],[Payment date - override (dd/mm/yyyy)]], PO[[#This Row],[Due date (dd/mm/yyyy)]])</f>
        <v>0</v>
      </c>
      <c r="U227" s="46">
        <f t="shared" si="3"/>
        <v>52</v>
      </c>
    </row>
    <row r="228" spans="3:21" x14ac:dyDescent="0.25">
      <c r="C228" s="24"/>
      <c r="D228" s="20"/>
      <c r="E228" s="4"/>
      <c r="F228" s="37"/>
      <c r="G228" s="38"/>
      <c r="H228" s="31">
        <f>_xlfn.XLOOKUP(PO[[#This Row],[Supplier name]], Supplier_master[Supplier name], Supplier_master[Category L1], 0)</f>
        <v>0</v>
      </c>
      <c r="I228" s="31">
        <f>_xlfn.XLOOKUP(PO[[#This Row],[Supplier name]], Supplier_master[Supplier name], Supplier_master[Category L2], 0)</f>
        <v>0</v>
      </c>
      <c r="J228" s="55"/>
      <c r="K228" s="55"/>
      <c r="L228" s="31">
        <f>IF(PO[[#This Row],[Spend category L1 - Override]] &lt;&gt; "", PO[[#This Row],[Spend category L1 - Override]], PO[[#This Row],[Spend category L1]])</f>
        <v>0</v>
      </c>
      <c r="M228" s="31">
        <f>IF(PO[[#This Row],[Spend category L2 - Override]] &lt;&gt; "", PO[[#This Row],[Spend category L2 - Override]], PO[[#This Row],[Spend category L2]])</f>
        <v>0</v>
      </c>
      <c r="N228" s="63">
        <f>Assumptions!$D$15</f>
        <v>0.1</v>
      </c>
      <c r="O228" s="45">
        <f>IF(PO[[#This Row],[GST applies?]] = "Yes", (PO[[#This Row],[Value inc. GST]] / 1 + PO[[#This Row],[GST %]]) * PO[[#This Row],[GST %]], 0)</f>
        <v>0</v>
      </c>
      <c r="P228" s="31">
        <f>_xlfn.XLOOKUP(PO[[#This Row],[Supplier name]], Supplier_master[Supplier name], Supplier_master[EOM or Net], 0)</f>
        <v>0</v>
      </c>
      <c r="Q228" s="31">
        <f>_xlfn.XLOOKUP(PO[[#This Row],[Supplier name]], Supplier_master[Supplier name], Supplier_master[Terms days], 0)</f>
        <v>0</v>
      </c>
      <c r="R2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8" s="4"/>
      <c r="T228" s="46">
        <f>IF(PO[[#This Row],[Payment date - override (dd/mm/yyyy)]] &lt;&gt; "", PO[[#This Row],[Payment date - override (dd/mm/yyyy)]], PO[[#This Row],[Due date (dd/mm/yyyy)]])</f>
        <v>0</v>
      </c>
      <c r="U228" s="46">
        <f t="shared" si="3"/>
        <v>52</v>
      </c>
    </row>
    <row r="229" spans="3:21" x14ac:dyDescent="0.25">
      <c r="C229" s="24"/>
      <c r="D229" s="20"/>
      <c r="E229" s="4"/>
      <c r="F229" s="37"/>
      <c r="G229" s="38"/>
      <c r="H229" s="31">
        <f>_xlfn.XLOOKUP(PO[[#This Row],[Supplier name]], Supplier_master[Supplier name], Supplier_master[Category L1], 0)</f>
        <v>0</v>
      </c>
      <c r="I229" s="31">
        <f>_xlfn.XLOOKUP(PO[[#This Row],[Supplier name]], Supplier_master[Supplier name], Supplier_master[Category L2], 0)</f>
        <v>0</v>
      </c>
      <c r="J229" s="55"/>
      <c r="K229" s="55"/>
      <c r="L229" s="31">
        <f>IF(PO[[#This Row],[Spend category L1 - Override]] &lt;&gt; "", PO[[#This Row],[Spend category L1 - Override]], PO[[#This Row],[Spend category L1]])</f>
        <v>0</v>
      </c>
      <c r="M229" s="31">
        <f>IF(PO[[#This Row],[Spend category L2 - Override]] &lt;&gt; "", PO[[#This Row],[Spend category L2 - Override]], PO[[#This Row],[Spend category L2]])</f>
        <v>0</v>
      </c>
      <c r="N229" s="63">
        <f>Assumptions!$D$15</f>
        <v>0.1</v>
      </c>
      <c r="O229" s="45">
        <f>IF(PO[[#This Row],[GST applies?]] = "Yes", (PO[[#This Row],[Value inc. GST]] / 1 + PO[[#This Row],[GST %]]) * PO[[#This Row],[GST %]], 0)</f>
        <v>0</v>
      </c>
      <c r="P229" s="31">
        <f>_xlfn.XLOOKUP(PO[[#This Row],[Supplier name]], Supplier_master[Supplier name], Supplier_master[EOM or Net], 0)</f>
        <v>0</v>
      </c>
      <c r="Q229" s="31">
        <f>_xlfn.XLOOKUP(PO[[#This Row],[Supplier name]], Supplier_master[Supplier name], Supplier_master[Terms days], 0)</f>
        <v>0</v>
      </c>
      <c r="R2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9" s="4"/>
      <c r="T229" s="46">
        <f>IF(PO[[#This Row],[Payment date - override (dd/mm/yyyy)]] &lt;&gt; "", PO[[#This Row],[Payment date - override (dd/mm/yyyy)]], PO[[#This Row],[Due date (dd/mm/yyyy)]])</f>
        <v>0</v>
      </c>
      <c r="U229" s="46">
        <f t="shared" si="3"/>
        <v>52</v>
      </c>
    </row>
    <row r="230" spans="3:21" x14ac:dyDescent="0.25">
      <c r="C230" s="24"/>
      <c r="D230" s="20"/>
      <c r="E230" s="4"/>
      <c r="F230" s="37"/>
      <c r="G230" s="38"/>
      <c r="H230" s="31">
        <f>_xlfn.XLOOKUP(PO[[#This Row],[Supplier name]], Supplier_master[Supplier name], Supplier_master[Category L1], 0)</f>
        <v>0</v>
      </c>
      <c r="I230" s="31">
        <f>_xlfn.XLOOKUP(PO[[#This Row],[Supplier name]], Supplier_master[Supplier name], Supplier_master[Category L2], 0)</f>
        <v>0</v>
      </c>
      <c r="J230" s="55"/>
      <c r="K230" s="55"/>
      <c r="L230" s="31">
        <f>IF(PO[[#This Row],[Spend category L1 - Override]] &lt;&gt; "", PO[[#This Row],[Spend category L1 - Override]], PO[[#This Row],[Spend category L1]])</f>
        <v>0</v>
      </c>
      <c r="M230" s="31">
        <f>IF(PO[[#This Row],[Spend category L2 - Override]] &lt;&gt; "", PO[[#This Row],[Spend category L2 - Override]], PO[[#This Row],[Spend category L2]])</f>
        <v>0</v>
      </c>
      <c r="N230" s="63">
        <f>Assumptions!$D$15</f>
        <v>0.1</v>
      </c>
      <c r="O230" s="45">
        <f>IF(PO[[#This Row],[GST applies?]] = "Yes", (PO[[#This Row],[Value inc. GST]] / 1 + PO[[#This Row],[GST %]]) * PO[[#This Row],[GST %]], 0)</f>
        <v>0</v>
      </c>
      <c r="P230" s="31">
        <f>_xlfn.XLOOKUP(PO[[#This Row],[Supplier name]], Supplier_master[Supplier name], Supplier_master[EOM or Net], 0)</f>
        <v>0</v>
      </c>
      <c r="Q230" s="31">
        <f>_xlfn.XLOOKUP(PO[[#This Row],[Supplier name]], Supplier_master[Supplier name], Supplier_master[Terms days], 0)</f>
        <v>0</v>
      </c>
      <c r="R2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0" s="4"/>
      <c r="T230" s="46">
        <f>IF(PO[[#This Row],[Payment date - override (dd/mm/yyyy)]] &lt;&gt; "", PO[[#This Row],[Payment date - override (dd/mm/yyyy)]], PO[[#This Row],[Due date (dd/mm/yyyy)]])</f>
        <v>0</v>
      </c>
      <c r="U230" s="46">
        <f t="shared" si="3"/>
        <v>52</v>
      </c>
    </row>
    <row r="231" spans="3:21" x14ac:dyDescent="0.25">
      <c r="C231" s="24"/>
      <c r="D231" s="20"/>
      <c r="E231" s="4"/>
      <c r="F231" s="37"/>
      <c r="G231" s="38"/>
      <c r="H231" s="31">
        <f>_xlfn.XLOOKUP(PO[[#This Row],[Supplier name]], Supplier_master[Supplier name], Supplier_master[Category L1], 0)</f>
        <v>0</v>
      </c>
      <c r="I231" s="31">
        <f>_xlfn.XLOOKUP(PO[[#This Row],[Supplier name]], Supplier_master[Supplier name], Supplier_master[Category L2], 0)</f>
        <v>0</v>
      </c>
      <c r="J231" s="55"/>
      <c r="K231" s="55"/>
      <c r="L231" s="31">
        <f>IF(PO[[#This Row],[Spend category L1 - Override]] &lt;&gt; "", PO[[#This Row],[Spend category L1 - Override]], PO[[#This Row],[Spend category L1]])</f>
        <v>0</v>
      </c>
      <c r="M231" s="31">
        <f>IF(PO[[#This Row],[Spend category L2 - Override]] &lt;&gt; "", PO[[#This Row],[Spend category L2 - Override]], PO[[#This Row],[Spend category L2]])</f>
        <v>0</v>
      </c>
      <c r="N231" s="63">
        <f>Assumptions!$D$15</f>
        <v>0.1</v>
      </c>
      <c r="O231" s="45">
        <f>IF(PO[[#This Row],[GST applies?]] = "Yes", (PO[[#This Row],[Value inc. GST]] / 1 + PO[[#This Row],[GST %]]) * PO[[#This Row],[GST %]], 0)</f>
        <v>0</v>
      </c>
      <c r="P231" s="31">
        <f>_xlfn.XLOOKUP(PO[[#This Row],[Supplier name]], Supplier_master[Supplier name], Supplier_master[EOM or Net], 0)</f>
        <v>0</v>
      </c>
      <c r="Q231" s="31">
        <f>_xlfn.XLOOKUP(PO[[#This Row],[Supplier name]], Supplier_master[Supplier name], Supplier_master[Terms days], 0)</f>
        <v>0</v>
      </c>
      <c r="R2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1" s="4"/>
      <c r="T231" s="46">
        <f>IF(PO[[#This Row],[Payment date - override (dd/mm/yyyy)]] &lt;&gt; "", PO[[#This Row],[Payment date - override (dd/mm/yyyy)]], PO[[#This Row],[Due date (dd/mm/yyyy)]])</f>
        <v>0</v>
      </c>
      <c r="U231" s="46">
        <f t="shared" si="3"/>
        <v>52</v>
      </c>
    </row>
    <row r="232" spans="3:21" x14ac:dyDescent="0.25">
      <c r="C232" s="24"/>
      <c r="D232" s="20"/>
      <c r="E232" s="4"/>
      <c r="F232" s="37"/>
      <c r="G232" s="38"/>
      <c r="H232" s="31">
        <f>_xlfn.XLOOKUP(PO[[#This Row],[Supplier name]], Supplier_master[Supplier name], Supplier_master[Category L1], 0)</f>
        <v>0</v>
      </c>
      <c r="I232" s="31">
        <f>_xlfn.XLOOKUP(PO[[#This Row],[Supplier name]], Supplier_master[Supplier name], Supplier_master[Category L2], 0)</f>
        <v>0</v>
      </c>
      <c r="J232" s="55"/>
      <c r="K232" s="55"/>
      <c r="L232" s="31">
        <f>IF(PO[[#This Row],[Spend category L1 - Override]] &lt;&gt; "", PO[[#This Row],[Spend category L1 - Override]], PO[[#This Row],[Spend category L1]])</f>
        <v>0</v>
      </c>
      <c r="M232" s="31">
        <f>IF(PO[[#This Row],[Spend category L2 - Override]] &lt;&gt; "", PO[[#This Row],[Spend category L2 - Override]], PO[[#This Row],[Spend category L2]])</f>
        <v>0</v>
      </c>
      <c r="N232" s="63">
        <f>Assumptions!$D$15</f>
        <v>0.1</v>
      </c>
      <c r="O232" s="45">
        <f>IF(PO[[#This Row],[GST applies?]] = "Yes", (PO[[#This Row],[Value inc. GST]] / 1 + PO[[#This Row],[GST %]]) * PO[[#This Row],[GST %]], 0)</f>
        <v>0</v>
      </c>
      <c r="P232" s="31">
        <f>_xlfn.XLOOKUP(PO[[#This Row],[Supplier name]], Supplier_master[Supplier name], Supplier_master[EOM or Net], 0)</f>
        <v>0</v>
      </c>
      <c r="Q232" s="31">
        <f>_xlfn.XLOOKUP(PO[[#This Row],[Supplier name]], Supplier_master[Supplier name], Supplier_master[Terms days], 0)</f>
        <v>0</v>
      </c>
      <c r="R2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2" s="4"/>
      <c r="T232" s="46">
        <f>IF(PO[[#This Row],[Payment date - override (dd/mm/yyyy)]] &lt;&gt; "", PO[[#This Row],[Payment date - override (dd/mm/yyyy)]], PO[[#This Row],[Due date (dd/mm/yyyy)]])</f>
        <v>0</v>
      </c>
      <c r="U232" s="46">
        <f t="shared" si="3"/>
        <v>52</v>
      </c>
    </row>
    <row r="233" spans="3:21" x14ac:dyDescent="0.25">
      <c r="C233" s="24"/>
      <c r="D233" s="20"/>
      <c r="E233" s="4"/>
      <c r="F233" s="37"/>
      <c r="G233" s="38"/>
      <c r="H233" s="31">
        <f>_xlfn.XLOOKUP(PO[[#This Row],[Supplier name]], Supplier_master[Supplier name], Supplier_master[Category L1], 0)</f>
        <v>0</v>
      </c>
      <c r="I233" s="31">
        <f>_xlfn.XLOOKUP(PO[[#This Row],[Supplier name]], Supplier_master[Supplier name], Supplier_master[Category L2], 0)</f>
        <v>0</v>
      </c>
      <c r="J233" s="55"/>
      <c r="K233" s="55"/>
      <c r="L233" s="31">
        <f>IF(PO[[#This Row],[Spend category L1 - Override]] &lt;&gt; "", PO[[#This Row],[Spend category L1 - Override]], PO[[#This Row],[Spend category L1]])</f>
        <v>0</v>
      </c>
      <c r="M233" s="31">
        <f>IF(PO[[#This Row],[Spend category L2 - Override]] &lt;&gt; "", PO[[#This Row],[Spend category L2 - Override]], PO[[#This Row],[Spend category L2]])</f>
        <v>0</v>
      </c>
      <c r="N233" s="63">
        <f>Assumptions!$D$15</f>
        <v>0.1</v>
      </c>
      <c r="O233" s="45">
        <f>IF(PO[[#This Row],[GST applies?]] = "Yes", (PO[[#This Row],[Value inc. GST]] / 1 + PO[[#This Row],[GST %]]) * PO[[#This Row],[GST %]], 0)</f>
        <v>0</v>
      </c>
      <c r="P233" s="31">
        <f>_xlfn.XLOOKUP(PO[[#This Row],[Supplier name]], Supplier_master[Supplier name], Supplier_master[EOM or Net], 0)</f>
        <v>0</v>
      </c>
      <c r="Q233" s="31">
        <f>_xlfn.XLOOKUP(PO[[#This Row],[Supplier name]], Supplier_master[Supplier name], Supplier_master[Terms days], 0)</f>
        <v>0</v>
      </c>
      <c r="R2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3" s="4"/>
      <c r="T233" s="46">
        <f>IF(PO[[#This Row],[Payment date - override (dd/mm/yyyy)]] &lt;&gt; "", PO[[#This Row],[Payment date - override (dd/mm/yyyy)]], PO[[#This Row],[Due date (dd/mm/yyyy)]])</f>
        <v>0</v>
      </c>
      <c r="U233" s="46">
        <f t="shared" si="3"/>
        <v>52</v>
      </c>
    </row>
    <row r="234" spans="3:21" x14ac:dyDescent="0.25">
      <c r="C234" s="24"/>
      <c r="D234" s="20"/>
      <c r="E234" s="4"/>
      <c r="F234" s="37"/>
      <c r="G234" s="38"/>
      <c r="H234" s="31">
        <f>_xlfn.XLOOKUP(PO[[#This Row],[Supplier name]], Supplier_master[Supplier name], Supplier_master[Category L1], 0)</f>
        <v>0</v>
      </c>
      <c r="I234" s="31">
        <f>_xlfn.XLOOKUP(PO[[#This Row],[Supplier name]], Supplier_master[Supplier name], Supplier_master[Category L2], 0)</f>
        <v>0</v>
      </c>
      <c r="J234" s="55"/>
      <c r="K234" s="55"/>
      <c r="L234" s="31">
        <f>IF(PO[[#This Row],[Spend category L1 - Override]] &lt;&gt; "", PO[[#This Row],[Spend category L1 - Override]], PO[[#This Row],[Spend category L1]])</f>
        <v>0</v>
      </c>
      <c r="M234" s="31">
        <f>IF(PO[[#This Row],[Spend category L2 - Override]] &lt;&gt; "", PO[[#This Row],[Spend category L2 - Override]], PO[[#This Row],[Spend category L2]])</f>
        <v>0</v>
      </c>
      <c r="N234" s="63">
        <f>Assumptions!$D$15</f>
        <v>0.1</v>
      </c>
      <c r="O234" s="45">
        <f>IF(PO[[#This Row],[GST applies?]] = "Yes", (PO[[#This Row],[Value inc. GST]] / 1 + PO[[#This Row],[GST %]]) * PO[[#This Row],[GST %]], 0)</f>
        <v>0</v>
      </c>
      <c r="P234" s="31">
        <f>_xlfn.XLOOKUP(PO[[#This Row],[Supplier name]], Supplier_master[Supplier name], Supplier_master[EOM or Net], 0)</f>
        <v>0</v>
      </c>
      <c r="Q234" s="31">
        <f>_xlfn.XLOOKUP(PO[[#This Row],[Supplier name]], Supplier_master[Supplier name], Supplier_master[Terms days], 0)</f>
        <v>0</v>
      </c>
      <c r="R2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4" s="4"/>
      <c r="T234" s="46">
        <f>IF(PO[[#This Row],[Payment date - override (dd/mm/yyyy)]] &lt;&gt; "", PO[[#This Row],[Payment date - override (dd/mm/yyyy)]], PO[[#This Row],[Due date (dd/mm/yyyy)]])</f>
        <v>0</v>
      </c>
      <c r="U234" s="46">
        <f t="shared" si="3"/>
        <v>52</v>
      </c>
    </row>
    <row r="235" spans="3:21" x14ac:dyDescent="0.25">
      <c r="C235" s="24"/>
      <c r="D235" s="20"/>
      <c r="E235" s="4"/>
      <c r="F235" s="37"/>
      <c r="G235" s="38"/>
      <c r="H235" s="31">
        <f>_xlfn.XLOOKUP(PO[[#This Row],[Supplier name]], Supplier_master[Supplier name], Supplier_master[Category L1], 0)</f>
        <v>0</v>
      </c>
      <c r="I235" s="31">
        <f>_xlfn.XLOOKUP(PO[[#This Row],[Supplier name]], Supplier_master[Supplier name], Supplier_master[Category L2], 0)</f>
        <v>0</v>
      </c>
      <c r="J235" s="55"/>
      <c r="K235" s="55"/>
      <c r="L235" s="31">
        <f>IF(PO[[#This Row],[Spend category L1 - Override]] &lt;&gt; "", PO[[#This Row],[Spend category L1 - Override]], PO[[#This Row],[Spend category L1]])</f>
        <v>0</v>
      </c>
      <c r="M235" s="31">
        <f>IF(PO[[#This Row],[Spend category L2 - Override]] &lt;&gt; "", PO[[#This Row],[Spend category L2 - Override]], PO[[#This Row],[Spend category L2]])</f>
        <v>0</v>
      </c>
      <c r="N235" s="63">
        <f>Assumptions!$D$15</f>
        <v>0.1</v>
      </c>
      <c r="O235" s="45">
        <f>IF(PO[[#This Row],[GST applies?]] = "Yes", (PO[[#This Row],[Value inc. GST]] / 1 + PO[[#This Row],[GST %]]) * PO[[#This Row],[GST %]], 0)</f>
        <v>0</v>
      </c>
      <c r="P235" s="31">
        <f>_xlfn.XLOOKUP(PO[[#This Row],[Supplier name]], Supplier_master[Supplier name], Supplier_master[EOM or Net], 0)</f>
        <v>0</v>
      </c>
      <c r="Q235" s="31">
        <f>_xlfn.XLOOKUP(PO[[#This Row],[Supplier name]], Supplier_master[Supplier name], Supplier_master[Terms days], 0)</f>
        <v>0</v>
      </c>
      <c r="R2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5" s="4"/>
      <c r="T235" s="46">
        <f>IF(PO[[#This Row],[Payment date - override (dd/mm/yyyy)]] &lt;&gt; "", PO[[#This Row],[Payment date - override (dd/mm/yyyy)]], PO[[#This Row],[Due date (dd/mm/yyyy)]])</f>
        <v>0</v>
      </c>
      <c r="U235" s="46">
        <f t="shared" si="3"/>
        <v>52</v>
      </c>
    </row>
    <row r="236" spans="3:21" x14ac:dyDescent="0.25">
      <c r="C236" s="24"/>
      <c r="D236" s="20"/>
      <c r="E236" s="4"/>
      <c r="F236" s="37"/>
      <c r="G236" s="38"/>
      <c r="H236" s="31">
        <f>_xlfn.XLOOKUP(PO[[#This Row],[Supplier name]], Supplier_master[Supplier name], Supplier_master[Category L1], 0)</f>
        <v>0</v>
      </c>
      <c r="I236" s="31">
        <f>_xlfn.XLOOKUP(PO[[#This Row],[Supplier name]], Supplier_master[Supplier name], Supplier_master[Category L2], 0)</f>
        <v>0</v>
      </c>
      <c r="J236" s="55"/>
      <c r="K236" s="55"/>
      <c r="L236" s="31">
        <f>IF(PO[[#This Row],[Spend category L1 - Override]] &lt;&gt; "", PO[[#This Row],[Spend category L1 - Override]], PO[[#This Row],[Spend category L1]])</f>
        <v>0</v>
      </c>
      <c r="M236" s="31">
        <f>IF(PO[[#This Row],[Spend category L2 - Override]] &lt;&gt; "", PO[[#This Row],[Spend category L2 - Override]], PO[[#This Row],[Spend category L2]])</f>
        <v>0</v>
      </c>
      <c r="N236" s="63">
        <f>Assumptions!$D$15</f>
        <v>0.1</v>
      </c>
      <c r="O236" s="45">
        <f>IF(PO[[#This Row],[GST applies?]] = "Yes", (PO[[#This Row],[Value inc. GST]] / 1 + PO[[#This Row],[GST %]]) * PO[[#This Row],[GST %]], 0)</f>
        <v>0</v>
      </c>
      <c r="P236" s="31">
        <f>_xlfn.XLOOKUP(PO[[#This Row],[Supplier name]], Supplier_master[Supplier name], Supplier_master[EOM or Net], 0)</f>
        <v>0</v>
      </c>
      <c r="Q236" s="31">
        <f>_xlfn.XLOOKUP(PO[[#This Row],[Supplier name]], Supplier_master[Supplier name], Supplier_master[Terms days], 0)</f>
        <v>0</v>
      </c>
      <c r="R2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6" s="4"/>
      <c r="T236" s="46">
        <f>IF(PO[[#This Row],[Payment date - override (dd/mm/yyyy)]] &lt;&gt; "", PO[[#This Row],[Payment date - override (dd/mm/yyyy)]], PO[[#This Row],[Due date (dd/mm/yyyy)]])</f>
        <v>0</v>
      </c>
      <c r="U236" s="46">
        <f t="shared" si="3"/>
        <v>52</v>
      </c>
    </row>
    <row r="237" spans="3:21" x14ac:dyDescent="0.25">
      <c r="C237" s="24"/>
      <c r="D237" s="20"/>
      <c r="E237" s="4"/>
      <c r="F237" s="37"/>
      <c r="G237" s="38"/>
      <c r="H237" s="31">
        <f>_xlfn.XLOOKUP(PO[[#This Row],[Supplier name]], Supplier_master[Supplier name], Supplier_master[Category L1], 0)</f>
        <v>0</v>
      </c>
      <c r="I237" s="31">
        <f>_xlfn.XLOOKUP(PO[[#This Row],[Supplier name]], Supplier_master[Supplier name], Supplier_master[Category L2], 0)</f>
        <v>0</v>
      </c>
      <c r="J237" s="55"/>
      <c r="K237" s="55"/>
      <c r="L237" s="31">
        <f>IF(PO[[#This Row],[Spend category L1 - Override]] &lt;&gt; "", PO[[#This Row],[Spend category L1 - Override]], PO[[#This Row],[Spend category L1]])</f>
        <v>0</v>
      </c>
      <c r="M237" s="31">
        <f>IF(PO[[#This Row],[Spend category L2 - Override]] &lt;&gt; "", PO[[#This Row],[Spend category L2 - Override]], PO[[#This Row],[Spend category L2]])</f>
        <v>0</v>
      </c>
      <c r="N237" s="63">
        <f>Assumptions!$D$15</f>
        <v>0.1</v>
      </c>
      <c r="O237" s="45">
        <f>IF(PO[[#This Row],[GST applies?]] = "Yes", (PO[[#This Row],[Value inc. GST]] / 1 + PO[[#This Row],[GST %]]) * PO[[#This Row],[GST %]], 0)</f>
        <v>0</v>
      </c>
      <c r="P237" s="31">
        <f>_xlfn.XLOOKUP(PO[[#This Row],[Supplier name]], Supplier_master[Supplier name], Supplier_master[EOM or Net], 0)</f>
        <v>0</v>
      </c>
      <c r="Q237" s="31">
        <f>_xlfn.XLOOKUP(PO[[#This Row],[Supplier name]], Supplier_master[Supplier name], Supplier_master[Terms days], 0)</f>
        <v>0</v>
      </c>
      <c r="R2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7" s="4"/>
      <c r="T237" s="46">
        <f>IF(PO[[#This Row],[Payment date - override (dd/mm/yyyy)]] &lt;&gt; "", PO[[#This Row],[Payment date - override (dd/mm/yyyy)]], PO[[#This Row],[Due date (dd/mm/yyyy)]])</f>
        <v>0</v>
      </c>
      <c r="U237" s="46">
        <f t="shared" si="3"/>
        <v>52</v>
      </c>
    </row>
    <row r="238" spans="3:21" x14ac:dyDescent="0.25">
      <c r="C238" s="24"/>
      <c r="D238" s="20"/>
      <c r="E238" s="4"/>
      <c r="F238" s="37"/>
      <c r="G238" s="38"/>
      <c r="H238" s="31">
        <f>_xlfn.XLOOKUP(PO[[#This Row],[Supplier name]], Supplier_master[Supplier name], Supplier_master[Category L1], 0)</f>
        <v>0</v>
      </c>
      <c r="I238" s="31">
        <f>_xlfn.XLOOKUP(PO[[#This Row],[Supplier name]], Supplier_master[Supplier name], Supplier_master[Category L2], 0)</f>
        <v>0</v>
      </c>
      <c r="J238" s="55"/>
      <c r="K238" s="55"/>
      <c r="L238" s="31">
        <f>IF(PO[[#This Row],[Spend category L1 - Override]] &lt;&gt; "", PO[[#This Row],[Spend category L1 - Override]], PO[[#This Row],[Spend category L1]])</f>
        <v>0</v>
      </c>
      <c r="M238" s="31">
        <f>IF(PO[[#This Row],[Spend category L2 - Override]] &lt;&gt; "", PO[[#This Row],[Spend category L2 - Override]], PO[[#This Row],[Spend category L2]])</f>
        <v>0</v>
      </c>
      <c r="N238" s="63">
        <f>Assumptions!$D$15</f>
        <v>0.1</v>
      </c>
      <c r="O238" s="45">
        <f>IF(PO[[#This Row],[GST applies?]] = "Yes", (PO[[#This Row],[Value inc. GST]] / 1 + PO[[#This Row],[GST %]]) * PO[[#This Row],[GST %]], 0)</f>
        <v>0</v>
      </c>
      <c r="P238" s="31">
        <f>_xlfn.XLOOKUP(PO[[#This Row],[Supplier name]], Supplier_master[Supplier name], Supplier_master[EOM or Net], 0)</f>
        <v>0</v>
      </c>
      <c r="Q238" s="31">
        <f>_xlfn.XLOOKUP(PO[[#This Row],[Supplier name]], Supplier_master[Supplier name], Supplier_master[Terms days], 0)</f>
        <v>0</v>
      </c>
      <c r="R2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8" s="4"/>
      <c r="T238" s="46">
        <f>IF(PO[[#This Row],[Payment date - override (dd/mm/yyyy)]] &lt;&gt; "", PO[[#This Row],[Payment date - override (dd/mm/yyyy)]], PO[[#This Row],[Due date (dd/mm/yyyy)]])</f>
        <v>0</v>
      </c>
      <c r="U238" s="46">
        <f t="shared" si="3"/>
        <v>52</v>
      </c>
    </row>
    <row r="239" spans="3:21" x14ac:dyDescent="0.25">
      <c r="C239" s="24"/>
      <c r="D239" s="20"/>
      <c r="E239" s="4"/>
      <c r="F239" s="37"/>
      <c r="G239" s="38"/>
      <c r="H239" s="31">
        <f>_xlfn.XLOOKUP(PO[[#This Row],[Supplier name]], Supplier_master[Supplier name], Supplier_master[Category L1], 0)</f>
        <v>0</v>
      </c>
      <c r="I239" s="31">
        <f>_xlfn.XLOOKUP(PO[[#This Row],[Supplier name]], Supplier_master[Supplier name], Supplier_master[Category L2], 0)</f>
        <v>0</v>
      </c>
      <c r="J239" s="55"/>
      <c r="K239" s="55"/>
      <c r="L239" s="31">
        <f>IF(PO[[#This Row],[Spend category L1 - Override]] &lt;&gt; "", PO[[#This Row],[Spend category L1 - Override]], PO[[#This Row],[Spend category L1]])</f>
        <v>0</v>
      </c>
      <c r="M239" s="31">
        <f>IF(PO[[#This Row],[Spend category L2 - Override]] &lt;&gt; "", PO[[#This Row],[Spend category L2 - Override]], PO[[#This Row],[Spend category L2]])</f>
        <v>0</v>
      </c>
      <c r="N239" s="63">
        <f>Assumptions!$D$15</f>
        <v>0.1</v>
      </c>
      <c r="O239" s="45">
        <f>IF(PO[[#This Row],[GST applies?]] = "Yes", (PO[[#This Row],[Value inc. GST]] / 1 + PO[[#This Row],[GST %]]) * PO[[#This Row],[GST %]], 0)</f>
        <v>0</v>
      </c>
      <c r="P239" s="31">
        <f>_xlfn.XLOOKUP(PO[[#This Row],[Supplier name]], Supplier_master[Supplier name], Supplier_master[EOM or Net], 0)</f>
        <v>0</v>
      </c>
      <c r="Q239" s="31">
        <f>_xlfn.XLOOKUP(PO[[#This Row],[Supplier name]], Supplier_master[Supplier name], Supplier_master[Terms days], 0)</f>
        <v>0</v>
      </c>
      <c r="R2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9" s="4"/>
      <c r="T239" s="46">
        <f>IF(PO[[#This Row],[Payment date - override (dd/mm/yyyy)]] &lt;&gt; "", PO[[#This Row],[Payment date - override (dd/mm/yyyy)]], PO[[#This Row],[Due date (dd/mm/yyyy)]])</f>
        <v>0</v>
      </c>
      <c r="U239" s="46">
        <f t="shared" si="3"/>
        <v>52</v>
      </c>
    </row>
    <row r="240" spans="3:21" x14ac:dyDescent="0.25">
      <c r="C240" s="24"/>
      <c r="D240" s="20"/>
      <c r="E240" s="4"/>
      <c r="F240" s="37"/>
      <c r="G240" s="38"/>
      <c r="H240" s="31">
        <f>_xlfn.XLOOKUP(PO[[#This Row],[Supplier name]], Supplier_master[Supplier name], Supplier_master[Category L1], 0)</f>
        <v>0</v>
      </c>
      <c r="I240" s="31">
        <f>_xlfn.XLOOKUP(PO[[#This Row],[Supplier name]], Supplier_master[Supplier name], Supplier_master[Category L2], 0)</f>
        <v>0</v>
      </c>
      <c r="J240" s="55"/>
      <c r="K240" s="55"/>
      <c r="L240" s="31">
        <f>IF(PO[[#This Row],[Spend category L1 - Override]] &lt;&gt; "", PO[[#This Row],[Spend category L1 - Override]], PO[[#This Row],[Spend category L1]])</f>
        <v>0</v>
      </c>
      <c r="M240" s="31">
        <f>IF(PO[[#This Row],[Spend category L2 - Override]] &lt;&gt; "", PO[[#This Row],[Spend category L2 - Override]], PO[[#This Row],[Spend category L2]])</f>
        <v>0</v>
      </c>
      <c r="N240" s="63">
        <f>Assumptions!$D$15</f>
        <v>0.1</v>
      </c>
      <c r="O240" s="45">
        <f>IF(PO[[#This Row],[GST applies?]] = "Yes", (PO[[#This Row],[Value inc. GST]] / 1 + PO[[#This Row],[GST %]]) * PO[[#This Row],[GST %]], 0)</f>
        <v>0</v>
      </c>
      <c r="P240" s="31">
        <f>_xlfn.XLOOKUP(PO[[#This Row],[Supplier name]], Supplier_master[Supplier name], Supplier_master[EOM or Net], 0)</f>
        <v>0</v>
      </c>
      <c r="Q240" s="31">
        <f>_xlfn.XLOOKUP(PO[[#This Row],[Supplier name]], Supplier_master[Supplier name], Supplier_master[Terms days], 0)</f>
        <v>0</v>
      </c>
      <c r="R2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0" s="4"/>
      <c r="T240" s="46">
        <f>IF(PO[[#This Row],[Payment date - override (dd/mm/yyyy)]] &lt;&gt; "", PO[[#This Row],[Payment date - override (dd/mm/yyyy)]], PO[[#This Row],[Due date (dd/mm/yyyy)]])</f>
        <v>0</v>
      </c>
      <c r="U240" s="46">
        <f t="shared" si="3"/>
        <v>52</v>
      </c>
    </row>
    <row r="241" spans="3:21" x14ac:dyDescent="0.25">
      <c r="C241" s="24"/>
      <c r="D241" s="20"/>
      <c r="E241" s="4"/>
      <c r="F241" s="37"/>
      <c r="G241" s="38"/>
      <c r="H241" s="31">
        <f>_xlfn.XLOOKUP(PO[[#This Row],[Supplier name]], Supplier_master[Supplier name], Supplier_master[Category L1], 0)</f>
        <v>0</v>
      </c>
      <c r="I241" s="31">
        <f>_xlfn.XLOOKUP(PO[[#This Row],[Supplier name]], Supplier_master[Supplier name], Supplier_master[Category L2], 0)</f>
        <v>0</v>
      </c>
      <c r="J241" s="55"/>
      <c r="K241" s="55"/>
      <c r="L241" s="31">
        <f>IF(PO[[#This Row],[Spend category L1 - Override]] &lt;&gt; "", PO[[#This Row],[Spend category L1 - Override]], PO[[#This Row],[Spend category L1]])</f>
        <v>0</v>
      </c>
      <c r="M241" s="31">
        <f>IF(PO[[#This Row],[Spend category L2 - Override]] &lt;&gt; "", PO[[#This Row],[Spend category L2 - Override]], PO[[#This Row],[Spend category L2]])</f>
        <v>0</v>
      </c>
      <c r="N241" s="63">
        <f>Assumptions!$D$15</f>
        <v>0.1</v>
      </c>
      <c r="O241" s="45">
        <f>IF(PO[[#This Row],[GST applies?]] = "Yes", (PO[[#This Row],[Value inc. GST]] / 1 + PO[[#This Row],[GST %]]) * PO[[#This Row],[GST %]], 0)</f>
        <v>0</v>
      </c>
      <c r="P241" s="31">
        <f>_xlfn.XLOOKUP(PO[[#This Row],[Supplier name]], Supplier_master[Supplier name], Supplier_master[EOM or Net], 0)</f>
        <v>0</v>
      </c>
      <c r="Q241" s="31">
        <f>_xlfn.XLOOKUP(PO[[#This Row],[Supplier name]], Supplier_master[Supplier name], Supplier_master[Terms days], 0)</f>
        <v>0</v>
      </c>
      <c r="R2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1" s="4"/>
      <c r="T241" s="46">
        <f>IF(PO[[#This Row],[Payment date - override (dd/mm/yyyy)]] &lt;&gt; "", PO[[#This Row],[Payment date - override (dd/mm/yyyy)]], PO[[#This Row],[Due date (dd/mm/yyyy)]])</f>
        <v>0</v>
      </c>
      <c r="U241" s="46">
        <f t="shared" si="3"/>
        <v>52</v>
      </c>
    </row>
    <row r="242" spans="3:21" x14ac:dyDescent="0.25">
      <c r="C242" s="24"/>
      <c r="D242" s="20"/>
      <c r="E242" s="4"/>
      <c r="F242" s="37"/>
      <c r="G242" s="38"/>
      <c r="H242" s="31">
        <f>_xlfn.XLOOKUP(PO[[#This Row],[Supplier name]], Supplier_master[Supplier name], Supplier_master[Category L1], 0)</f>
        <v>0</v>
      </c>
      <c r="I242" s="31">
        <f>_xlfn.XLOOKUP(PO[[#This Row],[Supplier name]], Supplier_master[Supplier name], Supplier_master[Category L2], 0)</f>
        <v>0</v>
      </c>
      <c r="J242" s="55"/>
      <c r="K242" s="55"/>
      <c r="L242" s="31">
        <f>IF(PO[[#This Row],[Spend category L1 - Override]] &lt;&gt; "", PO[[#This Row],[Spend category L1 - Override]], PO[[#This Row],[Spend category L1]])</f>
        <v>0</v>
      </c>
      <c r="M242" s="31">
        <f>IF(PO[[#This Row],[Spend category L2 - Override]] &lt;&gt; "", PO[[#This Row],[Spend category L2 - Override]], PO[[#This Row],[Spend category L2]])</f>
        <v>0</v>
      </c>
      <c r="N242" s="63">
        <f>Assumptions!$D$15</f>
        <v>0.1</v>
      </c>
      <c r="O242" s="45">
        <f>IF(PO[[#This Row],[GST applies?]] = "Yes", (PO[[#This Row],[Value inc. GST]] / 1 + PO[[#This Row],[GST %]]) * PO[[#This Row],[GST %]], 0)</f>
        <v>0</v>
      </c>
      <c r="P242" s="31">
        <f>_xlfn.XLOOKUP(PO[[#This Row],[Supplier name]], Supplier_master[Supplier name], Supplier_master[EOM or Net], 0)</f>
        <v>0</v>
      </c>
      <c r="Q242" s="31">
        <f>_xlfn.XLOOKUP(PO[[#This Row],[Supplier name]], Supplier_master[Supplier name], Supplier_master[Terms days], 0)</f>
        <v>0</v>
      </c>
      <c r="R2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2" s="4"/>
      <c r="T242" s="46">
        <f>IF(PO[[#This Row],[Payment date - override (dd/mm/yyyy)]] &lt;&gt; "", PO[[#This Row],[Payment date - override (dd/mm/yyyy)]], PO[[#This Row],[Due date (dd/mm/yyyy)]])</f>
        <v>0</v>
      </c>
      <c r="U242" s="46">
        <f t="shared" si="3"/>
        <v>52</v>
      </c>
    </row>
    <row r="243" spans="3:21" x14ac:dyDescent="0.25">
      <c r="C243" s="24"/>
      <c r="D243" s="20"/>
      <c r="E243" s="4"/>
      <c r="F243" s="37"/>
      <c r="G243" s="38"/>
      <c r="H243" s="31">
        <f>_xlfn.XLOOKUP(PO[[#This Row],[Supplier name]], Supplier_master[Supplier name], Supplier_master[Category L1], 0)</f>
        <v>0</v>
      </c>
      <c r="I243" s="31">
        <f>_xlfn.XLOOKUP(PO[[#This Row],[Supplier name]], Supplier_master[Supplier name], Supplier_master[Category L2], 0)</f>
        <v>0</v>
      </c>
      <c r="J243" s="55"/>
      <c r="K243" s="55"/>
      <c r="L243" s="31">
        <f>IF(PO[[#This Row],[Spend category L1 - Override]] &lt;&gt; "", PO[[#This Row],[Spend category L1 - Override]], PO[[#This Row],[Spend category L1]])</f>
        <v>0</v>
      </c>
      <c r="M243" s="31">
        <f>IF(PO[[#This Row],[Spend category L2 - Override]] &lt;&gt; "", PO[[#This Row],[Spend category L2 - Override]], PO[[#This Row],[Spend category L2]])</f>
        <v>0</v>
      </c>
      <c r="N243" s="63">
        <f>Assumptions!$D$15</f>
        <v>0.1</v>
      </c>
      <c r="O243" s="45">
        <f>IF(PO[[#This Row],[GST applies?]] = "Yes", (PO[[#This Row],[Value inc. GST]] / 1 + PO[[#This Row],[GST %]]) * PO[[#This Row],[GST %]], 0)</f>
        <v>0</v>
      </c>
      <c r="P243" s="31">
        <f>_xlfn.XLOOKUP(PO[[#This Row],[Supplier name]], Supplier_master[Supplier name], Supplier_master[EOM or Net], 0)</f>
        <v>0</v>
      </c>
      <c r="Q243" s="31">
        <f>_xlfn.XLOOKUP(PO[[#This Row],[Supplier name]], Supplier_master[Supplier name], Supplier_master[Terms days], 0)</f>
        <v>0</v>
      </c>
      <c r="R2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3" s="4"/>
      <c r="T243" s="46">
        <f>IF(PO[[#This Row],[Payment date - override (dd/mm/yyyy)]] &lt;&gt; "", PO[[#This Row],[Payment date - override (dd/mm/yyyy)]], PO[[#This Row],[Due date (dd/mm/yyyy)]])</f>
        <v>0</v>
      </c>
      <c r="U243" s="46">
        <f t="shared" si="3"/>
        <v>52</v>
      </c>
    </row>
    <row r="244" spans="3:21" x14ac:dyDescent="0.25">
      <c r="C244" s="24"/>
      <c r="D244" s="20"/>
      <c r="E244" s="4"/>
      <c r="F244" s="37"/>
      <c r="G244" s="38"/>
      <c r="H244" s="31">
        <f>_xlfn.XLOOKUP(PO[[#This Row],[Supplier name]], Supplier_master[Supplier name], Supplier_master[Category L1], 0)</f>
        <v>0</v>
      </c>
      <c r="I244" s="31">
        <f>_xlfn.XLOOKUP(PO[[#This Row],[Supplier name]], Supplier_master[Supplier name], Supplier_master[Category L2], 0)</f>
        <v>0</v>
      </c>
      <c r="J244" s="55"/>
      <c r="K244" s="55"/>
      <c r="L244" s="31">
        <f>IF(PO[[#This Row],[Spend category L1 - Override]] &lt;&gt; "", PO[[#This Row],[Spend category L1 - Override]], PO[[#This Row],[Spend category L1]])</f>
        <v>0</v>
      </c>
      <c r="M244" s="31">
        <f>IF(PO[[#This Row],[Spend category L2 - Override]] &lt;&gt; "", PO[[#This Row],[Spend category L2 - Override]], PO[[#This Row],[Spend category L2]])</f>
        <v>0</v>
      </c>
      <c r="N244" s="63">
        <f>Assumptions!$D$15</f>
        <v>0.1</v>
      </c>
      <c r="O244" s="45">
        <f>IF(PO[[#This Row],[GST applies?]] = "Yes", (PO[[#This Row],[Value inc. GST]] / 1 + PO[[#This Row],[GST %]]) * PO[[#This Row],[GST %]], 0)</f>
        <v>0</v>
      </c>
      <c r="P244" s="31">
        <f>_xlfn.XLOOKUP(PO[[#This Row],[Supplier name]], Supplier_master[Supplier name], Supplier_master[EOM or Net], 0)</f>
        <v>0</v>
      </c>
      <c r="Q244" s="31">
        <f>_xlfn.XLOOKUP(PO[[#This Row],[Supplier name]], Supplier_master[Supplier name], Supplier_master[Terms days], 0)</f>
        <v>0</v>
      </c>
      <c r="R2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4" s="4"/>
      <c r="T244" s="46">
        <f>IF(PO[[#This Row],[Payment date - override (dd/mm/yyyy)]] &lt;&gt; "", PO[[#This Row],[Payment date - override (dd/mm/yyyy)]], PO[[#This Row],[Due date (dd/mm/yyyy)]])</f>
        <v>0</v>
      </c>
      <c r="U244" s="46">
        <f t="shared" si="3"/>
        <v>52</v>
      </c>
    </row>
    <row r="245" spans="3:21" x14ac:dyDescent="0.25">
      <c r="C245" s="24"/>
      <c r="D245" s="20"/>
      <c r="E245" s="4"/>
      <c r="F245" s="37"/>
      <c r="G245" s="38"/>
      <c r="H245" s="31">
        <f>_xlfn.XLOOKUP(PO[[#This Row],[Supplier name]], Supplier_master[Supplier name], Supplier_master[Category L1], 0)</f>
        <v>0</v>
      </c>
      <c r="I245" s="31">
        <f>_xlfn.XLOOKUP(PO[[#This Row],[Supplier name]], Supplier_master[Supplier name], Supplier_master[Category L2], 0)</f>
        <v>0</v>
      </c>
      <c r="J245" s="55"/>
      <c r="K245" s="55"/>
      <c r="L245" s="31">
        <f>IF(PO[[#This Row],[Spend category L1 - Override]] &lt;&gt; "", PO[[#This Row],[Spend category L1 - Override]], PO[[#This Row],[Spend category L1]])</f>
        <v>0</v>
      </c>
      <c r="M245" s="31">
        <f>IF(PO[[#This Row],[Spend category L2 - Override]] &lt;&gt; "", PO[[#This Row],[Spend category L2 - Override]], PO[[#This Row],[Spend category L2]])</f>
        <v>0</v>
      </c>
      <c r="N245" s="63">
        <f>Assumptions!$D$15</f>
        <v>0.1</v>
      </c>
      <c r="O245" s="45">
        <f>IF(PO[[#This Row],[GST applies?]] = "Yes", (PO[[#This Row],[Value inc. GST]] / 1 + PO[[#This Row],[GST %]]) * PO[[#This Row],[GST %]], 0)</f>
        <v>0</v>
      </c>
      <c r="P245" s="31">
        <f>_xlfn.XLOOKUP(PO[[#This Row],[Supplier name]], Supplier_master[Supplier name], Supplier_master[EOM or Net], 0)</f>
        <v>0</v>
      </c>
      <c r="Q245" s="31">
        <f>_xlfn.XLOOKUP(PO[[#This Row],[Supplier name]], Supplier_master[Supplier name], Supplier_master[Terms days], 0)</f>
        <v>0</v>
      </c>
      <c r="R2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5" s="4"/>
      <c r="T245" s="46">
        <f>IF(PO[[#This Row],[Payment date - override (dd/mm/yyyy)]] &lt;&gt; "", PO[[#This Row],[Payment date - override (dd/mm/yyyy)]], PO[[#This Row],[Due date (dd/mm/yyyy)]])</f>
        <v>0</v>
      </c>
      <c r="U245" s="46">
        <f t="shared" si="3"/>
        <v>52</v>
      </c>
    </row>
    <row r="246" spans="3:21" x14ac:dyDescent="0.25">
      <c r="C246" s="24"/>
      <c r="D246" s="20"/>
      <c r="E246" s="4"/>
      <c r="F246" s="37"/>
      <c r="G246" s="38"/>
      <c r="H246" s="31">
        <f>_xlfn.XLOOKUP(PO[[#This Row],[Supplier name]], Supplier_master[Supplier name], Supplier_master[Category L1], 0)</f>
        <v>0</v>
      </c>
      <c r="I246" s="31">
        <f>_xlfn.XLOOKUP(PO[[#This Row],[Supplier name]], Supplier_master[Supplier name], Supplier_master[Category L2], 0)</f>
        <v>0</v>
      </c>
      <c r="J246" s="55"/>
      <c r="K246" s="55"/>
      <c r="L246" s="31">
        <f>IF(PO[[#This Row],[Spend category L1 - Override]] &lt;&gt; "", PO[[#This Row],[Spend category L1 - Override]], PO[[#This Row],[Spend category L1]])</f>
        <v>0</v>
      </c>
      <c r="M246" s="31">
        <f>IF(PO[[#This Row],[Spend category L2 - Override]] &lt;&gt; "", PO[[#This Row],[Spend category L2 - Override]], PO[[#This Row],[Spend category L2]])</f>
        <v>0</v>
      </c>
      <c r="N246" s="63">
        <f>Assumptions!$D$15</f>
        <v>0.1</v>
      </c>
      <c r="O246" s="45">
        <f>IF(PO[[#This Row],[GST applies?]] = "Yes", (PO[[#This Row],[Value inc. GST]] / 1 + PO[[#This Row],[GST %]]) * PO[[#This Row],[GST %]], 0)</f>
        <v>0</v>
      </c>
      <c r="P246" s="31">
        <f>_xlfn.XLOOKUP(PO[[#This Row],[Supplier name]], Supplier_master[Supplier name], Supplier_master[EOM or Net], 0)</f>
        <v>0</v>
      </c>
      <c r="Q246" s="31">
        <f>_xlfn.XLOOKUP(PO[[#This Row],[Supplier name]], Supplier_master[Supplier name], Supplier_master[Terms days], 0)</f>
        <v>0</v>
      </c>
      <c r="R2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6" s="4"/>
      <c r="T246" s="46">
        <f>IF(PO[[#This Row],[Payment date - override (dd/mm/yyyy)]] &lt;&gt; "", PO[[#This Row],[Payment date - override (dd/mm/yyyy)]], PO[[#This Row],[Due date (dd/mm/yyyy)]])</f>
        <v>0</v>
      </c>
      <c r="U246" s="46">
        <f t="shared" si="3"/>
        <v>52</v>
      </c>
    </row>
    <row r="247" spans="3:21" x14ac:dyDescent="0.25">
      <c r="C247" s="24"/>
      <c r="D247" s="20"/>
      <c r="E247" s="4"/>
      <c r="F247" s="37"/>
      <c r="G247" s="38"/>
      <c r="H247" s="31">
        <f>_xlfn.XLOOKUP(PO[[#This Row],[Supplier name]], Supplier_master[Supplier name], Supplier_master[Category L1], 0)</f>
        <v>0</v>
      </c>
      <c r="I247" s="31">
        <f>_xlfn.XLOOKUP(PO[[#This Row],[Supplier name]], Supplier_master[Supplier name], Supplier_master[Category L2], 0)</f>
        <v>0</v>
      </c>
      <c r="J247" s="55"/>
      <c r="K247" s="55"/>
      <c r="L247" s="31">
        <f>IF(PO[[#This Row],[Spend category L1 - Override]] &lt;&gt; "", PO[[#This Row],[Spend category L1 - Override]], PO[[#This Row],[Spend category L1]])</f>
        <v>0</v>
      </c>
      <c r="M247" s="31">
        <f>IF(PO[[#This Row],[Spend category L2 - Override]] &lt;&gt; "", PO[[#This Row],[Spend category L2 - Override]], PO[[#This Row],[Spend category L2]])</f>
        <v>0</v>
      </c>
      <c r="N247" s="63">
        <f>Assumptions!$D$15</f>
        <v>0.1</v>
      </c>
      <c r="O247" s="45">
        <f>IF(PO[[#This Row],[GST applies?]] = "Yes", (PO[[#This Row],[Value inc. GST]] / 1 + PO[[#This Row],[GST %]]) * PO[[#This Row],[GST %]], 0)</f>
        <v>0</v>
      </c>
      <c r="P247" s="31">
        <f>_xlfn.XLOOKUP(PO[[#This Row],[Supplier name]], Supplier_master[Supplier name], Supplier_master[EOM or Net], 0)</f>
        <v>0</v>
      </c>
      <c r="Q247" s="31">
        <f>_xlfn.XLOOKUP(PO[[#This Row],[Supplier name]], Supplier_master[Supplier name], Supplier_master[Terms days], 0)</f>
        <v>0</v>
      </c>
      <c r="R2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7" s="4"/>
      <c r="T247" s="46">
        <f>IF(PO[[#This Row],[Payment date - override (dd/mm/yyyy)]] &lt;&gt; "", PO[[#This Row],[Payment date - override (dd/mm/yyyy)]], PO[[#This Row],[Due date (dd/mm/yyyy)]])</f>
        <v>0</v>
      </c>
      <c r="U247" s="46">
        <f t="shared" si="3"/>
        <v>52</v>
      </c>
    </row>
    <row r="248" spans="3:21" x14ac:dyDescent="0.25">
      <c r="C248" s="24"/>
      <c r="D248" s="20"/>
      <c r="E248" s="4"/>
      <c r="F248" s="37"/>
      <c r="G248" s="38"/>
      <c r="H248" s="31">
        <f>_xlfn.XLOOKUP(PO[[#This Row],[Supplier name]], Supplier_master[Supplier name], Supplier_master[Category L1], 0)</f>
        <v>0</v>
      </c>
      <c r="I248" s="31">
        <f>_xlfn.XLOOKUP(PO[[#This Row],[Supplier name]], Supplier_master[Supplier name], Supplier_master[Category L2], 0)</f>
        <v>0</v>
      </c>
      <c r="J248" s="55"/>
      <c r="K248" s="55"/>
      <c r="L248" s="31">
        <f>IF(PO[[#This Row],[Spend category L1 - Override]] &lt;&gt; "", PO[[#This Row],[Spend category L1 - Override]], PO[[#This Row],[Spend category L1]])</f>
        <v>0</v>
      </c>
      <c r="M248" s="31">
        <f>IF(PO[[#This Row],[Spend category L2 - Override]] &lt;&gt; "", PO[[#This Row],[Spend category L2 - Override]], PO[[#This Row],[Spend category L2]])</f>
        <v>0</v>
      </c>
      <c r="N248" s="63">
        <f>Assumptions!$D$15</f>
        <v>0.1</v>
      </c>
      <c r="O248" s="45">
        <f>IF(PO[[#This Row],[GST applies?]] = "Yes", (PO[[#This Row],[Value inc. GST]] / 1 + PO[[#This Row],[GST %]]) * PO[[#This Row],[GST %]], 0)</f>
        <v>0</v>
      </c>
      <c r="P248" s="31">
        <f>_xlfn.XLOOKUP(PO[[#This Row],[Supplier name]], Supplier_master[Supplier name], Supplier_master[EOM or Net], 0)</f>
        <v>0</v>
      </c>
      <c r="Q248" s="31">
        <f>_xlfn.XLOOKUP(PO[[#This Row],[Supplier name]], Supplier_master[Supplier name], Supplier_master[Terms days], 0)</f>
        <v>0</v>
      </c>
      <c r="R2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8" s="4"/>
      <c r="T248" s="46">
        <f>IF(PO[[#This Row],[Payment date - override (dd/mm/yyyy)]] &lt;&gt; "", PO[[#This Row],[Payment date - override (dd/mm/yyyy)]], PO[[#This Row],[Due date (dd/mm/yyyy)]])</f>
        <v>0</v>
      </c>
      <c r="U248" s="46">
        <f t="shared" si="3"/>
        <v>52</v>
      </c>
    </row>
    <row r="249" spans="3:21" x14ac:dyDescent="0.25">
      <c r="C249" s="24"/>
      <c r="D249" s="20"/>
      <c r="E249" s="4"/>
      <c r="F249" s="37"/>
      <c r="G249" s="38"/>
      <c r="H249" s="31">
        <f>_xlfn.XLOOKUP(PO[[#This Row],[Supplier name]], Supplier_master[Supplier name], Supplier_master[Category L1], 0)</f>
        <v>0</v>
      </c>
      <c r="I249" s="31">
        <f>_xlfn.XLOOKUP(PO[[#This Row],[Supplier name]], Supplier_master[Supplier name], Supplier_master[Category L2], 0)</f>
        <v>0</v>
      </c>
      <c r="J249" s="55"/>
      <c r="K249" s="55"/>
      <c r="L249" s="31">
        <f>IF(PO[[#This Row],[Spend category L1 - Override]] &lt;&gt; "", PO[[#This Row],[Spend category L1 - Override]], PO[[#This Row],[Spend category L1]])</f>
        <v>0</v>
      </c>
      <c r="M249" s="31">
        <f>IF(PO[[#This Row],[Spend category L2 - Override]] &lt;&gt; "", PO[[#This Row],[Spend category L2 - Override]], PO[[#This Row],[Spend category L2]])</f>
        <v>0</v>
      </c>
      <c r="N249" s="63">
        <f>Assumptions!$D$15</f>
        <v>0.1</v>
      </c>
      <c r="O249" s="45">
        <f>IF(PO[[#This Row],[GST applies?]] = "Yes", (PO[[#This Row],[Value inc. GST]] / 1 + PO[[#This Row],[GST %]]) * PO[[#This Row],[GST %]], 0)</f>
        <v>0</v>
      </c>
      <c r="P249" s="31">
        <f>_xlfn.XLOOKUP(PO[[#This Row],[Supplier name]], Supplier_master[Supplier name], Supplier_master[EOM or Net], 0)</f>
        <v>0</v>
      </c>
      <c r="Q249" s="31">
        <f>_xlfn.XLOOKUP(PO[[#This Row],[Supplier name]], Supplier_master[Supplier name], Supplier_master[Terms days], 0)</f>
        <v>0</v>
      </c>
      <c r="R2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9" s="4"/>
      <c r="T249" s="46">
        <f>IF(PO[[#This Row],[Payment date - override (dd/mm/yyyy)]] &lt;&gt; "", PO[[#This Row],[Payment date - override (dd/mm/yyyy)]], PO[[#This Row],[Due date (dd/mm/yyyy)]])</f>
        <v>0</v>
      </c>
      <c r="U249" s="46">
        <f t="shared" si="3"/>
        <v>52</v>
      </c>
    </row>
    <row r="250" spans="3:21" x14ac:dyDescent="0.25">
      <c r="C250" s="24"/>
      <c r="D250" s="20"/>
      <c r="E250" s="4"/>
      <c r="F250" s="37"/>
      <c r="G250" s="38"/>
      <c r="H250" s="31">
        <f>_xlfn.XLOOKUP(PO[[#This Row],[Supplier name]], Supplier_master[Supplier name], Supplier_master[Category L1], 0)</f>
        <v>0</v>
      </c>
      <c r="I250" s="31">
        <f>_xlfn.XLOOKUP(PO[[#This Row],[Supplier name]], Supplier_master[Supplier name], Supplier_master[Category L2], 0)</f>
        <v>0</v>
      </c>
      <c r="J250" s="55"/>
      <c r="K250" s="55"/>
      <c r="L250" s="31">
        <f>IF(PO[[#This Row],[Spend category L1 - Override]] &lt;&gt; "", PO[[#This Row],[Spend category L1 - Override]], PO[[#This Row],[Spend category L1]])</f>
        <v>0</v>
      </c>
      <c r="M250" s="31">
        <f>IF(PO[[#This Row],[Spend category L2 - Override]] &lt;&gt; "", PO[[#This Row],[Spend category L2 - Override]], PO[[#This Row],[Spend category L2]])</f>
        <v>0</v>
      </c>
      <c r="N250" s="63">
        <f>Assumptions!$D$15</f>
        <v>0.1</v>
      </c>
      <c r="O250" s="45">
        <f>IF(PO[[#This Row],[GST applies?]] = "Yes", (PO[[#This Row],[Value inc. GST]] / 1 + PO[[#This Row],[GST %]]) * PO[[#This Row],[GST %]], 0)</f>
        <v>0</v>
      </c>
      <c r="P250" s="31">
        <f>_xlfn.XLOOKUP(PO[[#This Row],[Supplier name]], Supplier_master[Supplier name], Supplier_master[EOM or Net], 0)</f>
        <v>0</v>
      </c>
      <c r="Q250" s="31">
        <f>_xlfn.XLOOKUP(PO[[#This Row],[Supplier name]], Supplier_master[Supplier name], Supplier_master[Terms days], 0)</f>
        <v>0</v>
      </c>
      <c r="R2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0" s="4"/>
      <c r="T250" s="46">
        <f>IF(PO[[#This Row],[Payment date - override (dd/mm/yyyy)]] &lt;&gt; "", PO[[#This Row],[Payment date - override (dd/mm/yyyy)]], PO[[#This Row],[Due date (dd/mm/yyyy)]])</f>
        <v>0</v>
      </c>
      <c r="U250" s="46">
        <f t="shared" si="3"/>
        <v>52</v>
      </c>
    </row>
    <row r="251" spans="3:21" x14ac:dyDescent="0.25">
      <c r="C251" s="24"/>
      <c r="D251" s="20"/>
      <c r="E251" s="4"/>
      <c r="F251" s="37"/>
      <c r="G251" s="38"/>
      <c r="H251" s="31">
        <f>_xlfn.XLOOKUP(PO[[#This Row],[Supplier name]], Supplier_master[Supplier name], Supplier_master[Category L1], 0)</f>
        <v>0</v>
      </c>
      <c r="I251" s="31">
        <f>_xlfn.XLOOKUP(PO[[#This Row],[Supplier name]], Supplier_master[Supplier name], Supplier_master[Category L2], 0)</f>
        <v>0</v>
      </c>
      <c r="J251" s="55"/>
      <c r="K251" s="55"/>
      <c r="L251" s="31">
        <f>IF(PO[[#This Row],[Spend category L1 - Override]] &lt;&gt; "", PO[[#This Row],[Spend category L1 - Override]], PO[[#This Row],[Spend category L1]])</f>
        <v>0</v>
      </c>
      <c r="M251" s="31">
        <f>IF(PO[[#This Row],[Spend category L2 - Override]] &lt;&gt; "", PO[[#This Row],[Spend category L2 - Override]], PO[[#This Row],[Spend category L2]])</f>
        <v>0</v>
      </c>
      <c r="N251" s="63">
        <f>Assumptions!$D$15</f>
        <v>0.1</v>
      </c>
      <c r="O251" s="45">
        <f>IF(PO[[#This Row],[GST applies?]] = "Yes", (PO[[#This Row],[Value inc. GST]] / 1 + PO[[#This Row],[GST %]]) * PO[[#This Row],[GST %]], 0)</f>
        <v>0</v>
      </c>
      <c r="P251" s="31">
        <f>_xlfn.XLOOKUP(PO[[#This Row],[Supplier name]], Supplier_master[Supplier name], Supplier_master[EOM or Net], 0)</f>
        <v>0</v>
      </c>
      <c r="Q251" s="31">
        <f>_xlfn.XLOOKUP(PO[[#This Row],[Supplier name]], Supplier_master[Supplier name], Supplier_master[Terms days], 0)</f>
        <v>0</v>
      </c>
      <c r="R2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1" s="4"/>
      <c r="T251" s="46">
        <f>IF(PO[[#This Row],[Payment date - override (dd/mm/yyyy)]] &lt;&gt; "", PO[[#This Row],[Payment date - override (dd/mm/yyyy)]], PO[[#This Row],[Due date (dd/mm/yyyy)]])</f>
        <v>0</v>
      </c>
      <c r="U251" s="46">
        <f t="shared" si="3"/>
        <v>52</v>
      </c>
    </row>
    <row r="252" spans="3:21" x14ac:dyDescent="0.25">
      <c r="C252" s="24"/>
      <c r="D252" s="20"/>
      <c r="E252" s="4"/>
      <c r="F252" s="37"/>
      <c r="G252" s="38"/>
      <c r="H252" s="31">
        <f>_xlfn.XLOOKUP(PO[[#This Row],[Supplier name]], Supplier_master[Supplier name], Supplier_master[Category L1], 0)</f>
        <v>0</v>
      </c>
      <c r="I252" s="31">
        <f>_xlfn.XLOOKUP(PO[[#This Row],[Supplier name]], Supplier_master[Supplier name], Supplier_master[Category L2], 0)</f>
        <v>0</v>
      </c>
      <c r="J252" s="55"/>
      <c r="K252" s="55"/>
      <c r="L252" s="31">
        <f>IF(PO[[#This Row],[Spend category L1 - Override]] &lt;&gt; "", PO[[#This Row],[Spend category L1 - Override]], PO[[#This Row],[Spend category L1]])</f>
        <v>0</v>
      </c>
      <c r="M252" s="31">
        <f>IF(PO[[#This Row],[Spend category L2 - Override]] &lt;&gt; "", PO[[#This Row],[Spend category L2 - Override]], PO[[#This Row],[Spend category L2]])</f>
        <v>0</v>
      </c>
      <c r="N252" s="63">
        <f>Assumptions!$D$15</f>
        <v>0.1</v>
      </c>
      <c r="O252" s="45">
        <f>IF(PO[[#This Row],[GST applies?]] = "Yes", (PO[[#This Row],[Value inc. GST]] / 1 + PO[[#This Row],[GST %]]) * PO[[#This Row],[GST %]], 0)</f>
        <v>0</v>
      </c>
      <c r="P252" s="31">
        <f>_xlfn.XLOOKUP(PO[[#This Row],[Supplier name]], Supplier_master[Supplier name], Supplier_master[EOM or Net], 0)</f>
        <v>0</v>
      </c>
      <c r="Q252" s="31">
        <f>_xlfn.XLOOKUP(PO[[#This Row],[Supplier name]], Supplier_master[Supplier name], Supplier_master[Terms days], 0)</f>
        <v>0</v>
      </c>
      <c r="R2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2" s="4"/>
      <c r="T252" s="46">
        <f>IF(PO[[#This Row],[Payment date - override (dd/mm/yyyy)]] &lt;&gt; "", PO[[#This Row],[Payment date - override (dd/mm/yyyy)]], PO[[#This Row],[Due date (dd/mm/yyyy)]])</f>
        <v>0</v>
      </c>
      <c r="U252" s="46">
        <f t="shared" si="3"/>
        <v>52</v>
      </c>
    </row>
    <row r="253" spans="3:21" x14ac:dyDescent="0.25">
      <c r="C253" s="24"/>
      <c r="D253" s="20"/>
      <c r="E253" s="4"/>
      <c r="F253" s="37"/>
      <c r="G253" s="38"/>
      <c r="H253" s="31">
        <f>_xlfn.XLOOKUP(PO[[#This Row],[Supplier name]], Supplier_master[Supplier name], Supplier_master[Category L1], 0)</f>
        <v>0</v>
      </c>
      <c r="I253" s="31">
        <f>_xlfn.XLOOKUP(PO[[#This Row],[Supplier name]], Supplier_master[Supplier name], Supplier_master[Category L2], 0)</f>
        <v>0</v>
      </c>
      <c r="J253" s="55"/>
      <c r="K253" s="55"/>
      <c r="L253" s="31">
        <f>IF(PO[[#This Row],[Spend category L1 - Override]] &lt;&gt; "", PO[[#This Row],[Spend category L1 - Override]], PO[[#This Row],[Spend category L1]])</f>
        <v>0</v>
      </c>
      <c r="M253" s="31">
        <f>IF(PO[[#This Row],[Spend category L2 - Override]] &lt;&gt; "", PO[[#This Row],[Spend category L2 - Override]], PO[[#This Row],[Spend category L2]])</f>
        <v>0</v>
      </c>
      <c r="N253" s="63">
        <f>Assumptions!$D$15</f>
        <v>0.1</v>
      </c>
      <c r="O253" s="45">
        <f>IF(PO[[#This Row],[GST applies?]] = "Yes", (PO[[#This Row],[Value inc. GST]] / 1 + PO[[#This Row],[GST %]]) * PO[[#This Row],[GST %]], 0)</f>
        <v>0</v>
      </c>
      <c r="P253" s="31">
        <f>_xlfn.XLOOKUP(PO[[#This Row],[Supplier name]], Supplier_master[Supplier name], Supplier_master[EOM or Net], 0)</f>
        <v>0</v>
      </c>
      <c r="Q253" s="31">
        <f>_xlfn.XLOOKUP(PO[[#This Row],[Supplier name]], Supplier_master[Supplier name], Supplier_master[Terms days], 0)</f>
        <v>0</v>
      </c>
      <c r="R2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3" s="4"/>
      <c r="T253" s="46">
        <f>IF(PO[[#This Row],[Payment date - override (dd/mm/yyyy)]] &lt;&gt; "", PO[[#This Row],[Payment date - override (dd/mm/yyyy)]], PO[[#This Row],[Due date (dd/mm/yyyy)]])</f>
        <v>0</v>
      </c>
      <c r="U253" s="46">
        <f t="shared" si="3"/>
        <v>52</v>
      </c>
    </row>
    <row r="254" spans="3:21" x14ac:dyDescent="0.25">
      <c r="C254" s="24"/>
      <c r="D254" s="20"/>
      <c r="E254" s="4"/>
      <c r="F254" s="37"/>
      <c r="G254" s="38"/>
      <c r="H254" s="31">
        <f>_xlfn.XLOOKUP(PO[[#This Row],[Supplier name]], Supplier_master[Supplier name], Supplier_master[Category L1], 0)</f>
        <v>0</v>
      </c>
      <c r="I254" s="31">
        <f>_xlfn.XLOOKUP(PO[[#This Row],[Supplier name]], Supplier_master[Supplier name], Supplier_master[Category L2], 0)</f>
        <v>0</v>
      </c>
      <c r="J254" s="55"/>
      <c r="K254" s="55"/>
      <c r="L254" s="31">
        <f>IF(PO[[#This Row],[Spend category L1 - Override]] &lt;&gt; "", PO[[#This Row],[Spend category L1 - Override]], PO[[#This Row],[Spend category L1]])</f>
        <v>0</v>
      </c>
      <c r="M254" s="31">
        <f>IF(PO[[#This Row],[Spend category L2 - Override]] &lt;&gt; "", PO[[#This Row],[Spend category L2 - Override]], PO[[#This Row],[Spend category L2]])</f>
        <v>0</v>
      </c>
      <c r="N254" s="63">
        <f>Assumptions!$D$15</f>
        <v>0.1</v>
      </c>
      <c r="O254" s="45">
        <f>IF(PO[[#This Row],[GST applies?]] = "Yes", (PO[[#This Row],[Value inc. GST]] / 1 + PO[[#This Row],[GST %]]) * PO[[#This Row],[GST %]], 0)</f>
        <v>0</v>
      </c>
      <c r="P254" s="31">
        <f>_xlfn.XLOOKUP(PO[[#This Row],[Supplier name]], Supplier_master[Supplier name], Supplier_master[EOM or Net], 0)</f>
        <v>0</v>
      </c>
      <c r="Q254" s="31">
        <f>_xlfn.XLOOKUP(PO[[#This Row],[Supplier name]], Supplier_master[Supplier name], Supplier_master[Terms days], 0)</f>
        <v>0</v>
      </c>
      <c r="R2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4" s="4"/>
      <c r="T254" s="46">
        <f>IF(PO[[#This Row],[Payment date - override (dd/mm/yyyy)]] &lt;&gt; "", PO[[#This Row],[Payment date - override (dd/mm/yyyy)]], PO[[#This Row],[Due date (dd/mm/yyyy)]])</f>
        <v>0</v>
      </c>
      <c r="U254" s="46">
        <f t="shared" si="3"/>
        <v>52</v>
      </c>
    </row>
    <row r="255" spans="3:21" x14ac:dyDescent="0.25">
      <c r="C255" s="24"/>
      <c r="D255" s="20"/>
      <c r="E255" s="4"/>
      <c r="F255" s="37"/>
      <c r="G255" s="38"/>
      <c r="H255" s="31">
        <f>_xlfn.XLOOKUP(PO[[#This Row],[Supplier name]], Supplier_master[Supplier name], Supplier_master[Category L1], 0)</f>
        <v>0</v>
      </c>
      <c r="I255" s="31">
        <f>_xlfn.XLOOKUP(PO[[#This Row],[Supplier name]], Supplier_master[Supplier name], Supplier_master[Category L2], 0)</f>
        <v>0</v>
      </c>
      <c r="J255" s="55"/>
      <c r="K255" s="55"/>
      <c r="L255" s="31">
        <f>IF(PO[[#This Row],[Spend category L1 - Override]] &lt;&gt; "", PO[[#This Row],[Spend category L1 - Override]], PO[[#This Row],[Spend category L1]])</f>
        <v>0</v>
      </c>
      <c r="M255" s="31">
        <f>IF(PO[[#This Row],[Spend category L2 - Override]] &lt;&gt; "", PO[[#This Row],[Spend category L2 - Override]], PO[[#This Row],[Spend category L2]])</f>
        <v>0</v>
      </c>
      <c r="N255" s="63">
        <f>Assumptions!$D$15</f>
        <v>0.1</v>
      </c>
      <c r="O255" s="45">
        <f>IF(PO[[#This Row],[GST applies?]] = "Yes", (PO[[#This Row],[Value inc. GST]] / 1 + PO[[#This Row],[GST %]]) * PO[[#This Row],[GST %]], 0)</f>
        <v>0</v>
      </c>
      <c r="P255" s="31">
        <f>_xlfn.XLOOKUP(PO[[#This Row],[Supplier name]], Supplier_master[Supplier name], Supplier_master[EOM or Net], 0)</f>
        <v>0</v>
      </c>
      <c r="Q255" s="31">
        <f>_xlfn.XLOOKUP(PO[[#This Row],[Supplier name]], Supplier_master[Supplier name], Supplier_master[Terms days], 0)</f>
        <v>0</v>
      </c>
      <c r="R2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5" s="4"/>
      <c r="T255" s="46">
        <f>IF(PO[[#This Row],[Payment date - override (dd/mm/yyyy)]] &lt;&gt; "", PO[[#This Row],[Payment date - override (dd/mm/yyyy)]], PO[[#This Row],[Due date (dd/mm/yyyy)]])</f>
        <v>0</v>
      </c>
      <c r="U255" s="46">
        <f t="shared" si="3"/>
        <v>52</v>
      </c>
    </row>
    <row r="256" spans="3:21" x14ac:dyDescent="0.25">
      <c r="C256" s="24"/>
      <c r="D256" s="20"/>
      <c r="E256" s="4"/>
      <c r="F256" s="37"/>
      <c r="G256" s="38"/>
      <c r="H256" s="31">
        <f>_xlfn.XLOOKUP(PO[[#This Row],[Supplier name]], Supplier_master[Supplier name], Supplier_master[Category L1], 0)</f>
        <v>0</v>
      </c>
      <c r="I256" s="31">
        <f>_xlfn.XLOOKUP(PO[[#This Row],[Supplier name]], Supplier_master[Supplier name], Supplier_master[Category L2], 0)</f>
        <v>0</v>
      </c>
      <c r="J256" s="55"/>
      <c r="K256" s="55"/>
      <c r="L256" s="31">
        <f>IF(PO[[#This Row],[Spend category L1 - Override]] &lt;&gt; "", PO[[#This Row],[Spend category L1 - Override]], PO[[#This Row],[Spend category L1]])</f>
        <v>0</v>
      </c>
      <c r="M256" s="31">
        <f>IF(PO[[#This Row],[Spend category L2 - Override]] &lt;&gt; "", PO[[#This Row],[Spend category L2 - Override]], PO[[#This Row],[Spend category L2]])</f>
        <v>0</v>
      </c>
      <c r="N256" s="63">
        <f>Assumptions!$D$15</f>
        <v>0.1</v>
      </c>
      <c r="O256" s="45">
        <f>IF(PO[[#This Row],[GST applies?]] = "Yes", (PO[[#This Row],[Value inc. GST]] / 1 + PO[[#This Row],[GST %]]) * PO[[#This Row],[GST %]], 0)</f>
        <v>0</v>
      </c>
      <c r="P256" s="31">
        <f>_xlfn.XLOOKUP(PO[[#This Row],[Supplier name]], Supplier_master[Supplier name], Supplier_master[EOM or Net], 0)</f>
        <v>0</v>
      </c>
      <c r="Q256" s="31">
        <f>_xlfn.XLOOKUP(PO[[#This Row],[Supplier name]], Supplier_master[Supplier name], Supplier_master[Terms days], 0)</f>
        <v>0</v>
      </c>
      <c r="R2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6" s="4"/>
      <c r="T256" s="46">
        <f>IF(PO[[#This Row],[Payment date - override (dd/mm/yyyy)]] &lt;&gt; "", PO[[#This Row],[Payment date - override (dd/mm/yyyy)]], PO[[#This Row],[Due date (dd/mm/yyyy)]])</f>
        <v>0</v>
      </c>
      <c r="U256" s="46">
        <f t="shared" si="3"/>
        <v>52</v>
      </c>
    </row>
    <row r="257" spans="3:21" x14ac:dyDescent="0.25">
      <c r="C257" s="24"/>
      <c r="D257" s="20"/>
      <c r="E257" s="4"/>
      <c r="F257" s="37"/>
      <c r="G257" s="38"/>
      <c r="H257" s="31">
        <f>_xlfn.XLOOKUP(PO[[#This Row],[Supplier name]], Supplier_master[Supplier name], Supplier_master[Category L1], 0)</f>
        <v>0</v>
      </c>
      <c r="I257" s="31">
        <f>_xlfn.XLOOKUP(PO[[#This Row],[Supplier name]], Supplier_master[Supplier name], Supplier_master[Category L2], 0)</f>
        <v>0</v>
      </c>
      <c r="J257" s="55"/>
      <c r="K257" s="55"/>
      <c r="L257" s="31">
        <f>IF(PO[[#This Row],[Spend category L1 - Override]] &lt;&gt; "", PO[[#This Row],[Spend category L1 - Override]], PO[[#This Row],[Spend category L1]])</f>
        <v>0</v>
      </c>
      <c r="M257" s="31">
        <f>IF(PO[[#This Row],[Spend category L2 - Override]] &lt;&gt; "", PO[[#This Row],[Spend category L2 - Override]], PO[[#This Row],[Spend category L2]])</f>
        <v>0</v>
      </c>
      <c r="N257" s="63">
        <f>Assumptions!$D$15</f>
        <v>0.1</v>
      </c>
      <c r="O257" s="45">
        <f>IF(PO[[#This Row],[GST applies?]] = "Yes", (PO[[#This Row],[Value inc. GST]] / 1 + PO[[#This Row],[GST %]]) * PO[[#This Row],[GST %]], 0)</f>
        <v>0</v>
      </c>
      <c r="P257" s="31">
        <f>_xlfn.XLOOKUP(PO[[#This Row],[Supplier name]], Supplier_master[Supplier name], Supplier_master[EOM or Net], 0)</f>
        <v>0</v>
      </c>
      <c r="Q257" s="31">
        <f>_xlfn.XLOOKUP(PO[[#This Row],[Supplier name]], Supplier_master[Supplier name], Supplier_master[Terms days], 0)</f>
        <v>0</v>
      </c>
      <c r="R2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7" s="4"/>
      <c r="T257" s="46">
        <f>IF(PO[[#This Row],[Payment date - override (dd/mm/yyyy)]] &lt;&gt; "", PO[[#This Row],[Payment date - override (dd/mm/yyyy)]], PO[[#This Row],[Due date (dd/mm/yyyy)]])</f>
        <v>0</v>
      </c>
      <c r="U257" s="46">
        <f t="shared" si="3"/>
        <v>52</v>
      </c>
    </row>
    <row r="258" spans="3:21" x14ac:dyDescent="0.25">
      <c r="C258" s="24"/>
      <c r="D258" s="20"/>
      <c r="E258" s="4"/>
      <c r="F258" s="37"/>
      <c r="G258" s="38"/>
      <c r="H258" s="31">
        <f>_xlfn.XLOOKUP(PO[[#This Row],[Supplier name]], Supplier_master[Supplier name], Supplier_master[Category L1], 0)</f>
        <v>0</v>
      </c>
      <c r="I258" s="31">
        <f>_xlfn.XLOOKUP(PO[[#This Row],[Supplier name]], Supplier_master[Supplier name], Supplier_master[Category L2], 0)</f>
        <v>0</v>
      </c>
      <c r="J258" s="55"/>
      <c r="K258" s="55"/>
      <c r="L258" s="31">
        <f>IF(PO[[#This Row],[Spend category L1 - Override]] &lt;&gt; "", PO[[#This Row],[Spend category L1 - Override]], PO[[#This Row],[Spend category L1]])</f>
        <v>0</v>
      </c>
      <c r="M258" s="31">
        <f>IF(PO[[#This Row],[Spend category L2 - Override]] &lt;&gt; "", PO[[#This Row],[Spend category L2 - Override]], PO[[#This Row],[Spend category L2]])</f>
        <v>0</v>
      </c>
      <c r="N258" s="63">
        <f>Assumptions!$D$15</f>
        <v>0.1</v>
      </c>
      <c r="O258" s="45">
        <f>IF(PO[[#This Row],[GST applies?]] = "Yes", (PO[[#This Row],[Value inc. GST]] / 1 + PO[[#This Row],[GST %]]) * PO[[#This Row],[GST %]], 0)</f>
        <v>0</v>
      </c>
      <c r="P258" s="31">
        <f>_xlfn.XLOOKUP(PO[[#This Row],[Supplier name]], Supplier_master[Supplier name], Supplier_master[EOM or Net], 0)</f>
        <v>0</v>
      </c>
      <c r="Q258" s="31">
        <f>_xlfn.XLOOKUP(PO[[#This Row],[Supplier name]], Supplier_master[Supplier name], Supplier_master[Terms days], 0)</f>
        <v>0</v>
      </c>
      <c r="R2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8" s="4"/>
      <c r="T258" s="46">
        <f>IF(PO[[#This Row],[Payment date - override (dd/mm/yyyy)]] &lt;&gt; "", PO[[#This Row],[Payment date - override (dd/mm/yyyy)]], PO[[#This Row],[Due date (dd/mm/yyyy)]])</f>
        <v>0</v>
      </c>
      <c r="U258" s="46">
        <f t="shared" si="3"/>
        <v>52</v>
      </c>
    </row>
    <row r="259" spans="3:21" x14ac:dyDescent="0.25">
      <c r="C259" s="24"/>
      <c r="D259" s="20"/>
      <c r="E259" s="4"/>
      <c r="F259" s="37"/>
      <c r="G259" s="38"/>
      <c r="H259" s="31">
        <f>_xlfn.XLOOKUP(PO[[#This Row],[Supplier name]], Supplier_master[Supplier name], Supplier_master[Category L1], 0)</f>
        <v>0</v>
      </c>
      <c r="I259" s="31">
        <f>_xlfn.XLOOKUP(PO[[#This Row],[Supplier name]], Supplier_master[Supplier name], Supplier_master[Category L2], 0)</f>
        <v>0</v>
      </c>
      <c r="J259" s="55"/>
      <c r="K259" s="55"/>
      <c r="L259" s="31">
        <f>IF(PO[[#This Row],[Spend category L1 - Override]] &lt;&gt; "", PO[[#This Row],[Spend category L1 - Override]], PO[[#This Row],[Spend category L1]])</f>
        <v>0</v>
      </c>
      <c r="M259" s="31">
        <f>IF(PO[[#This Row],[Spend category L2 - Override]] &lt;&gt; "", PO[[#This Row],[Spend category L2 - Override]], PO[[#This Row],[Spend category L2]])</f>
        <v>0</v>
      </c>
      <c r="N259" s="63">
        <f>Assumptions!$D$15</f>
        <v>0.1</v>
      </c>
      <c r="O259" s="45">
        <f>IF(PO[[#This Row],[GST applies?]] = "Yes", (PO[[#This Row],[Value inc. GST]] / 1 + PO[[#This Row],[GST %]]) * PO[[#This Row],[GST %]], 0)</f>
        <v>0</v>
      </c>
      <c r="P259" s="31">
        <f>_xlfn.XLOOKUP(PO[[#This Row],[Supplier name]], Supplier_master[Supplier name], Supplier_master[EOM or Net], 0)</f>
        <v>0</v>
      </c>
      <c r="Q259" s="31">
        <f>_xlfn.XLOOKUP(PO[[#This Row],[Supplier name]], Supplier_master[Supplier name], Supplier_master[Terms days], 0)</f>
        <v>0</v>
      </c>
      <c r="R2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9" s="4"/>
      <c r="T259" s="46">
        <f>IF(PO[[#This Row],[Payment date - override (dd/mm/yyyy)]] &lt;&gt; "", PO[[#This Row],[Payment date - override (dd/mm/yyyy)]], PO[[#This Row],[Due date (dd/mm/yyyy)]])</f>
        <v>0</v>
      </c>
      <c r="U259" s="46">
        <f t="shared" si="3"/>
        <v>52</v>
      </c>
    </row>
    <row r="260" spans="3:21" x14ac:dyDescent="0.25">
      <c r="C260" s="24"/>
      <c r="D260" s="20"/>
      <c r="E260" s="4"/>
      <c r="F260" s="37"/>
      <c r="G260" s="38"/>
      <c r="H260" s="31">
        <f>_xlfn.XLOOKUP(PO[[#This Row],[Supplier name]], Supplier_master[Supplier name], Supplier_master[Category L1], 0)</f>
        <v>0</v>
      </c>
      <c r="I260" s="31">
        <f>_xlfn.XLOOKUP(PO[[#This Row],[Supplier name]], Supplier_master[Supplier name], Supplier_master[Category L2], 0)</f>
        <v>0</v>
      </c>
      <c r="J260" s="55"/>
      <c r="K260" s="55"/>
      <c r="L260" s="31">
        <f>IF(PO[[#This Row],[Spend category L1 - Override]] &lt;&gt; "", PO[[#This Row],[Spend category L1 - Override]], PO[[#This Row],[Spend category L1]])</f>
        <v>0</v>
      </c>
      <c r="M260" s="31">
        <f>IF(PO[[#This Row],[Spend category L2 - Override]] &lt;&gt; "", PO[[#This Row],[Spend category L2 - Override]], PO[[#This Row],[Spend category L2]])</f>
        <v>0</v>
      </c>
      <c r="N260" s="63">
        <f>Assumptions!$D$15</f>
        <v>0.1</v>
      </c>
      <c r="O260" s="45">
        <f>IF(PO[[#This Row],[GST applies?]] = "Yes", (PO[[#This Row],[Value inc. GST]] / 1 + PO[[#This Row],[GST %]]) * PO[[#This Row],[GST %]], 0)</f>
        <v>0</v>
      </c>
      <c r="P260" s="31">
        <f>_xlfn.XLOOKUP(PO[[#This Row],[Supplier name]], Supplier_master[Supplier name], Supplier_master[EOM or Net], 0)</f>
        <v>0</v>
      </c>
      <c r="Q260" s="31">
        <f>_xlfn.XLOOKUP(PO[[#This Row],[Supplier name]], Supplier_master[Supplier name], Supplier_master[Terms days], 0)</f>
        <v>0</v>
      </c>
      <c r="R2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0" s="4"/>
      <c r="T260" s="46">
        <f>IF(PO[[#This Row],[Payment date - override (dd/mm/yyyy)]] &lt;&gt; "", PO[[#This Row],[Payment date - override (dd/mm/yyyy)]], PO[[#This Row],[Due date (dd/mm/yyyy)]])</f>
        <v>0</v>
      </c>
      <c r="U260" s="46">
        <f t="shared" si="3"/>
        <v>52</v>
      </c>
    </row>
    <row r="261" spans="3:21" x14ac:dyDescent="0.25">
      <c r="C261" s="24"/>
      <c r="D261" s="20"/>
      <c r="E261" s="4"/>
      <c r="F261" s="37"/>
      <c r="G261" s="38"/>
      <c r="H261" s="31">
        <f>_xlfn.XLOOKUP(PO[[#This Row],[Supplier name]], Supplier_master[Supplier name], Supplier_master[Category L1], 0)</f>
        <v>0</v>
      </c>
      <c r="I261" s="31">
        <f>_xlfn.XLOOKUP(PO[[#This Row],[Supplier name]], Supplier_master[Supplier name], Supplier_master[Category L2], 0)</f>
        <v>0</v>
      </c>
      <c r="J261" s="55"/>
      <c r="K261" s="55"/>
      <c r="L261" s="31">
        <f>IF(PO[[#This Row],[Spend category L1 - Override]] &lt;&gt; "", PO[[#This Row],[Spend category L1 - Override]], PO[[#This Row],[Spend category L1]])</f>
        <v>0</v>
      </c>
      <c r="M261" s="31">
        <f>IF(PO[[#This Row],[Spend category L2 - Override]] &lt;&gt; "", PO[[#This Row],[Spend category L2 - Override]], PO[[#This Row],[Spend category L2]])</f>
        <v>0</v>
      </c>
      <c r="N261" s="63">
        <f>Assumptions!$D$15</f>
        <v>0.1</v>
      </c>
      <c r="O261" s="45">
        <f>IF(PO[[#This Row],[GST applies?]] = "Yes", (PO[[#This Row],[Value inc. GST]] / 1 + PO[[#This Row],[GST %]]) * PO[[#This Row],[GST %]], 0)</f>
        <v>0</v>
      </c>
      <c r="P261" s="31">
        <f>_xlfn.XLOOKUP(PO[[#This Row],[Supplier name]], Supplier_master[Supplier name], Supplier_master[EOM or Net], 0)</f>
        <v>0</v>
      </c>
      <c r="Q261" s="31">
        <f>_xlfn.XLOOKUP(PO[[#This Row],[Supplier name]], Supplier_master[Supplier name], Supplier_master[Terms days], 0)</f>
        <v>0</v>
      </c>
      <c r="R2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1" s="4"/>
      <c r="T261" s="46">
        <f>IF(PO[[#This Row],[Payment date - override (dd/mm/yyyy)]] &lt;&gt; "", PO[[#This Row],[Payment date - override (dd/mm/yyyy)]], PO[[#This Row],[Due date (dd/mm/yyyy)]])</f>
        <v>0</v>
      </c>
      <c r="U261" s="46">
        <f t="shared" si="3"/>
        <v>52</v>
      </c>
    </row>
    <row r="262" spans="3:21" x14ac:dyDescent="0.25">
      <c r="C262" s="24"/>
      <c r="D262" s="20"/>
      <c r="E262" s="4"/>
      <c r="F262" s="37"/>
      <c r="G262" s="38"/>
      <c r="H262" s="31">
        <f>_xlfn.XLOOKUP(PO[[#This Row],[Supplier name]], Supplier_master[Supplier name], Supplier_master[Category L1], 0)</f>
        <v>0</v>
      </c>
      <c r="I262" s="31">
        <f>_xlfn.XLOOKUP(PO[[#This Row],[Supplier name]], Supplier_master[Supplier name], Supplier_master[Category L2], 0)</f>
        <v>0</v>
      </c>
      <c r="J262" s="55"/>
      <c r="K262" s="55"/>
      <c r="L262" s="31">
        <f>IF(PO[[#This Row],[Spend category L1 - Override]] &lt;&gt; "", PO[[#This Row],[Spend category L1 - Override]], PO[[#This Row],[Spend category L1]])</f>
        <v>0</v>
      </c>
      <c r="M262" s="31">
        <f>IF(PO[[#This Row],[Spend category L2 - Override]] &lt;&gt; "", PO[[#This Row],[Spend category L2 - Override]], PO[[#This Row],[Spend category L2]])</f>
        <v>0</v>
      </c>
      <c r="N262" s="63">
        <f>Assumptions!$D$15</f>
        <v>0.1</v>
      </c>
      <c r="O262" s="45">
        <f>IF(PO[[#This Row],[GST applies?]] = "Yes", (PO[[#This Row],[Value inc. GST]] / 1 + PO[[#This Row],[GST %]]) * PO[[#This Row],[GST %]], 0)</f>
        <v>0</v>
      </c>
      <c r="P262" s="31">
        <f>_xlfn.XLOOKUP(PO[[#This Row],[Supplier name]], Supplier_master[Supplier name], Supplier_master[EOM or Net], 0)</f>
        <v>0</v>
      </c>
      <c r="Q262" s="31">
        <f>_xlfn.XLOOKUP(PO[[#This Row],[Supplier name]], Supplier_master[Supplier name], Supplier_master[Terms days], 0)</f>
        <v>0</v>
      </c>
      <c r="R2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2" s="4"/>
      <c r="T262" s="46">
        <f>IF(PO[[#This Row],[Payment date - override (dd/mm/yyyy)]] &lt;&gt; "", PO[[#This Row],[Payment date - override (dd/mm/yyyy)]], PO[[#This Row],[Due date (dd/mm/yyyy)]])</f>
        <v>0</v>
      </c>
      <c r="U262" s="46">
        <f t="shared" si="3"/>
        <v>52</v>
      </c>
    </row>
    <row r="263" spans="3:21" x14ac:dyDescent="0.25">
      <c r="C263" s="24"/>
      <c r="D263" s="20"/>
      <c r="E263" s="4"/>
      <c r="F263" s="37"/>
      <c r="G263" s="38"/>
      <c r="H263" s="31">
        <f>_xlfn.XLOOKUP(PO[[#This Row],[Supplier name]], Supplier_master[Supplier name], Supplier_master[Category L1], 0)</f>
        <v>0</v>
      </c>
      <c r="I263" s="31">
        <f>_xlfn.XLOOKUP(PO[[#This Row],[Supplier name]], Supplier_master[Supplier name], Supplier_master[Category L2], 0)</f>
        <v>0</v>
      </c>
      <c r="J263" s="55"/>
      <c r="K263" s="55"/>
      <c r="L263" s="31">
        <f>IF(PO[[#This Row],[Spend category L1 - Override]] &lt;&gt; "", PO[[#This Row],[Spend category L1 - Override]], PO[[#This Row],[Spend category L1]])</f>
        <v>0</v>
      </c>
      <c r="M263" s="31">
        <f>IF(PO[[#This Row],[Spend category L2 - Override]] &lt;&gt; "", PO[[#This Row],[Spend category L2 - Override]], PO[[#This Row],[Spend category L2]])</f>
        <v>0</v>
      </c>
      <c r="N263" s="63">
        <f>Assumptions!$D$15</f>
        <v>0.1</v>
      </c>
      <c r="O263" s="45">
        <f>IF(PO[[#This Row],[GST applies?]] = "Yes", (PO[[#This Row],[Value inc. GST]] / 1 + PO[[#This Row],[GST %]]) * PO[[#This Row],[GST %]], 0)</f>
        <v>0</v>
      </c>
      <c r="P263" s="31">
        <f>_xlfn.XLOOKUP(PO[[#This Row],[Supplier name]], Supplier_master[Supplier name], Supplier_master[EOM or Net], 0)</f>
        <v>0</v>
      </c>
      <c r="Q263" s="31">
        <f>_xlfn.XLOOKUP(PO[[#This Row],[Supplier name]], Supplier_master[Supplier name], Supplier_master[Terms days], 0)</f>
        <v>0</v>
      </c>
      <c r="R2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3" s="4"/>
      <c r="T263" s="46">
        <f>IF(PO[[#This Row],[Payment date - override (dd/mm/yyyy)]] &lt;&gt; "", PO[[#This Row],[Payment date - override (dd/mm/yyyy)]], PO[[#This Row],[Due date (dd/mm/yyyy)]])</f>
        <v>0</v>
      </c>
      <c r="U263" s="46">
        <f t="shared" si="3"/>
        <v>52</v>
      </c>
    </row>
    <row r="264" spans="3:21" x14ac:dyDescent="0.25">
      <c r="C264" s="24"/>
      <c r="D264" s="20"/>
      <c r="E264" s="4"/>
      <c r="F264" s="37"/>
      <c r="G264" s="38"/>
      <c r="H264" s="31">
        <f>_xlfn.XLOOKUP(PO[[#This Row],[Supplier name]], Supplier_master[Supplier name], Supplier_master[Category L1], 0)</f>
        <v>0</v>
      </c>
      <c r="I264" s="31">
        <f>_xlfn.XLOOKUP(PO[[#This Row],[Supplier name]], Supplier_master[Supplier name], Supplier_master[Category L2], 0)</f>
        <v>0</v>
      </c>
      <c r="J264" s="55"/>
      <c r="K264" s="55"/>
      <c r="L264" s="31">
        <f>IF(PO[[#This Row],[Spend category L1 - Override]] &lt;&gt; "", PO[[#This Row],[Spend category L1 - Override]], PO[[#This Row],[Spend category L1]])</f>
        <v>0</v>
      </c>
      <c r="M264" s="31">
        <f>IF(PO[[#This Row],[Spend category L2 - Override]] &lt;&gt; "", PO[[#This Row],[Spend category L2 - Override]], PO[[#This Row],[Spend category L2]])</f>
        <v>0</v>
      </c>
      <c r="N264" s="63">
        <f>Assumptions!$D$15</f>
        <v>0.1</v>
      </c>
      <c r="O264" s="45">
        <f>IF(PO[[#This Row],[GST applies?]] = "Yes", (PO[[#This Row],[Value inc. GST]] / 1 + PO[[#This Row],[GST %]]) * PO[[#This Row],[GST %]], 0)</f>
        <v>0</v>
      </c>
      <c r="P264" s="31">
        <f>_xlfn.XLOOKUP(PO[[#This Row],[Supplier name]], Supplier_master[Supplier name], Supplier_master[EOM or Net], 0)</f>
        <v>0</v>
      </c>
      <c r="Q264" s="31">
        <f>_xlfn.XLOOKUP(PO[[#This Row],[Supplier name]], Supplier_master[Supplier name], Supplier_master[Terms days], 0)</f>
        <v>0</v>
      </c>
      <c r="R2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4" s="4"/>
      <c r="T264" s="46">
        <f>IF(PO[[#This Row],[Payment date - override (dd/mm/yyyy)]] &lt;&gt; "", PO[[#This Row],[Payment date - override (dd/mm/yyyy)]], PO[[#This Row],[Due date (dd/mm/yyyy)]])</f>
        <v>0</v>
      </c>
      <c r="U264" s="46">
        <f t="shared" si="3"/>
        <v>52</v>
      </c>
    </row>
    <row r="265" spans="3:21" x14ac:dyDescent="0.25">
      <c r="C265" s="24"/>
      <c r="D265" s="20"/>
      <c r="E265" s="4"/>
      <c r="F265" s="37"/>
      <c r="G265" s="38"/>
      <c r="H265" s="31">
        <f>_xlfn.XLOOKUP(PO[[#This Row],[Supplier name]], Supplier_master[Supplier name], Supplier_master[Category L1], 0)</f>
        <v>0</v>
      </c>
      <c r="I265" s="31">
        <f>_xlfn.XLOOKUP(PO[[#This Row],[Supplier name]], Supplier_master[Supplier name], Supplier_master[Category L2], 0)</f>
        <v>0</v>
      </c>
      <c r="J265" s="55"/>
      <c r="K265" s="55"/>
      <c r="L265" s="31">
        <f>IF(PO[[#This Row],[Spend category L1 - Override]] &lt;&gt; "", PO[[#This Row],[Spend category L1 - Override]], PO[[#This Row],[Spend category L1]])</f>
        <v>0</v>
      </c>
      <c r="M265" s="31">
        <f>IF(PO[[#This Row],[Spend category L2 - Override]] &lt;&gt; "", PO[[#This Row],[Spend category L2 - Override]], PO[[#This Row],[Spend category L2]])</f>
        <v>0</v>
      </c>
      <c r="N265" s="63">
        <f>Assumptions!$D$15</f>
        <v>0.1</v>
      </c>
      <c r="O265" s="45">
        <f>IF(PO[[#This Row],[GST applies?]] = "Yes", (PO[[#This Row],[Value inc. GST]] / 1 + PO[[#This Row],[GST %]]) * PO[[#This Row],[GST %]], 0)</f>
        <v>0</v>
      </c>
      <c r="P265" s="31">
        <f>_xlfn.XLOOKUP(PO[[#This Row],[Supplier name]], Supplier_master[Supplier name], Supplier_master[EOM or Net], 0)</f>
        <v>0</v>
      </c>
      <c r="Q265" s="31">
        <f>_xlfn.XLOOKUP(PO[[#This Row],[Supplier name]], Supplier_master[Supplier name], Supplier_master[Terms days], 0)</f>
        <v>0</v>
      </c>
      <c r="R2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5" s="4"/>
      <c r="T265" s="46">
        <f>IF(PO[[#This Row],[Payment date - override (dd/mm/yyyy)]] &lt;&gt; "", PO[[#This Row],[Payment date - override (dd/mm/yyyy)]], PO[[#This Row],[Due date (dd/mm/yyyy)]])</f>
        <v>0</v>
      </c>
      <c r="U265" s="46">
        <f t="shared" ref="U265:U328" si="4">IF(GST_Freq="Monthly",
    DATE(YEAR(E265), MONTH(E265) + 1, 21),
    IF(GST_Freq="Quarterly",
        IF(MOD(MONTH(E265) + 2 - MOD(MOD(MONTH(E265) - GST_First_Month, 12), 3), 12) = 0,
            DATE(YEAR(E265), MONTH(E265) + 4 - MOD(MOD(MONTH(E265) - GST_First_Month, 12), 3), 28),
            DATE(YEAR(E265), MONTH(E265) + 3 - MOD(MOD(MONTH(E265) - GST_First_Month, 12), 3), 28)
        ),
        "Invalid frequency"
    )
)</f>
        <v>52</v>
      </c>
    </row>
    <row r="266" spans="3:21" x14ac:dyDescent="0.25">
      <c r="C266" s="24"/>
      <c r="D266" s="20"/>
      <c r="E266" s="4"/>
      <c r="F266" s="37"/>
      <c r="G266" s="38"/>
      <c r="H266" s="31">
        <f>_xlfn.XLOOKUP(PO[[#This Row],[Supplier name]], Supplier_master[Supplier name], Supplier_master[Category L1], 0)</f>
        <v>0</v>
      </c>
      <c r="I266" s="31">
        <f>_xlfn.XLOOKUP(PO[[#This Row],[Supplier name]], Supplier_master[Supplier name], Supplier_master[Category L2], 0)</f>
        <v>0</v>
      </c>
      <c r="J266" s="55"/>
      <c r="K266" s="55"/>
      <c r="L266" s="31">
        <f>IF(PO[[#This Row],[Spend category L1 - Override]] &lt;&gt; "", PO[[#This Row],[Spend category L1 - Override]], PO[[#This Row],[Spend category L1]])</f>
        <v>0</v>
      </c>
      <c r="M266" s="31">
        <f>IF(PO[[#This Row],[Spend category L2 - Override]] &lt;&gt; "", PO[[#This Row],[Spend category L2 - Override]], PO[[#This Row],[Spend category L2]])</f>
        <v>0</v>
      </c>
      <c r="N266" s="63">
        <f>Assumptions!$D$15</f>
        <v>0.1</v>
      </c>
      <c r="O266" s="45">
        <f>IF(PO[[#This Row],[GST applies?]] = "Yes", (PO[[#This Row],[Value inc. GST]] / 1 + PO[[#This Row],[GST %]]) * PO[[#This Row],[GST %]], 0)</f>
        <v>0</v>
      </c>
      <c r="P266" s="31">
        <f>_xlfn.XLOOKUP(PO[[#This Row],[Supplier name]], Supplier_master[Supplier name], Supplier_master[EOM or Net], 0)</f>
        <v>0</v>
      </c>
      <c r="Q266" s="31">
        <f>_xlfn.XLOOKUP(PO[[#This Row],[Supplier name]], Supplier_master[Supplier name], Supplier_master[Terms days], 0)</f>
        <v>0</v>
      </c>
      <c r="R2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6" s="4"/>
      <c r="T266" s="46">
        <f>IF(PO[[#This Row],[Payment date - override (dd/mm/yyyy)]] &lt;&gt; "", PO[[#This Row],[Payment date - override (dd/mm/yyyy)]], PO[[#This Row],[Due date (dd/mm/yyyy)]])</f>
        <v>0</v>
      </c>
      <c r="U266" s="46">
        <f t="shared" si="4"/>
        <v>52</v>
      </c>
    </row>
    <row r="267" spans="3:21" x14ac:dyDescent="0.25">
      <c r="C267" s="24"/>
      <c r="D267" s="20"/>
      <c r="E267" s="4"/>
      <c r="F267" s="37"/>
      <c r="G267" s="38"/>
      <c r="H267" s="31">
        <f>_xlfn.XLOOKUP(PO[[#This Row],[Supplier name]], Supplier_master[Supplier name], Supplier_master[Category L1], 0)</f>
        <v>0</v>
      </c>
      <c r="I267" s="31">
        <f>_xlfn.XLOOKUP(PO[[#This Row],[Supplier name]], Supplier_master[Supplier name], Supplier_master[Category L2], 0)</f>
        <v>0</v>
      </c>
      <c r="J267" s="55"/>
      <c r="K267" s="55"/>
      <c r="L267" s="31">
        <f>IF(PO[[#This Row],[Spend category L1 - Override]] &lt;&gt; "", PO[[#This Row],[Spend category L1 - Override]], PO[[#This Row],[Spend category L1]])</f>
        <v>0</v>
      </c>
      <c r="M267" s="31">
        <f>IF(PO[[#This Row],[Spend category L2 - Override]] &lt;&gt; "", PO[[#This Row],[Spend category L2 - Override]], PO[[#This Row],[Spend category L2]])</f>
        <v>0</v>
      </c>
      <c r="N267" s="63">
        <f>Assumptions!$D$15</f>
        <v>0.1</v>
      </c>
      <c r="O267" s="45">
        <f>IF(PO[[#This Row],[GST applies?]] = "Yes", (PO[[#This Row],[Value inc. GST]] / 1 + PO[[#This Row],[GST %]]) * PO[[#This Row],[GST %]], 0)</f>
        <v>0</v>
      </c>
      <c r="P267" s="31">
        <f>_xlfn.XLOOKUP(PO[[#This Row],[Supplier name]], Supplier_master[Supplier name], Supplier_master[EOM or Net], 0)</f>
        <v>0</v>
      </c>
      <c r="Q267" s="31">
        <f>_xlfn.XLOOKUP(PO[[#This Row],[Supplier name]], Supplier_master[Supplier name], Supplier_master[Terms days], 0)</f>
        <v>0</v>
      </c>
      <c r="R2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7" s="4"/>
      <c r="T267" s="46">
        <f>IF(PO[[#This Row],[Payment date - override (dd/mm/yyyy)]] &lt;&gt; "", PO[[#This Row],[Payment date - override (dd/mm/yyyy)]], PO[[#This Row],[Due date (dd/mm/yyyy)]])</f>
        <v>0</v>
      </c>
      <c r="U267" s="46">
        <f t="shared" si="4"/>
        <v>52</v>
      </c>
    </row>
    <row r="268" spans="3:21" x14ac:dyDescent="0.25">
      <c r="C268" s="24"/>
      <c r="D268" s="20"/>
      <c r="E268" s="4"/>
      <c r="F268" s="37"/>
      <c r="G268" s="38"/>
      <c r="H268" s="31">
        <f>_xlfn.XLOOKUP(PO[[#This Row],[Supplier name]], Supplier_master[Supplier name], Supplier_master[Category L1], 0)</f>
        <v>0</v>
      </c>
      <c r="I268" s="31">
        <f>_xlfn.XLOOKUP(PO[[#This Row],[Supplier name]], Supplier_master[Supplier name], Supplier_master[Category L2], 0)</f>
        <v>0</v>
      </c>
      <c r="J268" s="55"/>
      <c r="K268" s="55"/>
      <c r="L268" s="31">
        <f>IF(PO[[#This Row],[Spend category L1 - Override]] &lt;&gt; "", PO[[#This Row],[Spend category L1 - Override]], PO[[#This Row],[Spend category L1]])</f>
        <v>0</v>
      </c>
      <c r="M268" s="31">
        <f>IF(PO[[#This Row],[Spend category L2 - Override]] &lt;&gt; "", PO[[#This Row],[Spend category L2 - Override]], PO[[#This Row],[Spend category L2]])</f>
        <v>0</v>
      </c>
      <c r="N268" s="63">
        <f>Assumptions!$D$15</f>
        <v>0.1</v>
      </c>
      <c r="O268" s="45">
        <f>IF(PO[[#This Row],[GST applies?]] = "Yes", (PO[[#This Row],[Value inc. GST]] / 1 + PO[[#This Row],[GST %]]) * PO[[#This Row],[GST %]], 0)</f>
        <v>0</v>
      </c>
      <c r="P268" s="31">
        <f>_xlfn.XLOOKUP(PO[[#This Row],[Supplier name]], Supplier_master[Supplier name], Supplier_master[EOM or Net], 0)</f>
        <v>0</v>
      </c>
      <c r="Q268" s="31">
        <f>_xlfn.XLOOKUP(PO[[#This Row],[Supplier name]], Supplier_master[Supplier name], Supplier_master[Terms days], 0)</f>
        <v>0</v>
      </c>
      <c r="R2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8" s="4"/>
      <c r="T268" s="46">
        <f>IF(PO[[#This Row],[Payment date - override (dd/mm/yyyy)]] &lt;&gt; "", PO[[#This Row],[Payment date - override (dd/mm/yyyy)]], PO[[#This Row],[Due date (dd/mm/yyyy)]])</f>
        <v>0</v>
      </c>
      <c r="U268" s="46">
        <f t="shared" si="4"/>
        <v>52</v>
      </c>
    </row>
    <row r="269" spans="3:21" x14ac:dyDescent="0.25">
      <c r="C269" s="24"/>
      <c r="D269" s="20"/>
      <c r="E269" s="4"/>
      <c r="F269" s="37"/>
      <c r="G269" s="38"/>
      <c r="H269" s="31">
        <f>_xlfn.XLOOKUP(PO[[#This Row],[Supplier name]], Supplier_master[Supplier name], Supplier_master[Category L1], 0)</f>
        <v>0</v>
      </c>
      <c r="I269" s="31">
        <f>_xlfn.XLOOKUP(PO[[#This Row],[Supplier name]], Supplier_master[Supplier name], Supplier_master[Category L2], 0)</f>
        <v>0</v>
      </c>
      <c r="J269" s="55"/>
      <c r="K269" s="55"/>
      <c r="L269" s="31">
        <f>IF(PO[[#This Row],[Spend category L1 - Override]] &lt;&gt; "", PO[[#This Row],[Spend category L1 - Override]], PO[[#This Row],[Spend category L1]])</f>
        <v>0</v>
      </c>
      <c r="M269" s="31">
        <f>IF(PO[[#This Row],[Spend category L2 - Override]] &lt;&gt; "", PO[[#This Row],[Spend category L2 - Override]], PO[[#This Row],[Spend category L2]])</f>
        <v>0</v>
      </c>
      <c r="N269" s="63">
        <f>Assumptions!$D$15</f>
        <v>0.1</v>
      </c>
      <c r="O269" s="45">
        <f>IF(PO[[#This Row],[GST applies?]] = "Yes", (PO[[#This Row],[Value inc. GST]] / 1 + PO[[#This Row],[GST %]]) * PO[[#This Row],[GST %]], 0)</f>
        <v>0</v>
      </c>
      <c r="P269" s="31">
        <f>_xlfn.XLOOKUP(PO[[#This Row],[Supplier name]], Supplier_master[Supplier name], Supplier_master[EOM or Net], 0)</f>
        <v>0</v>
      </c>
      <c r="Q269" s="31">
        <f>_xlfn.XLOOKUP(PO[[#This Row],[Supplier name]], Supplier_master[Supplier name], Supplier_master[Terms days], 0)</f>
        <v>0</v>
      </c>
      <c r="R2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9" s="4"/>
      <c r="T269" s="46">
        <f>IF(PO[[#This Row],[Payment date - override (dd/mm/yyyy)]] &lt;&gt; "", PO[[#This Row],[Payment date - override (dd/mm/yyyy)]], PO[[#This Row],[Due date (dd/mm/yyyy)]])</f>
        <v>0</v>
      </c>
      <c r="U269" s="46">
        <f t="shared" si="4"/>
        <v>52</v>
      </c>
    </row>
    <row r="270" spans="3:21" x14ac:dyDescent="0.25">
      <c r="C270" s="24"/>
      <c r="D270" s="20"/>
      <c r="E270" s="4"/>
      <c r="F270" s="37"/>
      <c r="G270" s="38"/>
      <c r="H270" s="31">
        <f>_xlfn.XLOOKUP(PO[[#This Row],[Supplier name]], Supplier_master[Supplier name], Supplier_master[Category L1], 0)</f>
        <v>0</v>
      </c>
      <c r="I270" s="31">
        <f>_xlfn.XLOOKUP(PO[[#This Row],[Supplier name]], Supplier_master[Supplier name], Supplier_master[Category L2], 0)</f>
        <v>0</v>
      </c>
      <c r="J270" s="55"/>
      <c r="K270" s="55"/>
      <c r="L270" s="31">
        <f>IF(PO[[#This Row],[Spend category L1 - Override]] &lt;&gt; "", PO[[#This Row],[Spend category L1 - Override]], PO[[#This Row],[Spend category L1]])</f>
        <v>0</v>
      </c>
      <c r="M270" s="31">
        <f>IF(PO[[#This Row],[Spend category L2 - Override]] &lt;&gt; "", PO[[#This Row],[Spend category L2 - Override]], PO[[#This Row],[Spend category L2]])</f>
        <v>0</v>
      </c>
      <c r="N270" s="63">
        <f>Assumptions!$D$15</f>
        <v>0.1</v>
      </c>
      <c r="O270" s="45">
        <f>IF(PO[[#This Row],[GST applies?]] = "Yes", (PO[[#This Row],[Value inc. GST]] / 1 + PO[[#This Row],[GST %]]) * PO[[#This Row],[GST %]], 0)</f>
        <v>0</v>
      </c>
      <c r="P270" s="31">
        <f>_xlfn.XLOOKUP(PO[[#This Row],[Supplier name]], Supplier_master[Supplier name], Supplier_master[EOM or Net], 0)</f>
        <v>0</v>
      </c>
      <c r="Q270" s="31">
        <f>_xlfn.XLOOKUP(PO[[#This Row],[Supplier name]], Supplier_master[Supplier name], Supplier_master[Terms days], 0)</f>
        <v>0</v>
      </c>
      <c r="R2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0" s="4"/>
      <c r="T270" s="46">
        <f>IF(PO[[#This Row],[Payment date - override (dd/mm/yyyy)]] &lt;&gt; "", PO[[#This Row],[Payment date - override (dd/mm/yyyy)]], PO[[#This Row],[Due date (dd/mm/yyyy)]])</f>
        <v>0</v>
      </c>
      <c r="U270" s="46">
        <f t="shared" si="4"/>
        <v>52</v>
      </c>
    </row>
    <row r="271" spans="3:21" x14ac:dyDescent="0.25">
      <c r="C271" s="24"/>
      <c r="D271" s="20"/>
      <c r="E271" s="4"/>
      <c r="F271" s="37"/>
      <c r="G271" s="38"/>
      <c r="H271" s="31">
        <f>_xlfn.XLOOKUP(PO[[#This Row],[Supplier name]], Supplier_master[Supplier name], Supplier_master[Category L1], 0)</f>
        <v>0</v>
      </c>
      <c r="I271" s="31">
        <f>_xlfn.XLOOKUP(PO[[#This Row],[Supplier name]], Supplier_master[Supplier name], Supplier_master[Category L2], 0)</f>
        <v>0</v>
      </c>
      <c r="J271" s="55"/>
      <c r="K271" s="55"/>
      <c r="L271" s="31">
        <f>IF(PO[[#This Row],[Spend category L1 - Override]] &lt;&gt; "", PO[[#This Row],[Spend category L1 - Override]], PO[[#This Row],[Spend category L1]])</f>
        <v>0</v>
      </c>
      <c r="M271" s="31">
        <f>IF(PO[[#This Row],[Spend category L2 - Override]] &lt;&gt; "", PO[[#This Row],[Spend category L2 - Override]], PO[[#This Row],[Spend category L2]])</f>
        <v>0</v>
      </c>
      <c r="N271" s="63">
        <f>Assumptions!$D$15</f>
        <v>0.1</v>
      </c>
      <c r="O271" s="45">
        <f>IF(PO[[#This Row],[GST applies?]] = "Yes", (PO[[#This Row],[Value inc. GST]] / 1 + PO[[#This Row],[GST %]]) * PO[[#This Row],[GST %]], 0)</f>
        <v>0</v>
      </c>
      <c r="P271" s="31">
        <f>_xlfn.XLOOKUP(PO[[#This Row],[Supplier name]], Supplier_master[Supplier name], Supplier_master[EOM or Net], 0)</f>
        <v>0</v>
      </c>
      <c r="Q271" s="31">
        <f>_xlfn.XLOOKUP(PO[[#This Row],[Supplier name]], Supplier_master[Supplier name], Supplier_master[Terms days], 0)</f>
        <v>0</v>
      </c>
      <c r="R2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1" s="4"/>
      <c r="T271" s="46">
        <f>IF(PO[[#This Row],[Payment date - override (dd/mm/yyyy)]] &lt;&gt; "", PO[[#This Row],[Payment date - override (dd/mm/yyyy)]], PO[[#This Row],[Due date (dd/mm/yyyy)]])</f>
        <v>0</v>
      </c>
      <c r="U271" s="46">
        <f t="shared" si="4"/>
        <v>52</v>
      </c>
    </row>
    <row r="272" spans="3:21" x14ac:dyDescent="0.25">
      <c r="C272" s="24"/>
      <c r="D272" s="20"/>
      <c r="E272" s="4"/>
      <c r="F272" s="37"/>
      <c r="G272" s="38"/>
      <c r="H272" s="31">
        <f>_xlfn.XLOOKUP(PO[[#This Row],[Supplier name]], Supplier_master[Supplier name], Supplier_master[Category L1], 0)</f>
        <v>0</v>
      </c>
      <c r="I272" s="31">
        <f>_xlfn.XLOOKUP(PO[[#This Row],[Supplier name]], Supplier_master[Supplier name], Supplier_master[Category L2], 0)</f>
        <v>0</v>
      </c>
      <c r="J272" s="55"/>
      <c r="K272" s="55"/>
      <c r="L272" s="31">
        <f>IF(PO[[#This Row],[Spend category L1 - Override]] &lt;&gt; "", PO[[#This Row],[Spend category L1 - Override]], PO[[#This Row],[Spend category L1]])</f>
        <v>0</v>
      </c>
      <c r="M272" s="31">
        <f>IF(PO[[#This Row],[Spend category L2 - Override]] &lt;&gt; "", PO[[#This Row],[Spend category L2 - Override]], PO[[#This Row],[Spend category L2]])</f>
        <v>0</v>
      </c>
      <c r="N272" s="63">
        <f>Assumptions!$D$15</f>
        <v>0.1</v>
      </c>
      <c r="O272" s="45">
        <f>IF(PO[[#This Row],[GST applies?]] = "Yes", (PO[[#This Row],[Value inc. GST]] / 1 + PO[[#This Row],[GST %]]) * PO[[#This Row],[GST %]], 0)</f>
        <v>0</v>
      </c>
      <c r="P272" s="31">
        <f>_xlfn.XLOOKUP(PO[[#This Row],[Supplier name]], Supplier_master[Supplier name], Supplier_master[EOM or Net], 0)</f>
        <v>0</v>
      </c>
      <c r="Q272" s="31">
        <f>_xlfn.XLOOKUP(PO[[#This Row],[Supplier name]], Supplier_master[Supplier name], Supplier_master[Terms days], 0)</f>
        <v>0</v>
      </c>
      <c r="R2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2" s="4"/>
      <c r="T272" s="46">
        <f>IF(PO[[#This Row],[Payment date - override (dd/mm/yyyy)]] &lt;&gt; "", PO[[#This Row],[Payment date - override (dd/mm/yyyy)]], PO[[#This Row],[Due date (dd/mm/yyyy)]])</f>
        <v>0</v>
      </c>
      <c r="U272" s="46">
        <f t="shared" si="4"/>
        <v>52</v>
      </c>
    </row>
    <row r="273" spans="3:21" x14ac:dyDescent="0.25">
      <c r="C273" s="24"/>
      <c r="D273" s="20"/>
      <c r="E273" s="4"/>
      <c r="F273" s="37"/>
      <c r="G273" s="38"/>
      <c r="H273" s="31">
        <f>_xlfn.XLOOKUP(PO[[#This Row],[Supplier name]], Supplier_master[Supplier name], Supplier_master[Category L1], 0)</f>
        <v>0</v>
      </c>
      <c r="I273" s="31">
        <f>_xlfn.XLOOKUP(PO[[#This Row],[Supplier name]], Supplier_master[Supplier name], Supplier_master[Category L2], 0)</f>
        <v>0</v>
      </c>
      <c r="J273" s="55"/>
      <c r="K273" s="55"/>
      <c r="L273" s="31">
        <f>IF(PO[[#This Row],[Spend category L1 - Override]] &lt;&gt; "", PO[[#This Row],[Spend category L1 - Override]], PO[[#This Row],[Spend category L1]])</f>
        <v>0</v>
      </c>
      <c r="M273" s="31">
        <f>IF(PO[[#This Row],[Spend category L2 - Override]] &lt;&gt; "", PO[[#This Row],[Spend category L2 - Override]], PO[[#This Row],[Spend category L2]])</f>
        <v>0</v>
      </c>
      <c r="N273" s="63">
        <f>Assumptions!$D$15</f>
        <v>0.1</v>
      </c>
      <c r="O273" s="45">
        <f>IF(PO[[#This Row],[GST applies?]] = "Yes", (PO[[#This Row],[Value inc. GST]] / 1 + PO[[#This Row],[GST %]]) * PO[[#This Row],[GST %]], 0)</f>
        <v>0</v>
      </c>
      <c r="P273" s="31">
        <f>_xlfn.XLOOKUP(PO[[#This Row],[Supplier name]], Supplier_master[Supplier name], Supplier_master[EOM or Net], 0)</f>
        <v>0</v>
      </c>
      <c r="Q273" s="31">
        <f>_xlfn.XLOOKUP(PO[[#This Row],[Supplier name]], Supplier_master[Supplier name], Supplier_master[Terms days], 0)</f>
        <v>0</v>
      </c>
      <c r="R2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3" s="4"/>
      <c r="T273" s="46">
        <f>IF(PO[[#This Row],[Payment date - override (dd/mm/yyyy)]] &lt;&gt; "", PO[[#This Row],[Payment date - override (dd/mm/yyyy)]], PO[[#This Row],[Due date (dd/mm/yyyy)]])</f>
        <v>0</v>
      </c>
      <c r="U273" s="46">
        <f t="shared" si="4"/>
        <v>52</v>
      </c>
    </row>
    <row r="274" spans="3:21" x14ac:dyDescent="0.25">
      <c r="C274" s="24"/>
      <c r="D274" s="20"/>
      <c r="E274" s="4"/>
      <c r="F274" s="37"/>
      <c r="G274" s="38"/>
      <c r="H274" s="31">
        <f>_xlfn.XLOOKUP(PO[[#This Row],[Supplier name]], Supplier_master[Supplier name], Supplier_master[Category L1], 0)</f>
        <v>0</v>
      </c>
      <c r="I274" s="31">
        <f>_xlfn.XLOOKUP(PO[[#This Row],[Supplier name]], Supplier_master[Supplier name], Supplier_master[Category L2], 0)</f>
        <v>0</v>
      </c>
      <c r="J274" s="55"/>
      <c r="K274" s="55"/>
      <c r="L274" s="31">
        <f>IF(PO[[#This Row],[Spend category L1 - Override]] &lt;&gt; "", PO[[#This Row],[Spend category L1 - Override]], PO[[#This Row],[Spend category L1]])</f>
        <v>0</v>
      </c>
      <c r="M274" s="31">
        <f>IF(PO[[#This Row],[Spend category L2 - Override]] &lt;&gt; "", PO[[#This Row],[Spend category L2 - Override]], PO[[#This Row],[Spend category L2]])</f>
        <v>0</v>
      </c>
      <c r="N274" s="63">
        <f>Assumptions!$D$15</f>
        <v>0.1</v>
      </c>
      <c r="O274" s="45">
        <f>IF(PO[[#This Row],[GST applies?]] = "Yes", (PO[[#This Row],[Value inc. GST]] / 1 + PO[[#This Row],[GST %]]) * PO[[#This Row],[GST %]], 0)</f>
        <v>0</v>
      </c>
      <c r="P274" s="31">
        <f>_xlfn.XLOOKUP(PO[[#This Row],[Supplier name]], Supplier_master[Supplier name], Supplier_master[EOM or Net], 0)</f>
        <v>0</v>
      </c>
      <c r="Q274" s="31">
        <f>_xlfn.XLOOKUP(PO[[#This Row],[Supplier name]], Supplier_master[Supplier name], Supplier_master[Terms days], 0)</f>
        <v>0</v>
      </c>
      <c r="R2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4" s="4"/>
      <c r="T274" s="46">
        <f>IF(PO[[#This Row],[Payment date - override (dd/mm/yyyy)]] &lt;&gt; "", PO[[#This Row],[Payment date - override (dd/mm/yyyy)]], PO[[#This Row],[Due date (dd/mm/yyyy)]])</f>
        <v>0</v>
      </c>
      <c r="U274" s="46">
        <f t="shared" si="4"/>
        <v>52</v>
      </c>
    </row>
    <row r="275" spans="3:21" x14ac:dyDescent="0.25">
      <c r="C275" s="24"/>
      <c r="D275" s="20"/>
      <c r="E275" s="4"/>
      <c r="F275" s="37"/>
      <c r="G275" s="38"/>
      <c r="H275" s="31">
        <f>_xlfn.XLOOKUP(PO[[#This Row],[Supplier name]], Supplier_master[Supplier name], Supplier_master[Category L1], 0)</f>
        <v>0</v>
      </c>
      <c r="I275" s="31">
        <f>_xlfn.XLOOKUP(PO[[#This Row],[Supplier name]], Supplier_master[Supplier name], Supplier_master[Category L2], 0)</f>
        <v>0</v>
      </c>
      <c r="J275" s="55"/>
      <c r="K275" s="55"/>
      <c r="L275" s="31">
        <f>IF(PO[[#This Row],[Spend category L1 - Override]] &lt;&gt; "", PO[[#This Row],[Spend category L1 - Override]], PO[[#This Row],[Spend category L1]])</f>
        <v>0</v>
      </c>
      <c r="M275" s="31">
        <f>IF(PO[[#This Row],[Spend category L2 - Override]] &lt;&gt; "", PO[[#This Row],[Spend category L2 - Override]], PO[[#This Row],[Spend category L2]])</f>
        <v>0</v>
      </c>
      <c r="N275" s="63">
        <f>Assumptions!$D$15</f>
        <v>0.1</v>
      </c>
      <c r="O275" s="45">
        <f>IF(PO[[#This Row],[GST applies?]] = "Yes", (PO[[#This Row],[Value inc. GST]] / 1 + PO[[#This Row],[GST %]]) * PO[[#This Row],[GST %]], 0)</f>
        <v>0</v>
      </c>
      <c r="P275" s="31">
        <f>_xlfn.XLOOKUP(PO[[#This Row],[Supplier name]], Supplier_master[Supplier name], Supplier_master[EOM or Net], 0)</f>
        <v>0</v>
      </c>
      <c r="Q275" s="31">
        <f>_xlfn.XLOOKUP(PO[[#This Row],[Supplier name]], Supplier_master[Supplier name], Supplier_master[Terms days], 0)</f>
        <v>0</v>
      </c>
      <c r="R2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5" s="4"/>
      <c r="T275" s="46">
        <f>IF(PO[[#This Row],[Payment date - override (dd/mm/yyyy)]] &lt;&gt; "", PO[[#This Row],[Payment date - override (dd/mm/yyyy)]], PO[[#This Row],[Due date (dd/mm/yyyy)]])</f>
        <v>0</v>
      </c>
      <c r="U275" s="46">
        <f t="shared" si="4"/>
        <v>52</v>
      </c>
    </row>
    <row r="276" spans="3:21" x14ac:dyDescent="0.25">
      <c r="C276" s="24"/>
      <c r="D276" s="20"/>
      <c r="E276" s="4"/>
      <c r="F276" s="37"/>
      <c r="G276" s="38"/>
      <c r="H276" s="31">
        <f>_xlfn.XLOOKUP(PO[[#This Row],[Supplier name]], Supplier_master[Supplier name], Supplier_master[Category L1], 0)</f>
        <v>0</v>
      </c>
      <c r="I276" s="31">
        <f>_xlfn.XLOOKUP(PO[[#This Row],[Supplier name]], Supplier_master[Supplier name], Supplier_master[Category L2], 0)</f>
        <v>0</v>
      </c>
      <c r="J276" s="55"/>
      <c r="K276" s="55"/>
      <c r="L276" s="31">
        <f>IF(PO[[#This Row],[Spend category L1 - Override]] &lt;&gt; "", PO[[#This Row],[Spend category L1 - Override]], PO[[#This Row],[Spend category L1]])</f>
        <v>0</v>
      </c>
      <c r="M276" s="31">
        <f>IF(PO[[#This Row],[Spend category L2 - Override]] &lt;&gt; "", PO[[#This Row],[Spend category L2 - Override]], PO[[#This Row],[Spend category L2]])</f>
        <v>0</v>
      </c>
      <c r="N276" s="63">
        <f>Assumptions!$D$15</f>
        <v>0.1</v>
      </c>
      <c r="O276" s="45">
        <f>IF(PO[[#This Row],[GST applies?]] = "Yes", (PO[[#This Row],[Value inc. GST]] / 1 + PO[[#This Row],[GST %]]) * PO[[#This Row],[GST %]], 0)</f>
        <v>0</v>
      </c>
      <c r="P276" s="31">
        <f>_xlfn.XLOOKUP(PO[[#This Row],[Supplier name]], Supplier_master[Supplier name], Supplier_master[EOM or Net], 0)</f>
        <v>0</v>
      </c>
      <c r="Q276" s="31">
        <f>_xlfn.XLOOKUP(PO[[#This Row],[Supplier name]], Supplier_master[Supplier name], Supplier_master[Terms days], 0)</f>
        <v>0</v>
      </c>
      <c r="R2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6" s="4"/>
      <c r="T276" s="46">
        <f>IF(PO[[#This Row],[Payment date - override (dd/mm/yyyy)]] &lt;&gt; "", PO[[#This Row],[Payment date - override (dd/mm/yyyy)]], PO[[#This Row],[Due date (dd/mm/yyyy)]])</f>
        <v>0</v>
      </c>
      <c r="U276" s="46">
        <f t="shared" si="4"/>
        <v>52</v>
      </c>
    </row>
    <row r="277" spans="3:21" x14ac:dyDescent="0.25">
      <c r="C277" s="24"/>
      <c r="D277" s="20"/>
      <c r="E277" s="4"/>
      <c r="F277" s="37"/>
      <c r="G277" s="38"/>
      <c r="H277" s="31">
        <f>_xlfn.XLOOKUP(PO[[#This Row],[Supplier name]], Supplier_master[Supplier name], Supplier_master[Category L1], 0)</f>
        <v>0</v>
      </c>
      <c r="I277" s="31">
        <f>_xlfn.XLOOKUP(PO[[#This Row],[Supplier name]], Supplier_master[Supplier name], Supplier_master[Category L2], 0)</f>
        <v>0</v>
      </c>
      <c r="J277" s="55"/>
      <c r="K277" s="55"/>
      <c r="L277" s="31">
        <f>IF(PO[[#This Row],[Spend category L1 - Override]] &lt;&gt; "", PO[[#This Row],[Spend category L1 - Override]], PO[[#This Row],[Spend category L1]])</f>
        <v>0</v>
      </c>
      <c r="M277" s="31">
        <f>IF(PO[[#This Row],[Spend category L2 - Override]] &lt;&gt; "", PO[[#This Row],[Spend category L2 - Override]], PO[[#This Row],[Spend category L2]])</f>
        <v>0</v>
      </c>
      <c r="N277" s="63">
        <f>Assumptions!$D$15</f>
        <v>0.1</v>
      </c>
      <c r="O277" s="45">
        <f>IF(PO[[#This Row],[GST applies?]] = "Yes", (PO[[#This Row],[Value inc. GST]] / 1 + PO[[#This Row],[GST %]]) * PO[[#This Row],[GST %]], 0)</f>
        <v>0</v>
      </c>
      <c r="P277" s="31">
        <f>_xlfn.XLOOKUP(PO[[#This Row],[Supplier name]], Supplier_master[Supplier name], Supplier_master[EOM or Net], 0)</f>
        <v>0</v>
      </c>
      <c r="Q277" s="31">
        <f>_xlfn.XLOOKUP(PO[[#This Row],[Supplier name]], Supplier_master[Supplier name], Supplier_master[Terms days], 0)</f>
        <v>0</v>
      </c>
      <c r="R2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7" s="4"/>
      <c r="T277" s="46">
        <f>IF(PO[[#This Row],[Payment date - override (dd/mm/yyyy)]] &lt;&gt; "", PO[[#This Row],[Payment date - override (dd/mm/yyyy)]], PO[[#This Row],[Due date (dd/mm/yyyy)]])</f>
        <v>0</v>
      </c>
      <c r="U277" s="46">
        <f t="shared" si="4"/>
        <v>52</v>
      </c>
    </row>
    <row r="278" spans="3:21" x14ac:dyDescent="0.25">
      <c r="C278" s="24"/>
      <c r="D278" s="20"/>
      <c r="E278" s="4"/>
      <c r="F278" s="37"/>
      <c r="G278" s="38"/>
      <c r="H278" s="31">
        <f>_xlfn.XLOOKUP(PO[[#This Row],[Supplier name]], Supplier_master[Supplier name], Supplier_master[Category L1], 0)</f>
        <v>0</v>
      </c>
      <c r="I278" s="31">
        <f>_xlfn.XLOOKUP(PO[[#This Row],[Supplier name]], Supplier_master[Supplier name], Supplier_master[Category L2], 0)</f>
        <v>0</v>
      </c>
      <c r="J278" s="55"/>
      <c r="K278" s="55"/>
      <c r="L278" s="31">
        <f>IF(PO[[#This Row],[Spend category L1 - Override]] &lt;&gt; "", PO[[#This Row],[Spend category L1 - Override]], PO[[#This Row],[Spend category L1]])</f>
        <v>0</v>
      </c>
      <c r="M278" s="31">
        <f>IF(PO[[#This Row],[Spend category L2 - Override]] &lt;&gt; "", PO[[#This Row],[Spend category L2 - Override]], PO[[#This Row],[Spend category L2]])</f>
        <v>0</v>
      </c>
      <c r="N278" s="63">
        <f>Assumptions!$D$15</f>
        <v>0.1</v>
      </c>
      <c r="O278" s="45">
        <f>IF(PO[[#This Row],[GST applies?]] = "Yes", (PO[[#This Row],[Value inc. GST]] / 1 + PO[[#This Row],[GST %]]) * PO[[#This Row],[GST %]], 0)</f>
        <v>0</v>
      </c>
      <c r="P278" s="31">
        <f>_xlfn.XLOOKUP(PO[[#This Row],[Supplier name]], Supplier_master[Supplier name], Supplier_master[EOM or Net], 0)</f>
        <v>0</v>
      </c>
      <c r="Q278" s="31">
        <f>_xlfn.XLOOKUP(PO[[#This Row],[Supplier name]], Supplier_master[Supplier name], Supplier_master[Terms days], 0)</f>
        <v>0</v>
      </c>
      <c r="R2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8" s="4"/>
      <c r="T278" s="46">
        <f>IF(PO[[#This Row],[Payment date - override (dd/mm/yyyy)]] &lt;&gt; "", PO[[#This Row],[Payment date - override (dd/mm/yyyy)]], PO[[#This Row],[Due date (dd/mm/yyyy)]])</f>
        <v>0</v>
      </c>
      <c r="U278" s="46">
        <f t="shared" si="4"/>
        <v>52</v>
      </c>
    </row>
    <row r="279" spans="3:21" x14ac:dyDescent="0.25">
      <c r="C279" s="24"/>
      <c r="D279" s="20"/>
      <c r="E279" s="4"/>
      <c r="F279" s="37"/>
      <c r="G279" s="38"/>
      <c r="H279" s="31">
        <f>_xlfn.XLOOKUP(PO[[#This Row],[Supplier name]], Supplier_master[Supplier name], Supplier_master[Category L1], 0)</f>
        <v>0</v>
      </c>
      <c r="I279" s="31">
        <f>_xlfn.XLOOKUP(PO[[#This Row],[Supplier name]], Supplier_master[Supplier name], Supplier_master[Category L2], 0)</f>
        <v>0</v>
      </c>
      <c r="J279" s="55"/>
      <c r="K279" s="55"/>
      <c r="L279" s="31">
        <f>IF(PO[[#This Row],[Spend category L1 - Override]] &lt;&gt; "", PO[[#This Row],[Spend category L1 - Override]], PO[[#This Row],[Spend category L1]])</f>
        <v>0</v>
      </c>
      <c r="M279" s="31">
        <f>IF(PO[[#This Row],[Spend category L2 - Override]] &lt;&gt; "", PO[[#This Row],[Spend category L2 - Override]], PO[[#This Row],[Spend category L2]])</f>
        <v>0</v>
      </c>
      <c r="N279" s="63">
        <f>Assumptions!$D$15</f>
        <v>0.1</v>
      </c>
      <c r="O279" s="45">
        <f>IF(PO[[#This Row],[GST applies?]] = "Yes", (PO[[#This Row],[Value inc. GST]] / 1 + PO[[#This Row],[GST %]]) * PO[[#This Row],[GST %]], 0)</f>
        <v>0</v>
      </c>
      <c r="P279" s="31">
        <f>_xlfn.XLOOKUP(PO[[#This Row],[Supplier name]], Supplier_master[Supplier name], Supplier_master[EOM or Net], 0)</f>
        <v>0</v>
      </c>
      <c r="Q279" s="31">
        <f>_xlfn.XLOOKUP(PO[[#This Row],[Supplier name]], Supplier_master[Supplier name], Supplier_master[Terms days], 0)</f>
        <v>0</v>
      </c>
      <c r="R2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9" s="4"/>
      <c r="T279" s="46">
        <f>IF(PO[[#This Row],[Payment date - override (dd/mm/yyyy)]] &lt;&gt; "", PO[[#This Row],[Payment date - override (dd/mm/yyyy)]], PO[[#This Row],[Due date (dd/mm/yyyy)]])</f>
        <v>0</v>
      </c>
      <c r="U279" s="46">
        <f t="shared" si="4"/>
        <v>52</v>
      </c>
    </row>
    <row r="280" spans="3:21" x14ac:dyDescent="0.25">
      <c r="C280" s="24"/>
      <c r="D280" s="20"/>
      <c r="E280" s="4"/>
      <c r="F280" s="37"/>
      <c r="G280" s="38"/>
      <c r="H280" s="31">
        <f>_xlfn.XLOOKUP(PO[[#This Row],[Supplier name]], Supplier_master[Supplier name], Supplier_master[Category L1], 0)</f>
        <v>0</v>
      </c>
      <c r="I280" s="31">
        <f>_xlfn.XLOOKUP(PO[[#This Row],[Supplier name]], Supplier_master[Supplier name], Supplier_master[Category L2], 0)</f>
        <v>0</v>
      </c>
      <c r="J280" s="55"/>
      <c r="K280" s="55"/>
      <c r="L280" s="31">
        <f>IF(PO[[#This Row],[Spend category L1 - Override]] &lt;&gt; "", PO[[#This Row],[Spend category L1 - Override]], PO[[#This Row],[Spend category L1]])</f>
        <v>0</v>
      </c>
      <c r="M280" s="31">
        <f>IF(PO[[#This Row],[Spend category L2 - Override]] &lt;&gt; "", PO[[#This Row],[Spend category L2 - Override]], PO[[#This Row],[Spend category L2]])</f>
        <v>0</v>
      </c>
      <c r="N280" s="63">
        <f>Assumptions!$D$15</f>
        <v>0.1</v>
      </c>
      <c r="O280" s="45">
        <f>IF(PO[[#This Row],[GST applies?]] = "Yes", (PO[[#This Row],[Value inc. GST]] / 1 + PO[[#This Row],[GST %]]) * PO[[#This Row],[GST %]], 0)</f>
        <v>0</v>
      </c>
      <c r="P280" s="31">
        <f>_xlfn.XLOOKUP(PO[[#This Row],[Supplier name]], Supplier_master[Supplier name], Supplier_master[EOM or Net], 0)</f>
        <v>0</v>
      </c>
      <c r="Q280" s="31">
        <f>_xlfn.XLOOKUP(PO[[#This Row],[Supplier name]], Supplier_master[Supplier name], Supplier_master[Terms days], 0)</f>
        <v>0</v>
      </c>
      <c r="R2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0" s="4"/>
      <c r="T280" s="46">
        <f>IF(PO[[#This Row],[Payment date - override (dd/mm/yyyy)]] &lt;&gt; "", PO[[#This Row],[Payment date - override (dd/mm/yyyy)]], PO[[#This Row],[Due date (dd/mm/yyyy)]])</f>
        <v>0</v>
      </c>
      <c r="U280" s="46">
        <f t="shared" si="4"/>
        <v>52</v>
      </c>
    </row>
    <row r="281" spans="3:21" x14ac:dyDescent="0.25">
      <c r="C281" s="24"/>
      <c r="D281" s="20"/>
      <c r="E281" s="4"/>
      <c r="F281" s="37"/>
      <c r="G281" s="38"/>
      <c r="H281" s="31">
        <f>_xlfn.XLOOKUP(PO[[#This Row],[Supplier name]], Supplier_master[Supplier name], Supplier_master[Category L1], 0)</f>
        <v>0</v>
      </c>
      <c r="I281" s="31">
        <f>_xlfn.XLOOKUP(PO[[#This Row],[Supplier name]], Supplier_master[Supplier name], Supplier_master[Category L2], 0)</f>
        <v>0</v>
      </c>
      <c r="J281" s="55"/>
      <c r="K281" s="55"/>
      <c r="L281" s="31">
        <f>IF(PO[[#This Row],[Spend category L1 - Override]] &lt;&gt; "", PO[[#This Row],[Spend category L1 - Override]], PO[[#This Row],[Spend category L1]])</f>
        <v>0</v>
      </c>
      <c r="M281" s="31">
        <f>IF(PO[[#This Row],[Spend category L2 - Override]] &lt;&gt; "", PO[[#This Row],[Spend category L2 - Override]], PO[[#This Row],[Spend category L2]])</f>
        <v>0</v>
      </c>
      <c r="N281" s="63">
        <f>Assumptions!$D$15</f>
        <v>0.1</v>
      </c>
      <c r="O281" s="45">
        <f>IF(PO[[#This Row],[GST applies?]] = "Yes", (PO[[#This Row],[Value inc. GST]] / 1 + PO[[#This Row],[GST %]]) * PO[[#This Row],[GST %]], 0)</f>
        <v>0</v>
      </c>
      <c r="P281" s="31">
        <f>_xlfn.XLOOKUP(PO[[#This Row],[Supplier name]], Supplier_master[Supplier name], Supplier_master[EOM or Net], 0)</f>
        <v>0</v>
      </c>
      <c r="Q281" s="31">
        <f>_xlfn.XLOOKUP(PO[[#This Row],[Supplier name]], Supplier_master[Supplier name], Supplier_master[Terms days], 0)</f>
        <v>0</v>
      </c>
      <c r="R2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1" s="4"/>
      <c r="T281" s="46">
        <f>IF(PO[[#This Row],[Payment date - override (dd/mm/yyyy)]] &lt;&gt; "", PO[[#This Row],[Payment date - override (dd/mm/yyyy)]], PO[[#This Row],[Due date (dd/mm/yyyy)]])</f>
        <v>0</v>
      </c>
      <c r="U281" s="46">
        <f t="shared" si="4"/>
        <v>52</v>
      </c>
    </row>
    <row r="282" spans="3:21" x14ac:dyDescent="0.25">
      <c r="C282" s="24"/>
      <c r="D282" s="20"/>
      <c r="E282" s="4"/>
      <c r="F282" s="37"/>
      <c r="G282" s="38"/>
      <c r="H282" s="31">
        <f>_xlfn.XLOOKUP(PO[[#This Row],[Supplier name]], Supplier_master[Supplier name], Supplier_master[Category L1], 0)</f>
        <v>0</v>
      </c>
      <c r="I282" s="31">
        <f>_xlfn.XLOOKUP(PO[[#This Row],[Supplier name]], Supplier_master[Supplier name], Supplier_master[Category L2], 0)</f>
        <v>0</v>
      </c>
      <c r="J282" s="55"/>
      <c r="K282" s="55"/>
      <c r="L282" s="31">
        <f>IF(PO[[#This Row],[Spend category L1 - Override]] &lt;&gt; "", PO[[#This Row],[Spend category L1 - Override]], PO[[#This Row],[Spend category L1]])</f>
        <v>0</v>
      </c>
      <c r="M282" s="31">
        <f>IF(PO[[#This Row],[Spend category L2 - Override]] &lt;&gt; "", PO[[#This Row],[Spend category L2 - Override]], PO[[#This Row],[Spend category L2]])</f>
        <v>0</v>
      </c>
      <c r="N282" s="63">
        <f>Assumptions!$D$15</f>
        <v>0.1</v>
      </c>
      <c r="O282" s="45">
        <f>IF(PO[[#This Row],[GST applies?]] = "Yes", (PO[[#This Row],[Value inc. GST]] / 1 + PO[[#This Row],[GST %]]) * PO[[#This Row],[GST %]], 0)</f>
        <v>0</v>
      </c>
      <c r="P282" s="31">
        <f>_xlfn.XLOOKUP(PO[[#This Row],[Supplier name]], Supplier_master[Supplier name], Supplier_master[EOM or Net], 0)</f>
        <v>0</v>
      </c>
      <c r="Q282" s="31">
        <f>_xlfn.XLOOKUP(PO[[#This Row],[Supplier name]], Supplier_master[Supplier name], Supplier_master[Terms days], 0)</f>
        <v>0</v>
      </c>
      <c r="R2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2" s="4"/>
      <c r="T282" s="46">
        <f>IF(PO[[#This Row],[Payment date - override (dd/mm/yyyy)]] &lt;&gt; "", PO[[#This Row],[Payment date - override (dd/mm/yyyy)]], PO[[#This Row],[Due date (dd/mm/yyyy)]])</f>
        <v>0</v>
      </c>
      <c r="U282" s="46">
        <f t="shared" si="4"/>
        <v>52</v>
      </c>
    </row>
    <row r="283" spans="3:21" x14ac:dyDescent="0.25">
      <c r="C283" s="24"/>
      <c r="D283" s="20"/>
      <c r="E283" s="4"/>
      <c r="F283" s="37"/>
      <c r="G283" s="38"/>
      <c r="H283" s="31">
        <f>_xlfn.XLOOKUP(PO[[#This Row],[Supplier name]], Supplier_master[Supplier name], Supplier_master[Category L1], 0)</f>
        <v>0</v>
      </c>
      <c r="I283" s="31">
        <f>_xlfn.XLOOKUP(PO[[#This Row],[Supplier name]], Supplier_master[Supplier name], Supplier_master[Category L2], 0)</f>
        <v>0</v>
      </c>
      <c r="J283" s="55"/>
      <c r="K283" s="55"/>
      <c r="L283" s="31">
        <f>IF(PO[[#This Row],[Spend category L1 - Override]] &lt;&gt; "", PO[[#This Row],[Spend category L1 - Override]], PO[[#This Row],[Spend category L1]])</f>
        <v>0</v>
      </c>
      <c r="M283" s="31">
        <f>IF(PO[[#This Row],[Spend category L2 - Override]] &lt;&gt; "", PO[[#This Row],[Spend category L2 - Override]], PO[[#This Row],[Spend category L2]])</f>
        <v>0</v>
      </c>
      <c r="N283" s="63">
        <f>Assumptions!$D$15</f>
        <v>0.1</v>
      </c>
      <c r="O283" s="45">
        <f>IF(PO[[#This Row],[GST applies?]] = "Yes", (PO[[#This Row],[Value inc. GST]] / 1 + PO[[#This Row],[GST %]]) * PO[[#This Row],[GST %]], 0)</f>
        <v>0</v>
      </c>
      <c r="P283" s="31">
        <f>_xlfn.XLOOKUP(PO[[#This Row],[Supplier name]], Supplier_master[Supplier name], Supplier_master[EOM or Net], 0)</f>
        <v>0</v>
      </c>
      <c r="Q283" s="31">
        <f>_xlfn.XLOOKUP(PO[[#This Row],[Supplier name]], Supplier_master[Supplier name], Supplier_master[Terms days], 0)</f>
        <v>0</v>
      </c>
      <c r="R2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3" s="4"/>
      <c r="T283" s="46">
        <f>IF(PO[[#This Row],[Payment date - override (dd/mm/yyyy)]] &lt;&gt; "", PO[[#This Row],[Payment date - override (dd/mm/yyyy)]], PO[[#This Row],[Due date (dd/mm/yyyy)]])</f>
        <v>0</v>
      </c>
      <c r="U283" s="46">
        <f t="shared" si="4"/>
        <v>52</v>
      </c>
    </row>
    <row r="284" spans="3:21" x14ac:dyDescent="0.25">
      <c r="C284" s="24"/>
      <c r="D284" s="20"/>
      <c r="E284" s="4"/>
      <c r="F284" s="37"/>
      <c r="G284" s="38"/>
      <c r="H284" s="31">
        <f>_xlfn.XLOOKUP(PO[[#This Row],[Supplier name]], Supplier_master[Supplier name], Supplier_master[Category L1], 0)</f>
        <v>0</v>
      </c>
      <c r="I284" s="31">
        <f>_xlfn.XLOOKUP(PO[[#This Row],[Supplier name]], Supplier_master[Supplier name], Supplier_master[Category L2], 0)</f>
        <v>0</v>
      </c>
      <c r="J284" s="55"/>
      <c r="K284" s="55"/>
      <c r="L284" s="31">
        <f>IF(PO[[#This Row],[Spend category L1 - Override]] &lt;&gt; "", PO[[#This Row],[Spend category L1 - Override]], PO[[#This Row],[Spend category L1]])</f>
        <v>0</v>
      </c>
      <c r="M284" s="31">
        <f>IF(PO[[#This Row],[Spend category L2 - Override]] &lt;&gt; "", PO[[#This Row],[Spend category L2 - Override]], PO[[#This Row],[Spend category L2]])</f>
        <v>0</v>
      </c>
      <c r="N284" s="63">
        <f>Assumptions!$D$15</f>
        <v>0.1</v>
      </c>
      <c r="O284" s="45">
        <f>IF(PO[[#This Row],[GST applies?]] = "Yes", (PO[[#This Row],[Value inc. GST]] / 1 + PO[[#This Row],[GST %]]) * PO[[#This Row],[GST %]], 0)</f>
        <v>0</v>
      </c>
      <c r="P284" s="31">
        <f>_xlfn.XLOOKUP(PO[[#This Row],[Supplier name]], Supplier_master[Supplier name], Supplier_master[EOM or Net], 0)</f>
        <v>0</v>
      </c>
      <c r="Q284" s="31">
        <f>_xlfn.XLOOKUP(PO[[#This Row],[Supplier name]], Supplier_master[Supplier name], Supplier_master[Terms days], 0)</f>
        <v>0</v>
      </c>
      <c r="R2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4" s="4"/>
      <c r="T284" s="46">
        <f>IF(PO[[#This Row],[Payment date - override (dd/mm/yyyy)]] &lt;&gt; "", PO[[#This Row],[Payment date - override (dd/mm/yyyy)]], PO[[#This Row],[Due date (dd/mm/yyyy)]])</f>
        <v>0</v>
      </c>
      <c r="U284" s="46">
        <f t="shared" si="4"/>
        <v>52</v>
      </c>
    </row>
    <row r="285" spans="3:21" x14ac:dyDescent="0.25">
      <c r="C285" s="24"/>
      <c r="D285" s="20"/>
      <c r="E285" s="4"/>
      <c r="F285" s="37"/>
      <c r="G285" s="38"/>
      <c r="H285" s="31">
        <f>_xlfn.XLOOKUP(PO[[#This Row],[Supplier name]], Supplier_master[Supplier name], Supplier_master[Category L1], 0)</f>
        <v>0</v>
      </c>
      <c r="I285" s="31">
        <f>_xlfn.XLOOKUP(PO[[#This Row],[Supplier name]], Supplier_master[Supplier name], Supplier_master[Category L2], 0)</f>
        <v>0</v>
      </c>
      <c r="J285" s="55"/>
      <c r="K285" s="55"/>
      <c r="L285" s="31">
        <f>IF(PO[[#This Row],[Spend category L1 - Override]] &lt;&gt; "", PO[[#This Row],[Spend category L1 - Override]], PO[[#This Row],[Spend category L1]])</f>
        <v>0</v>
      </c>
      <c r="M285" s="31">
        <f>IF(PO[[#This Row],[Spend category L2 - Override]] &lt;&gt; "", PO[[#This Row],[Spend category L2 - Override]], PO[[#This Row],[Spend category L2]])</f>
        <v>0</v>
      </c>
      <c r="N285" s="63">
        <f>Assumptions!$D$15</f>
        <v>0.1</v>
      </c>
      <c r="O285" s="45">
        <f>IF(PO[[#This Row],[GST applies?]] = "Yes", (PO[[#This Row],[Value inc. GST]] / 1 + PO[[#This Row],[GST %]]) * PO[[#This Row],[GST %]], 0)</f>
        <v>0</v>
      </c>
      <c r="P285" s="31">
        <f>_xlfn.XLOOKUP(PO[[#This Row],[Supplier name]], Supplier_master[Supplier name], Supplier_master[EOM or Net], 0)</f>
        <v>0</v>
      </c>
      <c r="Q285" s="31">
        <f>_xlfn.XLOOKUP(PO[[#This Row],[Supplier name]], Supplier_master[Supplier name], Supplier_master[Terms days], 0)</f>
        <v>0</v>
      </c>
      <c r="R2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5" s="4"/>
      <c r="T285" s="46">
        <f>IF(PO[[#This Row],[Payment date - override (dd/mm/yyyy)]] &lt;&gt; "", PO[[#This Row],[Payment date - override (dd/mm/yyyy)]], PO[[#This Row],[Due date (dd/mm/yyyy)]])</f>
        <v>0</v>
      </c>
      <c r="U285" s="46">
        <f t="shared" si="4"/>
        <v>52</v>
      </c>
    </row>
    <row r="286" spans="3:21" x14ac:dyDescent="0.25">
      <c r="C286" s="24"/>
      <c r="D286" s="20"/>
      <c r="E286" s="4"/>
      <c r="F286" s="37"/>
      <c r="G286" s="38"/>
      <c r="H286" s="31">
        <f>_xlfn.XLOOKUP(PO[[#This Row],[Supplier name]], Supplier_master[Supplier name], Supplier_master[Category L1], 0)</f>
        <v>0</v>
      </c>
      <c r="I286" s="31">
        <f>_xlfn.XLOOKUP(PO[[#This Row],[Supplier name]], Supplier_master[Supplier name], Supplier_master[Category L2], 0)</f>
        <v>0</v>
      </c>
      <c r="J286" s="55"/>
      <c r="K286" s="55"/>
      <c r="L286" s="31">
        <f>IF(PO[[#This Row],[Spend category L1 - Override]] &lt;&gt; "", PO[[#This Row],[Spend category L1 - Override]], PO[[#This Row],[Spend category L1]])</f>
        <v>0</v>
      </c>
      <c r="M286" s="31">
        <f>IF(PO[[#This Row],[Spend category L2 - Override]] &lt;&gt; "", PO[[#This Row],[Spend category L2 - Override]], PO[[#This Row],[Spend category L2]])</f>
        <v>0</v>
      </c>
      <c r="N286" s="63">
        <f>Assumptions!$D$15</f>
        <v>0.1</v>
      </c>
      <c r="O286" s="45">
        <f>IF(PO[[#This Row],[GST applies?]] = "Yes", (PO[[#This Row],[Value inc. GST]] / 1 + PO[[#This Row],[GST %]]) * PO[[#This Row],[GST %]], 0)</f>
        <v>0</v>
      </c>
      <c r="P286" s="31">
        <f>_xlfn.XLOOKUP(PO[[#This Row],[Supplier name]], Supplier_master[Supplier name], Supplier_master[EOM or Net], 0)</f>
        <v>0</v>
      </c>
      <c r="Q286" s="31">
        <f>_xlfn.XLOOKUP(PO[[#This Row],[Supplier name]], Supplier_master[Supplier name], Supplier_master[Terms days], 0)</f>
        <v>0</v>
      </c>
      <c r="R2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6" s="4"/>
      <c r="T286" s="46">
        <f>IF(PO[[#This Row],[Payment date - override (dd/mm/yyyy)]] &lt;&gt; "", PO[[#This Row],[Payment date - override (dd/mm/yyyy)]], PO[[#This Row],[Due date (dd/mm/yyyy)]])</f>
        <v>0</v>
      </c>
      <c r="U286" s="46">
        <f t="shared" si="4"/>
        <v>52</v>
      </c>
    </row>
    <row r="287" spans="3:21" x14ac:dyDescent="0.25">
      <c r="C287" s="24"/>
      <c r="D287" s="20"/>
      <c r="E287" s="4"/>
      <c r="F287" s="37"/>
      <c r="G287" s="38"/>
      <c r="H287" s="31">
        <f>_xlfn.XLOOKUP(PO[[#This Row],[Supplier name]], Supplier_master[Supplier name], Supplier_master[Category L1], 0)</f>
        <v>0</v>
      </c>
      <c r="I287" s="31">
        <f>_xlfn.XLOOKUP(PO[[#This Row],[Supplier name]], Supplier_master[Supplier name], Supplier_master[Category L2], 0)</f>
        <v>0</v>
      </c>
      <c r="J287" s="55"/>
      <c r="K287" s="55"/>
      <c r="L287" s="31">
        <f>IF(PO[[#This Row],[Spend category L1 - Override]] &lt;&gt; "", PO[[#This Row],[Spend category L1 - Override]], PO[[#This Row],[Spend category L1]])</f>
        <v>0</v>
      </c>
      <c r="M287" s="31">
        <f>IF(PO[[#This Row],[Spend category L2 - Override]] &lt;&gt; "", PO[[#This Row],[Spend category L2 - Override]], PO[[#This Row],[Spend category L2]])</f>
        <v>0</v>
      </c>
      <c r="N287" s="63">
        <f>Assumptions!$D$15</f>
        <v>0.1</v>
      </c>
      <c r="O287" s="45">
        <f>IF(PO[[#This Row],[GST applies?]] = "Yes", (PO[[#This Row],[Value inc. GST]] / 1 + PO[[#This Row],[GST %]]) * PO[[#This Row],[GST %]], 0)</f>
        <v>0</v>
      </c>
      <c r="P287" s="31">
        <f>_xlfn.XLOOKUP(PO[[#This Row],[Supplier name]], Supplier_master[Supplier name], Supplier_master[EOM or Net], 0)</f>
        <v>0</v>
      </c>
      <c r="Q287" s="31">
        <f>_xlfn.XLOOKUP(PO[[#This Row],[Supplier name]], Supplier_master[Supplier name], Supplier_master[Terms days], 0)</f>
        <v>0</v>
      </c>
      <c r="R2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7" s="4"/>
      <c r="T287" s="46">
        <f>IF(PO[[#This Row],[Payment date - override (dd/mm/yyyy)]] &lt;&gt; "", PO[[#This Row],[Payment date - override (dd/mm/yyyy)]], PO[[#This Row],[Due date (dd/mm/yyyy)]])</f>
        <v>0</v>
      </c>
      <c r="U287" s="46">
        <f t="shared" si="4"/>
        <v>52</v>
      </c>
    </row>
    <row r="288" spans="3:21" x14ac:dyDescent="0.25">
      <c r="C288" s="24"/>
      <c r="D288" s="20"/>
      <c r="E288" s="4"/>
      <c r="F288" s="37"/>
      <c r="G288" s="38"/>
      <c r="H288" s="31">
        <f>_xlfn.XLOOKUP(PO[[#This Row],[Supplier name]], Supplier_master[Supplier name], Supplier_master[Category L1], 0)</f>
        <v>0</v>
      </c>
      <c r="I288" s="31">
        <f>_xlfn.XLOOKUP(PO[[#This Row],[Supplier name]], Supplier_master[Supplier name], Supplier_master[Category L2], 0)</f>
        <v>0</v>
      </c>
      <c r="J288" s="55"/>
      <c r="K288" s="55"/>
      <c r="L288" s="31">
        <f>IF(PO[[#This Row],[Spend category L1 - Override]] &lt;&gt; "", PO[[#This Row],[Spend category L1 - Override]], PO[[#This Row],[Spend category L1]])</f>
        <v>0</v>
      </c>
      <c r="M288" s="31">
        <f>IF(PO[[#This Row],[Spend category L2 - Override]] &lt;&gt; "", PO[[#This Row],[Spend category L2 - Override]], PO[[#This Row],[Spend category L2]])</f>
        <v>0</v>
      </c>
      <c r="N288" s="63">
        <f>Assumptions!$D$15</f>
        <v>0.1</v>
      </c>
      <c r="O288" s="45">
        <f>IF(PO[[#This Row],[GST applies?]] = "Yes", (PO[[#This Row],[Value inc. GST]] / 1 + PO[[#This Row],[GST %]]) * PO[[#This Row],[GST %]], 0)</f>
        <v>0</v>
      </c>
      <c r="P288" s="31">
        <f>_xlfn.XLOOKUP(PO[[#This Row],[Supplier name]], Supplier_master[Supplier name], Supplier_master[EOM or Net], 0)</f>
        <v>0</v>
      </c>
      <c r="Q288" s="31">
        <f>_xlfn.XLOOKUP(PO[[#This Row],[Supplier name]], Supplier_master[Supplier name], Supplier_master[Terms days], 0)</f>
        <v>0</v>
      </c>
      <c r="R2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8" s="4"/>
      <c r="T288" s="46">
        <f>IF(PO[[#This Row],[Payment date - override (dd/mm/yyyy)]] &lt;&gt; "", PO[[#This Row],[Payment date - override (dd/mm/yyyy)]], PO[[#This Row],[Due date (dd/mm/yyyy)]])</f>
        <v>0</v>
      </c>
      <c r="U288" s="46">
        <f t="shared" si="4"/>
        <v>52</v>
      </c>
    </row>
    <row r="289" spans="3:21" x14ac:dyDescent="0.25">
      <c r="C289" s="24"/>
      <c r="D289" s="20"/>
      <c r="E289" s="4"/>
      <c r="F289" s="37"/>
      <c r="G289" s="38"/>
      <c r="H289" s="31">
        <f>_xlfn.XLOOKUP(PO[[#This Row],[Supplier name]], Supplier_master[Supplier name], Supplier_master[Category L1], 0)</f>
        <v>0</v>
      </c>
      <c r="I289" s="31">
        <f>_xlfn.XLOOKUP(PO[[#This Row],[Supplier name]], Supplier_master[Supplier name], Supplier_master[Category L2], 0)</f>
        <v>0</v>
      </c>
      <c r="J289" s="55"/>
      <c r="K289" s="55"/>
      <c r="L289" s="31">
        <f>IF(PO[[#This Row],[Spend category L1 - Override]] &lt;&gt; "", PO[[#This Row],[Spend category L1 - Override]], PO[[#This Row],[Spend category L1]])</f>
        <v>0</v>
      </c>
      <c r="M289" s="31">
        <f>IF(PO[[#This Row],[Spend category L2 - Override]] &lt;&gt; "", PO[[#This Row],[Spend category L2 - Override]], PO[[#This Row],[Spend category L2]])</f>
        <v>0</v>
      </c>
      <c r="N289" s="63">
        <f>Assumptions!$D$15</f>
        <v>0.1</v>
      </c>
      <c r="O289" s="45">
        <f>IF(PO[[#This Row],[GST applies?]] = "Yes", (PO[[#This Row],[Value inc. GST]] / 1 + PO[[#This Row],[GST %]]) * PO[[#This Row],[GST %]], 0)</f>
        <v>0</v>
      </c>
      <c r="P289" s="31">
        <f>_xlfn.XLOOKUP(PO[[#This Row],[Supplier name]], Supplier_master[Supplier name], Supplier_master[EOM or Net], 0)</f>
        <v>0</v>
      </c>
      <c r="Q289" s="31">
        <f>_xlfn.XLOOKUP(PO[[#This Row],[Supplier name]], Supplier_master[Supplier name], Supplier_master[Terms days], 0)</f>
        <v>0</v>
      </c>
      <c r="R2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9" s="4"/>
      <c r="T289" s="46">
        <f>IF(PO[[#This Row],[Payment date - override (dd/mm/yyyy)]] &lt;&gt; "", PO[[#This Row],[Payment date - override (dd/mm/yyyy)]], PO[[#This Row],[Due date (dd/mm/yyyy)]])</f>
        <v>0</v>
      </c>
      <c r="U289" s="46">
        <f t="shared" si="4"/>
        <v>52</v>
      </c>
    </row>
    <row r="290" spans="3:21" x14ac:dyDescent="0.25">
      <c r="C290" s="24"/>
      <c r="D290" s="20"/>
      <c r="E290" s="4"/>
      <c r="F290" s="37"/>
      <c r="G290" s="38"/>
      <c r="H290" s="31">
        <f>_xlfn.XLOOKUP(PO[[#This Row],[Supplier name]], Supplier_master[Supplier name], Supplier_master[Category L1], 0)</f>
        <v>0</v>
      </c>
      <c r="I290" s="31">
        <f>_xlfn.XLOOKUP(PO[[#This Row],[Supplier name]], Supplier_master[Supplier name], Supplier_master[Category L2], 0)</f>
        <v>0</v>
      </c>
      <c r="J290" s="55"/>
      <c r="K290" s="55"/>
      <c r="L290" s="31">
        <f>IF(PO[[#This Row],[Spend category L1 - Override]] &lt;&gt; "", PO[[#This Row],[Spend category L1 - Override]], PO[[#This Row],[Spend category L1]])</f>
        <v>0</v>
      </c>
      <c r="M290" s="31">
        <f>IF(PO[[#This Row],[Spend category L2 - Override]] &lt;&gt; "", PO[[#This Row],[Spend category L2 - Override]], PO[[#This Row],[Spend category L2]])</f>
        <v>0</v>
      </c>
      <c r="N290" s="63">
        <f>Assumptions!$D$15</f>
        <v>0.1</v>
      </c>
      <c r="O290" s="45">
        <f>IF(PO[[#This Row],[GST applies?]] = "Yes", (PO[[#This Row],[Value inc. GST]] / 1 + PO[[#This Row],[GST %]]) * PO[[#This Row],[GST %]], 0)</f>
        <v>0</v>
      </c>
      <c r="P290" s="31">
        <f>_xlfn.XLOOKUP(PO[[#This Row],[Supplier name]], Supplier_master[Supplier name], Supplier_master[EOM or Net], 0)</f>
        <v>0</v>
      </c>
      <c r="Q290" s="31">
        <f>_xlfn.XLOOKUP(PO[[#This Row],[Supplier name]], Supplier_master[Supplier name], Supplier_master[Terms days], 0)</f>
        <v>0</v>
      </c>
      <c r="R2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0" s="4"/>
      <c r="T290" s="46">
        <f>IF(PO[[#This Row],[Payment date - override (dd/mm/yyyy)]] &lt;&gt; "", PO[[#This Row],[Payment date - override (dd/mm/yyyy)]], PO[[#This Row],[Due date (dd/mm/yyyy)]])</f>
        <v>0</v>
      </c>
      <c r="U290" s="46">
        <f t="shared" si="4"/>
        <v>52</v>
      </c>
    </row>
    <row r="291" spans="3:21" x14ac:dyDescent="0.25">
      <c r="C291" s="24"/>
      <c r="D291" s="20"/>
      <c r="E291" s="4"/>
      <c r="F291" s="37"/>
      <c r="G291" s="38"/>
      <c r="H291" s="31">
        <f>_xlfn.XLOOKUP(PO[[#This Row],[Supplier name]], Supplier_master[Supplier name], Supplier_master[Category L1], 0)</f>
        <v>0</v>
      </c>
      <c r="I291" s="31">
        <f>_xlfn.XLOOKUP(PO[[#This Row],[Supplier name]], Supplier_master[Supplier name], Supplier_master[Category L2], 0)</f>
        <v>0</v>
      </c>
      <c r="J291" s="55"/>
      <c r="K291" s="55"/>
      <c r="L291" s="31">
        <f>IF(PO[[#This Row],[Spend category L1 - Override]] &lt;&gt; "", PO[[#This Row],[Spend category L1 - Override]], PO[[#This Row],[Spend category L1]])</f>
        <v>0</v>
      </c>
      <c r="M291" s="31">
        <f>IF(PO[[#This Row],[Spend category L2 - Override]] &lt;&gt; "", PO[[#This Row],[Spend category L2 - Override]], PO[[#This Row],[Spend category L2]])</f>
        <v>0</v>
      </c>
      <c r="N291" s="63">
        <f>Assumptions!$D$15</f>
        <v>0.1</v>
      </c>
      <c r="O291" s="45">
        <f>IF(PO[[#This Row],[GST applies?]] = "Yes", (PO[[#This Row],[Value inc. GST]] / 1 + PO[[#This Row],[GST %]]) * PO[[#This Row],[GST %]], 0)</f>
        <v>0</v>
      </c>
      <c r="P291" s="31">
        <f>_xlfn.XLOOKUP(PO[[#This Row],[Supplier name]], Supplier_master[Supplier name], Supplier_master[EOM or Net], 0)</f>
        <v>0</v>
      </c>
      <c r="Q291" s="31">
        <f>_xlfn.XLOOKUP(PO[[#This Row],[Supplier name]], Supplier_master[Supplier name], Supplier_master[Terms days], 0)</f>
        <v>0</v>
      </c>
      <c r="R2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1" s="4"/>
      <c r="T291" s="46">
        <f>IF(PO[[#This Row],[Payment date - override (dd/mm/yyyy)]] &lt;&gt; "", PO[[#This Row],[Payment date - override (dd/mm/yyyy)]], PO[[#This Row],[Due date (dd/mm/yyyy)]])</f>
        <v>0</v>
      </c>
      <c r="U291" s="46">
        <f t="shared" si="4"/>
        <v>52</v>
      </c>
    </row>
    <row r="292" spans="3:21" x14ac:dyDescent="0.25">
      <c r="C292" s="24"/>
      <c r="D292" s="20"/>
      <c r="E292" s="4"/>
      <c r="F292" s="37"/>
      <c r="G292" s="38"/>
      <c r="H292" s="31">
        <f>_xlfn.XLOOKUP(PO[[#This Row],[Supplier name]], Supplier_master[Supplier name], Supplier_master[Category L1], 0)</f>
        <v>0</v>
      </c>
      <c r="I292" s="31">
        <f>_xlfn.XLOOKUP(PO[[#This Row],[Supplier name]], Supplier_master[Supplier name], Supplier_master[Category L2], 0)</f>
        <v>0</v>
      </c>
      <c r="J292" s="55"/>
      <c r="K292" s="55"/>
      <c r="L292" s="31">
        <f>IF(PO[[#This Row],[Spend category L1 - Override]] &lt;&gt; "", PO[[#This Row],[Spend category L1 - Override]], PO[[#This Row],[Spend category L1]])</f>
        <v>0</v>
      </c>
      <c r="M292" s="31">
        <f>IF(PO[[#This Row],[Spend category L2 - Override]] &lt;&gt; "", PO[[#This Row],[Spend category L2 - Override]], PO[[#This Row],[Spend category L2]])</f>
        <v>0</v>
      </c>
      <c r="N292" s="63">
        <f>Assumptions!$D$15</f>
        <v>0.1</v>
      </c>
      <c r="O292" s="45">
        <f>IF(PO[[#This Row],[GST applies?]] = "Yes", (PO[[#This Row],[Value inc. GST]] / 1 + PO[[#This Row],[GST %]]) * PO[[#This Row],[GST %]], 0)</f>
        <v>0</v>
      </c>
      <c r="P292" s="31">
        <f>_xlfn.XLOOKUP(PO[[#This Row],[Supplier name]], Supplier_master[Supplier name], Supplier_master[EOM or Net], 0)</f>
        <v>0</v>
      </c>
      <c r="Q292" s="31">
        <f>_xlfn.XLOOKUP(PO[[#This Row],[Supplier name]], Supplier_master[Supplier name], Supplier_master[Terms days], 0)</f>
        <v>0</v>
      </c>
      <c r="R2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2" s="4"/>
      <c r="T292" s="46">
        <f>IF(PO[[#This Row],[Payment date - override (dd/mm/yyyy)]] &lt;&gt; "", PO[[#This Row],[Payment date - override (dd/mm/yyyy)]], PO[[#This Row],[Due date (dd/mm/yyyy)]])</f>
        <v>0</v>
      </c>
      <c r="U292" s="46">
        <f t="shared" si="4"/>
        <v>52</v>
      </c>
    </row>
    <row r="293" spans="3:21" x14ac:dyDescent="0.25">
      <c r="C293" s="24"/>
      <c r="D293" s="20"/>
      <c r="E293" s="4"/>
      <c r="F293" s="37"/>
      <c r="G293" s="38"/>
      <c r="H293" s="31">
        <f>_xlfn.XLOOKUP(PO[[#This Row],[Supplier name]], Supplier_master[Supplier name], Supplier_master[Category L1], 0)</f>
        <v>0</v>
      </c>
      <c r="I293" s="31">
        <f>_xlfn.XLOOKUP(PO[[#This Row],[Supplier name]], Supplier_master[Supplier name], Supplier_master[Category L2], 0)</f>
        <v>0</v>
      </c>
      <c r="J293" s="55"/>
      <c r="K293" s="55"/>
      <c r="L293" s="31">
        <f>IF(PO[[#This Row],[Spend category L1 - Override]] &lt;&gt; "", PO[[#This Row],[Spend category L1 - Override]], PO[[#This Row],[Spend category L1]])</f>
        <v>0</v>
      </c>
      <c r="M293" s="31">
        <f>IF(PO[[#This Row],[Spend category L2 - Override]] &lt;&gt; "", PO[[#This Row],[Spend category L2 - Override]], PO[[#This Row],[Spend category L2]])</f>
        <v>0</v>
      </c>
      <c r="N293" s="63">
        <f>Assumptions!$D$15</f>
        <v>0.1</v>
      </c>
      <c r="O293" s="45">
        <f>IF(PO[[#This Row],[GST applies?]] = "Yes", (PO[[#This Row],[Value inc. GST]] / 1 + PO[[#This Row],[GST %]]) * PO[[#This Row],[GST %]], 0)</f>
        <v>0</v>
      </c>
      <c r="P293" s="31">
        <f>_xlfn.XLOOKUP(PO[[#This Row],[Supplier name]], Supplier_master[Supplier name], Supplier_master[EOM or Net], 0)</f>
        <v>0</v>
      </c>
      <c r="Q293" s="31">
        <f>_xlfn.XLOOKUP(PO[[#This Row],[Supplier name]], Supplier_master[Supplier name], Supplier_master[Terms days], 0)</f>
        <v>0</v>
      </c>
      <c r="R2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3" s="4"/>
      <c r="T293" s="46">
        <f>IF(PO[[#This Row],[Payment date - override (dd/mm/yyyy)]] &lt;&gt; "", PO[[#This Row],[Payment date - override (dd/mm/yyyy)]], PO[[#This Row],[Due date (dd/mm/yyyy)]])</f>
        <v>0</v>
      </c>
      <c r="U293" s="46">
        <f t="shared" si="4"/>
        <v>52</v>
      </c>
    </row>
    <row r="294" spans="3:21" x14ac:dyDescent="0.25">
      <c r="C294" s="24"/>
      <c r="D294" s="20"/>
      <c r="E294" s="4"/>
      <c r="F294" s="37"/>
      <c r="G294" s="38"/>
      <c r="H294" s="31">
        <f>_xlfn.XLOOKUP(PO[[#This Row],[Supplier name]], Supplier_master[Supplier name], Supplier_master[Category L1], 0)</f>
        <v>0</v>
      </c>
      <c r="I294" s="31">
        <f>_xlfn.XLOOKUP(PO[[#This Row],[Supplier name]], Supplier_master[Supplier name], Supplier_master[Category L2], 0)</f>
        <v>0</v>
      </c>
      <c r="J294" s="55"/>
      <c r="K294" s="55"/>
      <c r="L294" s="31">
        <f>IF(PO[[#This Row],[Spend category L1 - Override]] &lt;&gt; "", PO[[#This Row],[Spend category L1 - Override]], PO[[#This Row],[Spend category L1]])</f>
        <v>0</v>
      </c>
      <c r="M294" s="31">
        <f>IF(PO[[#This Row],[Spend category L2 - Override]] &lt;&gt; "", PO[[#This Row],[Spend category L2 - Override]], PO[[#This Row],[Spend category L2]])</f>
        <v>0</v>
      </c>
      <c r="N294" s="63">
        <f>Assumptions!$D$15</f>
        <v>0.1</v>
      </c>
      <c r="O294" s="45">
        <f>IF(PO[[#This Row],[GST applies?]] = "Yes", (PO[[#This Row],[Value inc. GST]] / 1 + PO[[#This Row],[GST %]]) * PO[[#This Row],[GST %]], 0)</f>
        <v>0</v>
      </c>
      <c r="P294" s="31">
        <f>_xlfn.XLOOKUP(PO[[#This Row],[Supplier name]], Supplier_master[Supplier name], Supplier_master[EOM or Net], 0)</f>
        <v>0</v>
      </c>
      <c r="Q294" s="31">
        <f>_xlfn.XLOOKUP(PO[[#This Row],[Supplier name]], Supplier_master[Supplier name], Supplier_master[Terms days], 0)</f>
        <v>0</v>
      </c>
      <c r="R2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4" s="4"/>
      <c r="T294" s="46">
        <f>IF(PO[[#This Row],[Payment date - override (dd/mm/yyyy)]] &lt;&gt; "", PO[[#This Row],[Payment date - override (dd/mm/yyyy)]], PO[[#This Row],[Due date (dd/mm/yyyy)]])</f>
        <v>0</v>
      </c>
      <c r="U294" s="46">
        <f t="shared" si="4"/>
        <v>52</v>
      </c>
    </row>
    <row r="295" spans="3:21" x14ac:dyDescent="0.25">
      <c r="C295" s="24"/>
      <c r="D295" s="20"/>
      <c r="E295" s="4"/>
      <c r="F295" s="37"/>
      <c r="G295" s="38"/>
      <c r="H295" s="31">
        <f>_xlfn.XLOOKUP(PO[[#This Row],[Supplier name]], Supplier_master[Supplier name], Supplier_master[Category L1], 0)</f>
        <v>0</v>
      </c>
      <c r="I295" s="31">
        <f>_xlfn.XLOOKUP(PO[[#This Row],[Supplier name]], Supplier_master[Supplier name], Supplier_master[Category L2], 0)</f>
        <v>0</v>
      </c>
      <c r="J295" s="55"/>
      <c r="K295" s="55"/>
      <c r="L295" s="31">
        <f>IF(PO[[#This Row],[Spend category L1 - Override]] &lt;&gt; "", PO[[#This Row],[Spend category L1 - Override]], PO[[#This Row],[Spend category L1]])</f>
        <v>0</v>
      </c>
      <c r="M295" s="31">
        <f>IF(PO[[#This Row],[Spend category L2 - Override]] &lt;&gt; "", PO[[#This Row],[Spend category L2 - Override]], PO[[#This Row],[Spend category L2]])</f>
        <v>0</v>
      </c>
      <c r="N295" s="63">
        <f>Assumptions!$D$15</f>
        <v>0.1</v>
      </c>
      <c r="O295" s="45">
        <f>IF(PO[[#This Row],[GST applies?]] = "Yes", (PO[[#This Row],[Value inc. GST]] / 1 + PO[[#This Row],[GST %]]) * PO[[#This Row],[GST %]], 0)</f>
        <v>0</v>
      </c>
      <c r="P295" s="31">
        <f>_xlfn.XLOOKUP(PO[[#This Row],[Supplier name]], Supplier_master[Supplier name], Supplier_master[EOM or Net], 0)</f>
        <v>0</v>
      </c>
      <c r="Q295" s="31">
        <f>_xlfn.XLOOKUP(PO[[#This Row],[Supplier name]], Supplier_master[Supplier name], Supplier_master[Terms days], 0)</f>
        <v>0</v>
      </c>
      <c r="R2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5" s="4"/>
      <c r="T295" s="46">
        <f>IF(PO[[#This Row],[Payment date - override (dd/mm/yyyy)]] &lt;&gt; "", PO[[#This Row],[Payment date - override (dd/mm/yyyy)]], PO[[#This Row],[Due date (dd/mm/yyyy)]])</f>
        <v>0</v>
      </c>
      <c r="U295" s="46">
        <f t="shared" si="4"/>
        <v>52</v>
      </c>
    </row>
    <row r="296" spans="3:21" x14ac:dyDescent="0.25">
      <c r="C296" s="24"/>
      <c r="D296" s="20"/>
      <c r="E296" s="4"/>
      <c r="F296" s="37"/>
      <c r="G296" s="38"/>
      <c r="H296" s="31">
        <f>_xlfn.XLOOKUP(PO[[#This Row],[Supplier name]], Supplier_master[Supplier name], Supplier_master[Category L1], 0)</f>
        <v>0</v>
      </c>
      <c r="I296" s="31">
        <f>_xlfn.XLOOKUP(PO[[#This Row],[Supplier name]], Supplier_master[Supplier name], Supplier_master[Category L2], 0)</f>
        <v>0</v>
      </c>
      <c r="J296" s="55"/>
      <c r="K296" s="55"/>
      <c r="L296" s="31">
        <f>IF(PO[[#This Row],[Spend category L1 - Override]] &lt;&gt; "", PO[[#This Row],[Spend category L1 - Override]], PO[[#This Row],[Spend category L1]])</f>
        <v>0</v>
      </c>
      <c r="M296" s="31">
        <f>IF(PO[[#This Row],[Spend category L2 - Override]] &lt;&gt; "", PO[[#This Row],[Spend category L2 - Override]], PO[[#This Row],[Spend category L2]])</f>
        <v>0</v>
      </c>
      <c r="N296" s="63">
        <f>Assumptions!$D$15</f>
        <v>0.1</v>
      </c>
      <c r="O296" s="45">
        <f>IF(PO[[#This Row],[GST applies?]] = "Yes", (PO[[#This Row],[Value inc. GST]] / 1 + PO[[#This Row],[GST %]]) * PO[[#This Row],[GST %]], 0)</f>
        <v>0</v>
      </c>
      <c r="P296" s="31">
        <f>_xlfn.XLOOKUP(PO[[#This Row],[Supplier name]], Supplier_master[Supplier name], Supplier_master[EOM or Net], 0)</f>
        <v>0</v>
      </c>
      <c r="Q296" s="31">
        <f>_xlfn.XLOOKUP(PO[[#This Row],[Supplier name]], Supplier_master[Supplier name], Supplier_master[Terms days], 0)</f>
        <v>0</v>
      </c>
      <c r="R2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6" s="4"/>
      <c r="T296" s="46">
        <f>IF(PO[[#This Row],[Payment date - override (dd/mm/yyyy)]] &lt;&gt; "", PO[[#This Row],[Payment date - override (dd/mm/yyyy)]], PO[[#This Row],[Due date (dd/mm/yyyy)]])</f>
        <v>0</v>
      </c>
      <c r="U296" s="46">
        <f t="shared" si="4"/>
        <v>52</v>
      </c>
    </row>
    <row r="297" spans="3:21" x14ac:dyDescent="0.25">
      <c r="C297" s="24"/>
      <c r="D297" s="20"/>
      <c r="E297" s="4"/>
      <c r="F297" s="37"/>
      <c r="G297" s="38"/>
      <c r="H297" s="31">
        <f>_xlfn.XLOOKUP(PO[[#This Row],[Supplier name]], Supplier_master[Supplier name], Supplier_master[Category L1], 0)</f>
        <v>0</v>
      </c>
      <c r="I297" s="31">
        <f>_xlfn.XLOOKUP(PO[[#This Row],[Supplier name]], Supplier_master[Supplier name], Supplier_master[Category L2], 0)</f>
        <v>0</v>
      </c>
      <c r="J297" s="55"/>
      <c r="K297" s="55"/>
      <c r="L297" s="31">
        <f>IF(PO[[#This Row],[Spend category L1 - Override]] &lt;&gt; "", PO[[#This Row],[Spend category L1 - Override]], PO[[#This Row],[Spend category L1]])</f>
        <v>0</v>
      </c>
      <c r="M297" s="31">
        <f>IF(PO[[#This Row],[Spend category L2 - Override]] &lt;&gt; "", PO[[#This Row],[Spend category L2 - Override]], PO[[#This Row],[Spend category L2]])</f>
        <v>0</v>
      </c>
      <c r="N297" s="63">
        <f>Assumptions!$D$15</f>
        <v>0.1</v>
      </c>
      <c r="O297" s="45">
        <f>IF(PO[[#This Row],[GST applies?]] = "Yes", (PO[[#This Row],[Value inc. GST]] / 1 + PO[[#This Row],[GST %]]) * PO[[#This Row],[GST %]], 0)</f>
        <v>0</v>
      </c>
      <c r="P297" s="31">
        <f>_xlfn.XLOOKUP(PO[[#This Row],[Supplier name]], Supplier_master[Supplier name], Supplier_master[EOM or Net], 0)</f>
        <v>0</v>
      </c>
      <c r="Q297" s="31">
        <f>_xlfn.XLOOKUP(PO[[#This Row],[Supplier name]], Supplier_master[Supplier name], Supplier_master[Terms days], 0)</f>
        <v>0</v>
      </c>
      <c r="R2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7" s="4"/>
      <c r="T297" s="46">
        <f>IF(PO[[#This Row],[Payment date - override (dd/mm/yyyy)]] &lt;&gt; "", PO[[#This Row],[Payment date - override (dd/mm/yyyy)]], PO[[#This Row],[Due date (dd/mm/yyyy)]])</f>
        <v>0</v>
      </c>
      <c r="U297" s="46">
        <f t="shared" si="4"/>
        <v>52</v>
      </c>
    </row>
    <row r="298" spans="3:21" x14ac:dyDescent="0.25">
      <c r="C298" s="24"/>
      <c r="D298" s="20"/>
      <c r="E298" s="4"/>
      <c r="F298" s="37"/>
      <c r="G298" s="38"/>
      <c r="H298" s="31">
        <f>_xlfn.XLOOKUP(PO[[#This Row],[Supplier name]], Supplier_master[Supplier name], Supplier_master[Category L1], 0)</f>
        <v>0</v>
      </c>
      <c r="I298" s="31">
        <f>_xlfn.XLOOKUP(PO[[#This Row],[Supplier name]], Supplier_master[Supplier name], Supplier_master[Category L2], 0)</f>
        <v>0</v>
      </c>
      <c r="J298" s="55"/>
      <c r="K298" s="55"/>
      <c r="L298" s="31">
        <f>IF(PO[[#This Row],[Spend category L1 - Override]] &lt;&gt; "", PO[[#This Row],[Spend category L1 - Override]], PO[[#This Row],[Spend category L1]])</f>
        <v>0</v>
      </c>
      <c r="M298" s="31">
        <f>IF(PO[[#This Row],[Spend category L2 - Override]] &lt;&gt; "", PO[[#This Row],[Spend category L2 - Override]], PO[[#This Row],[Spend category L2]])</f>
        <v>0</v>
      </c>
      <c r="N298" s="63">
        <f>Assumptions!$D$15</f>
        <v>0.1</v>
      </c>
      <c r="O298" s="45">
        <f>IF(PO[[#This Row],[GST applies?]] = "Yes", (PO[[#This Row],[Value inc. GST]] / 1 + PO[[#This Row],[GST %]]) * PO[[#This Row],[GST %]], 0)</f>
        <v>0</v>
      </c>
      <c r="P298" s="31">
        <f>_xlfn.XLOOKUP(PO[[#This Row],[Supplier name]], Supplier_master[Supplier name], Supplier_master[EOM or Net], 0)</f>
        <v>0</v>
      </c>
      <c r="Q298" s="31">
        <f>_xlfn.XLOOKUP(PO[[#This Row],[Supplier name]], Supplier_master[Supplier name], Supplier_master[Terms days], 0)</f>
        <v>0</v>
      </c>
      <c r="R2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8" s="4"/>
      <c r="T298" s="46">
        <f>IF(PO[[#This Row],[Payment date - override (dd/mm/yyyy)]] &lt;&gt; "", PO[[#This Row],[Payment date - override (dd/mm/yyyy)]], PO[[#This Row],[Due date (dd/mm/yyyy)]])</f>
        <v>0</v>
      </c>
      <c r="U298" s="46">
        <f t="shared" si="4"/>
        <v>52</v>
      </c>
    </row>
    <row r="299" spans="3:21" x14ac:dyDescent="0.25">
      <c r="C299" s="24"/>
      <c r="D299" s="20"/>
      <c r="E299" s="4"/>
      <c r="F299" s="37"/>
      <c r="G299" s="38"/>
      <c r="H299" s="31">
        <f>_xlfn.XLOOKUP(PO[[#This Row],[Supplier name]], Supplier_master[Supplier name], Supplier_master[Category L1], 0)</f>
        <v>0</v>
      </c>
      <c r="I299" s="31">
        <f>_xlfn.XLOOKUP(PO[[#This Row],[Supplier name]], Supplier_master[Supplier name], Supplier_master[Category L2], 0)</f>
        <v>0</v>
      </c>
      <c r="J299" s="55"/>
      <c r="K299" s="55"/>
      <c r="L299" s="31">
        <f>IF(PO[[#This Row],[Spend category L1 - Override]] &lt;&gt; "", PO[[#This Row],[Spend category L1 - Override]], PO[[#This Row],[Spend category L1]])</f>
        <v>0</v>
      </c>
      <c r="M299" s="31">
        <f>IF(PO[[#This Row],[Spend category L2 - Override]] &lt;&gt; "", PO[[#This Row],[Spend category L2 - Override]], PO[[#This Row],[Spend category L2]])</f>
        <v>0</v>
      </c>
      <c r="N299" s="63">
        <f>Assumptions!$D$15</f>
        <v>0.1</v>
      </c>
      <c r="O299" s="45">
        <f>IF(PO[[#This Row],[GST applies?]] = "Yes", (PO[[#This Row],[Value inc. GST]] / 1 + PO[[#This Row],[GST %]]) * PO[[#This Row],[GST %]], 0)</f>
        <v>0</v>
      </c>
      <c r="P299" s="31">
        <f>_xlfn.XLOOKUP(PO[[#This Row],[Supplier name]], Supplier_master[Supplier name], Supplier_master[EOM or Net], 0)</f>
        <v>0</v>
      </c>
      <c r="Q299" s="31">
        <f>_xlfn.XLOOKUP(PO[[#This Row],[Supplier name]], Supplier_master[Supplier name], Supplier_master[Terms days], 0)</f>
        <v>0</v>
      </c>
      <c r="R2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9" s="4"/>
      <c r="T299" s="46">
        <f>IF(PO[[#This Row],[Payment date - override (dd/mm/yyyy)]] &lt;&gt; "", PO[[#This Row],[Payment date - override (dd/mm/yyyy)]], PO[[#This Row],[Due date (dd/mm/yyyy)]])</f>
        <v>0</v>
      </c>
      <c r="U299" s="46">
        <f t="shared" si="4"/>
        <v>52</v>
      </c>
    </row>
    <row r="300" spans="3:21" x14ac:dyDescent="0.25">
      <c r="C300" s="24"/>
      <c r="D300" s="20"/>
      <c r="E300" s="4"/>
      <c r="F300" s="37"/>
      <c r="G300" s="38"/>
      <c r="H300" s="31">
        <f>_xlfn.XLOOKUP(PO[[#This Row],[Supplier name]], Supplier_master[Supplier name], Supplier_master[Category L1], 0)</f>
        <v>0</v>
      </c>
      <c r="I300" s="31">
        <f>_xlfn.XLOOKUP(PO[[#This Row],[Supplier name]], Supplier_master[Supplier name], Supplier_master[Category L2], 0)</f>
        <v>0</v>
      </c>
      <c r="J300" s="55"/>
      <c r="K300" s="55"/>
      <c r="L300" s="31">
        <f>IF(PO[[#This Row],[Spend category L1 - Override]] &lt;&gt; "", PO[[#This Row],[Spend category L1 - Override]], PO[[#This Row],[Spend category L1]])</f>
        <v>0</v>
      </c>
      <c r="M300" s="31">
        <f>IF(PO[[#This Row],[Spend category L2 - Override]] &lt;&gt; "", PO[[#This Row],[Spend category L2 - Override]], PO[[#This Row],[Spend category L2]])</f>
        <v>0</v>
      </c>
      <c r="N300" s="63">
        <f>Assumptions!$D$15</f>
        <v>0.1</v>
      </c>
      <c r="O300" s="45">
        <f>IF(PO[[#This Row],[GST applies?]] = "Yes", (PO[[#This Row],[Value inc. GST]] / 1 + PO[[#This Row],[GST %]]) * PO[[#This Row],[GST %]], 0)</f>
        <v>0</v>
      </c>
      <c r="P300" s="31">
        <f>_xlfn.XLOOKUP(PO[[#This Row],[Supplier name]], Supplier_master[Supplier name], Supplier_master[EOM or Net], 0)</f>
        <v>0</v>
      </c>
      <c r="Q300" s="31">
        <f>_xlfn.XLOOKUP(PO[[#This Row],[Supplier name]], Supplier_master[Supplier name], Supplier_master[Terms days], 0)</f>
        <v>0</v>
      </c>
      <c r="R3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0" s="4"/>
      <c r="T300" s="46">
        <f>IF(PO[[#This Row],[Payment date - override (dd/mm/yyyy)]] &lt;&gt; "", PO[[#This Row],[Payment date - override (dd/mm/yyyy)]], PO[[#This Row],[Due date (dd/mm/yyyy)]])</f>
        <v>0</v>
      </c>
      <c r="U300" s="46">
        <f t="shared" si="4"/>
        <v>52</v>
      </c>
    </row>
    <row r="301" spans="3:21" x14ac:dyDescent="0.25">
      <c r="C301" s="24"/>
      <c r="D301" s="20"/>
      <c r="E301" s="4"/>
      <c r="F301" s="37"/>
      <c r="G301" s="38"/>
      <c r="H301" s="31">
        <f>_xlfn.XLOOKUP(PO[[#This Row],[Supplier name]], Supplier_master[Supplier name], Supplier_master[Category L1], 0)</f>
        <v>0</v>
      </c>
      <c r="I301" s="31">
        <f>_xlfn.XLOOKUP(PO[[#This Row],[Supplier name]], Supplier_master[Supplier name], Supplier_master[Category L2], 0)</f>
        <v>0</v>
      </c>
      <c r="J301" s="55"/>
      <c r="K301" s="55"/>
      <c r="L301" s="31">
        <f>IF(PO[[#This Row],[Spend category L1 - Override]] &lt;&gt; "", PO[[#This Row],[Spend category L1 - Override]], PO[[#This Row],[Spend category L1]])</f>
        <v>0</v>
      </c>
      <c r="M301" s="31">
        <f>IF(PO[[#This Row],[Spend category L2 - Override]] &lt;&gt; "", PO[[#This Row],[Spend category L2 - Override]], PO[[#This Row],[Spend category L2]])</f>
        <v>0</v>
      </c>
      <c r="N301" s="63">
        <f>Assumptions!$D$15</f>
        <v>0.1</v>
      </c>
      <c r="O301" s="45">
        <f>IF(PO[[#This Row],[GST applies?]] = "Yes", (PO[[#This Row],[Value inc. GST]] / 1 + PO[[#This Row],[GST %]]) * PO[[#This Row],[GST %]], 0)</f>
        <v>0</v>
      </c>
      <c r="P301" s="31">
        <f>_xlfn.XLOOKUP(PO[[#This Row],[Supplier name]], Supplier_master[Supplier name], Supplier_master[EOM or Net], 0)</f>
        <v>0</v>
      </c>
      <c r="Q301" s="31">
        <f>_xlfn.XLOOKUP(PO[[#This Row],[Supplier name]], Supplier_master[Supplier name], Supplier_master[Terms days], 0)</f>
        <v>0</v>
      </c>
      <c r="R3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1" s="4"/>
      <c r="T301" s="46">
        <f>IF(PO[[#This Row],[Payment date - override (dd/mm/yyyy)]] &lt;&gt; "", PO[[#This Row],[Payment date - override (dd/mm/yyyy)]], PO[[#This Row],[Due date (dd/mm/yyyy)]])</f>
        <v>0</v>
      </c>
      <c r="U301" s="46">
        <f t="shared" si="4"/>
        <v>52</v>
      </c>
    </row>
    <row r="302" spans="3:21" x14ac:dyDescent="0.25">
      <c r="C302" s="24"/>
      <c r="D302" s="20"/>
      <c r="E302" s="4"/>
      <c r="F302" s="37"/>
      <c r="G302" s="38"/>
      <c r="H302" s="31">
        <f>_xlfn.XLOOKUP(PO[[#This Row],[Supplier name]], Supplier_master[Supplier name], Supplier_master[Category L1], 0)</f>
        <v>0</v>
      </c>
      <c r="I302" s="31">
        <f>_xlfn.XLOOKUP(PO[[#This Row],[Supplier name]], Supplier_master[Supplier name], Supplier_master[Category L2], 0)</f>
        <v>0</v>
      </c>
      <c r="J302" s="55"/>
      <c r="K302" s="55"/>
      <c r="L302" s="31">
        <f>IF(PO[[#This Row],[Spend category L1 - Override]] &lt;&gt; "", PO[[#This Row],[Spend category L1 - Override]], PO[[#This Row],[Spend category L1]])</f>
        <v>0</v>
      </c>
      <c r="M302" s="31">
        <f>IF(PO[[#This Row],[Spend category L2 - Override]] &lt;&gt; "", PO[[#This Row],[Spend category L2 - Override]], PO[[#This Row],[Spend category L2]])</f>
        <v>0</v>
      </c>
      <c r="N302" s="63">
        <f>Assumptions!$D$15</f>
        <v>0.1</v>
      </c>
      <c r="O302" s="45">
        <f>IF(PO[[#This Row],[GST applies?]] = "Yes", (PO[[#This Row],[Value inc. GST]] / 1 + PO[[#This Row],[GST %]]) * PO[[#This Row],[GST %]], 0)</f>
        <v>0</v>
      </c>
      <c r="P302" s="31">
        <f>_xlfn.XLOOKUP(PO[[#This Row],[Supplier name]], Supplier_master[Supplier name], Supplier_master[EOM or Net], 0)</f>
        <v>0</v>
      </c>
      <c r="Q302" s="31">
        <f>_xlfn.XLOOKUP(PO[[#This Row],[Supplier name]], Supplier_master[Supplier name], Supplier_master[Terms days], 0)</f>
        <v>0</v>
      </c>
      <c r="R3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2" s="4"/>
      <c r="T302" s="46">
        <f>IF(PO[[#This Row],[Payment date - override (dd/mm/yyyy)]] &lt;&gt; "", PO[[#This Row],[Payment date - override (dd/mm/yyyy)]], PO[[#This Row],[Due date (dd/mm/yyyy)]])</f>
        <v>0</v>
      </c>
      <c r="U302" s="46">
        <f t="shared" si="4"/>
        <v>52</v>
      </c>
    </row>
    <row r="303" spans="3:21" x14ac:dyDescent="0.25">
      <c r="C303" s="24"/>
      <c r="D303" s="20"/>
      <c r="E303" s="4"/>
      <c r="F303" s="37"/>
      <c r="G303" s="38"/>
      <c r="H303" s="31">
        <f>_xlfn.XLOOKUP(PO[[#This Row],[Supplier name]], Supplier_master[Supplier name], Supplier_master[Category L1], 0)</f>
        <v>0</v>
      </c>
      <c r="I303" s="31">
        <f>_xlfn.XLOOKUP(PO[[#This Row],[Supplier name]], Supplier_master[Supplier name], Supplier_master[Category L2], 0)</f>
        <v>0</v>
      </c>
      <c r="J303" s="55"/>
      <c r="K303" s="55"/>
      <c r="L303" s="31">
        <f>IF(PO[[#This Row],[Spend category L1 - Override]] &lt;&gt; "", PO[[#This Row],[Spend category L1 - Override]], PO[[#This Row],[Spend category L1]])</f>
        <v>0</v>
      </c>
      <c r="M303" s="31">
        <f>IF(PO[[#This Row],[Spend category L2 - Override]] &lt;&gt; "", PO[[#This Row],[Spend category L2 - Override]], PO[[#This Row],[Spend category L2]])</f>
        <v>0</v>
      </c>
      <c r="N303" s="63">
        <f>Assumptions!$D$15</f>
        <v>0.1</v>
      </c>
      <c r="O303" s="45">
        <f>IF(PO[[#This Row],[GST applies?]] = "Yes", (PO[[#This Row],[Value inc. GST]] / 1 + PO[[#This Row],[GST %]]) * PO[[#This Row],[GST %]], 0)</f>
        <v>0</v>
      </c>
      <c r="P303" s="31">
        <f>_xlfn.XLOOKUP(PO[[#This Row],[Supplier name]], Supplier_master[Supplier name], Supplier_master[EOM or Net], 0)</f>
        <v>0</v>
      </c>
      <c r="Q303" s="31">
        <f>_xlfn.XLOOKUP(PO[[#This Row],[Supplier name]], Supplier_master[Supplier name], Supplier_master[Terms days], 0)</f>
        <v>0</v>
      </c>
      <c r="R3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3" s="4"/>
      <c r="T303" s="46">
        <f>IF(PO[[#This Row],[Payment date - override (dd/mm/yyyy)]] &lt;&gt; "", PO[[#This Row],[Payment date - override (dd/mm/yyyy)]], PO[[#This Row],[Due date (dd/mm/yyyy)]])</f>
        <v>0</v>
      </c>
      <c r="U303" s="46">
        <f t="shared" si="4"/>
        <v>52</v>
      </c>
    </row>
    <row r="304" spans="3:21" x14ac:dyDescent="0.25">
      <c r="C304" s="24"/>
      <c r="D304" s="20"/>
      <c r="E304" s="4"/>
      <c r="F304" s="37"/>
      <c r="G304" s="38"/>
      <c r="H304" s="31">
        <f>_xlfn.XLOOKUP(PO[[#This Row],[Supplier name]], Supplier_master[Supplier name], Supplier_master[Category L1], 0)</f>
        <v>0</v>
      </c>
      <c r="I304" s="31">
        <f>_xlfn.XLOOKUP(PO[[#This Row],[Supplier name]], Supplier_master[Supplier name], Supplier_master[Category L2], 0)</f>
        <v>0</v>
      </c>
      <c r="J304" s="55"/>
      <c r="K304" s="55"/>
      <c r="L304" s="31">
        <f>IF(PO[[#This Row],[Spend category L1 - Override]] &lt;&gt; "", PO[[#This Row],[Spend category L1 - Override]], PO[[#This Row],[Spend category L1]])</f>
        <v>0</v>
      </c>
      <c r="M304" s="31">
        <f>IF(PO[[#This Row],[Spend category L2 - Override]] &lt;&gt; "", PO[[#This Row],[Spend category L2 - Override]], PO[[#This Row],[Spend category L2]])</f>
        <v>0</v>
      </c>
      <c r="N304" s="63">
        <f>Assumptions!$D$15</f>
        <v>0.1</v>
      </c>
      <c r="O304" s="45">
        <f>IF(PO[[#This Row],[GST applies?]] = "Yes", (PO[[#This Row],[Value inc. GST]] / 1 + PO[[#This Row],[GST %]]) * PO[[#This Row],[GST %]], 0)</f>
        <v>0</v>
      </c>
      <c r="P304" s="31">
        <f>_xlfn.XLOOKUP(PO[[#This Row],[Supplier name]], Supplier_master[Supplier name], Supplier_master[EOM or Net], 0)</f>
        <v>0</v>
      </c>
      <c r="Q304" s="31">
        <f>_xlfn.XLOOKUP(PO[[#This Row],[Supplier name]], Supplier_master[Supplier name], Supplier_master[Terms days], 0)</f>
        <v>0</v>
      </c>
      <c r="R3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4" s="4"/>
      <c r="T304" s="46">
        <f>IF(PO[[#This Row],[Payment date - override (dd/mm/yyyy)]] &lt;&gt; "", PO[[#This Row],[Payment date - override (dd/mm/yyyy)]], PO[[#This Row],[Due date (dd/mm/yyyy)]])</f>
        <v>0</v>
      </c>
      <c r="U304" s="46">
        <f t="shared" si="4"/>
        <v>52</v>
      </c>
    </row>
    <row r="305" spans="3:21" x14ac:dyDescent="0.25">
      <c r="C305" s="24"/>
      <c r="D305" s="20"/>
      <c r="E305" s="4"/>
      <c r="F305" s="37"/>
      <c r="G305" s="38"/>
      <c r="H305" s="31">
        <f>_xlfn.XLOOKUP(PO[[#This Row],[Supplier name]], Supplier_master[Supplier name], Supplier_master[Category L1], 0)</f>
        <v>0</v>
      </c>
      <c r="I305" s="31">
        <f>_xlfn.XLOOKUP(PO[[#This Row],[Supplier name]], Supplier_master[Supplier name], Supplier_master[Category L2], 0)</f>
        <v>0</v>
      </c>
      <c r="J305" s="55"/>
      <c r="K305" s="55"/>
      <c r="L305" s="31">
        <f>IF(PO[[#This Row],[Spend category L1 - Override]] &lt;&gt; "", PO[[#This Row],[Spend category L1 - Override]], PO[[#This Row],[Spend category L1]])</f>
        <v>0</v>
      </c>
      <c r="M305" s="31">
        <f>IF(PO[[#This Row],[Spend category L2 - Override]] &lt;&gt; "", PO[[#This Row],[Spend category L2 - Override]], PO[[#This Row],[Spend category L2]])</f>
        <v>0</v>
      </c>
      <c r="N305" s="63">
        <f>Assumptions!$D$15</f>
        <v>0.1</v>
      </c>
      <c r="O305" s="45">
        <f>IF(PO[[#This Row],[GST applies?]] = "Yes", (PO[[#This Row],[Value inc. GST]] / 1 + PO[[#This Row],[GST %]]) * PO[[#This Row],[GST %]], 0)</f>
        <v>0</v>
      </c>
      <c r="P305" s="31">
        <f>_xlfn.XLOOKUP(PO[[#This Row],[Supplier name]], Supplier_master[Supplier name], Supplier_master[EOM or Net], 0)</f>
        <v>0</v>
      </c>
      <c r="Q305" s="31">
        <f>_xlfn.XLOOKUP(PO[[#This Row],[Supplier name]], Supplier_master[Supplier name], Supplier_master[Terms days], 0)</f>
        <v>0</v>
      </c>
      <c r="R3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5" s="4"/>
      <c r="T305" s="46">
        <f>IF(PO[[#This Row],[Payment date - override (dd/mm/yyyy)]] &lt;&gt; "", PO[[#This Row],[Payment date - override (dd/mm/yyyy)]], PO[[#This Row],[Due date (dd/mm/yyyy)]])</f>
        <v>0</v>
      </c>
      <c r="U305" s="46">
        <f t="shared" si="4"/>
        <v>52</v>
      </c>
    </row>
    <row r="306" spans="3:21" x14ac:dyDescent="0.25">
      <c r="C306" s="24"/>
      <c r="D306" s="20"/>
      <c r="E306" s="4"/>
      <c r="F306" s="37"/>
      <c r="G306" s="38"/>
      <c r="H306" s="31">
        <f>_xlfn.XLOOKUP(PO[[#This Row],[Supplier name]], Supplier_master[Supplier name], Supplier_master[Category L1], 0)</f>
        <v>0</v>
      </c>
      <c r="I306" s="31">
        <f>_xlfn.XLOOKUP(PO[[#This Row],[Supplier name]], Supplier_master[Supplier name], Supplier_master[Category L2], 0)</f>
        <v>0</v>
      </c>
      <c r="J306" s="55"/>
      <c r="K306" s="55"/>
      <c r="L306" s="31">
        <f>IF(PO[[#This Row],[Spend category L1 - Override]] &lt;&gt; "", PO[[#This Row],[Spend category L1 - Override]], PO[[#This Row],[Spend category L1]])</f>
        <v>0</v>
      </c>
      <c r="M306" s="31">
        <f>IF(PO[[#This Row],[Spend category L2 - Override]] &lt;&gt; "", PO[[#This Row],[Spend category L2 - Override]], PO[[#This Row],[Spend category L2]])</f>
        <v>0</v>
      </c>
      <c r="N306" s="63">
        <f>Assumptions!$D$15</f>
        <v>0.1</v>
      </c>
      <c r="O306" s="45">
        <f>IF(PO[[#This Row],[GST applies?]] = "Yes", (PO[[#This Row],[Value inc. GST]] / 1 + PO[[#This Row],[GST %]]) * PO[[#This Row],[GST %]], 0)</f>
        <v>0</v>
      </c>
      <c r="P306" s="31">
        <f>_xlfn.XLOOKUP(PO[[#This Row],[Supplier name]], Supplier_master[Supplier name], Supplier_master[EOM or Net], 0)</f>
        <v>0</v>
      </c>
      <c r="Q306" s="31">
        <f>_xlfn.XLOOKUP(PO[[#This Row],[Supplier name]], Supplier_master[Supplier name], Supplier_master[Terms days], 0)</f>
        <v>0</v>
      </c>
      <c r="R3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6" s="4"/>
      <c r="T306" s="46">
        <f>IF(PO[[#This Row],[Payment date - override (dd/mm/yyyy)]] &lt;&gt; "", PO[[#This Row],[Payment date - override (dd/mm/yyyy)]], PO[[#This Row],[Due date (dd/mm/yyyy)]])</f>
        <v>0</v>
      </c>
      <c r="U306" s="46">
        <f t="shared" si="4"/>
        <v>52</v>
      </c>
    </row>
    <row r="307" spans="3:21" x14ac:dyDescent="0.25">
      <c r="C307" s="24"/>
      <c r="D307" s="20"/>
      <c r="E307" s="4"/>
      <c r="F307" s="37"/>
      <c r="G307" s="38"/>
      <c r="H307" s="31">
        <f>_xlfn.XLOOKUP(PO[[#This Row],[Supplier name]], Supplier_master[Supplier name], Supplier_master[Category L1], 0)</f>
        <v>0</v>
      </c>
      <c r="I307" s="31">
        <f>_xlfn.XLOOKUP(PO[[#This Row],[Supplier name]], Supplier_master[Supplier name], Supplier_master[Category L2], 0)</f>
        <v>0</v>
      </c>
      <c r="J307" s="55"/>
      <c r="K307" s="55"/>
      <c r="L307" s="31">
        <f>IF(PO[[#This Row],[Spend category L1 - Override]] &lt;&gt; "", PO[[#This Row],[Spend category L1 - Override]], PO[[#This Row],[Spend category L1]])</f>
        <v>0</v>
      </c>
      <c r="M307" s="31">
        <f>IF(PO[[#This Row],[Spend category L2 - Override]] &lt;&gt; "", PO[[#This Row],[Spend category L2 - Override]], PO[[#This Row],[Spend category L2]])</f>
        <v>0</v>
      </c>
      <c r="N307" s="63">
        <f>Assumptions!$D$15</f>
        <v>0.1</v>
      </c>
      <c r="O307" s="45">
        <f>IF(PO[[#This Row],[GST applies?]] = "Yes", (PO[[#This Row],[Value inc. GST]] / 1 + PO[[#This Row],[GST %]]) * PO[[#This Row],[GST %]], 0)</f>
        <v>0</v>
      </c>
      <c r="P307" s="31">
        <f>_xlfn.XLOOKUP(PO[[#This Row],[Supplier name]], Supplier_master[Supplier name], Supplier_master[EOM or Net], 0)</f>
        <v>0</v>
      </c>
      <c r="Q307" s="31">
        <f>_xlfn.XLOOKUP(PO[[#This Row],[Supplier name]], Supplier_master[Supplier name], Supplier_master[Terms days], 0)</f>
        <v>0</v>
      </c>
      <c r="R3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7" s="4"/>
      <c r="T307" s="46">
        <f>IF(PO[[#This Row],[Payment date - override (dd/mm/yyyy)]] &lt;&gt; "", PO[[#This Row],[Payment date - override (dd/mm/yyyy)]], PO[[#This Row],[Due date (dd/mm/yyyy)]])</f>
        <v>0</v>
      </c>
      <c r="U307" s="46">
        <f t="shared" si="4"/>
        <v>52</v>
      </c>
    </row>
    <row r="308" spans="3:21" x14ac:dyDescent="0.25">
      <c r="C308" s="24"/>
      <c r="D308" s="20"/>
      <c r="E308" s="4"/>
      <c r="F308" s="37"/>
      <c r="G308" s="38"/>
      <c r="H308" s="31">
        <f>_xlfn.XLOOKUP(PO[[#This Row],[Supplier name]], Supplier_master[Supplier name], Supplier_master[Category L1], 0)</f>
        <v>0</v>
      </c>
      <c r="I308" s="31">
        <f>_xlfn.XLOOKUP(PO[[#This Row],[Supplier name]], Supplier_master[Supplier name], Supplier_master[Category L2], 0)</f>
        <v>0</v>
      </c>
      <c r="J308" s="55"/>
      <c r="K308" s="55"/>
      <c r="L308" s="31">
        <f>IF(PO[[#This Row],[Spend category L1 - Override]] &lt;&gt; "", PO[[#This Row],[Spend category L1 - Override]], PO[[#This Row],[Spend category L1]])</f>
        <v>0</v>
      </c>
      <c r="M308" s="31">
        <f>IF(PO[[#This Row],[Spend category L2 - Override]] &lt;&gt; "", PO[[#This Row],[Spend category L2 - Override]], PO[[#This Row],[Spend category L2]])</f>
        <v>0</v>
      </c>
      <c r="N308" s="63">
        <f>Assumptions!$D$15</f>
        <v>0.1</v>
      </c>
      <c r="O308" s="45">
        <f>IF(PO[[#This Row],[GST applies?]] = "Yes", (PO[[#This Row],[Value inc. GST]] / 1 + PO[[#This Row],[GST %]]) * PO[[#This Row],[GST %]], 0)</f>
        <v>0</v>
      </c>
      <c r="P308" s="31">
        <f>_xlfn.XLOOKUP(PO[[#This Row],[Supplier name]], Supplier_master[Supplier name], Supplier_master[EOM or Net], 0)</f>
        <v>0</v>
      </c>
      <c r="Q308" s="31">
        <f>_xlfn.XLOOKUP(PO[[#This Row],[Supplier name]], Supplier_master[Supplier name], Supplier_master[Terms days], 0)</f>
        <v>0</v>
      </c>
      <c r="R3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8" s="4"/>
      <c r="T308" s="46">
        <f>IF(PO[[#This Row],[Payment date - override (dd/mm/yyyy)]] &lt;&gt; "", PO[[#This Row],[Payment date - override (dd/mm/yyyy)]], PO[[#This Row],[Due date (dd/mm/yyyy)]])</f>
        <v>0</v>
      </c>
      <c r="U308" s="46">
        <f t="shared" si="4"/>
        <v>52</v>
      </c>
    </row>
    <row r="309" spans="3:21" x14ac:dyDescent="0.25">
      <c r="C309" s="24"/>
      <c r="D309" s="20"/>
      <c r="E309" s="4"/>
      <c r="F309" s="37"/>
      <c r="G309" s="38"/>
      <c r="H309" s="31">
        <f>_xlfn.XLOOKUP(PO[[#This Row],[Supplier name]], Supplier_master[Supplier name], Supplier_master[Category L1], 0)</f>
        <v>0</v>
      </c>
      <c r="I309" s="31">
        <f>_xlfn.XLOOKUP(PO[[#This Row],[Supplier name]], Supplier_master[Supplier name], Supplier_master[Category L2], 0)</f>
        <v>0</v>
      </c>
      <c r="J309" s="55"/>
      <c r="K309" s="55"/>
      <c r="L309" s="31">
        <f>IF(PO[[#This Row],[Spend category L1 - Override]] &lt;&gt; "", PO[[#This Row],[Spend category L1 - Override]], PO[[#This Row],[Spend category L1]])</f>
        <v>0</v>
      </c>
      <c r="M309" s="31">
        <f>IF(PO[[#This Row],[Spend category L2 - Override]] &lt;&gt; "", PO[[#This Row],[Spend category L2 - Override]], PO[[#This Row],[Spend category L2]])</f>
        <v>0</v>
      </c>
      <c r="N309" s="63">
        <f>Assumptions!$D$15</f>
        <v>0.1</v>
      </c>
      <c r="O309" s="45">
        <f>IF(PO[[#This Row],[GST applies?]] = "Yes", (PO[[#This Row],[Value inc. GST]] / 1 + PO[[#This Row],[GST %]]) * PO[[#This Row],[GST %]], 0)</f>
        <v>0</v>
      </c>
      <c r="P309" s="31">
        <f>_xlfn.XLOOKUP(PO[[#This Row],[Supplier name]], Supplier_master[Supplier name], Supplier_master[EOM or Net], 0)</f>
        <v>0</v>
      </c>
      <c r="Q309" s="31">
        <f>_xlfn.XLOOKUP(PO[[#This Row],[Supplier name]], Supplier_master[Supplier name], Supplier_master[Terms days], 0)</f>
        <v>0</v>
      </c>
      <c r="R3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9" s="4"/>
      <c r="T309" s="46">
        <f>IF(PO[[#This Row],[Payment date - override (dd/mm/yyyy)]] &lt;&gt; "", PO[[#This Row],[Payment date - override (dd/mm/yyyy)]], PO[[#This Row],[Due date (dd/mm/yyyy)]])</f>
        <v>0</v>
      </c>
      <c r="U309" s="46">
        <f t="shared" si="4"/>
        <v>52</v>
      </c>
    </row>
    <row r="310" spans="3:21" x14ac:dyDescent="0.25">
      <c r="C310" s="24"/>
      <c r="D310" s="20"/>
      <c r="E310" s="4"/>
      <c r="F310" s="37"/>
      <c r="G310" s="38"/>
      <c r="H310" s="31">
        <f>_xlfn.XLOOKUP(PO[[#This Row],[Supplier name]], Supplier_master[Supplier name], Supplier_master[Category L1], 0)</f>
        <v>0</v>
      </c>
      <c r="I310" s="31">
        <f>_xlfn.XLOOKUP(PO[[#This Row],[Supplier name]], Supplier_master[Supplier name], Supplier_master[Category L2], 0)</f>
        <v>0</v>
      </c>
      <c r="J310" s="55"/>
      <c r="K310" s="55"/>
      <c r="L310" s="31">
        <f>IF(PO[[#This Row],[Spend category L1 - Override]] &lt;&gt; "", PO[[#This Row],[Spend category L1 - Override]], PO[[#This Row],[Spend category L1]])</f>
        <v>0</v>
      </c>
      <c r="M310" s="31">
        <f>IF(PO[[#This Row],[Spend category L2 - Override]] &lt;&gt; "", PO[[#This Row],[Spend category L2 - Override]], PO[[#This Row],[Spend category L2]])</f>
        <v>0</v>
      </c>
      <c r="N310" s="63">
        <f>Assumptions!$D$15</f>
        <v>0.1</v>
      </c>
      <c r="O310" s="45">
        <f>IF(PO[[#This Row],[GST applies?]] = "Yes", (PO[[#This Row],[Value inc. GST]] / 1 + PO[[#This Row],[GST %]]) * PO[[#This Row],[GST %]], 0)</f>
        <v>0</v>
      </c>
      <c r="P310" s="31">
        <f>_xlfn.XLOOKUP(PO[[#This Row],[Supplier name]], Supplier_master[Supplier name], Supplier_master[EOM or Net], 0)</f>
        <v>0</v>
      </c>
      <c r="Q310" s="31">
        <f>_xlfn.XLOOKUP(PO[[#This Row],[Supplier name]], Supplier_master[Supplier name], Supplier_master[Terms days], 0)</f>
        <v>0</v>
      </c>
      <c r="R3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0" s="4"/>
      <c r="T310" s="46">
        <f>IF(PO[[#This Row],[Payment date - override (dd/mm/yyyy)]] &lt;&gt; "", PO[[#This Row],[Payment date - override (dd/mm/yyyy)]], PO[[#This Row],[Due date (dd/mm/yyyy)]])</f>
        <v>0</v>
      </c>
      <c r="U310" s="46">
        <f t="shared" si="4"/>
        <v>52</v>
      </c>
    </row>
    <row r="311" spans="3:21" x14ac:dyDescent="0.25">
      <c r="C311" s="24"/>
      <c r="D311" s="20"/>
      <c r="E311" s="4"/>
      <c r="F311" s="37"/>
      <c r="G311" s="38"/>
      <c r="H311" s="31">
        <f>_xlfn.XLOOKUP(PO[[#This Row],[Supplier name]], Supplier_master[Supplier name], Supplier_master[Category L1], 0)</f>
        <v>0</v>
      </c>
      <c r="I311" s="31">
        <f>_xlfn.XLOOKUP(PO[[#This Row],[Supplier name]], Supplier_master[Supplier name], Supplier_master[Category L2], 0)</f>
        <v>0</v>
      </c>
      <c r="J311" s="55"/>
      <c r="K311" s="55"/>
      <c r="L311" s="31">
        <f>IF(PO[[#This Row],[Spend category L1 - Override]] &lt;&gt; "", PO[[#This Row],[Spend category L1 - Override]], PO[[#This Row],[Spend category L1]])</f>
        <v>0</v>
      </c>
      <c r="M311" s="31">
        <f>IF(PO[[#This Row],[Spend category L2 - Override]] &lt;&gt; "", PO[[#This Row],[Spend category L2 - Override]], PO[[#This Row],[Spend category L2]])</f>
        <v>0</v>
      </c>
      <c r="N311" s="63">
        <f>Assumptions!$D$15</f>
        <v>0.1</v>
      </c>
      <c r="O311" s="45">
        <f>IF(PO[[#This Row],[GST applies?]] = "Yes", (PO[[#This Row],[Value inc. GST]] / 1 + PO[[#This Row],[GST %]]) * PO[[#This Row],[GST %]], 0)</f>
        <v>0</v>
      </c>
      <c r="P311" s="31">
        <f>_xlfn.XLOOKUP(PO[[#This Row],[Supplier name]], Supplier_master[Supplier name], Supplier_master[EOM or Net], 0)</f>
        <v>0</v>
      </c>
      <c r="Q311" s="31">
        <f>_xlfn.XLOOKUP(PO[[#This Row],[Supplier name]], Supplier_master[Supplier name], Supplier_master[Terms days], 0)</f>
        <v>0</v>
      </c>
      <c r="R3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1" s="4"/>
      <c r="T311" s="46">
        <f>IF(PO[[#This Row],[Payment date - override (dd/mm/yyyy)]] &lt;&gt; "", PO[[#This Row],[Payment date - override (dd/mm/yyyy)]], PO[[#This Row],[Due date (dd/mm/yyyy)]])</f>
        <v>0</v>
      </c>
      <c r="U311" s="46">
        <f t="shared" si="4"/>
        <v>52</v>
      </c>
    </row>
    <row r="312" spans="3:21" x14ac:dyDescent="0.25">
      <c r="C312" s="24"/>
      <c r="D312" s="20"/>
      <c r="E312" s="4"/>
      <c r="F312" s="37"/>
      <c r="G312" s="38"/>
      <c r="H312" s="31">
        <f>_xlfn.XLOOKUP(PO[[#This Row],[Supplier name]], Supplier_master[Supplier name], Supplier_master[Category L1], 0)</f>
        <v>0</v>
      </c>
      <c r="I312" s="31">
        <f>_xlfn.XLOOKUP(PO[[#This Row],[Supplier name]], Supplier_master[Supplier name], Supplier_master[Category L2], 0)</f>
        <v>0</v>
      </c>
      <c r="J312" s="55"/>
      <c r="K312" s="55"/>
      <c r="L312" s="31">
        <f>IF(PO[[#This Row],[Spend category L1 - Override]] &lt;&gt; "", PO[[#This Row],[Spend category L1 - Override]], PO[[#This Row],[Spend category L1]])</f>
        <v>0</v>
      </c>
      <c r="M312" s="31">
        <f>IF(PO[[#This Row],[Spend category L2 - Override]] &lt;&gt; "", PO[[#This Row],[Spend category L2 - Override]], PO[[#This Row],[Spend category L2]])</f>
        <v>0</v>
      </c>
      <c r="N312" s="63">
        <f>Assumptions!$D$15</f>
        <v>0.1</v>
      </c>
      <c r="O312" s="45">
        <f>IF(PO[[#This Row],[GST applies?]] = "Yes", (PO[[#This Row],[Value inc. GST]] / 1 + PO[[#This Row],[GST %]]) * PO[[#This Row],[GST %]], 0)</f>
        <v>0</v>
      </c>
      <c r="P312" s="31">
        <f>_xlfn.XLOOKUP(PO[[#This Row],[Supplier name]], Supplier_master[Supplier name], Supplier_master[EOM or Net], 0)</f>
        <v>0</v>
      </c>
      <c r="Q312" s="31">
        <f>_xlfn.XLOOKUP(PO[[#This Row],[Supplier name]], Supplier_master[Supplier name], Supplier_master[Terms days], 0)</f>
        <v>0</v>
      </c>
      <c r="R3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2" s="4"/>
      <c r="T312" s="46">
        <f>IF(PO[[#This Row],[Payment date - override (dd/mm/yyyy)]] &lt;&gt; "", PO[[#This Row],[Payment date - override (dd/mm/yyyy)]], PO[[#This Row],[Due date (dd/mm/yyyy)]])</f>
        <v>0</v>
      </c>
      <c r="U312" s="46">
        <f t="shared" si="4"/>
        <v>52</v>
      </c>
    </row>
    <row r="313" spans="3:21" x14ac:dyDescent="0.25">
      <c r="C313" s="24"/>
      <c r="D313" s="20"/>
      <c r="E313" s="4"/>
      <c r="F313" s="37"/>
      <c r="G313" s="38"/>
      <c r="H313" s="31">
        <f>_xlfn.XLOOKUP(PO[[#This Row],[Supplier name]], Supplier_master[Supplier name], Supplier_master[Category L1], 0)</f>
        <v>0</v>
      </c>
      <c r="I313" s="31">
        <f>_xlfn.XLOOKUP(PO[[#This Row],[Supplier name]], Supplier_master[Supplier name], Supplier_master[Category L2], 0)</f>
        <v>0</v>
      </c>
      <c r="J313" s="55"/>
      <c r="K313" s="55"/>
      <c r="L313" s="31">
        <f>IF(PO[[#This Row],[Spend category L1 - Override]] &lt;&gt; "", PO[[#This Row],[Spend category L1 - Override]], PO[[#This Row],[Spend category L1]])</f>
        <v>0</v>
      </c>
      <c r="M313" s="31">
        <f>IF(PO[[#This Row],[Spend category L2 - Override]] &lt;&gt; "", PO[[#This Row],[Spend category L2 - Override]], PO[[#This Row],[Spend category L2]])</f>
        <v>0</v>
      </c>
      <c r="N313" s="63">
        <f>Assumptions!$D$15</f>
        <v>0.1</v>
      </c>
      <c r="O313" s="45">
        <f>IF(PO[[#This Row],[GST applies?]] = "Yes", (PO[[#This Row],[Value inc. GST]] / 1 + PO[[#This Row],[GST %]]) * PO[[#This Row],[GST %]], 0)</f>
        <v>0</v>
      </c>
      <c r="P313" s="31">
        <f>_xlfn.XLOOKUP(PO[[#This Row],[Supplier name]], Supplier_master[Supplier name], Supplier_master[EOM or Net], 0)</f>
        <v>0</v>
      </c>
      <c r="Q313" s="31">
        <f>_xlfn.XLOOKUP(PO[[#This Row],[Supplier name]], Supplier_master[Supplier name], Supplier_master[Terms days], 0)</f>
        <v>0</v>
      </c>
      <c r="R3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3" s="4"/>
      <c r="T313" s="46">
        <f>IF(PO[[#This Row],[Payment date - override (dd/mm/yyyy)]] &lt;&gt; "", PO[[#This Row],[Payment date - override (dd/mm/yyyy)]], PO[[#This Row],[Due date (dd/mm/yyyy)]])</f>
        <v>0</v>
      </c>
      <c r="U313" s="46">
        <f t="shared" si="4"/>
        <v>52</v>
      </c>
    </row>
    <row r="314" spans="3:21" x14ac:dyDescent="0.25">
      <c r="C314" s="24"/>
      <c r="D314" s="20"/>
      <c r="E314" s="4"/>
      <c r="F314" s="37"/>
      <c r="G314" s="38"/>
      <c r="H314" s="31">
        <f>_xlfn.XLOOKUP(PO[[#This Row],[Supplier name]], Supplier_master[Supplier name], Supplier_master[Category L1], 0)</f>
        <v>0</v>
      </c>
      <c r="I314" s="31">
        <f>_xlfn.XLOOKUP(PO[[#This Row],[Supplier name]], Supplier_master[Supplier name], Supplier_master[Category L2], 0)</f>
        <v>0</v>
      </c>
      <c r="J314" s="55"/>
      <c r="K314" s="55"/>
      <c r="L314" s="31">
        <f>IF(PO[[#This Row],[Spend category L1 - Override]] &lt;&gt; "", PO[[#This Row],[Spend category L1 - Override]], PO[[#This Row],[Spend category L1]])</f>
        <v>0</v>
      </c>
      <c r="M314" s="31">
        <f>IF(PO[[#This Row],[Spend category L2 - Override]] &lt;&gt; "", PO[[#This Row],[Spend category L2 - Override]], PO[[#This Row],[Spend category L2]])</f>
        <v>0</v>
      </c>
      <c r="N314" s="63">
        <f>Assumptions!$D$15</f>
        <v>0.1</v>
      </c>
      <c r="O314" s="45">
        <f>IF(PO[[#This Row],[GST applies?]] = "Yes", (PO[[#This Row],[Value inc. GST]] / 1 + PO[[#This Row],[GST %]]) * PO[[#This Row],[GST %]], 0)</f>
        <v>0</v>
      </c>
      <c r="P314" s="31">
        <f>_xlfn.XLOOKUP(PO[[#This Row],[Supplier name]], Supplier_master[Supplier name], Supplier_master[EOM or Net], 0)</f>
        <v>0</v>
      </c>
      <c r="Q314" s="31">
        <f>_xlfn.XLOOKUP(PO[[#This Row],[Supplier name]], Supplier_master[Supplier name], Supplier_master[Terms days], 0)</f>
        <v>0</v>
      </c>
      <c r="R3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4" s="4"/>
      <c r="T314" s="46">
        <f>IF(PO[[#This Row],[Payment date - override (dd/mm/yyyy)]] &lt;&gt; "", PO[[#This Row],[Payment date - override (dd/mm/yyyy)]], PO[[#This Row],[Due date (dd/mm/yyyy)]])</f>
        <v>0</v>
      </c>
      <c r="U314" s="46">
        <f t="shared" si="4"/>
        <v>52</v>
      </c>
    </row>
    <row r="315" spans="3:21" x14ac:dyDescent="0.25">
      <c r="C315" s="24"/>
      <c r="D315" s="20"/>
      <c r="E315" s="4"/>
      <c r="F315" s="37"/>
      <c r="G315" s="38"/>
      <c r="H315" s="31">
        <f>_xlfn.XLOOKUP(PO[[#This Row],[Supplier name]], Supplier_master[Supplier name], Supplier_master[Category L1], 0)</f>
        <v>0</v>
      </c>
      <c r="I315" s="31">
        <f>_xlfn.XLOOKUP(PO[[#This Row],[Supplier name]], Supplier_master[Supplier name], Supplier_master[Category L2], 0)</f>
        <v>0</v>
      </c>
      <c r="J315" s="55"/>
      <c r="K315" s="55"/>
      <c r="L315" s="31">
        <f>IF(PO[[#This Row],[Spend category L1 - Override]] &lt;&gt; "", PO[[#This Row],[Spend category L1 - Override]], PO[[#This Row],[Spend category L1]])</f>
        <v>0</v>
      </c>
      <c r="M315" s="31">
        <f>IF(PO[[#This Row],[Spend category L2 - Override]] &lt;&gt; "", PO[[#This Row],[Spend category L2 - Override]], PO[[#This Row],[Spend category L2]])</f>
        <v>0</v>
      </c>
      <c r="N315" s="63">
        <f>Assumptions!$D$15</f>
        <v>0.1</v>
      </c>
      <c r="O315" s="45">
        <f>IF(PO[[#This Row],[GST applies?]] = "Yes", (PO[[#This Row],[Value inc. GST]] / 1 + PO[[#This Row],[GST %]]) * PO[[#This Row],[GST %]], 0)</f>
        <v>0</v>
      </c>
      <c r="P315" s="31">
        <f>_xlfn.XLOOKUP(PO[[#This Row],[Supplier name]], Supplier_master[Supplier name], Supplier_master[EOM or Net], 0)</f>
        <v>0</v>
      </c>
      <c r="Q315" s="31">
        <f>_xlfn.XLOOKUP(PO[[#This Row],[Supplier name]], Supplier_master[Supplier name], Supplier_master[Terms days], 0)</f>
        <v>0</v>
      </c>
      <c r="R3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5" s="4"/>
      <c r="T315" s="46">
        <f>IF(PO[[#This Row],[Payment date - override (dd/mm/yyyy)]] &lt;&gt; "", PO[[#This Row],[Payment date - override (dd/mm/yyyy)]], PO[[#This Row],[Due date (dd/mm/yyyy)]])</f>
        <v>0</v>
      </c>
      <c r="U315" s="46">
        <f t="shared" si="4"/>
        <v>52</v>
      </c>
    </row>
    <row r="316" spans="3:21" x14ac:dyDescent="0.25">
      <c r="C316" s="24"/>
      <c r="D316" s="20"/>
      <c r="E316" s="4"/>
      <c r="F316" s="37"/>
      <c r="G316" s="38"/>
      <c r="H316" s="31">
        <f>_xlfn.XLOOKUP(PO[[#This Row],[Supplier name]], Supplier_master[Supplier name], Supplier_master[Category L1], 0)</f>
        <v>0</v>
      </c>
      <c r="I316" s="31">
        <f>_xlfn.XLOOKUP(PO[[#This Row],[Supplier name]], Supplier_master[Supplier name], Supplier_master[Category L2], 0)</f>
        <v>0</v>
      </c>
      <c r="J316" s="55"/>
      <c r="K316" s="55"/>
      <c r="L316" s="31">
        <f>IF(PO[[#This Row],[Spend category L1 - Override]] &lt;&gt; "", PO[[#This Row],[Spend category L1 - Override]], PO[[#This Row],[Spend category L1]])</f>
        <v>0</v>
      </c>
      <c r="M316" s="31">
        <f>IF(PO[[#This Row],[Spend category L2 - Override]] &lt;&gt; "", PO[[#This Row],[Spend category L2 - Override]], PO[[#This Row],[Spend category L2]])</f>
        <v>0</v>
      </c>
      <c r="N316" s="63">
        <f>Assumptions!$D$15</f>
        <v>0.1</v>
      </c>
      <c r="O316" s="45">
        <f>IF(PO[[#This Row],[GST applies?]] = "Yes", (PO[[#This Row],[Value inc. GST]] / 1 + PO[[#This Row],[GST %]]) * PO[[#This Row],[GST %]], 0)</f>
        <v>0</v>
      </c>
      <c r="P316" s="31">
        <f>_xlfn.XLOOKUP(PO[[#This Row],[Supplier name]], Supplier_master[Supplier name], Supplier_master[EOM or Net], 0)</f>
        <v>0</v>
      </c>
      <c r="Q316" s="31">
        <f>_xlfn.XLOOKUP(PO[[#This Row],[Supplier name]], Supplier_master[Supplier name], Supplier_master[Terms days], 0)</f>
        <v>0</v>
      </c>
      <c r="R3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6" s="4"/>
      <c r="T316" s="46">
        <f>IF(PO[[#This Row],[Payment date - override (dd/mm/yyyy)]] &lt;&gt; "", PO[[#This Row],[Payment date - override (dd/mm/yyyy)]], PO[[#This Row],[Due date (dd/mm/yyyy)]])</f>
        <v>0</v>
      </c>
      <c r="U316" s="46">
        <f t="shared" si="4"/>
        <v>52</v>
      </c>
    </row>
    <row r="317" spans="3:21" x14ac:dyDescent="0.25">
      <c r="C317" s="24"/>
      <c r="D317" s="20"/>
      <c r="E317" s="4"/>
      <c r="F317" s="37"/>
      <c r="G317" s="38"/>
      <c r="H317" s="31">
        <f>_xlfn.XLOOKUP(PO[[#This Row],[Supplier name]], Supplier_master[Supplier name], Supplier_master[Category L1], 0)</f>
        <v>0</v>
      </c>
      <c r="I317" s="31">
        <f>_xlfn.XLOOKUP(PO[[#This Row],[Supplier name]], Supplier_master[Supplier name], Supplier_master[Category L2], 0)</f>
        <v>0</v>
      </c>
      <c r="J317" s="55"/>
      <c r="K317" s="55"/>
      <c r="L317" s="31">
        <f>IF(PO[[#This Row],[Spend category L1 - Override]] &lt;&gt; "", PO[[#This Row],[Spend category L1 - Override]], PO[[#This Row],[Spend category L1]])</f>
        <v>0</v>
      </c>
      <c r="M317" s="31">
        <f>IF(PO[[#This Row],[Spend category L2 - Override]] &lt;&gt; "", PO[[#This Row],[Spend category L2 - Override]], PO[[#This Row],[Spend category L2]])</f>
        <v>0</v>
      </c>
      <c r="N317" s="63">
        <f>Assumptions!$D$15</f>
        <v>0.1</v>
      </c>
      <c r="O317" s="45">
        <f>IF(PO[[#This Row],[GST applies?]] = "Yes", (PO[[#This Row],[Value inc. GST]] / 1 + PO[[#This Row],[GST %]]) * PO[[#This Row],[GST %]], 0)</f>
        <v>0</v>
      </c>
      <c r="P317" s="31">
        <f>_xlfn.XLOOKUP(PO[[#This Row],[Supplier name]], Supplier_master[Supplier name], Supplier_master[EOM or Net], 0)</f>
        <v>0</v>
      </c>
      <c r="Q317" s="31">
        <f>_xlfn.XLOOKUP(PO[[#This Row],[Supplier name]], Supplier_master[Supplier name], Supplier_master[Terms days], 0)</f>
        <v>0</v>
      </c>
      <c r="R3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7" s="4"/>
      <c r="T317" s="46">
        <f>IF(PO[[#This Row],[Payment date - override (dd/mm/yyyy)]] &lt;&gt; "", PO[[#This Row],[Payment date - override (dd/mm/yyyy)]], PO[[#This Row],[Due date (dd/mm/yyyy)]])</f>
        <v>0</v>
      </c>
      <c r="U317" s="46">
        <f t="shared" si="4"/>
        <v>52</v>
      </c>
    </row>
    <row r="318" spans="3:21" x14ac:dyDescent="0.25">
      <c r="C318" s="24"/>
      <c r="D318" s="20"/>
      <c r="E318" s="4"/>
      <c r="F318" s="37"/>
      <c r="G318" s="38"/>
      <c r="H318" s="31">
        <f>_xlfn.XLOOKUP(PO[[#This Row],[Supplier name]], Supplier_master[Supplier name], Supplier_master[Category L1], 0)</f>
        <v>0</v>
      </c>
      <c r="I318" s="31">
        <f>_xlfn.XLOOKUP(PO[[#This Row],[Supplier name]], Supplier_master[Supplier name], Supplier_master[Category L2], 0)</f>
        <v>0</v>
      </c>
      <c r="J318" s="55"/>
      <c r="K318" s="55"/>
      <c r="L318" s="31">
        <f>IF(PO[[#This Row],[Spend category L1 - Override]] &lt;&gt; "", PO[[#This Row],[Spend category L1 - Override]], PO[[#This Row],[Spend category L1]])</f>
        <v>0</v>
      </c>
      <c r="M318" s="31">
        <f>IF(PO[[#This Row],[Spend category L2 - Override]] &lt;&gt; "", PO[[#This Row],[Spend category L2 - Override]], PO[[#This Row],[Spend category L2]])</f>
        <v>0</v>
      </c>
      <c r="N318" s="63">
        <f>Assumptions!$D$15</f>
        <v>0.1</v>
      </c>
      <c r="O318" s="45">
        <f>IF(PO[[#This Row],[GST applies?]] = "Yes", (PO[[#This Row],[Value inc. GST]] / 1 + PO[[#This Row],[GST %]]) * PO[[#This Row],[GST %]], 0)</f>
        <v>0</v>
      </c>
      <c r="P318" s="31">
        <f>_xlfn.XLOOKUP(PO[[#This Row],[Supplier name]], Supplier_master[Supplier name], Supplier_master[EOM or Net], 0)</f>
        <v>0</v>
      </c>
      <c r="Q318" s="31">
        <f>_xlfn.XLOOKUP(PO[[#This Row],[Supplier name]], Supplier_master[Supplier name], Supplier_master[Terms days], 0)</f>
        <v>0</v>
      </c>
      <c r="R3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8" s="4"/>
      <c r="T318" s="46">
        <f>IF(PO[[#This Row],[Payment date - override (dd/mm/yyyy)]] &lt;&gt; "", PO[[#This Row],[Payment date - override (dd/mm/yyyy)]], PO[[#This Row],[Due date (dd/mm/yyyy)]])</f>
        <v>0</v>
      </c>
      <c r="U318" s="46">
        <f t="shared" si="4"/>
        <v>52</v>
      </c>
    </row>
    <row r="319" spans="3:21" x14ac:dyDescent="0.25">
      <c r="C319" s="24"/>
      <c r="D319" s="20"/>
      <c r="E319" s="4"/>
      <c r="F319" s="37"/>
      <c r="G319" s="38"/>
      <c r="H319" s="31">
        <f>_xlfn.XLOOKUP(PO[[#This Row],[Supplier name]], Supplier_master[Supplier name], Supplier_master[Category L1], 0)</f>
        <v>0</v>
      </c>
      <c r="I319" s="31">
        <f>_xlfn.XLOOKUP(PO[[#This Row],[Supplier name]], Supplier_master[Supplier name], Supplier_master[Category L2], 0)</f>
        <v>0</v>
      </c>
      <c r="J319" s="55"/>
      <c r="K319" s="55"/>
      <c r="L319" s="31">
        <f>IF(PO[[#This Row],[Spend category L1 - Override]] &lt;&gt; "", PO[[#This Row],[Spend category L1 - Override]], PO[[#This Row],[Spend category L1]])</f>
        <v>0</v>
      </c>
      <c r="M319" s="31">
        <f>IF(PO[[#This Row],[Spend category L2 - Override]] &lt;&gt; "", PO[[#This Row],[Spend category L2 - Override]], PO[[#This Row],[Spend category L2]])</f>
        <v>0</v>
      </c>
      <c r="N319" s="63">
        <f>Assumptions!$D$15</f>
        <v>0.1</v>
      </c>
      <c r="O319" s="45">
        <f>IF(PO[[#This Row],[GST applies?]] = "Yes", (PO[[#This Row],[Value inc. GST]] / 1 + PO[[#This Row],[GST %]]) * PO[[#This Row],[GST %]], 0)</f>
        <v>0</v>
      </c>
      <c r="P319" s="31">
        <f>_xlfn.XLOOKUP(PO[[#This Row],[Supplier name]], Supplier_master[Supplier name], Supplier_master[EOM or Net], 0)</f>
        <v>0</v>
      </c>
      <c r="Q319" s="31">
        <f>_xlfn.XLOOKUP(PO[[#This Row],[Supplier name]], Supplier_master[Supplier name], Supplier_master[Terms days], 0)</f>
        <v>0</v>
      </c>
      <c r="R3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9" s="4"/>
      <c r="T319" s="46">
        <f>IF(PO[[#This Row],[Payment date - override (dd/mm/yyyy)]] &lt;&gt; "", PO[[#This Row],[Payment date - override (dd/mm/yyyy)]], PO[[#This Row],[Due date (dd/mm/yyyy)]])</f>
        <v>0</v>
      </c>
      <c r="U319" s="46">
        <f t="shared" si="4"/>
        <v>52</v>
      </c>
    </row>
    <row r="320" spans="3:21" x14ac:dyDescent="0.25">
      <c r="C320" s="24"/>
      <c r="D320" s="20"/>
      <c r="E320" s="4"/>
      <c r="F320" s="37"/>
      <c r="G320" s="38"/>
      <c r="H320" s="31">
        <f>_xlfn.XLOOKUP(PO[[#This Row],[Supplier name]], Supplier_master[Supplier name], Supplier_master[Category L1], 0)</f>
        <v>0</v>
      </c>
      <c r="I320" s="31">
        <f>_xlfn.XLOOKUP(PO[[#This Row],[Supplier name]], Supplier_master[Supplier name], Supplier_master[Category L2], 0)</f>
        <v>0</v>
      </c>
      <c r="J320" s="55"/>
      <c r="K320" s="55"/>
      <c r="L320" s="31">
        <f>IF(PO[[#This Row],[Spend category L1 - Override]] &lt;&gt; "", PO[[#This Row],[Spend category L1 - Override]], PO[[#This Row],[Spend category L1]])</f>
        <v>0</v>
      </c>
      <c r="M320" s="31">
        <f>IF(PO[[#This Row],[Spend category L2 - Override]] &lt;&gt; "", PO[[#This Row],[Spend category L2 - Override]], PO[[#This Row],[Spend category L2]])</f>
        <v>0</v>
      </c>
      <c r="N320" s="63">
        <f>Assumptions!$D$15</f>
        <v>0.1</v>
      </c>
      <c r="O320" s="45">
        <f>IF(PO[[#This Row],[GST applies?]] = "Yes", (PO[[#This Row],[Value inc. GST]] / 1 + PO[[#This Row],[GST %]]) * PO[[#This Row],[GST %]], 0)</f>
        <v>0</v>
      </c>
      <c r="P320" s="31">
        <f>_xlfn.XLOOKUP(PO[[#This Row],[Supplier name]], Supplier_master[Supplier name], Supplier_master[EOM or Net], 0)</f>
        <v>0</v>
      </c>
      <c r="Q320" s="31">
        <f>_xlfn.XLOOKUP(PO[[#This Row],[Supplier name]], Supplier_master[Supplier name], Supplier_master[Terms days], 0)</f>
        <v>0</v>
      </c>
      <c r="R3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0" s="4"/>
      <c r="T320" s="46">
        <f>IF(PO[[#This Row],[Payment date - override (dd/mm/yyyy)]] &lt;&gt; "", PO[[#This Row],[Payment date - override (dd/mm/yyyy)]], PO[[#This Row],[Due date (dd/mm/yyyy)]])</f>
        <v>0</v>
      </c>
      <c r="U320" s="46">
        <f t="shared" si="4"/>
        <v>52</v>
      </c>
    </row>
    <row r="321" spans="3:21" x14ac:dyDescent="0.25">
      <c r="C321" s="24"/>
      <c r="D321" s="20"/>
      <c r="E321" s="4"/>
      <c r="F321" s="37"/>
      <c r="G321" s="38"/>
      <c r="H321" s="31">
        <f>_xlfn.XLOOKUP(PO[[#This Row],[Supplier name]], Supplier_master[Supplier name], Supplier_master[Category L1], 0)</f>
        <v>0</v>
      </c>
      <c r="I321" s="31">
        <f>_xlfn.XLOOKUP(PO[[#This Row],[Supplier name]], Supplier_master[Supplier name], Supplier_master[Category L2], 0)</f>
        <v>0</v>
      </c>
      <c r="J321" s="55"/>
      <c r="K321" s="55"/>
      <c r="L321" s="31">
        <f>IF(PO[[#This Row],[Spend category L1 - Override]] &lt;&gt; "", PO[[#This Row],[Spend category L1 - Override]], PO[[#This Row],[Spend category L1]])</f>
        <v>0</v>
      </c>
      <c r="M321" s="31">
        <f>IF(PO[[#This Row],[Spend category L2 - Override]] &lt;&gt; "", PO[[#This Row],[Spend category L2 - Override]], PO[[#This Row],[Spend category L2]])</f>
        <v>0</v>
      </c>
      <c r="N321" s="63">
        <f>Assumptions!$D$15</f>
        <v>0.1</v>
      </c>
      <c r="O321" s="45">
        <f>IF(PO[[#This Row],[GST applies?]] = "Yes", (PO[[#This Row],[Value inc. GST]] / 1 + PO[[#This Row],[GST %]]) * PO[[#This Row],[GST %]], 0)</f>
        <v>0</v>
      </c>
      <c r="P321" s="31">
        <f>_xlfn.XLOOKUP(PO[[#This Row],[Supplier name]], Supplier_master[Supplier name], Supplier_master[EOM or Net], 0)</f>
        <v>0</v>
      </c>
      <c r="Q321" s="31">
        <f>_xlfn.XLOOKUP(PO[[#This Row],[Supplier name]], Supplier_master[Supplier name], Supplier_master[Terms days], 0)</f>
        <v>0</v>
      </c>
      <c r="R3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1" s="4"/>
      <c r="T321" s="46">
        <f>IF(PO[[#This Row],[Payment date - override (dd/mm/yyyy)]] &lt;&gt; "", PO[[#This Row],[Payment date - override (dd/mm/yyyy)]], PO[[#This Row],[Due date (dd/mm/yyyy)]])</f>
        <v>0</v>
      </c>
      <c r="U321" s="46">
        <f t="shared" si="4"/>
        <v>52</v>
      </c>
    </row>
    <row r="322" spans="3:21" x14ac:dyDescent="0.25">
      <c r="C322" s="24"/>
      <c r="D322" s="20"/>
      <c r="E322" s="4"/>
      <c r="F322" s="37"/>
      <c r="G322" s="38"/>
      <c r="H322" s="31">
        <f>_xlfn.XLOOKUP(PO[[#This Row],[Supplier name]], Supplier_master[Supplier name], Supplier_master[Category L1], 0)</f>
        <v>0</v>
      </c>
      <c r="I322" s="31">
        <f>_xlfn.XLOOKUP(PO[[#This Row],[Supplier name]], Supplier_master[Supplier name], Supplier_master[Category L2], 0)</f>
        <v>0</v>
      </c>
      <c r="J322" s="55"/>
      <c r="K322" s="55"/>
      <c r="L322" s="31">
        <f>IF(PO[[#This Row],[Spend category L1 - Override]] &lt;&gt; "", PO[[#This Row],[Spend category L1 - Override]], PO[[#This Row],[Spend category L1]])</f>
        <v>0</v>
      </c>
      <c r="M322" s="31">
        <f>IF(PO[[#This Row],[Spend category L2 - Override]] &lt;&gt; "", PO[[#This Row],[Spend category L2 - Override]], PO[[#This Row],[Spend category L2]])</f>
        <v>0</v>
      </c>
      <c r="N322" s="63">
        <f>Assumptions!$D$15</f>
        <v>0.1</v>
      </c>
      <c r="O322" s="45">
        <f>IF(PO[[#This Row],[GST applies?]] = "Yes", (PO[[#This Row],[Value inc. GST]] / 1 + PO[[#This Row],[GST %]]) * PO[[#This Row],[GST %]], 0)</f>
        <v>0</v>
      </c>
      <c r="P322" s="31">
        <f>_xlfn.XLOOKUP(PO[[#This Row],[Supplier name]], Supplier_master[Supplier name], Supplier_master[EOM or Net], 0)</f>
        <v>0</v>
      </c>
      <c r="Q322" s="31">
        <f>_xlfn.XLOOKUP(PO[[#This Row],[Supplier name]], Supplier_master[Supplier name], Supplier_master[Terms days], 0)</f>
        <v>0</v>
      </c>
      <c r="R3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2" s="4"/>
      <c r="T322" s="46">
        <f>IF(PO[[#This Row],[Payment date - override (dd/mm/yyyy)]] &lt;&gt; "", PO[[#This Row],[Payment date - override (dd/mm/yyyy)]], PO[[#This Row],[Due date (dd/mm/yyyy)]])</f>
        <v>0</v>
      </c>
      <c r="U322" s="46">
        <f t="shared" si="4"/>
        <v>52</v>
      </c>
    </row>
    <row r="323" spans="3:21" x14ac:dyDescent="0.25">
      <c r="C323" s="24"/>
      <c r="D323" s="20"/>
      <c r="E323" s="4"/>
      <c r="F323" s="37"/>
      <c r="G323" s="38"/>
      <c r="H323" s="31">
        <f>_xlfn.XLOOKUP(PO[[#This Row],[Supplier name]], Supplier_master[Supplier name], Supplier_master[Category L1], 0)</f>
        <v>0</v>
      </c>
      <c r="I323" s="31">
        <f>_xlfn.XLOOKUP(PO[[#This Row],[Supplier name]], Supplier_master[Supplier name], Supplier_master[Category L2], 0)</f>
        <v>0</v>
      </c>
      <c r="J323" s="55"/>
      <c r="K323" s="55"/>
      <c r="L323" s="31">
        <f>IF(PO[[#This Row],[Spend category L1 - Override]] &lt;&gt; "", PO[[#This Row],[Spend category L1 - Override]], PO[[#This Row],[Spend category L1]])</f>
        <v>0</v>
      </c>
      <c r="M323" s="31">
        <f>IF(PO[[#This Row],[Spend category L2 - Override]] &lt;&gt; "", PO[[#This Row],[Spend category L2 - Override]], PO[[#This Row],[Spend category L2]])</f>
        <v>0</v>
      </c>
      <c r="N323" s="63">
        <f>Assumptions!$D$15</f>
        <v>0.1</v>
      </c>
      <c r="O323" s="45">
        <f>IF(PO[[#This Row],[GST applies?]] = "Yes", (PO[[#This Row],[Value inc. GST]] / 1 + PO[[#This Row],[GST %]]) * PO[[#This Row],[GST %]], 0)</f>
        <v>0</v>
      </c>
      <c r="P323" s="31">
        <f>_xlfn.XLOOKUP(PO[[#This Row],[Supplier name]], Supplier_master[Supplier name], Supplier_master[EOM or Net], 0)</f>
        <v>0</v>
      </c>
      <c r="Q323" s="31">
        <f>_xlfn.XLOOKUP(PO[[#This Row],[Supplier name]], Supplier_master[Supplier name], Supplier_master[Terms days], 0)</f>
        <v>0</v>
      </c>
      <c r="R3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3" s="4"/>
      <c r="T323" s="46">
        <f>IF(PO[[#This Row],[Payment date - override (dd/mm/yyyy)]] &lt;&gt; "", PO[[#This Row],[Payment date - override (dd/mm/yyyy)]], PO[[#This Row],[Due date (dd/mm/yyyy)]])</f>
        <v>0</v>
      </c>
      <c r="U323" s="46">
        <f t="shared" si="4"/>
        <v>52</v>
      </c>
    </row>
    <row r="324" spans="3:21" x14ac:dyDescent="0.25">
      <c r="C324" s="24"/>
      <c r="D324" s="20"/>
      <c r="E324" s="4"/>
      <c r="F324" s="37"/>
      <c r="G324" s="38"/>
      <c r="H324" s="31">
        <f>_xlfn.XLOOKUP(PO[[#This Row],[Supplier name]], Supplier_master[Supplier name], Supplier_master[Category L1], 0)</f>
        <v>0</v>
      </c>
      <c r="I324" s="31">
        <f>_xlfn.XLOOKUP(PO[[#This Row],[Supplier name]], Supplier_master[Supplier name], Supplier_master[Category L2], 0)</f>
        <v>0</v>
      </c>
      <c r="J324" s="55"/>
      <c r="K324" s="55"/>
      <c r="L324" s="31">
        <f>IF(PO[[#This Row],[Spend category L1 - Override]] &lt;&gt; "", PO[[#This Row],[Spend category L1 - Override]], PO[[#This Row],[Spend category L1]])</f>
        <v>0</v>
      </c>
      <c r="M324" s="31">
        <f>IF(PO[[#This Row],[Spend category L2 - Override]] &lt;&gt; "", PO[[#This Row],[Spend category L2 - Override]], PO[[#This Row],[Spend category L2]])</f>
        <v>0</v>
      </c>
      <c r="N324" s="63">
        <f>Assumptions!$D$15</f>
        <v>0.1</v>
      </c>
      <c r="O324" s="45">
        <f>IF(PO[[#This Row],[GST applies?]] = "Yes", (PO[[#This Row],[Value inc. GST]] / 1 + PO[[#This Row],[GST %]]) * PO[[#This Row],[GST %]], 0)</f>
        <v>0</v>
      </c>
      <c r="P324" s="31">
        <f>_xlfn.XLOOKUP(PO[[#This Row],[Supplier name]], Supplier_master[Supplier name], Supplier_master[EOM or Net], 0)</f>
        <v>0</v>
      </c>
      <c r="Q324" s="31">
        <f>_xlfn.XLOOKUP(PO[[#This Row],[Supplier name]], Supplier_master[Supplier name], Supplier_master[Terms days], 0)</f>
        <v>0</v>
      </c>
      <c r="R3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4" s="4"/>
      <c r="T324" s="46">
        <f>IF(PO[[#This Row],[Payment date - override (dd/mm/yyyy)]] &lt;&gt; "", PO[[#This Row],[Payment date - override (dd/mm/yyyy)]], PO[[#This Row],[Due date (dd/mm/yyyy)]])</f>
        <v>0</v>
      </c>
      <c r="U324" s="46">
        <f t="shared" si="4"/>
        <v>52</v>
      </c>
    </row>
    <row r="325" spans="3:21" x14ac:dyDescent="0.25">
      <c r="C325" s="24"/>
      <c r="D325" s="20"/>
      <c r="E325" s="4"/>
      <c r="F325" s="37"/>
      <c r="G325" s="38"/>
      <c r="H325" s="31">
        <f>_xlfn.XLOOKUP(PO[[#This Row],[Supplier name]], Supplier_master[Supplier name], Supplier_master[Category L1], 0)</f>
        <v>0</v>
      </c>
      <c r="I325" s="31">
        <f>_xlfn.XLOOKUP(PO[[#This Row],[Supplier name]], Supplier_master[Supplier name], Supplier_master[Category L2], 0)</f>
        <v>0</v>
      </c>
      <c r="J325" s="55"/>
      <c r="K325" s="55"/>
      <c r="L325" s="31">
        <f>IF(PO[[#This Row],[Spend category L1 - Override]] &lt;&gt; "", PO[[#This Row],[Spend category L1 - Override]], PO[[#This Row],[Spend category L1]])</f>
        <v>0</v>
      </c>
      <c r="M325" s="31">
        <f>IF(PO[[#This Row],[Spend category L2 - Override]] &lt;&gt; "", PO[[#This Row],[Spend category L2 - Override]], PO[[#This Row],[Spend category L2]])</f>
        <v>0</v>
      </c>
      <c r="N325" s="63">
        <f>Assumptions!$D$15</f>
        <v>0.1</v>
      </c>
      <c r="O325" s="45">
        <f>IF(PO[[#This Row],[GST applies?]] = "Yes", (PO[[#This Row],[Value inc. GST]] / 1 + PO[[#This Row],[GST %]]) * PO[[#This Row],[GST %]], 0)</f>
        <v>0</v>
      </c>
      <c r="P325" s="31">
        <f>_xlfn.XLOOKUP(PO[[#This Row],[Supplier name]], Supplier_master[Supplier name], Supplier_master[EOM or Net], 0)</f>
        <v>0</v>
      </c>
      <c r="Q325" s="31">
        <f>_xlfn.XLOOKUP(PO[[#This Row],[Supplier name]], Supplier_master[Supplier name], Supplier_master[Terms days], 0)</f>
        <v>0</v>
      </c>
      <c r="R3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5" s="4"/>
      <c r="T325" s="46">
        <f>IF(PO[[#This Row],[Payment date - override (dd/mm/yyyy)]] &lt;&gt; "", PO[[#This Row],[Payment date - override (dd/mm/yyyy)]], PO[[#This Row],[Due date (dd/mm/yyyy)]])</f>
        <v>0</v>
      </c>
      <c r="U325" s="46">
        <f t="shared" si="4"/>
        <v>52</v>
      </c>
    </row>
    <row r="326" spans="3:21" x14ac:dyDescent="0.25">
      <c r="C326" s="24"/>
      <c r="D326" s="20"/>
      <c r="E326" s="4"/>
      <c r="F326" s="37"/>
      <c r="G326" s="38"/>
      <c r="H326" s="31">
        <f>_xlfn.XLOOKUP(PO[[#This Row],[Supplier name]], Supplier_master[Supplier name], Supplier_master[Category L1], 0)</f>
        <v>0</v>
      </c>
      <c r="I326" s="31">
        <f>_xlfn.XLOOKUP(PO[[#This Row],[Supplier name]], Supplier_master[Supplier name], Supplier_master[Category L2], 0)</f>
        <v>0</v>
      </c>
      <c r="J326" s="55"/>
      <c r="K326" s="55"/>
      <c r="L326" s="31">
        <f>IF(PO[[#This Row],[Spend category L1 - Override]] &lt;&gt; "", PO[[#This Row],[Spend category L1 - Override]], PO[[#This Row],[Spend category L1]])</f>
        <v>0</v>
      </c>
      <c r="M326" s="31">
        <f>IF(PO[[#This Row],[Spend category L2 - Override]] &lt;&gt; "", PO[[#This Row],[Spend category L2 - Override]], PO[[#This Row],[Spend category L2]])</f>
        <v>0</v>
      </c>
      <c r="N326" s="63">
        <f>Assumptions!$D$15</f>
        <v>0.1</v>
      </c>
      <c r="O326" s="45">
        <f>IF(PO[[#This Row],[GST applies?]] = "Yes", (PO[[#This Row],[Value inc. GST]] / 1 + PO[[#This Row],[GST %]]) * PO[[#This Row],[GST %]], 0)</f>
        <v>0</v>
      </c>
      <c r="P326" s="31">
        <f>_xlfn.XLOOKUP(PO[[#This Row],[Supplier name]], Supplier_master[Supplier name], Supplier_master[EOM or Net], 0)</f>
        <v>0</v>
      </c>
      <c r="Q326" s="31">
        <f>_xlfn.XLOOKUP(PO[[#This Row],[Supplier name]], Supplier_master[Supplier name], Supplier_master[Terms days], 0)</f>
        <v>0</v>
      </c>
      <c r="R3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6" s="4"/>
      <c r="T326" s="46">
        <f>IF(PO[[#This Row],[Payment date - override (dd/mm/yyyy)]] &lt;&gt; "", PO[[#This Row],[Payment date - override (dd/mm/yyyy)]], PO[[#This Row],[Due date (dd/mm/yyyy)]])</f>
        <v>0</v>
      </c>
      <c r="U326" s="46">
        <f t="shared" si="4"/>
        <v>52</v>
      </c>
    </row>
    <row r="327" spans="3:21" x14ac:dyDescent="0.25">
      <c r="C327" s="24"/>
      <c r="D327" s="20"/>
      <c r="E327" s="4"/>
      <c r="F327" s="37"/>
      <c r="G327" s="38"/>
      <c r="H327" s="31">
        <f>_xlfn.XLOOKUP(PO[[#This Row],[Supplier name]], Supplier_master[Supplier name], Supplier_master[Category L1], 0)</f>
        <v>0</v>
      </c>
      <c r="I327" s="31">
        <f>_xlfn.XLOOKUP(PO[[#This Row],[Supplier name]], Supplier_master[Supplier name], Supplier_master[Category L2], 0)</f>
        <v>0</v>
      </c>
      <c r="J327" s="55"/>
      <c r="K327" s="55"/>
      <c r="L327" s="31">
        <f>IF(PO[[#This Row],[Spend category L1 - Override]] &lt;&gt; "", PO[[#This Row],[Spend category L1 - Override]], PO[[#This Row],[Spend category L1]])</f>
        <v>0</v>
      </c>
      <c r="M327" s="31">
        <f>IF(PO[[#This Row],[Spend category L2 - Override]] &lt;&gt; "", PO[[#This Row],[Spend category L2 - Override]], PO[[#This Row],[Spend category L2]])</f>
        <v>0</v>
      </c>
      <c r="N327" s="63">
        <f>Assumptions!$D$15</f>
        <v>0.1</v>
      </c>
      <c r="O327" s="45">
        <f>IF(PO[[#This Row],[GST applies?]] = "Yes", (PO[[#This Row],[Value inc. GST]] / 1 + PO[[#This Row],[GST %]]) * PO[[#This Row],[GST %]], 0)</f>
        <v>0</v>
      </c>
      <c r="P327" s="31">
        <f>_xlfn.XLOOKUP(PO[[#This Row],[Supplier name]], Supplier_master[Supplier name], Supplier_master[EOM or Net], 0)</f>
        <v>0</v>
      </c>
      <c r="Q327" s="31">
        <f>_xlfn.XLOOKUP(PO[[#This Row],[Supplier name]], Supplier_master[Supplier name], Supplier_master[Terms days], 0)</f>
        <v>0</v>
      </c>
      <c r="R3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7" s="4"/>
      <c r="T327" s="46">
        <f>IF(PO[[#This Row],[Payment date - override (dd/mm/yyyy)]] &lt;&gt; "", PO[[#This Row],[Payment date - override (dd/mm/yyyy)]], PO[[#This Row],[Due date (dd/mm/yyyy)]])</f>
        <v>0</v>
      </c>
      <c r="U327" s="46">
        <f t="shared" si="4"/>
        <v>52</v>
      </c>
    </row>
    <row r="328" spans="3:21" x14ac:dyDescent="0.25">
      <c r="C328" s="24"/>
      <c r="D328" s="20"/>
      <c r="E328" s="4"/>
      <c r="F328" s="37"/>
      <c r="G328" s="38"/>
      <c r="H328" s="31">
        <f>_xlfn.XLOOKUP(PO[[#This Row],[Supplier name]], Supplier_master[Supplier name], Supplier_master[Category L1], 0)</f>
        <v>0</v>
      </c>
      <c r="I328" s="31">
        <f>_xlfn.XLOOKUP(PO[[#This Row],[Supplier name]], Supplier_master[Supplier name], Supplier_master[Category L2], 0)</f>
        <v>0</v>
      </c>
      <c r="J328" s="55"/>
      <c r="K328" s="55"/>
      <c r="L328" s="31">
        <f>IF(PO[[#This Row],[Spend category L1 - Override]] &lt;&gt; "", PO[[#This Row],[Spend category L1 - Override]], PO[[#This Row],[Spend category L1]])</f>
        <v>0</v>
      </c>
      <c r="M328" s="31">
        <f>IF(PO[[#This Row],[Spend category L2 - Override]] &lt;&gt; "", PO[[#This Row],[Spend category L2 - Override]], PO[[#This Row],[Spend category L2]])</f>
        <v>0</v>
      </c>
      <c r="N328" s="63">
        <f>Assumptions!$D$15</f>
        <v>0.1</v>
      </c>
      <c r="O328" s="45">
        <f>IF(PO[[#This Row],[GST applies?]] = "Yes", (PO[[#This Row],[Value inc. GST]] / 1 + PO[[#This Row],[GST %]]) * PO[[#This Row],[GST %]], 0)</f>
        <v>0</v>
      </c>
      <c r="P328" s="31">
        <f>_xlfn.XLOOKUP(PO[[#This Row],[Supplier name]], Supplier_master[Supplier name], Supplier_master[EOM or Net], 0)</f>
        <v>0</v>
      </c>
      <c r="Q328" s="31">
        <f>_xlfn.XLOOKUP(PO[[#This Row],[Supplier name]], Supplier_master[Supplier name], Supplier_master[Terms days], 0)</f>
        <v>0</v>
      </c>
      <c r="R3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8" s="4"/>
      <c r="T328" s="46">
        <f>IF(PO[[#This Row],[Payment date - override (dd/mm/yyyy)]] &lt;&gt; "", PO[[#This Row],[Payment date - override (dd/mm/yyyy)]], PO[[#This Row],[Due date (dd/mm/yyyy)]])</f>
        <v>0</v>
      </c>
      <c r="U328" s="46">
        <f t="shared" si="4"/>
        <v>52</v>
      </c>
    </row>
    <row r="329" spans="3:21" x14ac:dyDescent="0.25">
      <c r="C329" s="24"/>
      <c r="D329" s="20"/>
      <c r="E329" s="4"/>
      <c r="F329" s="37"/>
      <c r="G329" s="38"/>
      <c r="H329" s="31">
        <f>_xlfn.XLOOKUP(PO[[#This Row],[Supplier name]], Supplier_master[Supplier name], Supplier_master[Category L1], 0)</f>
        <v>0</v>
      </c>
      <c r="I329" s="31">
        <f>_xlfn.XLOOKUP(PO[[#This Row],[Supplier name]], Supplier_master[Supplier name], Supplier_master[Category L2], 0)</f>
        <v>0</v>
      </c>
      <c r="J329" s="55"/>
      <c r="K329" s="55"/>
      <c r="L329" s="31">
        <f>IF(PO[[#This Row],[Spend category L1 - Override]] &lt;&gt; "", PO[[#This Row],[Spend category L1 - Override]], PO[[#This Row],[Spend category L1]])</f>
        <v>0</v>
      </c>
      <c r="M329" s="31">
        <f>IF(PO[[#This Row],[Spend category L2 - Override]] &lt;&gt; "", PO[[#This Row],[Spend category L2 - Override]], PO[[#This Row],[Spend category L2]])</f>
        <v>0</v>
      </c>
      <c r="N329" s="63">
        <f>Assumptions!$D$15</f>
        <v>0.1</v>
      </c>
      <c r="O329" s="45">
        <f>IF(PO[[#This Row],[GST applies?]] = "Yes", (PO[[#This Row],[Value inc. GST]] / 1 + PO[[#This Row],[GST %]]) * PO[[#This Row],[GST %]], 0)</f>
        <v>0</v>
      </c>
      <c r="P329" s="31">
        <f>_xlfn.XLOOKUP(PO[[#This Row],[Supplier name]], Supplier_master[Supplier name], Supplier_master[EOM or Net], 0)</f>
        <v>0</v>
      </c>
      <c r="Q329" s="31">
        <f>_xlfn.XLOOKUP(PO[[#This Row],[Supplier name]], Supplier_master[Supplier name], Supplier_master[Terms days], 0)</f>
        <v>0</v>
      </c>
      <c r="R3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9" s="4"/>
      <c r="T329" s="46">
        <f>IF(PO[[#This Row],[Payment date - override (dd/mm/yyyy)]] &lt;&gt; "", PO[[#This Row],[Payment date - override (dd/mm/yyyy)]], PO[[#This Row],[Due date (dd/mm/yyyy)]])</f>
        <v>0</v>
      </c>
      <c r="U329" s="46">
        <f t="shared" ref="U329:U392" si="5">IF(GST_Freq="Monthly",
    DATE(YEAR(E329), MONTH(E329) + 1, 21),
    IF(GST_Freq="Quarterly",
        IF(MOD(MONTH(E329) + 2 - MOD(MOD(MONTH(E329) - GST_First_Month, 12), 3), 12) = 0,
            DATE(YEAR(E329), MONTH(E329) + 4 - MOD(MOD(MONTH(E329) - GST_First_Month, 12), 3), 28),
            DATE(YEAR(E329), MONTH(E329) + 3 - MOD(MOD(MONTH(E329) - GST_First_Month, 12), 3), 28)
        ),
        "Invalid frequency"
    )
)</f>
        <v>52</v>
      </c>
    </row>
    <row r="330" spans="3:21" x14ac:dyDescent="0.25">
      <c r="C330" s="24"/>
      <c r="D330" s="20"/>
      <c r="E330" s="4"/>
      <c r="F330" s="37"/>
      <c r="G330" s="38"/>
      <c r="H330" s="31">
        <f>_xlfn.XLOOKUP(PO[[#This Row],[Supplier name]], Supplier_master[Supplier name], Supplier_master[Category L1], 0)</f>
        <v>0</v>
      </c>
      <c r="I330" s="31">
        <f>_xlfn.XLOOKUP(PO[[#This Row],[Supplier name]], Supplier_master[Supplier name], Supplier_master[Category L2], 0)</f>
        <v>0</v>
      </c>
      <c r="J330" s="55"/>
      <c r="K330" s="55"/>
      <c r="L330" s="31">
        <f>IF(PO[[#This Row],[Spend category L1 - Override]] &lt;&gt; "", PO[[#This Row],[Spend category L1 - Override]], PO[[#This Row],[Spend category L1]])</f>
        <v>0</v>
      </c>
      <c r="M330" s="31">
        <f>IF(PO[[#This Row],[Spend category L2 - Override]] &lt;&gt; "", PO[[#This Row],[Spend category L2 - Override]], PO[[#This Row],[Spend category L2]])</f>
        <v>0</v>
      </c>
      <c r="N330" s="63">
        <f>Assumptions!$D$15</f>
        <v>0.1</v>
      </c>
      <c r="O330" s="45">
        <f>IF(PO[[#This Row],[GST applies?]] = "Yes", (PO[[#This Row],[Value inc. GST]] / 1 + PO[[#This Row],[GST %]]) * PO[[#This Row],[GST %]], 0)</f>
        <v>0</v>
      </c>
      <c r="P330" s="31">
        <f>_xlfn.XLOOKUP(PO[[#This Row],[Supplier name]], Supplier_master[Supplier name], Supplier_master[EOM or Net], 0)</f>
        <v>0</v>
      </c>
      <c r="Q330" s="31">
        <f>_xlfn.XLOOKUP(PO[[#This Row],[Supplier name]], Supplier_master[Supplier name], Supplier_master[Terms days], 0)</f>
        <v>0</v>
      </c>
      <c r="R3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0" s="4"/>
      <c r="T330" s="46">
        <f>IF(PO[[#This Row],[Payment date - override (dd/mm/yyyy)]] &lt;&gt; "", PO[[#This Row],[Payment date - override (dd/mm/yyyy)]], PO[[#This Row],[Due date (dd/mm/yyyy)]])</f>
        <v>0</v>
      </c>
      <c r="U330" s="46">
        <f t="shared" si="5"/>
        <v>52</v>
      </c>
    </row>
    <row r="331" spans="3:21" x14ac:dyDescent="0.25">
      <c r="C331" s="24"/>
      <c r="D331" s="20"/>
      <c r="E331" s="4"/>
      <c r="F331" s="37"/>
      <c r="G331" s="38"/>
      <c r="H331" s="31">
        <f>_xlfn.XLOOKUP(PO[[#This Row],[Supplier name]], Supplier_master[Supplier name], Supplier_master[Category L1], 0)</f>
        <v>0</v>
      </c>
      <c r="I331" s="31">
        <f>_xlfn.XLOOKUP(PO[[#This Row],[Supplier name]], Supplier_master[Supplier name], Supplier_master[Category L2], 0)</f>
        <v>0</v>
      </c>
      <c r="J331" s="55"/>
      <c r="K331" s="55"/>
      <c r="L331" s="31">
        <f>IF(PO[[#This Row],[Spend category L1 - Override]] &lt;&gt; "", PO[[#This Row],[Spend category L1 - Override]], PO[[#This Row],[Spend category L1]])</f>
        <v>0</v>
      </c>
      <c r="M331" s="31">
        <f>IF(PO[[#This Row],[Spend category L2 - Override]] &lt;&gt; "", PO[[#This Row],[Spend category L2 - Override]], PO[[#This Row],[Spend category L2]])</f>
        <v>0</v>
      </c>
      <c r="N331" s="63">
        <f>Assumptions!$D$15</f>
        <v>0.1</v>
      </c>
      <c r="O331" s="45">
        <f>IF(PO[[#This Row],[GST applies?]] = "Yes", (PO[[#This Row],[Value inc. GST]] / 1 + PO[[#This Row],[GST %]]) * PO[[#This Row],[GST %]], 0)</f>
        <v>0</v>
      </c>
      <c r="P331" s="31">
        <f>_xlfn.XLOOKUP(PO[[#This Row],[Supplier name]], Supplier_master[Supplier name], Supplier_master[EOM or Net], 0)</f>
        <v>0</v>
      </c>
      <c r="Q331" s="31">
        <f>_xlfn.XLOOKUP(PO[[#This Row],[Supplier name]], Supplier_master[Supplier name], Supplier_master[Terms days], 0)</f>
        <v>0</v>
      </c>
      <c r="R3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1" s="4"/>
      <c r="T331" s="46">
        <f>IF(PO[[#This Row],[Payment date - override (dd/mm/yyyy)]] &lt;&gt; "", PO[[#This Row],[Payment date - override (dd/mm/yyyy)]], PO[[#This Row],[Due date (dd/mm/yyyy)]])</f>
        <v>0</v>
      </c>
      <c r="U331" s="46">
        <f t="shared" si="5"/>
        <v>52</v>
      </c>
    </row>
    <row r="332" spans="3:21" x14ac:dyDescent="0.25">
      <c r="C332" s="24"/>
      <c r="D332" s="20"/>
      <c r="E332" s="4"/>
      <c r="F332" s="37"/>
      <c r="G332" s="38"/>
      <c r="H332" s="31">
        <f>_xlfn.XLOOKUP(PO[[#This Row],[Supplier name]], Supplier_master[Supplier name], Supplier_master[Category L1], 0)</f>
        <v>0</v>
      </c>
      <c r="I332" s="31">
        <f>_xlfn.XLOOKUP(PO[[#This Row],[Supplier name]], Supplier_master[Supplier name], Supplier_master[Category L2], 0)</f>
        <v>0</v>
      </c>
      <c r="J332" s="55"/>
      <c r="K332" s="55"/>
      <c r="L332" s="31">
        <f>IF(PO[[#This Row],[Spend category L1 - Override]] &lt;&gt; "", PO[[#This Row],[Spend category L1 - Override]], PO[[#This Row],[Spend category L1]])</f>
        <v>0</v>
      </c>
      <c r="M332" s="31">
        <f>IF(PO[[#This Row],[Spend category L2 - Override]] &lt;&gt; "", PO[[#This Row],[Spend category L2 - Override]], PO[[#This Row],[Spend category L2]])</f>
        <v>0</v>
      </c>
      <c r="N332" s="63">
        <f>Assumptions!$D$15</f>
        <v>0.1</v>
      </c>
      <c r="O332" s="45">
        <f>IF(PO[[#This Row],[GST applies?]] = "Yes", (PO[[#This Row],[Value inc. GST]] / 1 + PO[[#This Row],[GST %]]) * PO[[#This Row],[GST %]], 0)</f>
        <v>0</v>
      </c>
      <c r="P332" s="31">
        <f>_xlfn.XLOOKUP(PO[[#This Row],[Supplier name]], Supplier_master[Supplier name], Supplier_master[EOM or Net], 0)</f>
        <v>0</v>
      </c>
      <c r="Q332" s="31">
        <f>_xlfn.XLOOKUP(PO[[#This Row],[Supplier name]], Supplier_master[Supplier name], Supplier_master[Terms days], 0)</f>
        <v>0</v>
      </c>
      <c r="R3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2" s="4"/>
      <c r="T332" s="46">
        <f>IF(PO[[#This Row],[Payment date - override (dd/mm/yyyy)]] &lt;&gt; "", PO[[#This Row],[Payment date - override (dd/mm/yyyy)]], PO[[#This Row],[Due date (dd/mm/yyyy)]])</f>
        <v>0</v>
      </c>
      <c r="U332" s="46">
        <f t="shared" si="5"/>
        <v>52</v>
      </c>
    </row>
    <row r="333" spans="3:21" x14ac:dyDescent="0.25">
      <c r="C333" s="24"/>
      <c r="D333" s="20"/>
      <c r="E333" s="4"/>
      <c r="F333" s="37"/>
      <c r="G333" s="38"/>
      <c r="H333" s="31">
        <f>_xlfn.XLOOKUP(PO[[#This Row],[Supplier name]], Supplier_master[Supplier name], Supplier_master[Category L1], 0)</f>
        <v>0</v>
      </c>
      <c r="I333" s="31">
        <f>_xlfn.XLOOKUP(PO[[#This Row],[Supplier name]], Supplier_master[Supplier name], Supplier_master[Category L2], 0)</f>
        <v>0</v>
      </c>
      <c r="J333" s="55"/>
      <c r="K333" s="55"/>
      <c r="L333" s="31">
        <f>IF(PO[[#This Row],[Spend category L1 - Override]] &lt;&gt; "", PO[[#This Row],[Spend category L1 - Override]], PO[[#This Row],[Spend category L1]])</f>
        <v>0</v>
      </c>
      <c r="M333" s="31">
        <f>IF(PO[[#This Row],[Spend category L2 - Override]] &lt;&gt; "", PO[[#This Row],[Spend category L2 - Override]], PO[[#This Row],[Spend category L2]])</f>
        <v>0</v>
      </c>
      <c r="N333" s="63">
        <f>Assumptions!$D$15</f>
        <v>0.1</v>
      </c>
      <c r="O333" s="45">
        <f>IF(PO[[#This Row],[GST applies?]] = "Yes", (PO[[#This Row],[Value inc. GST]] / 1 + PO[[#This Row],[GST %]]) * PO[[#This Row],[GST %]], 0)</f>
        <v>0</v>
      </c>
      <c r="P333" s="31">
        <f>_xlfn.XLOOKUP(PO[[#This Row],[Supplier name]], Supplier_master[Supplier name], Supplier_master[EOM or Net], 0)</f>
        <v>0</v>
      </c>
      <c r="Q333" s="31">
        <f>_xlfn.XLOOKUP(PO[[#This Row],[Supplier name]], Supplier_master[Supplier name], Supplier_master[Terms days], 0)</f>
        <v>0</v>
      </c>
      <c r="R3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3" s="4"/>
      <c r="T333" s="46">
        <f>IF(PO[[#This Row],[Payment date - override (dd/mm/yyyy)]] &lt;&gt; "", PO[[#This Row],[Payment date - override (dd/mm/yyyy)]], PO[[#This Row],[Due date (dd/mm/yyyy)]])</f>
        <v>0</v>
      </c>
      <c r="U333" s="46">
        <f t="shared" si="5"/>
        <v>52</v>
      </c>
    </row>
    <row r="334" spans="3:21" x14ac:dyDescent="0.25">
      <c r="C334" s="24"/>
      <c r="D334" s="20"/>
      <c r="E334" s="4"/>
      <c r="F334" s="37"/>
      <c r="G334" s="38"/>
      <c r="H334" s="31">
        <f>_xlfn.XLOOKUP(PO[[#This Row],[Supplier name]], Supplier_master[Supplier name], Supplier_master[Category L1], 0)</f>
        <v>0</v>
      </c>
      <c r="I334" s="31">
        <f>_xlfn.XLOOKUP(PO[[#This Row],[Supplier name]], Supplier_master[Supplier name], Supplier_master[Category L2], 0)</f>
        <v>0</v>
      </c>
      <c r="J334" s="55"/>
      <c r="K334" s="55"/>
      <c r="L334" s="31">
        <f>IF(PO[[#This Row],[Spend category L1 - Override]] &lt;&gt; "", PO[[#This Row],[Spend category L1 - Override]], PO[[#This Row],[Spend category L1]])</f>
        <v>0</v>
      </c>
      <c r="M334" s="31">
        <f>IF(PO[[#This Row],[Spend category L2 - Override]] &lt;&gt; "", PO[[#This Row],[Spend category L2 - Override]], PO[[#This Row],[Spend category L2]])</f>
        <v>0</v>
      </c>
      <c r="N334" s="63">
        <f>Assumptions!$D$15</f>
        <v>0.1</v>
      </c>
      <c r="O334" s="45">
        <f>IF(PO[[#This Row],[GST applies?]] = "Yes", (PO[[#This Row],[Value inc. GST]] / 1 + PO[[#This Row],[GST %]]) * PO[[#This Row],[GST %]], 0)</f>
        <v>0</v>
      </c>
      <c r="P334" s="31">
        <f>_xlfn.XLOOKUP(PO[[#This Row],[Supplier name]], Supplier_master[Supplier name], Supplier_master[EOM or Net], 0)</f>
        <v>0</v>
      </c>
      <c r="Q334" s="31">
        <f>_xlfn.XLOOKUP(PO[[#This Row],[Supplier name]], Supplier_master[Supplier name], Supplier_master[Terms days], 0)</f>
        <v>0</v>
      </c>
      <c r="R3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4" s="4"/>
      <c r="T334" s="46">
        <f>IF(PO[[#This Row],[Payment date - override (dd/mm/yyyy)]] &lt;&gt; "", PO[[#This Row],[Payment date - override (dd/mm/yyyy)]], PO[[#This Row],[Due date (dd/mm/yyyy)]])</f>
        <v>0</v>
      </c>
      <c r="U334" s="46">
        <f t="shared" si="5"/>
        <v>52</v>
      </c>
    </row>
    <row r="335" spans="3:21" x14ac:dyDescent="0.25">
      <c r="C335" s="24"/>
      <c r="D335" s="20"/>
      <c r="E335" s="4"/>
      <c r="F335" s="37"/>
      <c r="G335" s="38"/>
      <c r="H335" s="31">
        <f>_xlfn.XLOOKUP(PO[[#This Row],[Supplier name]], Supplier_master[Supplier name], Supplier_master[Category L1], 0)</f>
        <v>0</v>
      </c>
      <c r="I335" s="31">
        <f>_xlfn.XLOOKUP(PO[[#This Row],[Supplier name]], Supplier_master[Supplier name], Supplier_master[Category L2], 0)</f>
        <v>0</v>
      </c>
      <c r="J335" s="55"/>
      <c r="K335" s="55"/>
      <c r="L335" s="31">
        <f>IF(PO[[#This Row],[Spend category L1 - Override]] &lt;&gt; "", PO[[#This Row],[Spend category L1 - Override]], PO[[#This Row],[Spend category L1]])</f>
        <v>0</v>
      </c>
      <c r="M335" s="31">
        <f>IF(PO[[#This Row],[Spend category L2 - Override]] &lt;&gt; "", PO[[#This Row],[Spend category L2 - Override]], PO[[#This Row],[Spend category L2]])</f>
        <v>0</v>
      </c>
      <c r="N335" s="63">
        <f>Assumptions!$D$15</f>
        <v>0.1</v>
      </c>
      <c r="O335" s="45">
        <f>IF(PO[[#This Row],[GST applies?]] = "Yes", (PO[[#This Row],[Value inc. GST]] / 1 + PO[[#This Row],[GST %]]) * PO[[#This Row],[GST %]], 0)</f>
        <v>0</v>
      </c>
      <c r="P335" s="31">
        <f>_xlfn.XLOOKUP(PO[[#This Row],[Supplier name]], Supplier_master[Supplier name], Supplier_master[EOM or Net], 0)</f>
        <v>0</v>
      </c>
      <c r="Q335" s="31">
        <f>_xlfn.XLOOKUP(PO[[#This Row],[Supplier name]], Supplier_master[Supplier name], Supplier_master[Terms days], 0)</f>
        <v>0</v>
      </c>
      <c r="R3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5" s="4"/>
      <c r="T335" s="46">
        <f>IF(PO[[#This Row],[Payment date - override (dd/mm/yyyy)]] &lt;&gt; "", PO[[#This Row],[Payment date - override (dd/mm/yyyy)]], PO[[#This Row],[Due date (dd/mm/yyyy)]])</f>
        <v>0</v>
      </c>
      <c r="U335" s="46">
        <f t="shared" si="5"/>
        <v>52</v>
      </c>
    </row>
    <row r="336" spans="3:21" x14ac:dyDescent="0.25">
      <c r="C336" s="24"/>
      <c r="D336" s="20"/>
      <c r="E336" s="4"/>
      <c r="F336" s="37"/>
      <c r="G336" s="38"/>
      <c r="H336" s="31">
        <f>_xlfn.XLOOKUP(PO[[#This Row],[Supplier name]], Supplier_master[Supplier name], Supplier_master[Category L1], 0)</f>
        <v>0</v>
      </c>
      <c r="I336" s="31">
        <f>_xlfn.XLOOKUP(PO[[#This Row],[Supplier name]], Supplier_master[Supplier name], Supplier_master[Category L2], 0)</f>
        <v>0</v>
      </c>
      <c r="J336" s="55"/>
      <c r="K336" s="55"/>
      <c r="L336" s="31">
        <f>IF(PO[[#This Row],[Spend category L1 - Override]] &lt;&gt; "", PO[[#This Row],[Spend category L1 - Override]], PO[[#This Row],[Spend category L1]])</f>
        <v>0</v>
      </c>
      <c r="M336" s="31">
        <f>IF(PO[[#This Row],[Spend category L2 - Override]] &lt;&gt; "", PO[[#This Row],[Spend category L2 - Override]], PO[[#This Row],[Spend category L2]])</f>
        <v>0</v>
      </c>
      <c r="N336" s="63">
        <f>Assumptions!$D$15</f>
        <v>0.1</v>
      </c>
      <c r="O336" s="45">
        <f>IF(PO[[#This Row],[GST applies?]] = "Yes", (PO[[#This Row],[Value inc. GST]] / 1 + PO[[#This Row],[GST %]]) * PO[[#This Row],[GST %]], 0)</f>
        <v>0</v>
      </c>
      <c r="P336" s="31">
        <f>_xlfn.XLOOKUP(PO[[#This Row],[Supplier name]], Supplier_master[Supplier name], Supplier_master[EOM or Net], 0)</f>
        <v>0</v>
      </c>
      <c r="Q336" s="31">
        <f>_xlfn.XLOOKUP(PO[[#This Row],[Supplier name]], Supplier_master[Supplier name], Supplier_master[Terms days], 0)</f>
        <v>0</v>
      </c>
      <c r="R3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6" s="4"/>
      <c r="T336" s="46">
        <f>IF(PO[[#This Row],[Payment date - override (dd/mm/yyyy)]] &lt;&gt; "", PO[[#This Row],[Payment date - override (dd/mm/yyyy)]], PO[[#This Row],[Due date (dd/mm/yyyy)]])</f>
        <v>0</v>
      </c>
      <c r="U336" s="46">
        <f t="shared" si="5"/>
        <v>52</v>
      </c>
    </row>
    <row r="337" spans="3:21" x14ac:dyDescent="0.25">
      <c r="C337" s="24"/>
      <c r="D337" s="20"/>
      <c r="E337" s="4"/>
      <c r="F337" s="37"/>
      <c r="G337" s="38"/>
      <c r="H337" s="31">
        <f>_xlfn.XLOOKUP(PO[[#This Row],[Supplier name]], Supplier_master[Supplier name], Supplier_master[Category L1], 0)</f>
        <v>0</v>
      </c>
      <c r="I337" s="31">
        <f>_xlfn.XLOOKUP(PO[[#This Row],[Supplier name]], Supplier_master[Supplier name], Supplier_master[Category L2], 0)</f>
        <v>0</v>
      </c>
      <c r="J337" s="55"/>
      <c r="K337" s="55"/>
      <c r="L337" s="31">
        <f>IF(PO[[#This Row],[Spend category L1 - Override]] &lt;&gt; "", PO[[#This Row],[Spend category L1 - Override]], PO[[#This Row],[Spend category L1]])</f>
        <v>0</v>
      </c>
      <c r="M337" s="31">
        <f>IF(PO[[#This Row],[Spend category L2 - Override]] &lt;&gt; "", PO[[#This Row],[Spend category L2 - Override]], PO[[#This Row],[Spend category L2]])</f>
        <v>0</v>
      </c>
      <c r="N337" s="63">
        <f>Assumptions!$D$15</f>
        <v>0.1</v>
      </c>
      <c r="O337" s="45">
        <f>IF(PO[[#This Row],[GST applies?]] = "Yes", (PO[[#This Row],[Value inc. GST]] / 1 + PO[[#This Row],[GST %]]) * PO[[#This Row],[GST %]], 0)</f>
        <v>0</v>
      </c>
      <c r="P337" s="31">
        <f>_xlfn.XLOOKUP(PO[[#This Row],[Supplier name]], Supplier_master[Supplier name], Supplier_master[EOM or Net], 0)</f>
        <v>0</v>
      </c>
      <c r="Q337" s="31">
        <f>_xlfn.XLOOKUP(PO[[#This Row],[Supplier name]], Supplier_master[Supplier name], Supplier_master[Terms days], 0)</f>
        <v>0</v>
      </c>
      <c r="R3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7" s="4"/>
      <c r="T337" s="46">
        <f>IF(PO[[#This Row],[Payment date - override (dd/mm/yyyy)]] &lt;&gt; "", PO[[#This Row],[Payment date - override (dd/mm/yyyy)]], PO[[#This Row],[Due date (dd/mm/yyyy)]])</f>
        <v>0</v>
      </c>
      <c r="U337" s="46">
        <f t="shared" si="5"/>
        <v>52</v>
      </c>
    </row>
    <row r="338" spans="3:21" x14ac:dyDescent="0.25">
      <c r="C338" s="24"/>
      <c r="D338" s="20"/>
      <c r="E338" s="4"/>
      <c r="F338" s="37"/>
      <c r="G338" s="38"/>
      <c r="H338" s="31">
        <f>_xlfn.XLOOKUP(PO[[#This Row],[Supplier name]], Supplier_master[Supplier name], Supplier_master[Category L1], 0)</f>
        <v>0</v>
      </c>
      <c r="I338" s="31">
        <f>_xlfn.XLOOKUP(PO[[#This Row],[Supplier name]], Supplier_master[Supplier name], Supplier_master[Category L2], 0)</f>
        <v>0</v>
      </c>
      <c r="J338" s="55"/>
      <c r="K338" s="55"/>
      <c r="L338" s="31">
        <f>IF(PO[[#This Row],[Spend category L1 - Override]] &lt;&gt; "", PO[[#This Row],[Spend category L1 - Override]], PO[[#This Row],[Spend category L1]])</f>
        <v>0</v>
      </c>
      <c r="M338" s="31">
        <f>IF(PO[[#This Row],[Spend category L2 - Override]] &lt;&gt; "", PO[[#This Row],[Spend category L2 - Override]], PO[[#This Row],[Spend category L2]])</f>
        <v>0</v>
      </c>
      <c r="N338" s="63">
        <f>Assumptions!$D$15</f>
        <v>0.1</v>
      </c>
      <c r="O338" s="45">
        <f>IF(PO[[#This Row],[GST applies?]] = "Yes", (PO[[#This Row],[Value inc. GST]] / 1 + PO[[#This Row],[GST %]]) * PO[[#This Row],[GST %]], 0)</f>
        <v>0</v>
      </c>
      <c r="P338" s="31">
        <f>_xlfn.XLOOKUP(PO[[#This Row],[Supplier name]], Supplier_master[Supplier name], Supplier_master[EOM or Net], 0)</f>
        <v>0</v>
      </c>
      <c r="Q338" s="31">
        <f>_xlfn.XLOOKUP(PO[[#This Row],[Supplier name]], Supplier_master[Supplier name], Supplier_master[Terms days], 0)</f>
        <v>0</v>
      </c>
      <c r="R3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8" s="4"/>
      <c r="T338" s="46">
        <f>IF(PO[[#This Row],[Payment date - override (dd/mm/yyyy)]] &lt;&gt; "", PO[[#This Row],[Payment date - override (dd/mm/yyyy)]], PO[[#This Row],[Due date (dd/mm/yyyy)]])</f>
        <v>0</v>
      </c>
      <c r="U338" s="46">
        <f t="shared" si="5"/>
        <v>52</v>
      </c>
    </row>
    <row r="339" spans="3:21" x14ac:dyDescent="0.25">
      <c r="C339" s="24"/>
      <c r="D339" s="20"/>
      <c r="E339" s="4"/>
      <c r="F339" s="37"/>
      <c r="G339" s="38"/>
      <c r="H339" s="31">
        <f>_xlfn.XLOOKUP(PO[[#This Row],[Supplier name]], Supplier_master[Supplier name], Supplier_master[Category L1], 0)</f>
        <v>0</v>
      </c>
      <c r="I339" s="31">
        <f>_xlfn.XLOOKUP(PO[[#This Row],[Supplier name]], Supplier_master[Supplier name], Supplier_master[Category L2], 0)</f>
        <v>0</v>
      </c>
      <c r="J339" s="55"/>
      <c r="K339" s="55"/>
      <c r="L339" s="31">
        <f>IF(PO[[#This Row],[Spend category L1 - Override]] &lt;&gt; "", PO[[#This Row],[Spend category L1 - Override]], PO[[#This Row],[Spend category L1]])</f>
        <v>0</v>
      </c>
      <c r="M339" s="31">
        <f>IF(PO[[#This Row],[Spend category L2 - Override]] &lt;&gt; "", PO[[#This Row],[Spend category L2 - Override]], PO[[#This Row],[Spend category L2]])</f>
        <v>0</v>
      </c>
      <c r="N339" s="63">
        <f>Assumptions!$D$15</f>
        <v>0.1</v>
      </c>
      <c r="O339" s="45">
        <f>IF(PO[[#This Row],[GST applies?]] = "Yes", (PO[[#This Row],[Value inc. GST]] / 1 + PO[[#This Row],[GST %]]) * PO[[#This Row],[GST %]], 0)</f>
        <v>0</v>
      </c>
      <c r="P339" s="31">
        <f>_xlfn.XLOOKUP(PO[[#This Row],[Supplier name]], Supplier_master[Supplier name], Supplier_master[EOM or Net], 0)</f>
        <v>0</v>
      </c>
      <c r="Q339" s="31">
        <f>_xlfn.XLOOKUP(PO[[#This Row],[Supplier name]], Supplier_master[Supplier name], Supplier_master[Terms days], 0)</f>
        <v>0</v>
      </c>
      <c r="R3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9" s="4"/>
      <c r="T339" s="46">
        <f>IF(PO[[#This Row],[Payment date - override (dd/mm/yyyy)]] &lt;&gt; "", PO[[#This Row],[Payment date - override (dd/mm/yyyy)]], PO[[#This Row],[Due date (dd/mm/yyyy)]])</f>
        <v>0</v>
      </c>
      <c r="U339" s="46">
        <f t="shared" si="5"/>
        <v>52</v>
      </c>
    </row>
    <row r="340" spans="3:21" x14ac:dyDescent="0.25">
      <c r="C340" s="24"/>
      <c r="D340" s="20"/>
      <c r="E340" s="4"/>
      <c r="F340" s="37"/>
      <c r="G340" s="38"/>
      <c r="H340" s="31">
        <f>_xlfn.XLOOKUP(PO[[#This Row],[Supplier name]], Supplier_master[Supplier name], Supplier_master[Category L1], 0)</f>
        <v>0</v>
      </c>
      <c r="I340" s="31">
        <f>_xlfn.XLOOKUP(PO[[#This Row],[Supplier name]], Supplier_master[Supplier name], Supplier_master[Category L2], 0)</f>
        <v>0</v>
      </c>
      <c r="J340" s="55"/>
      <c r="K340" s="55"/>
      <c r="L340" s="31">
        <f>IF(PO[[#This Row],[Spend category L1 - Override]] &lt;&gt; "", PO[[#This Row],[Spend category L1 - Override]], PO[[#This Row],[Spend category L1]])</f>
        <v>0</v>
      </c>
      <c r="M340" s="31">
        <f>IF(PO[[#This Row],[Spend category L2 - Override]] &lt;&gt; "", PO[[#This Row],[Spend category L2 - Override]], PO[[#This Row],[Spend category L2]])</f>
        <v>0</v>
      </c>
      <c r="N340" s="63">
        <f>Assumptions!$D$15</f>
        <v>0.1</v>
      </c>
      <c r="O340" s="45">
        <f>IF(PO[[#This Row],[GST applies?]] = "Yes", (PO[[#This Row],[Value inc. GST]] / 1 + PO[[#This Row],[GST %]]) * PO[[#This Row],[GST %]], 0)</f>
        <v>0</v>
      </c>
      <c r="P340" s="31">
        <f>_xlfn.XLOOKUP(PO[[#This Row],[Supplier name]], Supplier_master[Supplier name], Supplier_master[EOM or Net], 0)</f>
        <v>0</v>
      </c>
      <c r="Q340" s="31">
        <f>_xlfn.XLOOKUP(PO[[#This Row],[Supplier name]], Supplier_master[Supplier name], Supplier_master[Terms days], 0)</f>
        <v>0</v>
      </c>
      <c r="R3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0" s="4"/>
      <c r="T340" s="46">
        <f>IF(PO[[#This Row],[Payment date - override (dd/mm/yyyy)]] &lt;&gt; "", PO[[#This Row],[Payment date - override (dd/mm/yyyy)]], PO[[#This Row],[Due date (dd/mm/yyyy)]])</f>
        <v>0</v>
      </c>
      <c r="U340" s="46">
        <f t="shared" si="5"/>
        <v>52</v>
      </c>
    </row>
    <row r="341" spans="3:21" x14ac:dyDescent="0.25">
      <c r="C341" s="24"/>
      <c r="D341" s="20"/>
      <c r="E341" s="4"/>
      <c r="F341" s="37"/>
      <c r="G341" s="38"/>
      <c r="H341" s="31">
        <f>_xlfn.XLOOKUP(PO[[#This Row],[Supplier name]], Supplier_master[Supplier name], Supplier_master[Category L1], 0)</f>
        <v>0</v>
      </c>
      <c r="I341" s="31">
        <f>_xlfn.XLOOKUP(PO[[#This Row],[Supplier name]], Supplier_master[Supplier name], Supplier_master[Category L2], 0)</f>
        <v>0</v>
      </c>
      <c r="J341" s="55"/>
      <c r="K341" s="55"/>
      <c r="L341" s="31">
        <f>IF(PO[[#This Row],[Spend category L1 - Override]] &lt;&gt; "", PO[[#This Row],[Spend category L1 - Override]], PO[[#This Row],[Spend category L1]])</f>
        <v>0</v>
      </c>
      <c r="M341" s="31">
        <f>IF(PO[[#This Row],[Spend category L2 - Override]] &lt;&gt; "", PO[[#This Row],[Spend category L2 - Override]], PO[[#This Row],[Spend category L2]])</f>
        <v>0</v>
      </c>
      <c r="N341" s="63">
        <f>Assumptions!$D$15</f>
        <v>0.1</v>
      </c>
      <c r="O341" s="45">
        <f>IF(PO[[#This Row],[GST applies?]] = "Yes", (PO[[#This Row],[Value inc. GST]] / 1 + PO[[#This Row],[GST %]]) * PO[[#This Row],[GST %]], 0)</f>
        <v>0</v>
      </c>
      <c r="P341" s="31">
        <f>_xlfn.XLOOKUP(PO[[#This Row],[Supplier name]], Supplier_master[Supplier name], Supplier_master[EOM or Net], 0)</f>
        <v>0</v>
      </c>
      <c r="Q341" s="31">
        <f>_xlfn.XLOOKUP(PO[[#This Row],[Supplier name]], Supplier_master[Supplier name], Supplier_master[Terms days], 0)</f>
        <v>0</v>
      </c>
      <c r="R3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1" s="4"/>
      <c r="T341" s="46">
        <f>IF(PO[[#This Row],[Payment date - override (dd/mm/yyyy)]] &lt;&gt; "", PO[[#This Row],[Payment date - override (dd/mm/yyyy)]], PO[[#This Row],[Due date (dd/mm/yyyy)]])</f>
        <v>0</v>
      </c>
      <c r="U341" s="46">
        <f t="shared" si="5"/>
        <v>52</v>
      </c>
    </row>
    <row r="342" spans="3:21" x14ac:dyDescent="0.25">
      <c r="C342" s="24"/>
      <c r="D342" s="20"/>
      <c r="E342" s="4"/>
      <c r="F342" s="37"/>
      <c r="G342" s="38"/>
      <c r="H342" s="31">
        <f>_xlfn.XLOOKUP(PO[[#This Row],[Supplier name]], Supplier_master[Supplier name], Supplier_master[Category L1], 0)</f>
        <v>0</v>
      </c>
      <c r="I342" s="31">
        <f>_xlfn.XLOOKUP(PO[[#This Row],[Supplier name]], Supplier_master[Supplier name], Supplier_master[Category L2], 0)</f>
        <v>0</v>
      </c>
      <c r="J342" s="55"/>
      <c r="K342" s="55"/>
      <c r="L342" s="31">
        <f>IF(PO[[#This Row],[Spend category L1 - Override]] &lt;&gt; "", PO[[#This Row],[Spend category L1 - Override]], PO[[#This Row],[Spend category L1]])</f>
        <v>0</v>
      </c>
      <c r="M342" s="31">
        <f>IF(PO[[#This Row],[Spend category L2 - Override]] &lt;&gt; "", PO[[#This Row],[Spend category L2 - Override]], PO[[#This Row],[Spend category L2]])</f>
        <v>0</v>
      </c>
      <c r="N342" s="63">
        <f>Assumptions!$D$15</f>
        <v>0.1</v>
      </c>
      <c r="O342" s="45">
        <f>IF(PO[[#This Row],[GST applies?]] = "Yes", (PO[[#This Row],[Value inc. GST]] / 1 + PO[[#This Row],[GST %]]) * PO[[#This Row],[GST %]], 0)</f>
        <v>0</v>
      </c>
      <c r="P342" s="31">
        <f>_xlfn.XLOOKUP(PO[[#This Row],[Supplier name]], Supplier_master[Supplier name], Supplier_master[EOM or Net], 0)</f>
        <v>0</v>
      </c>
      <c r="Q342" s="31">
        <f>_xlfn.XLOOKUP(PO[[#This Row],[Supplier name]], Supplier_master[Supplier name], Supplier_master[Terms days], 0)</f>
        <v>0</v>
      </c>
      <c r="R3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2" s="4"/>
      <c r="T342" s="46">
        <f>IF(PO[[#This Row],[Payment date - override (dd/mm/yyyy)]] &lt;&gt; "", PO[[#This Row],[Payment date - override (dd/mm/yyyy)]], PO[[#This Row],[Due date (dd/mm/yyyy)]])</f>
        <v>0</v>
      </c>
      <c r="U342" s="46">
        <f t="shared" si="5"/>
        <v>52</v>
      </c>
    </row>
    <row r="343" spans="3:21" x14ac:dyDescent="0.25">
      <c r="C343" s="24"/>
      <c r="D343" s="20"/>
      <c r="E343" s="4"/>
      <c r="F343" s="37"/>
      <c r="G343" s="38"/>
      <c r="H343" s="31">
        <f>_xlfn.XLOOKUP(PO[[#This Row],[Supplier name]], Supplier_master[Supplier name], Supplier_master[Category L1], 0)</f>
        <v>0</v>
      </c>
      <c r="I343" s="31">
        <f>_xlfn.XLOOKUP(PO[[#This Row],[Supplier name]], Supplier_master[Supplier name], Supplier_master[Category L2], 0)</f>
        <v>0</v>
      </c>
      <c r="J343" s="55"/>
      <c r="K343" s="55"/>
      <c r="L343" s="31">
        <f>IF(PO[[#This Row],[Spend category L1 - Override]] &lt;&gt; "", PO[[#This Row],[Spend category L1 - Override]], PO[[#This Row],[Spend category L1]])</f>
        <v>0</v>
      </c>
      <c r="M343" s="31">
        <f>IF(PO[[#This Row],[Spend category L2 - Override]] &lt;&gt; "", PO[[#This Row],[Spend category L2 - Override]], PO[[#This Row],[Spend category L2]])</f>
        <v>0</v>
      </c>
      <c r="N343" s="63">
        <f>Assumptions!$D$15</f>
        <v>0.1</v>
      </c>
      <c r="O343" s="45">
        <f>IF(PO[[#This Row],[GST applies?]] = "Yes", (PO[[#This Row],[Value inc. GST]] / 1 + PO[[#This Row],[GST %]]) * PO[[#This Row],[GST %]], 0)</f>
        <v>0</v>
      </c>
      <c r="P343" s="31">
        <f>_xlfn.XLOOKUP(PO[[#This Row],[Supplier name]], Supplier_master[Supplier name], Supplier_master[EOM or Net], 0)</f>
        <v>0</v>
      </c>
      <c r="Q343" s="31">
        <f>_xlfn.XLOOKUP(PO[[#This Row],[Supplier name]], Supplier_master[Supplier name], Supplier_master[Terms days], 0)</f>
        <v>0</v>
      </c>
      <c r="R3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3" s="4"/>
      <c r="T343" s="46">
        <f>IF(PO[[#This Row],[Payment date - override (dd/mm/yyyy)]] &lt;&gt; "", PO[[#This Row],[Payment date - override (dd/mm/yyyy)]], PO[[#This Row],[Due date (dd/mm/yyyy)]])</f>
        <v>0</v>
      </c>
      <c r="U343" s="46">
        <f t="shared" si="5"/>
        <v>52</v>
      </c>
    </row>
    <row r="344" spans="3:21" x14ac:dyDescent="0.25">
      <c r="C344" s="24"/>
      <c r="D344" s="20"/>
      <c r="E344" s="4"/>
      <c r="F344" s="37"/>
      <c r="G344" s="38"/>
      <c r="H344" s="31">
        <f>_xlfn.XLOOKUP(PO[[#This Row],[Supplier name]], Supplier_master[Supplier name], Supplier_master[Category L1], 0)</f>
        <v>0</v>
      </c>
      <c r="I344" s="31">
        <f>_xlfn.XLOOKUP(PO[[#This Row],[Supplier name]], Supplier_master[Supplier name], Supplier_master[Category L2], 0)</f>
        <v>0</v>
      </c>
      <c r="J344" s="55"/>
      <c r="K344" s="55"/>
      <c r="L344" s="31">
        <f>IF(PO[[#This Row],[Spend category L1 - Override]] &lt;&gt; "", PO[[#This Row],[Spend category L1 - Override]], PO[[#This Row],[Spend category L1]])</f>
        <v>0</v>
      </c>
      <c r="M344" s="31">
        <f>IF(PO[[#This Row],[Spend category L2 - Override]] &lt;&gt; "", PO[[#This Row],[Spend category L2 - Override]], PO[[#This Row],[Spend category L2]])</f>
        <v>0</v>
      </c>
      <c r="N344" s="63">
        <f>Assumptions!$D$15</f>
        <v>0.1</v>
      </c>
      <c r="O344" s="45">
        <f>IF(PO[[#This Row],[GST applies?]] = "Yes", (PO[[#This Row],[Value inc. GST]] / 1 + PO[[#This Row],[GST %]]) * PO[[#This Row],[GST %]], 0)</f>
        <v>0</v>
      </c>
      <c r="P344" s="31">
        <f>_xlfn.XLOOKUP(PO[[#This Row],[Supplier name]], Supplier_master[Supplier name], Supplier_master[EOM or Net], 0)</f>
        <v>0</v>
      </c>
      <c r="Q344" s="31">
        <f>_xlfn.XLOOKUP(PO[[#This Row],[Supplier name]], Supplier_master[Supplier name], Supplier_master[Terms days], 0)</f>
        <v>0</v>
      </c>
      <c r="R3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4" s="4"/>
      <c r="T344" s="46">
        <f>IF(PO[[#This Row],[Payment date - override (dd/mm/yyyy)]] &lt;&gt; "", PO[[#This Row],[Payment date - override (dd/mm/yyyy)]], PO[[#This Row],[Due date (dd/mm/yyyy)]])</f>
        <v>0</v>
      </c>
      <c r="U344" s="46">
        <f t="shared" si="5"/>
        <v>52</v>
      </c>
    </row>
    <row r="345" spans="3:21" x14ac:dyDescent="0.25">
      <c r="C345" s="24"/>
      <c r="D345" s="20"/>
      <c r="E345" s="4"/>
      <c r="F345" s="37"/>
      <c r="G345" s="38"/>
      <c r="H345" s="31">
        <f>_xlfn.XLOOKUP(PO[[#This Row],[Supplier name]], Supplier_master[Supplier name], Supplier_master[Category L1], 0)</f>
        <v>0</v>
      </c>
      <c r="I345" s="31">
        <f>_xlfn.XLOOKUP(PO[[#This Row],[Supplier name]], Supplier_master[Supplier name], Supplier_master[Category L2], 0)</f>
        <v>0</v>
      </c>
      <c r="J345" s="55"/>
      <c r="K345" s="55"/>
      <c r="L345" s="31">
        <f>IF(PO[[#This Row],[Spend category L1 - Override]] &lt;&gt; "", PO[[#This Row],[Spend category L1 - Override]], PO[[#This Row],[Spend category L1]])</f>
        <v>0</v>
      </c>
      <c r="M345" s="31">
        <f>IF(PO[[#This Row],[Spend category L2 - Override]] &lt;&gt; "", PO[[#This Row],[Spend category L2 - Override]], PO[[#This Row],[Spend category L2]])</f>
        <v>0</v>
      </c>
      <c r="N345" s="63">
        <f>Assumptions!$D$15</f>
        <v>0.1</v>
      </c>
      <c r="O345" s="45">
        <f>IF(PO[[#This Row],[GST applies?]] = "Yes", (PO[[#This Row],[Value inc. GST]] / 1 + PO[[#This Row],[GST %]]) * PO[[#This Row],[GST %]], 0)</f>
        <v>0</v>
      </c>
      <c r="P345" s="31">
        <f>_xlfn.XLOOKUP(PO[[#This Row],[Supplier name]], Supplier_master[Supplier name], Supplier_master[EOM or Net], 0)</f>
        <v>0</v>
      </c>
      <c r="Q345" s="31">
        <f>_xlfn.XLOOKUP(PO[[#This Row],[Supplier name]], Supplier_master[Supplier name], Supplier_master[Terms days], 0)</f>
        <v>0</v>
      </c>
      <c r="R3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5" s="4"/>
      <c r="T345" s="46">
        <f>IF(PO[[#This Row],[Payment date - override (dd/mm/yyyy)]] &lt;&gt; "", PO[[#This Row],[Payment date - override (dd/mm/yyyy)]], PO[[#This Row],[Due date (dd/mm/yyyy)]])</f>
        <v>0</v>
      </c>
      <c r="U345" s="46">
        <f t="shared" si="5"/>
        <v>52</v>
      </c>
    </row>
    <row r="346" spans="3:21" x14ac:dyDescent="0.25">
      <c r="C346" s="24"/>
      <c r="D346" s="20"/>
      <c r="E346" s="4"/>
      <c r="F346" s="37"/>
      <c r="G346" s="38"/>
      <c r="H346" s="31">
        <f>_xlfn.XLOOKUP(PO[[#This Row],[Supplier name]], Supplier_master[Supplier name], Supplier_master[Category L1], 0)</f>
        <v>0</v>
      </c>
      <c r="I346" s="31">
        <f>_xlfn.XLOOKUP(PO[[#This Row],[Supplier name]], Supplier_master[Supplier name], Supplier_master[Category L2], 0)</f>
        <v>0</v>
      </c>
      <c r="J346" s="55"/>
      <c r="K346" s="55"/>
      <c r="L346" s="31">
        <f>IF(PO[[#This Row],[Spend category L1 - Override]] &lt;&gt; "", PO[[#This Row],[Spend category L1 - Override]], PO[[#This Row],[Spend category L1]])</f>
        <v>0</v>
      </c>
      <c r="M346" s="31">
        <f>IF(PO[[#This Row],[Spend category L2 - Override]] &lt;&gt; "", PO[[#This Row],[Spend category L2 - Override]], PO[[#This Row],[Spend category L2]])</f>
        <v>0</v>
      </c>
      <c r="N346" s="63">
        <f>Assumptions!$D$15</f>
        <v>0.1</v>
      </c>
      <c r="O346" s="45">
        <f>IF(PO[[#This Row],[GST applies?]] = "Yes", (PO[[#This Row],[Value inc. GST]] / 1 + PO[[#This Row],[GST %]]) * PO[[#This Row],[GST %]], 0)</f>
        <v>0</v>
      </c>
      <c r="P346" s="31">
        <f>_xlfn.XLOOKUP(PO[[#This Row],[Supplier name]], Supplier_master[Supplier name], Supplier_master[EOM or Net], 0)</f>
        <v>0</v>
      </c>
      <c r="Q346" s="31">
        <f>_xlfn.XLOOKUP(PO[[#This Row],[Supplier name]], Supplier_master[Supplier name], Supplier_master[Terms days], 0)</f>
        <v>0</v>
      </c>
      <c r="R3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6" s="4"/>
      <c r="T346" s="46">
        <f>IF(PO[[#This Row],[Payment date - override (dd/mm/yyyy)]] &lt;&gt; "", PO[[#This Row],[Payment date - override (dd/mm/yyyy)]], PO[[#This Row],[Due date (dd/mm/yyyy)]])</f>
        <v>0</v>
      </c>
      <c r="U346" s="46">
        <f t="shared" si="5"/>
        <v>52</v>
      </c>
    </row>
    <row r="347" spans="3:21" x14ac:dyDescent="0.25">
      <c r="C347" s="24"/>
      <c r="D347" s="20"/>
      <c r="E347" s="4"/>
      <c r="F347" s="37"/>
      <c r="G347" s="38"/>
      <c r="H347" s="31">
        <f>_xlfn.XLOOKUP(PO[[#This Row],[Supplier name]], Supplier_master[Supplier name], Supplier_master[Category L1], 0)</f>
        <v>0</v>
      </c>
      <c r="I347" s="31">
        <f>_xlfn.XLOOKUP(PO[[#This Row],[Supplier name]], Supplier_master[Supplier name], Supplier_master[Category L2], 0)</f>
        <v>0</v>
      </c>
      <c r="J347" s="55"/>
      <c r="K347" s="55"/>
      <c r="L347" s="31">
        <f>IF(PO[[#This Row],[Spend category L1 - Override]] &lt;&gt; "", PO[[#This Row],[Spend category L1 - Override]], PO[[#This Row],[Spend category L1]])</f>
        <v>0</v>
      </c>
      <c r="M347" s="31">
        <f>IF(PO[[#This Row],[Spend category L2 - Override]] &lt;&gt; "", PO[[#This Row],[Spend category L2 - Override]], PO[[#This Row],[Spend category L2]])</f>
        <v>0</v>
      </c>
      <c r="N347" s="63">
        <f>Assumptions!$D$15</f>
        <v>0.1</v>
      </c>
      <c r="O347" s="45">
        <f>IF(PO[[#This Row],[GST applies?]] = "Yes", (PO[[#This Row],[Value inc. GST]] / 1 + PO[[#This Row],[GST %]]) * PO[[#This Row],[GST %]], 0)</f>
        <v>0</v>
      </c>
      <c r="P347" s="31">
        <f>_xlfn.XLOOKUP(PO[[#This Row],[Supplier name]], Supplier_master[Supplier name], Supplier_master[EOM or Net], 0)</f>
        <v>0</v>
      </c>
      <c r="Q347" s="31">
        <f>_xlfn.XLOOKUP(PO[[#This Row],[Supplier name]], Supplier_master[Supplier name], Supplier_master[Terms days], 0)</f>
        <v>0</v>
      </c>
      <c r="R3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7" s="4"/>
      <c r="T347" s="46">
        <f>IF(PO[[#This Row],[Payment date - override (dd/mm/yyyy)]] &lt;&gt; "", PO[[#This Row],[Payment date - override (dd/mm/yyyy)]], PO[[#This Row],[Due date (dd/mm/yyyy)]])</f>
        <v>0</v>
      </c>
      <c r="U347" s="46">
        <f t="shared" si="5"/>
        <v>52</v>
      </c>
    </row>
    <row r="348" spans="3:21" x14ac:dyDescent="0.25">
      <c r="C348" s="24"/>
      <c r="D348" s="20"/>
      <c r="E348" s="4"/>
      <c r="F348" s="37"/>
      <c r="G348" s="38"/>
      <c r="H348" s="31">
        <f>_xlfn.XLOOKUP(PO[[#This Row],[Supplier name]], Supplier_master[Supplier name], Supplier_master[Category L1], 0)</f>
        <v>0</v>
      </c>
      <c r="I348" s="31">
        <f>_xlfn.XLOOKUP(PO[[#This Row],[Supplier name]], Supplier_master[Supplier name], Supplier_master[Category L2], 0)</f>
        <v>0</v>
      </c>
      <c r="J348" s="55"/>
      <c r="K348" s="55"/>
      <c r="L348" s="31">
        <f>IF(PO[[#This Row],[Spend category L1 - Override]] &lt;&gt; "", PO[[#This Row],[Spend category L1 - Override]], PO[[#This Row],[Spend category L1]])</f>
        <v>0</v>
      </c>
      <c r="M348" s="31">
        <f>IF(PO[[#This Row],[Spend category L2 - Override]] &lt;&gt; "", PO[[#This Row],[Spend category L2 - Override]], PO[[#This Row],[Spend category L2]])</f>
        <v>0</v>
      </c>
      <c r="N348" s="63">
        <f>Assumptions!$D$15</f>
        <v>0.1</v>
      </c>
      <c r="O348" s="45">
        <f>IF(PO[[#This Row],[GST applies?]] = "Yes", (PO[[#This Row],[Value inc. GST]] / 1 + PO[[#This Row],[GST %]]) * PO[[#This Row],[GST %]], 0)</f>
        <v>0</v>
      </c>
      <c r="P348" s="31">
        <f>_xlfn.XLOOKUP(PO[[#This Row],[Supplier name]], Supplier_master[Supplier name], Supplier_master[EOM or Net], 0)</f>
        <v>0</v>
      </c>
      <c r="Q348" s="31">
        <f>_xlfn.XLOOKUP(PO[[#This Row],[Supplier name]], Supplier_master[Supplier name], Supplier_master[Terms days], 0)</f>
        <v>0</v>
      </c>
      <c r="R3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8" s="4"/>
      <c r="T348" s="46">
        <f>IF(PO[[#This Row],[Payment date - override (dd/mm/yyyy)]] &lt;&gt; "", PO[[#This Row],[Payment date - override (dd/mm/yyyy)]], PO[[#This Row],[Due date (dd/mm/yyyy)]])</f>
        <v>0</v>
      </c>
      <c r="U348" s="46">
        <f t="shared" si="5"/>
        <v>52</v>
      </c>
    </row>
    <row r="349" spans="3:21" x14ac:dyDescent="0.25">
      <c r="C349" s="24"/>
      <c r="D349" s="20"/>
      <c r="E349" s="4"/>
      <c r="F349" s="37"/>
      <c r="G349" s="38"/>
      <c r="H349" s="31">
        <f>_xlfn.XLOOKUP(PO[[#This Row],[Supplier name]], Supplier_master[Supplier name], Supplier_master[Category L1], 0)</f>
        <v>0</v>
      </c>
      <c r="I349" s="31">
        <f>_xlfn.XLOOKUP(PO[[#This Row],[Supplier name]], Supplier_master[Supplier name], Supplier_master[Category L2], 0)</f>
        <v>0</v>
      </c>
      <c r="J349" s="55"/>
      <c r="K349" s="55"/>
      <c r="L349" s="31">
        <f>IF(PO[[#This Row],[Spend category L1 - Override]] &lt;&gt; "", PO[[#This Row],[Spend category L1 - Override]], PO[[#This Row],[Spend category L1]])</f>
        <v>0</v>
      </c>
      <c r="M349" s="31">
        <f>IF(PO[[#This Row],[Spend category L2 - Override]] &lt;&gt; "", PO[[#This Row],[Spend category L2 - Override]], PO[[#This Row],[Spend category L2]])</f>
        <v>0</v>
      </c>
      <c r="N349" s="63">
        <f>Assumptions!$D$15</f>
        <v>0.1</v>
      </c>
      <c r="O349" s="45">
        <f>IF(PO[[#This Row],[GST applies?]] = "Yes", (PO[[#This Row],[Value inc. GST]] / 1 + PO[[#This Row],[GST %]]) * PO[[#This Row],[GST %]], 0)</f>
        <v>0</v>
      </c>
      <c r="P349" s="31">
        <f>_xlfn.XLOOKUP(PO[[#This Row],[Supplier name]], Supplier_master[Supplier name], Supplier_master[EOM or Net], 0)</f>
        <v>0</v>
      </c>
      <c r="Q349" s="31">
        <f>_xlfn.XLOOKUP(PO[[#This Row],[Supplier name]], Supplier_master[Supplier name], Supplier_master[Terms days], 0)</f>
        <v>0</v>
      </c>
      <c r="R3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9" s="4"/>
      <c r="T349" s="46">
        <f>IF(PO[[#This Row],[Payment date - override (dd/mm/yyyy)]] &lt;&gt; "", PO[[#This Row],[Payment date - override (dd/mm/yyyy)]], PO[[#This Row],[Due date (dd/mm/yyyy)]])</f>
        <v>0</v>
      </c>
      <c r="U349" s="46">
        <f t="shared" si="5"/>
        <v>52</v>
      </c>
    </row>
    <row r="350" spans="3:21" x14ac:dyDescent="0.25">
      <c r="C350" s="24"/>
      <c r="D350" s="20"/>
      <c r="E350" s="4"/>
      <c r="F350" s="37"/>
      <c r="G350" s="38"/>
      <c r="H350" s="31">
        <f>_xlfn.XLOOKUP(PO[[#This Row],[Supplier name]], Supplier_master[Supplier name], Supplier_master[Category L1], 0)</f>
        <v>0</v>
      </c>
      <c r="I350" s="31">
        <f>_xlfn.XLOOKUP(PO[[#This Row],[Supplier name]], Supplier_master[Supplier name], Supplier_master[Category L2], 0)</f>
        <v>0</v>
      </c>
      <c r="J350" s="55"/>
      <c r="K350" s="55"/>
      <c r="L350" s="31">
        <f>IF(PO[[#This Row],[Spend category L1 - Override]] &lt;&gt; "", PO[[#This Row],[Spend category L1 - Override]], PO[[#This Row],[Spend category L1]])</f>
        <v>0</v>
      </c>
      <c r="M350" s="31">
        <f>IF(PO[[#This Row],[Spend category L2 - Override]] &lt;&gt; "", PO[[#This Row],[Spend category L2 - Override]], PO[[#This Row],[Spend category L2]])</f>
        <v>0</v>
      </c>
      <c r="N350" s="63">
        <f>Assumptions!$D$15</f>
        <v>0.1</v>
      </c>
      <c r="O350" s="45">
        <f>IF(PO[[#This Row],[GST applies?]] = "Yes", (PO[[#This Row],[Value inc. GST]] / 1 + PO[[#This Row],[GST %]]) * PO[[#This Row],[GST %]], 0)</f>
        <v>0</v>
      </c>
      <c r="P350" s="31">
        <f>_xlfn.XLOOKUP(PO[[#This Row],[Supplier name]], Supplier_master[Supplier name], Supplier_master[EOM or Net], 0)</f>
        <v>0</v>
      </c>
      <c r="Q350" s="31">
        <f>_xlfn.XLOOKUP(PO[[#This Row],[Supplier name]], Supplier_master[Supplier name], Supplier_master[Terms days], 0)</f>
        <v>0</v>
      </c>
      <c r="R3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0" s="4"/>
      <c r="T350" s="46">
        <f>IF(PO[[#This Row],[Payment date - override (dd/mm/yyyy)]] &lt;&gt; "", PO[[#This Row],[Payment date - override (dd/mm/yyyy)]], PO[[#This Row],[Due date (dd/mm/yyyy)]])</f>
        <v>0</v>
      </c>
      <c r="U350" s="46">
        <f t="shared" si="5"/>
        <v>52</v>
      </c>
    </row>
    <row r="351" spans="3:21" x14ac:dyDescent="0.25">
      <c r="C351" s="24"/>
      <c r="D351" s="20"/>
      <c r="E351" s="4"/>
      <c r="F351" s="37"/>
      <c r="G351" s="38"/>
      <c r="H351" s="31">
        <f>_xlfn.XLOOKUP(PO[[#This Row],[Supplier name]], Supplier_master[Supplier name], Supplier_master[Category L1], 0)</f>
        <v>0</v>
      </c>
      <c r="I351" s="31">
        <f>_xlfn.XLOOKUP(PO[[#This Row],[Supplier name]], Supplier_master[Supplier name], Supplier_master[Category L2], 0)</f>
        <v>0</v>
      </c>
      <c r="J351" s="55"/>
      <c r="K351" s="55"/>
      <c r="L351" s="31">
        <f>IF(PO[[#This Row],[Spend category L1 - Override]] &lt;&gt; "", PO[[#This Row],[Spend category L1 - Override]], PO[[#This Row],[Spend category L1]])</f>
        <v>0</v>
      </c>
      <c r="M351" s="31">
        <f>IF(PO[[#This Row],[Spend category L2 - Override]] &lt;&gt; "", PO[[#This Row],[Spend category L2 - Override]], PO[[#This Row],[Spend category L2]])</f>
        <v>0</v>
      </c>
      <c r="N351" s="63">
        <f>Assumptions!$D$15</f>
        <v>0.1</v>
      </c>
      <c r="O351" s="45">
        <f>IF(PO[[#This Row],[GST applies?]] = "Yes", (PO[[#This Row],[Value inc. GST]] / 1 + PO[[#This Row],[GST %]]) * PO[[#This Row],[GST %]], 0)</f>
        <v>0</v>
      </c>
      <c r="P351" s="31">
        <f>_xlfn.XLOOKUP(PO[[#This Row],[Supplier name]], Supplier_master[Supplier name], Supplier_master[EOM or Net], 0)</f>
        <v>0</v>
      </c>
      <c r="Q351" s="31">
        <f>_xlfn.XLOOKUP(PO[[#This Row],[Supplier name]], Supplier_master[Supplier name], Supplier_master[Terms days], 0)</f>
        <v>0</v>
      </c>
      <c r="R3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1" s="4"/>
      <c r="T351" s="46">
        <f>IF(PO[[#This Row],[Payment date - override (dd/mm/yyyy)]] &lt;&gt; "", PO[[#This Row],[Payment date - override (dd/mm/yyyy)]], PO[[#This Row],[Due date (dd/mm/yyyy)]])</f>
        <v>0</v>
      </c>
      <c r="U351" s="46">
        <f t="shared" si="5"/>
        <v>52</v>
      </c>
    </row>
    <row r="352" spans="3:21" x14ac:dyDescent="0.25">
      <c r="C352" s="24"/>
      <c r="D352" s="20"/>
      <c r="E352" s="4"/>
      <c r="F352" s="37"/>
      <c r="G352" s="38"/>
      <c r="H352" s="31">
        <f>_xlfn.XLOOKUP(PO[[#This Row],[Supplier name]], Supplier_master[Supplier name], Supplier_master[Category L1], 0)</f>
        <v>0</v>
      </c>
      <c r="I352" s="31">
        <f>_xlfn.XLOOKUP(PO[[#This Row],[Supplier name]], Supplier_master[Supplier name], Supplier_master[Category L2], 0)</f>
        <v>0</v>
      </c>
      <c r="J352" s="55"/>
      <c r="K352" s="55"/>
      <c r="L352" s="31">
        <f>IF(PO[[#This Row],[Spend category L1 - Override]] &lt;&gt; "", PO[[#This Row],[Spend category L1 - Override]], PO[[#This Row],[Spend category L1]])</f>
        <v>0</v>
      </c>
      <c r="M352" s="31">
        <f>IF(PO[[#This Row],[Spend category L2 - Override]] &lt;&gt; "", PO[[#This Row],[Spend category L2 - Override]], PO[[#This Row],[Spend category L2]])</f>
        <v>0</v>
      </c>
      <c r="N352" s="63">
        <f>Assumptions!$D$15</f>
        <v>0.1</v>
      </c>
      <c r="O352" s="45">
        <f>IF(PO[[#This Row],[GST applies?]] = "Yes", (PO[[#This Row],[Value inc. GST]] / 1 + PO[[#This Row],[GST %]]) * PO[[#This Row],[GST %]], 0)</f>
        <v>0</v>
      </c>
      <c r="P352" s="31">
        <f>_xlfn.XLOOKUP(PO[[#This Row],[Supplier name]], Supplier_master[Supplier name], Supplier_master[EOM or Net], 0)</f>
        <v>0</v>
      </c>
      <c r="Q352" s="31">
        <f>_xlfn.XLOOKUP(PO[[#This Row],[Supplier name]], Supplier_master[Supplier name], Supplier_master[Terms days], 0)</f>
        <v>0</v>
      </c>
      <c r="R3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2" s="4"/>
      <c r="T352" s="46">
        <f>IF(PO[[#This Row],[Payment date - override (dd/mm/yyyy)]] &lt;&gt; "", PO[[#This Row],[Payment date - override (dd/mm/yyyy)]], PO[[#This Row],[Due date (dd/mm/yyyy)]])</f>
        <v>0</v>
      </c>
      <c r="U352" s="46">
        <f t="shared" si="5"/>
        <v>52</v>
      </c>
    </row>
    <row r="353" spans="3:21" x14ac:dyDescent="0.25">
      <c r="C353" s="24"/>
      <c r="D353" s="20"/>
      <c r="E353" s="4"/>
      <c r="F353" s="37"/>
      <c r="G353" s="38"/>
      <c r="H353" s="31">
        <f>_xlfn.XLOOKUP(PO[[#This Row],[Supplier name]], Supplier_master[Supplier name], Supplier_master[Category L1], 0)</f>
        <v>0</v>
      </c>
      <c r="I353" s="31">
        <f>_xlfn.XLOOKUP(PO[[#This Row],[Supplier name]], Supplier_master[Supplier name], Supplier_master[Category L2], 0)</f>
        <v>0</v>
      </c>
      <c r="J353" s="55"/>
      <c r="K353" s="55"/>
      <c r="L353" s="31">
        <f>IF(PO[[#This Row],[Spend category L1 - Override]] &lt;&gt; "", PO[[#This Row],[Spend category L1 - Override]], PO[[#This Row],[Spend category L1]])</f>
        <v>0</v>
      </c>
      <c r="M353" s="31">
        <f>IF(PO[[#This Row],[Spend category L2 - Override]] &lt;&gt; "", PO[[#This Row],[Spend category L2 - Override]], PO[[#This Row],[Spend category L2]])</f>
        <v>0</v>
      </c>
      <c r="N353" s="63">
        <f>Assumptions!$D$15</f>
        <v>0.1</v>
      </c>
      <c r="O353" s="45">
        <f>IF(PO[[#This Row],[GST applies?]] = "Yes", (PO[[#This Row],[Value inc. GST]] / 1 + PO[[#This Row],[GST %]]) * PO[[#This Row],[GST %]], 0)</f>
        <v>0</v>
      </c>
      <c r="P353" s="31">
        <f>_xlfn.XLOOKUP(PO[[#This Row],[Supplier name]], Supplier_master[Supplier name], Supplier_master[EOM or Net], 0)</f>
        <v>0</v>
      </c>
      <c r="Q353" s="31">
        <f>_xlfn.XLOOKUP(PO[[#This Row],[Supplier name]], Supplier_master[Supplier name], Supplier_master[Terms days], 0)</f>
        <v>0</v>
      </c>
      <c r="R3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3" s="4"/>
      <c r="T353" s="46">
        <f>IF(PO[[#This Row],[Payment date - override (dd/mm/yyyy)]] &lt;&gt; "", PO[[#This Row],[Payment date - override (dd/mm/yyyy)]], PO[[#This Row],[Due date (dd/mm/yyyy)]])</f>
        <v>0</v>
      </c>
      <c r="U353" s="46">
        <f t="shared" si="5"/>
        <v>52</v>
      </c>
    </row>
    <row r="354" spans="3:21" x14ac:dyDescent="0.25">
      <c r="C354" s="24"/>
      <c r="D354" s="20"/>
      <c r="E354" s="4"/>
      <c r="F354" s="37"/>
      <c r="G354" s="38"/>
      <c r="H354" s="31">
        <f>_xlfn.XLOOKUP(PO[[#This Row],[Supplier name]], Supplier_master[Supplier name], Supplier_master[Category L1], 0)</f>
        <v>0</v>
      </c>
      <c r="I354" s="31">
        <f>_xlfn.XLOOKUP(PO[[#This Row],[Supplier name]], Supplier_master[Supplier name], Supplier_master[Category L2], 0)</f>
        <v>0</v>
      </c>
      <c r="J354" s="55"/>
      <c r="K354" s="55"/>
      <c r="L354" s="31">
        <f>IF(PO[[#This Row],[Spend category L1 - Override]] &lt;&gt; "", PO[[#This Row],[Spend category L1 - Override]], PO[[#This Row],[Spend category L1]])</f>
        <v>0</v>
      </c>
      <c r="M354" s="31">
        <f>IF(PO[[#This Row],[Spend category L2 - Override]] &lt;&gt; "", PO[[#This Row],[Spend category L2 - Override]], PO[[#This Row],[Spend category L2]])</f>
        <v>0</v>
      </c>
      <c r="N354" s="63">
        <f>Assumptions!$D$15</f>
        <v>0.1</v>
      </c>
      <c r="O354" s="45">
        <f>IF(PO[[#This Row],[GST applies?]] = "Yes", (PO[[#This Row],[Value inc. GST]] / 1 + PO[[#This Row],[GST %]]) * PO[[#This Row],[GST %]], 0)</f>
        <v>0</v>
      </c>
      <c r="P354" s="31">
        <f>_xlfn.XLOOKUP(PO[[#This Row],[Supplier name]], Supplier_master[Supplier name], Supplier_master[EOM or Net], 0)</f>
        <v>0</v>
      </c>
      <c r="Q354" s="31">
        <f>_xlfn.XLOOKUP(PO[[#This Row],[Supplier name]], Supplier_master[Supplier name], Supplier_master[Terms days], 0)</f>
        <v>0</v>
      </c>
      <c r="R3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4" s="4"/>
      <c r="T354" s="46">
        <f>IF(PO[[#This Row],[Payment date - override (dd/mm/yyyy)]] &lt;&gt; "", PO[[#This Row],[Payment date - override (dd/mm/yyyy)]], PO[[#This Row],[Due date (dd/mm/yyyy)]])</f>
        <v>0</v>
      </c>
      <c r="U354" s="46">
        <f t="shared" si="5"/>
        <v>52</v>
      </c>
    </row>
    <row r="355" spans="3:21" x14ac:dyDescent="0.25">
      <c r="C355" s="24"/>
      <c r="D355" s="20"/>
      <c r="E355" s="4"/>
      <c r="F355" s="37"/>
      <c r="G355" s="38"/>
      <c r="H355" s="31">
        <f>_xlfn.XLOOKUP(PO[[#This Row],[Supplier name]], Supplier_master[Supplier name], Supplier_master[Category L1], 0)</f>
        <v>0</v>
      </c>
      <c r="I355" s="31">
        <f>_xlfn.XLOOKUP(PO[[#This Row],[Supplier name]], Supplier_master[Supplier name], Supplier_master[Category L2], 0)</f>
        <v>0</v>
      </c>
      <c r="J355" s="55"/>
      <c r="K355" s="55"/>
      <c r="L355" s="31">
        <f>IF(PO[[#This Row],[Spend category L1 - Override]] &lt;&gt; "", PO[[#This Row],[Spend category L1 - Override]], PO[[#This Row],[Spend category L1]])</f>
        <v>0</v>
      </c>
      <c r="M355" s="31">
        <f>IF(PO[[#This Row],[Spend category L2 - Override]] &lt;&gt; "", PO[[#This Row],[Spend category L2 - Override]], PO[[#This Row],[Spend category L2]])</f>
        <v>0</v>
      </c>
      <c r="N355" s="63">
        <f>Assumptions!$D$15</f>
        <v>0.1</v>
      </c>
      <c r="O355" s="45">
        <f>IF(PO[[#This Row],[GST applies?]] = "Yes", (PO[[#This Row],[Value inc. GST]] / 1 + PO[[#This Row],[GST %]]) * PO[[#This Row],[GST %]], 0)</f>
        <v>0</v>
      </c>
      <c r="P355" s="31">
        <f>_xlfn.XLOOKUP(PO[[#This Row],[Supplier name]], Supplier_master[Supplier name], Supplier_master[EOM or Net], 0)</f>
        <v>0</v>
      </c>
      <c r="Q355" s="31">
        <f>_xlfn.XLOOKUP(PO[[#This Row],[Supplier name]], Supplier_master[Supplier name], Supplier_master[Terms days], 0)</f>
        <v>0</v>
      </c>
      <c r="R3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5" s="4"/>
      <c r="T355" s="46">
        <f>IF(PO[[#This Row],[Payment date - override (dd/mm/yyyy)]] &lt;&gt; "", PO[[#This Row],[Payment date - override (dd/mm/yyyy)]], PO[[#This Row],[Due date (dd/mm/yyyy)]])</f>
        <v>0</v>
      </c>
      <c r="U355" s="46">
        <f t="shared" si="5"/>
        <v>52</v>
      </c>
    </row>
    <row r="356" spans="3:21" x14ac:dyDescent="0.25">
      <c r="C356" s="24"/>
      <c r="D356" s="20"/>
      <c r="E356" s="4"/>
      <c r="F356" s="37"/>
      <c r="G356" s="38"/>
      <c r="H356" s="31">
        <f>_xlfn.XLOOKUP(PO[[#This Row],[Supplier name]], Supplier_master[Supplier name], Supplier_master[Category L1], 0)</f>
        <v>0</v>
      </c>
      <c r="I356" s="31">
        <f>_xlfn.XLOOKUP(PO[[#This Row],[Supplier name]], Supplier_master[Supplier name], Supplier_master[Category L2], 0)</f>
        <v>0</v>
      </c>
      <c r="J356" s="55"/>
      <c r="K356" s="55"/>
      <c r="L356" s="31">
        <f>IF(PO[[#This Row],[Spend category L1 - Override]] &lt;&gt; "", PO[[#This Row],[Spend category L1 - Override]], PO[[#This Row],[Spend category L1]])</f>
        <v>0</v>
      </c>
      <c r="M356" s="31">
        <f>IF(PO[[#This Row],[Spend category L2 - Override]] &lt;&gt; "", PO[[#This Row],[Spend category L2 - Override]], PO[[#This Row],[Spend category L2]])</f>
        <v>0</v>
      </c>
      <c r="N356" s="63">
        <f>Assumptions!$D$15</f>
        <v>0.1</v>
      </c>
      <c r="O356" s="45">
        <f>IF(PO[[#This Row],[GST applies?]] = "Yes", (PO[[#This Row],[Value inc. GST]] / 1 + PO[[#This Row],[GST %]]) * PO[[#This Row],[GST %]], 0)</f>
        <v>0</v>
      </c>
      <c r="P356" s="31">
        <f>_xlfn.XLOOKUP(PO[[#This Row],[Supplier name]], Supplier_master[Supplier name], Supplier_master[EOM or Net], 0)</f>
        <v>0</v>
      </c>
      <c r="Q356" s="31">
        <f>_xlfn.XLOOKUP(PO[[#This Row],[Supplier name]], Supplier_master[Supplier name], Supplier_master[Terms days], 0)</f>
        <v>0</v>
      </c>
      <c r="R3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6" s="4"/>
      <c r="T356" s="46">
        <f>IF(PO[[#This Row],[Payment date - override (dd/mm/yyyy)]] &lt;&gt; "", PO[[#This Row],[Payment date - override (dd/mm/yyyy)]], PO[[#This Row],[Due date (dd/mm/yyyy)]])</f>
        <v>0</v>
      </c>
      <c r="U356" s="46">
        <f t="shared" si="5"/>
        <v>52</v>
      </c>
    </row>
    <row r="357" spans="3:21" x14ac:dyDescent="0.25">
      <c r="C357" s="24"/>
      <c r="D357" s="20"/>
      <c r="E357" s="4"/>
      <c r="F357" s="37"/>
      <c r="G357" s="38"/>
      <c r="H357" s="31">
        <f>_xlfn.XLOOKUP(PO[[#This Row],[Supplier name]], Supplier_master[Supplier name], Supplier_master[Category L1], 0)</f>
        <v>0</v>
      </c>
      <c r="I357" s="31">
        <f>_xlfn.XLOOKUP(PO[[#This Row],[Supplier name]], Supplier_master[Supplier name], Supplier_master[Category L2], 0)</f>
        <v>0</v>
      </c>
      <c r="J357" s="55"/>
      <c r="K357" s="55"/>
      <c r="L357" s="31">
        <f>IF(PO[[#This Row],[Spend category L1 - Override]] &lt;&gt; "", PO[[#This Row],[Spend category L1 - Override]], PO[[#This Row],[Spend category L1]])</f>
        <v>0</v>
      </c>
      <c r="M357" s="31">
        <f>IF(PO[[#This Row],[Spend category L2 - Override]] &lt;&gt; "", PO[[#This Row],[Spend category L2 - Override]], PO[[#This Row],[Spend category L2]])</f>
        <v>0</v>
      </c>
      <c r="N357" s="63">
        <f>Assumptions!$D$15</f>
        <v>0.1</v>
      </c>
      <c r="O357" s="45">
        <f>IF(PO[[#This Row],[GST applies?]] = "Yes", (PO[[#This Row],[Value inc. GST]] / 1 + PO[[#This Row],[GST %]]) * PO[[#This Row],[GST %]], 0)</f>
        <v>0</v>
      </c>
      <c r="P357" s="31">
        <f>_xlfn.XLOOKUP(PO[[#This Row],[Supplier name]], Supplier_master[Supplier name], Supplier_master[EOM or Net], 0)</f>
        <v>0</v>
      </c>
      <c r="Q357" s="31">
        <f>_xlfn.XLOOKUP(PO[[#This Row],[Supplier name]], Supplier_master[Supplier name], Supplier_master[Terms days], 0)</f>
        <v>0</v>
      </c>
      <c r="R3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7" s="4"/>
      <c r="T357" s="46">
        <f>IF(PO[[#This Row],[Payment date - override (dd/mm/yyyy)]] &lt;&gt; "", PO[[#This Row],[Payment date - override (dd/mm/yyyy)]], PO[[#This Row],[Due date (dd/mm/yyyy)]])</f>
        <v>0</v>
      </c>
      <c r="U357" s="46">
        <f t="shared" si="5"/>
        <v>52</v>
      </c>
    </row>
    <row r="358" spans="3:21" x14ac:dyDescent="0.25">
      <c r="C358" s="24"/>
      <c r="D358" s="20"/>
      <c r="E358" s="4"/>
      <c r="F358" s="37"/>
      <c r="G358" s="38"/>
      <c r="H358" s="31">
        <f>_xlfn.XLOOKUP(PO[[#This Row],[Supplier name]], Supplier_master[Supplier name], Supplier_master[Category L1], 0)</f>
        <v>0</v>
      </c>
      <c r="I358" s="31">
        <f>_xlfn.XLOOKUP(PO[[#This Row],[Supplier name]], Supplier_master[Supplier name], Supplier_master[Category L2], 0)</f>
        <v>0</v>
      </c>
      <c r="J358" s="55"/>
      <c r="K358" s="55"/>
      <c r="L358" s="31">
        <f>IF(PO[[#This Row],[Spend category L1 - Override]] &lt;&gt; "", PO[[#This Row],[Spend category L1 - Override]], PO[[#This Row],[Spend category L1]])</f>
        <v>0</v>
      </c>
      <c r="M358" s="31">
        <f>IF(PO[[#This Row],[Spend category L2 - Override]] &lt;&gt; "", PO[[#This Row],[Spend category L2 - Override]], PO[[#This Row],[Spend category L2]])</f>
        <v>0</v>
      </c>
      <c r="N358" s="63">
        <f>Assumptions!$D$15</f>
        <v>0.1</v>
      </c>
      <c r="O358" s="45">
        <f>IF(PO[[#This Row],[GST applies?]] = "Yes", (PO[[#This Row],[Value inc. GST]] / 1 + PO[[#This Row],[GST %]]) * PO[[#This Row],[GST %]], 0)</f>
        <v>0</v>
      </c>
      <c r="P358" s="31">
        <f>_xlfn.XLOOKUP(PO[[#This Row],[Supplier name]], Supplier_master[Supplier name], Supplier_master[EOM or Net], 0)</f>
        <v>0</v>
      </c>
      <c r="Q358" s="31">
        <f>_xlfn.XLOOKUP(PO[[#This Row],[Supplier name]], Supplier_master[Supplier name], Supplier_master[Terms days], 0)</f>
        <v>0</v>
      </c>
      <c r="R3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8" s="4"/>
      <c r="T358" s="46">
        <f>IF(PO[[#This Row],[Payment date - override (dd/mm/yyyy)]] &lt;&gt; "", PO[[#This Row],[Payment date - override (dd/mm/yyyy)]], PO[[#This Row],[Due date (dd/mm/yyyy)]])</f>
        <v>0</v>
      </c>
      <c r="U358" s="46">
        <f t="shared" si="5"/>
        <v>52</v>
      </c>
    </row>
    <row r="359" spans="3:21" x14ac:dyDescent="0.25">
      <c r="C359" s="24"/>
      <c r="D359" s="20"/>
      <c r="E359" s="4"/>
      <c r="F359" s="37"/>
      <c r="G359" s="38"/>
      <c r="H359" s="31">
        <f>_xlfn.XLOOKUP(PO[[#This Row],[Supplier name]], Supplier_master[Supplier name], Supplier_master[Category L1], 0)</f>
        <v>0</v>
      </c>
      <c r="I359" s="31">
        <f>_xlfn.XLOOKUP(PO[[#This Row],[Supplier name]], Supplier_master[Supplier name], Supplier_master[Category L2], 0)</f>
        <v>0</v>
      </c>
      <c r="J359" s="55"/>
      <c r="K359" s="55"/>
      <c r="L359" s="31">
        <f>IF(PO[[#This Row],[Spend category L1 - Override]] &lt;&gt; "", PO[[#This Row],[Spend category L1 - Override]], PO[[#This Row],[Spend category L1]])</f>
        <v>0</v>
      </c>
      <c r="M359" s="31">
        <f>IF(PO[[#This Row],[Spend category L2 - Override]] &lt;&gt; "", PO[[#This Row],[Spend category L2 - Override]], PO[[#This Row],[Spend category L2]])</f>
        <v>0</v>
      </c>
      <c r="N359" s="63">
        <f>Assumptions!$D$15</f>
        <v>0.1</v>
      </c>
      <c r="O359" s="45">
        <f>IF(PO[[#This Row],[GST applies?]] = "Yes", (PO[[#This Row],[Value inc. GST]] / 1 + PO[[#This Row],[GST %]]) * PO[[#This Row],[GST %]], 0)</f>
        <v>0</v>
      </c>
      <c r="P359" s="31">
        <f>_xlfn.XLOOKUP(PO[[#This Row],[Supplier name]], Supplier_master[Supplier name], Supplier_master[EOM or Net], 0)</f>
        <v>0</v>
      </c>
      <c r="Q359" s="31">
        <f>_xlfn.XLOOKUP(PO[[#This Row],[Supplier name]], Supplier_master[Supplier name], Supplier_master[Terms days], 0)</f>
        <v>0</v>
      </c>
      <c r="R3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9" s="4"/>
      <c r="T359" s="46">
        <f>IF(PO[[#This Row],[Payment date - override (dd/mm/yyyy)]] &lt;&gt; "", PO[[#This Row],[Payment date - override (dd/mm/yyyy)]], PO[[#This Row],[Due date (dd/mm/yyyy)]])</f>
        <v>0</v>
      </c>
      <c r="U359" s="46">
        <f t="shared" si="5"/>
        <v>52</v>
      </c>
    </row>
    <row r="360" spans="3:21" x14ac:dyDescent="0.25">
      <c r="C360" s="24"/>
      <c r="D360" s="20"/>
      <c r="E360" s="4"/>
      <c r="F360" s="37"/>
      <c r="G360" s="38"/>
      <c r="H360" s="31">
        <f>_xlfn.XLOOKUP(PO[[#This Row],[Supplier name]], Supplier_master[Supplier name], Supplier_master[Category L1], 0)</f>
        <v>0</v>
      </c>
      <c r="I360" s="31">
        <f>_xlfn.XLOOKUP(PO[[#This Row],[Supplier name]], Supplier_master[Supplier name], Supplier_master[Category L2], 0)</f>
        <v>0</v>
      </c>
      <c r="J360" s="55"/>
      <c r="K360" s="55"/>
      <c r="L360" s="31">
        <f>IF(PO[[#This Row],[Spend category L1 - Override]] &lt;&gt; "", PO[[#This Row],[Spend category L1 - Override]], PO[[#This Row],[Spend category L1]])</f>
        <v>0</v>
      </c>
      <c r="M360" s="31">
        <f>IF(PO[[#This Row],[Spend category L2 - Override]] &lt;&gt; "", PO[[#This Row],[Spend category L2 - Override]], PO[[#This Row],[Spend category L2]])</f>
        <v>0</v>
      </c>
      <c r="N360" s="63">
        <f>Assumptions!$D$15</f>
        <v>0.1</v>
      </c>
      <c r="O360" s="45">
        <f>IF(PO[[#This Row],[GST applies?]] = "Yes", (PO[[#This Row],[Value inc. GST]] / 1 + PO[[#This Row],[GST %]]) * PO[[#This Row],[GST %]], 0)</f>
        <v>0</v>
      </c>
      <c r="P360" s="31">
        <f>_xlfn.XLOOKUP(PO[[#This Row],[Supplier name]], Supplier_master[Supplier name], Supplier_master[EOM or Net], 0)</f>
        <v>0</v>
      </c>
      <c r="Q360" s="31">
        <f>_xlfn.XLOOKUP(PO[[#This Row],[Supplier name]], Supplier_master[Supplier name], Supplier_master[Terms days], 0)</f>
        <v>0</v>
      </c>
      <c r="R3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0" s="4"/>
      <c r="T360" s="46">
        <f>IF(PO[[#This Row],[Payment date - override (dd/mm/yyyy)]] &lt;&gt; "", PO[[#This Row],[Payment date - override (dd/mm/yyyy)]], PO[[#This Row],[Due date (dd/mm/yyyy)]])</f>
        <v>0</v>
      </c>
      <c r="U360" s="46">
        <f t="shared" si="5"/>
        <v>52</v>
      </c>
    </row>
    <row r="361" spans="3:21" x14ac:dyDescent="0.25">
      <c r="C361" s="24"/>
      <c r="D361" s="20"/>
      <c r="E361" s="4"/>
      <c r="F361" s="37"/>
      <c r="G361" s="38"/>
      <c r="H361" s="31">
        <f>_xlfn.XLOOKUP(PO[[#This Row],[Supplier name]], Supplier_master[Supplier name], Supplier_master[Category L1], 0)</f>
        <v>0</v>
      </c>
      <c r="I361" s="31">
        <f>_xlfn.XLOOKUP(PO[[#This Row],[Supplier name]], Supplier_master[Supplier name], Supplier_master[Category L2], 0)</f>
        <v>0</v>
      </c>
      <c r="J361" s="55"/>
      <c r="K361" s="55"/>
      <c r="L361" s="31">
        <f>IF(PO[[#This Row],[Spend category L1 - Override]] &lt;&gt; "", PO[[#This Row],[Spend category L1 - Override]], PO[[#This Row],[Spend category L1]])</f>
        <v>0</v>
      </c>
      <c r="M361" s="31">
        <f>IF(PO[[#This Row],[Spend category L2 - Override]] &lt;&gt; "", PO[[#This Row],[Spend category L2 - Override]], PO[[#This Row],[Spend category L2]])</f>
        <v>0</v>
      </c>
      <c r="N361" s="63">
        <f>Assumptions!$D$15</f>
        <v>0.1</v>
      </c>
      <c r="O361" s="45">
        <f>IF(PO[[#This Row],[GST applies?]] = "Yes", (PO[[#This Row],[Value inc. GST]] / 1 + PO[[#This Row],[GST %]]) * PO[[#This Row],[GST %]], 0)</f>
        <v>0</v>
      </c>
      <c r="P361" s="31">
        <f>_xlfn.XLOOKUP(PO[[#This Row],[Supplier name]], Supplier_master[Supplier name], Supplier_master[EOM or Net], 0)</f>
        <v>0</v>
      </c>
      <c r="Q361" s="31">
        <f>_xlfn.XLOOKUP(PO[[#This Row],[Supplier name]], Supplier_master[Supplier name], Supplier_master[Terms days], 0)</f>
        <v>0</v>
      </c>
      <c r="R3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1" s="4"/>
      <c r="T361" s="46">
        <f>IF(PO[[#This Row],[Payment date - override (dd/mm/yyyy)]] &lt;&gt; "", PO[[#This Row],[Payment date - override (dd/mm/yyyy)]], PO[[#This Row],[Due date (dd/mm/yyyy)]])</f>
        <v>0</v>
      </c>
      <c r="U361" s="46">
        <f t="shared" si="5"/>
        <v>52</v>
      </c>
    </row>
    <row r="362" spans="3:21" x14ac:dyDescent="0.25">
      <c r="C362" s="24"/>
      <c r="D362" s="20"/>
      <c r="E362" s="4"/>
      <c r="F362" s="37"/>
      <c r="G362" s="38"/>
      <c r="H362" s="31">
        <f>_xlfn.XLOOKUP(PO[[#This Row],[Supplier name]], Supplier_master[Supplier name], Supplier_master[Category L1], 0)</f>
        <v>0</v>
      </c>
      <c r="I362" s="31">
        <f>_xlfn.XLOOKUP(PO[[#This Row],[Supplier name]], Supplier_master[Supplier name], Supplier_master[Category L2], 0)</f>
        <v>0</v>
      </c>
      <c r="J362" s="55"/>
      <c r="K362" s="55"/>
      <c r="L362" s="31">
        <f>IF(PO[[#This Row],[Spend category L1 - Override]] &lt;&gt; "", PO[[#This Row],[Spend category L1 - Override]], PO[[#This Row],[Spend category L1]])</f>
        <v>0</v>
      </c>
      <c r="M362" s="31">
        <f>IF(PO[[#This Row],[Spend category L2 - Override]] &lt;&gt; "", PO[[#This Row],[Spend category L2 - Override]], PO[[#This Row],[Spend category L2]])</f>
        <v>0</v>
      </c>
      <c r="N362" s="63">
        <f>Assumptions!$D$15</f>
        <v>0.1</v>
      </c>
      <c r="O362" s="45">
        <f>IF(PO[[#This Row],[GST applies?]] = "Yes", (PO[[#This Row],[Value inc. GST]] / 1 + PO[[#This Row],[GST %]]) * PO[[#This Row],[GST %]], 0)</f>
        <v>0</v>
      </c>
      <c r="P362" s="31">
        <f>_xlfn.XLOOKUP(PO[[#This Row],[Supplier name]], Supplier_master[Supplier name], Supplier_master[EOM or Net], 0)</f>
        <v>0</v>
      </c>
      <c r="Q362" s="31">
        <f>_xlfn.XLOOKUP(PO[[#This Row],[Supplier name]], Supplier_master[Supplier name], Supplier_master[Terms days], 0)</f>
        <v>0</v>
      </c>
      <c r="R3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2" s="4"/>
      <c r="T362" s="46">
        <f>IF(PO[[#This Row],[Payment date - override (dd/mm/yyyy)]] &lt;&gt; "", PO[[#This Row],[Payment date - override (dd/mm/yyyy)]], PO[[#This Row],[Due date (dd/mm/yyyy)]])</f>
        <v>0</v>
      </c>
      <c r="U362" s="46">
        <f t="shared" si="5"/>
        <v>52</v>
      </c>
    </row>
    <row r="363" spans="3:21" x14ac:dyDescent="0.25">
      <c r="C363" s="24"/>
      <c r="D363" s="20"/>
      <c r="E363" s="4"/>
      <c r="F363" s="37"/>
      <c r="G363" s="38"/>
      <c r="H363" s="31">
        <f>_xlfn.XLOOKUP(PO[[#This Row],[Supplier name]], Supplier_master[Supplier name], Supplier_master[Category L1], 0)</f>
        <v>0</v>
      </c>
      <c r="I363" s="31">
        <f>_xlfn.XLOOKUP(PO[[#This Row],[Supplier name]], Supplier_master[Supplier name], Supplier_master[Category L2], 0)</f>
        <v>0</v>
      </c>
      <c r="J363" s="55"/>
      <c r="K363" s="55"/>
      <c r="L363" s="31">
        <f>IF(PO[[#This Row],[Spend category L1 - Override]] &lt;&gt; "", PO[[#This Row],[Spend category L1 - Override]], PO[[#This Row],[Spend category L1]])</f>
        <v>0</v>
      </c>
      <c r="M363" s="31">
        <f>IF(PO[[#This Row],[Spend category L2 - Override]] &lt;&gt; "", PO[[#This Row],[Spend category L2 - Override]], PO[[#This Row],[Spend category L2]])</f>
        <v>0</v>
      </c>
      <c r="N363" s="63">
        <f>Assumptions!$D$15</f>
        <v>0.1</v>
      </c>
      <c r="O363" s="45">
        <f>IF(PO[[#This Row],[GST applies?]] = "Yes", (PO[[#This Row],[Value inc. GST]] / 1 + PO[[#This Row],[GST %]]) * PO[[#This Row],[GST %]], 0)</f>
        <v>0</v>
      </c>
      <c r="P363" s="31">
        <f>_xlfn.XLOOKUP(PO[[#This Row],[Supplier name]], Supplier_master[Supplier name], Supplier_master[EOM or Net], 0)</f>
        <v>0</v>
      </c>
      <c r="Q363" s="31">
        <f>_xlfn.XLOOKUP(PO[[#This Row],[Supplier name]], Supplier_master[Supplier name], Supplier_master[Terms days], 0)</f>
        <v>0</v>
      </c>
      <c r="R3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3" s="4"/>
      <c r="T363" s="46">
        <f>IF(PO[[#This Row],[Payment date - override (dd/mm/yyyy)]] &lt;&gt; "", PO[[#This Row],[Payment date - override (dd/mm/yyyy)]], PO[[#This Row],[Due date (dd/mm/yyyy)]])</f>
        <v>0</v>
      </c>
      <c r="U363" s="46">
        <f t="shared" si="5"/>
        <v>52</v>
      </c>
    </row>
    <row r="364" spans="3:21" x14ac:dyDescent="0.25">
      <c r="C364" s="24"/>
      <c r="D364" s="20"/>
      <c r="E364" s="4"/>
      <c r="F364" s="37"/>
      <c r="G364" s="38"/>
      <c r="H364" s="31">
        <f>_xlfn.XLOOKUP(PO[[#This Row],[Supplier name]], Supplier_master[Supplier name], Supplier_master[Category L1], 0)</f>
        <v>0</v>
      </c>
      <c r="I364" s="31">
        <f>_xlfn.XLOOKUP(PO[[#This Row],[Supplier name]], Supplier_master[Supplier name], Supplier_master[Category L2], 0)</f>
        <v>0</v>
      </c>
      <c r="J364" s="55"/>
      <c r="K364" s="55"/>
      <c r="L364" s="31">
        <f>IF(PO[[#This Row],[Spend category L1 - Override]] &lt;&gt; "", PO[[#This Row],[Spend category L1 - Override]], PO[[#This Row],[Spend category L1]])</f>
        <v>0</v>
      </c>
      <c r="M364" s="31">
        <f>IF(PO[[#This Row],[Spend category L2 - Override]] &lt;&gt; "", PO[[#This Row],[Spend category L2 - Override]], PO[[#This Row],[Spend category L2]])</f>
        <v>0</v>
      </c>
      <c r="N364" s="63">
        <f>Assumptions!$D$15</f>
        <v>0.1</v>
      </c>
      <c r="O364" s="45">
        <f>IF(PO[[#This Row],[GST applies?]] = "Yes", (PO[[#This Row],[Value inc. GST]] / 1 + PO[[#This Row],[GST %]]) * PO[[#This Row],[GST %]], 0)</f>
        <v>0</v>
      </c>
      <c r="P364" s="31">
        <f>_xlfn.XLOOKUP(PO[[#This Row],[Supplier name]], Supplier_master[Supplier name], Supplier_master[EOM or Net], 0)</f>
        <v>0</v>
      </c>
      <c r="Q364" s="31">
        <f>_xlfn.XLOOKUP(PO[[#This Row],[Supplier name]], Supplier_master[Supplier name], Supplier_master[Terms days], 0)</f>
        <v>0</v>
      </c>
      <c r="R3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4" s="4"/>
      <c r="T364" s="46">
        <f>IF(PO[[#This Row],[Payment date - override (dd/mm/yyyy)]] &lt;&gt; "", PO[[#This Row],[Payment date - override (dd/mm/yyyy)]], PO[[#This Row],[Due date (dd/mm/yyyy)]])</f>
        <v>0</v>
      </c>
      <c r="U364" s="46">
        <f t="shared" si="5"/>
        <v>52</v>
      </c>
    </row>
    <row r="365" spans="3:21" x14ac:dyDescent="0.25">
      <c r="C365" s="24"/>
      <c r="D365" s="20"/>
      <c r="E365" s="4"/>
      <c r="F365" s="37"/>
      <c r="G365" s="38"/>
      <c r="H365" s="31">
        <f>_xlfn.XLOOKUP(PO[[#This Row],[Supplier name]], Supplier_master[Supplier name], Supplier_master[Category L1], 0)</f>
        <v>0</v>
      </c>
      <c r="I365" s="31">
        <f>_xlfn.XLOOKUP(PO[[#This Row],[Supplier name]], Supplier_master[Supplier name], Supplier_master[Category L2], 0)</f>
        <v>0</v>
      </c>
      <c r="J365" s="55"/>
      <c r="K365" s="55"/>
      <c r="L365" s="31">
        <f>IF(PO[[#This Row],[Spend category L1 - Override]] &lt;&gt; "", PO[[#This Row],[Spend category L1 - Override]], PO[[#This Row],[Spend category L1]])</f>
        <v>0</v>
      </c>
      <c r="M365" s="31">
        <f>IF(PO[[#This Row],[Spend category L2 - Override]] &lt;&gt; "", PO[[#This Row],[Spend category L2 - Override]], PO[[#This Row],[Spend category L2]])</f>
        <v>0</v>
      </c>
      <c r="N365" s="63">
        <f>Assumptions!$D$15</f>
        <v>0.1</v>
      </c>
      <c r="O365" s="45">
        <f>IF(PO[[#This Row],[GST applies?]] = "Yes", (PO[[#This Row],[Value inc. GST]] / 1 + PO[[#This Row],[GST %]]) * PO[[#This Row],[GST %]], 0)</f>
        <v>0</v>
      </c>
      <c r="P365" s="31">
        <f>_xlfn.XLOOKUP(PO[[#This Row],[Supplier name]], Supplier_master[Supplier name], Supplier_master[EOM or Net], 0)</f>
        <v>0</v>
      </c>
      <c r="Q365" s="31">
        <f>_xlfn.XLOOKUP(PO[[#This Row],[Supplier name]], Supplier_master[Supplier name], Supplier_master[Terms days], 0)</f>
        <v>0</v>
      </c>
      <c r="R3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5" s="4"/>
      <c r="T365" s="46">
        <f>IF(PO[[#This Row],[Payment date - override (dd/mm/yyyy)]] &lt;&gt; "", PO[[#This Row],[Payment date - override (dd/mm/yyyy)]], PO[[#This Row],[Due date (dd/mm/yyyy)]])</f>
        <v>0</v>
      </c>
      <c r="U365" s="46">
        <f t="shared" si="5"/>
        <v>52</v>
      </c>
    </row>
    <row r="366" spans="3:21" x14ac:dyDescent="0.25">
      <c r="C366" s="24"/>
      <c r="D366" s="20"/>
      <c r="E366" s="4"/>
      <c r="F366" s="37"/>
      <c r="G366" s="38"/>
      <c r="H366" s="31">
        <f>_xlfn.XLOOKUP(PO[[#This Row],[Supplier name]], Supplier_master[Supplier name], Supplier_master[Category L1], 0)</f>
        <v>0</v>
      </c>
      <c r="I366" s="31">
        <f>_xlfn.XLOOKUP(PO[[#This Row],[Supplier name]], Supplier_master[Supplier name], Supplier_master[Category L2], 0)</f>
        <v>0</v>
      </c>
      <c r="J366" s="55"/>
      <c r="K366" s="55"/>
      <c r="L366" s="31">
        <f>IF(PO[[#This Row],[Spend category L1 - Override]] &lt;&gt; "", PO[[#This Row],[Spend category L1 - Override]], PO[[#This Row],[Spend category L1]])</f>
        <v>0</v>
      </c>
      <c r="M366" s="31">
        <f>IF(PO[[#This Row],[Spend category L2 - Override]] &lt;&gt; "", PO[[#This Row],[Spend category L2 - Override]], PO[[#This Row],[Spend category L2]])</f>
        <v>0</v>
      </c>
      <c r="N366" s="63">
        <f>Assumptions!$D$15</f>
        <v>0.1</v>
      </c>
      <c r="O366" s="45">
        <f>IF(PO[[#This Row],[GST applies?]] = "Yes", (PO[[#This Row],[Value inc. GST]] / 1 + PO[[#This Row],[GST %]]) * PO[[#This Row],[GST %]], 0)</f>
        <v>0</v>
      </c>
      <c r="P366" s="31">
        <f>_xlfn.XLOOKUP(PO[[#This Row],[Supplier name]], Supplier_master[Supplier name], Supplier_master[EOM or Net], 0)</f>
        <v>0</v>
      </c>
      <c r="Q366" s="31">
        <f>_xlfn.XLOOKUP(PO[[#This Row],[Supplier name]], Supplier_master[Supplier name], Supplier_master[Terms days], 0)</f>
        <v>0</v>
      </c>
      <c r="R3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6" s="4"/>
      <c r="T366" s="46">
        <f>IF(PO[[#This Row],[Payment date - override (dd/mm/yyyy)]] &lt;&gt; "", PO[[#This Row],[Payment date - override (dd/mm/yyyy)]], PO[[#This Row],[Due date (dd/mm/yyyy)]])</f>
        <v>0</v>
      </c>
      <c r="U366" s="46">
        <f t="shared" si="5"/>
        <v>52</v>
      </c>
    </row>
    <row r="367" spans="3:21" x14ac:dyDescent="0.25">
      <c r="C367" s="24"/>
      <c r="D367" s="20"/>
      <c r="E367" s="4"/>
      <c r="F367" s="37"/>
      <c r="G367" s="38"/>
      <c r="H367" s="31">
        <f>_xlfn.XLOOKUP(PO[[#This Row],[Supplier name]], Supplier_master[Supplier name], Supplier_master[Category L1], 0)</f>
        <v>0</v>
      </c>
      <c r="I367" s="31">
        <f>_xlfn.XLOOKUP(PO[[#This Row],[Supplier name]], Supplier_master[Supplier name], Supplier_master[Category L2], 0)</f>
        <v>0</v>
      </c>
      <c r="J367" s="55"/>
      <c r="K367" s="55"/>
      <c r="L367" s="31">
        <f>IF(PO[[#This Row],[Spend category L1 - Override]] &lt;&gt; "", PO[[#This Row],[Spend category L1 - Override]], PO[[#This Row],[Spend category L1]])</f>
        <v>0</v>
      </c>
      <c r="M367" s="31">
        <f>IF(PO[[#This Row],[Spend category L2 - Override]] &lt;&gt; "", PO[[#This Row],[Spend category L2 - Override]], PO[[#This Row],[Spend category L2]])</f>
        <v>0</v>
      </c>
      <c r="N367" s="63">
        <f>Assumptions!$D$15</f>
        <v>0.1</v>
      </c>
      <c r="O367" s="45">
        <f>IF(PO[[#This Row],[GST applies?]] = "Yes", (PO[[#This Row],[Value inc. GST]] / 1 + PO[[#This Row],[GST %]]) * PO[[#This Row],[GST %]], 0)</f>
        <v>0</v>
      </c>
      <c r="P367" s="31">
        <f>_xlfn.XLOOKUP(PO[[#This Row],[Supplier name]], Supplier_master[Supplier name], Supplier_master[EOM or Net], 0)</f>
        <v>0</v>
      </c>
      <c r="Q367" s="31">
        <f>_xlfn.XLOOKUP(PO[[#This Row],[Supplier name]], Supplier_master[Supplier name], Supplier_master[Terms days], 0)</f>
        <v>0</v>
      </c>
      <c r="R3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7" s="4"/>
      <c r="T367" s="46">
        <f>IF(PO[[#This Row],[Payment date - override (dd/mm/yyyy)]] &lt;&gt; "", PO[[#This Row],[Payment date - override (dd/mm/yyyy)]], PO[[#This Row],[Due date (dd/mm/yyyy)]])</f>
        <v>0</v>
      </c>
      <c r="U367" s="46">
        <f t="shared" si="5"/>
        <v>52</v>
      </c>
    </row>
    <row r="368" spans="3:21" x14ac:dyDescent="0.25">
      <c r="C368" s="24"/>
      <c r="D368" s="20"/>
      <c r="E368" s="4"/>
      <c r="F368" s="37"/>
      <c r="G368" s="38"/>
      <c r="H368" s="31">
        <f>_xlfn.XLOOKUP(PO[[#This Row],[Supplier name]], Supplier_master[Supplier name], Supplier_master[Category L1], 0)</f>
        <v>0</v>
      </c>
      <c r="I368" s="31">
        <f>_xlfn.XLOOKUP(PO[[#This Row],[Supplier name]], Supplier_master[Supplier name], Supplier_master[Category L2], 0)</f>
        <v>0</v>
      </c>
      <c r="J368" s="55"/>
      <c r="K368" s="55"/>
      <c r="L368" s="31">
        <f>IF(PO[[#This Row],[Spend category L1 - Override]] &lt;&gt; "", PO[[#This Row],[Spend category L1 - Override]], PO[[#This Row],[Spend category L1]])</f>
        <v>0</v>
      </c>
      <c r="M368" s="31">
        <f>IF(PO[[#This Row],[Spend category L2 - Override]] &lt;&gt; "", PO[[#This Row],[Spend category L2 - Override]], PO[[#This Row],[Spend category L2]])</f>
        <v>0</v>
      </c>
      <c r="N368" s="63">
        <f>Assumptions!$D$15</f>
        <v>0.1</v>
      </c>
      <c r="O368" s="45">
        <f>IF(PO[[#This Row],[GST applies?]] = "Yes", (PO[[#This Row],[Value inc. GST]] / 1 + PO[[#This Row],[GST %]]) * PO[[#This Row],[GST %]], 0)</f>
        <v>0</v>
      </c>
      <c r="P368" s="31">
        <f>_xlfn.XLOOKUP(PO[[#This Row],[Supplier name]], Supplier_master[Supplier name], Supplier_master[EOM or Net], 0)</f>
        <v>0</v>
      </c>
      <c r="Q368" s="31">
        <f>_xlfn.XLOOKUP(PO[[#This Row],[Supplier name]], Supplier_master[Supplier name], Supplier_master[Terms days], 0)</f>
        <v>0</v>
      </c>
      <c r="R3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8" s="4"/>
      <c r="T368" s="46">
        <f>IF(PO[[#This Row],[Payment date - override (dd/mm/yyyy)]] &lt;&gt; "", PO[[#This Row],[Payment date - override (dd/mm/yyyy)]], PO[[#This Row],[Due date (dd/mm/yyyy)]])</f>
        <v>0</v>
      </c>
      <c r="U368" s="46">
        <f t="shared" si="5"/>
        <v>52</v>
      </c>
    </row>
    <row r="369" spans="3:21" x14ac:dyDescent="0.25">
      <c r="C369" s="24"/>
      <c r="D369" s="20"/>
      <c r="E369" s="4"/>
      <c r="F369" s="37"/>
      <c r="G369" s="38"/>
      <c r="H369" s="31">
        <f>_xlfn.XLOOKUP(PO[[#This Row],[Supplier name]], Supplier_master[Supplier name], Supplier_master[Category L1], 0)</f>
        <v>0</v>
      </c>
      <c r="I369" s="31">
        <f>_xlfn.XLOOKUP(PO[[#This Row],[Supplier name]], Supplier_master[Supplier name], Supplier_master[Category L2], 0)</f>
        <v>0</v>
      </c>
      <c r="J369" s="55"/>
      <c r="K369" s="55"/>
      <c r="L369" s="31">
        <f>IF(PO[[#This Row],[Spend category L1 - Override]] &lt;&gt; "", PO[[#This Row],[Spend category L1 - Override]], PO[[#This Row],[Spend category L1]])</f>
        <v>0</v>
      </c>
      <c r="M369" s="31">
        <f>IF(PO[[#This Row],[Spend category L2 - Override]] &lt;&gt; "", PO[[#This Row],[Spend category L2 - Override]], PO[[#This Row],[Spend category L2]])</f>
        <v>0</v>
      </c>
      <c r="N369" s="63">
        <f>Assumptions!$D$15</f>
        <v>0.1</v>
      </c>
      <c r="O369" s="45">
        <f>IF(PO[[#This Row],[GST applies?]] = "Yes", (PO[[#This Row],[Value inc. GST]] / 1 + PO[[#This Row],[GST %]]) * PO[[#This Row],[GST %]], 0)</f>
        <v>0</v>
      </c>
      <c r="P369" s="31">
        <f>_xlfn.XLOOKUP(PO[[#This Row],[Supplier name]], Supplier_master[Supplier name], Supplier_master[EOM or Net], 0)</f>
        <v>0</v>
      </c>
      <c r="Q369" s="31">
        <f>_xlfn.XLOOKUP(PO[[#This Row],[Supplier name]], Supplier_master[Supplier name], Supplier_master[Terms days], 0)</f>
        <v>0</v>
      </c>
      <c r="R3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9" s="4"/>
      <c r="T369" s="46">
        <f>IF(PO[[#This Row],[Payment date - override (dd/mm/yyyy)]] &lt;&gt; "", PO[[#This Row],[Payment date - override (dd/mm/yyyy)]], PO[[#This Row],[Due date (dd/mm/yyyy)]])</f>
        <v>0</v>
      </c>
      <c r="U369" s="46">
        <f t="shared" si="5"/>
        <v>52</v>
      </c>
    </row>
    <row r="370" spans="3:21" x14ac:dyDescent="0.25">
      <c r="C370" s="24"/>
      <c r="D370" s="20"/>
      <c r="E370" s="4"/>
      <c r="F370" s="37"/>
      <c r="G370" s="38"/>
      <c r="H370" s="31">
        <f>_xlfn.XLOOKUP(PO[[#This Row],[Supplier name]], Supplier_master[Supplier name], Supplier_master[Category L1], 0)</f>
        <v>0</v>
      </c>
      <c r="I370" s="31">
        <f>_xlfn.XLOOKUP(PO[[#This Row],[Supplier name]], Supplier_master[Supplier name], Supplier_master[Category L2], 0)</f>
        <v>0</v>
      </c>
      <c r="J370" s="55"/>
      <c r="K370" s="55"/>
      <c r="L370" s="31">
        <f>IF(PO[[#This Row],[Spend category L1 - Override]] &lt;&gt; "", PO[[#This Row],[Spend category L1 - Override]], PO[[#This Row],[Spend category L1]])</f>
        <v>0</v>
      </c>
      <c r="M370" s="31">
        <f>IF(PO[[#This Row],[Spend category L2 - Override]] &lt;&gt; "", PO[[#This Row],[Spend category L2 - Override]], PO[[#This Row],[Spend category L2]])</f>
        <v>0</v>
      </c>
      <c r="N370" s="63">
        <f>Assumptions!$D$15</f>
        <v>0.1</v>
      </c>
      <c r="O370" s="45">
        <f>IF(PO[[#This Row],[GST applies?]] = "Yes", (PO[[#This Row],[Value inc. GST]] / 1 + PO[[#This Row],[GST %]]) * PO[[#This Row],[GST %]], 0)</f>
        <v>0</v>
      </c>
      <c r="P370" s="31">
        <f>_xlfn.XLOOKUP(PO[[#This Row],[Supplier name]], Supplier_master[Supplier name], Supplier_master[EOM or Net], 0)</f>
        <v>0</v>
      </c>
      <c r="Q370" s="31">
        <f>_xlfn.XLOOKUP(PO[[#This Row],[Supplier name]], Supplier_master[Supplier name], Supplier_master[Terms days], 0)</f>
        <v>0</v>
      </c>
      <c r="R3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0" s="4"/>
      <c r="T370" s="46">
        <f>IF(PO[[#This Row],[Payment date - override (dd/mm/yyyy)]] &lt;&gt; "", PO[[#This Row],[Payment date - override (dd/mm/yyyy)]], PO[[#This Row],[Due date (dd/mm/yyyy)]])</f>
        <v>0</v>
      </c>
      <c r="U370" s="46">
        <f t="shared" si="5"/>
        <v>52</v>
      </c>
    </row>
    <row r="371" spans="3:21" x14ac:dyDescent="0.25">
      <c r="C371" s="24"/>
      <c r="D371" s="20"/>
      <c r="E371" s="4"/>
      <c r="F371" s="37"/>
      <c r="G371" s="38"/>
      <c r="H371" s="31">
        <f>_xlfn.XLOOKUP(PO[[#This Row],[Supplier name]], Supplier_master[Supplier name], Supplier_master[Category L1], 0)</f>
        <v>0</v>
      </c>
      <c r="I371" s="31">
        <f>_xlfn.XLOOKUP(PO[[#This Row],[Supplier name]], Supplier_master[Supplier name], Supplier_master[Category L2], 0)</f>
        <v>0</v>
      </c>
      <c r="J371" s="55"/>
      <c r="K371" s="55"/>
      <c r="L371" s="31">
        <f>IF(PO[[#This Row],[Spend category L1 - Override]] &lt;&gt; "", PO[[#This Row],[Spend category L1 - Override]], PO[[#This Row],[Spend category L1]])</f>
        <v>0</v>
      </c>
      <c r="M371" s="31">
        <f>IF(PO[[#This Row],[Spend category L2 - Override]] &lt;&gt; "", PO[[#This Row],[Spend category L2 - Override]], PO[[#This Row],[Spend category L2]])</f>
        <v>0</v>
      </c>
      <c r="N371" s="63">
        <f>Assumptions!$D$15</f>
        <v>0.1</v>
      </c>
      <c r="O371" s="45">
        <f>IF(PO[[#This Row],[GST applies?]] = "Yes", (PO[[#This Row],[Value inc. GST]] / 1 + PO[[#This Row],[GST %]]) * PO[[#This Row],[GST %]], 0)</f>
        <v>0</v>
      </c>
      <c r="P371" s="31">
        <f>_xlfn.XLOOKUP(PO[[#This Row],[Supplier name]], Supplier_master[Supplier name], Supplier_master[EOM or Net], 0)</f>
        <v>0</v>
      </c>
      <c r="Q371" s="31">
        <f>_xlfn.XLOOKUP(PO[[#This Row],[Supplier name]], Supplier_master[Supplier name], Supplier_master[Terms days], 0)</f>
        <v>0</v>
      </c>
      <c r="R3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1" s="4"/>
      <c r="T371" s="46">
        <f>IF(PO[[#This Row],[Payment date - override (dd/mm/yyyy)]] &lt;&gt; "", PO[[#This Row],[Payment date - override (dd/mm/yyyy)]], PO[[#This Row],[Due date (dd/mm/yyyy)]])</f>
        <v>0</v>
      </c>
      <c r="U371" s="46">
        <f t="shared" si="5"/>
        <v>52</v>
      </c>
    </row>
    <row r="372" spans="3:21" x14ac:dyDescent="0.25">
      <c r="C372" s="24"/>
      <c r="D372" s="20"/>
      <c r="E372" s="4"/>
      <c r="F372" s="37"/>
      <c r="G372" s="38"/>
      <c r="H372" s="31">
        <f>_xlfn.XLOOKUP(PO[[#This Row],[Supplier name]], Supplier_master[Supplier name], Supplier_master[Category L1], 0)</f>
        <v>0</v>
      </c>
      <c r="I372" s="31">
        <f>_xlfn.XLOOKUP(PO[[#This Row],[Supplier name]], Supplier_master[Supplier name], Supplier_master[Category L2], 0)</f>
        <v>0</v>
      </c>
      <c r="J372" s="55"/>
      <c r="K372" s="55"/>
      <c r="L372" s="31">
        <f>IF(PO[[#This Row],[Spend category L1 - Override]] &lt;&gt; "", PO[[#This Row],[Spend category L1 - Override]], PO[[#This Row],[Spend category L1]])</f>
        <v>0</v>
      </c>
      <c r="M372" s="31">
        <f>IF(PO[[#This Row],[Spend category L2 - Override]] &lt;&gt; "", PO[[#This Row],[Spend category L2 - Override]], PO[[#This Row],[Spend category L2]])</f>
        <v>0</v>
      </c>
      <c r="N372" s="63">
        <f>Assumptions!$D$15</f>
        <v>0.1</v>
      </c>
      <c r="O372" s="45">
        <f>IF(PO[[#This Row],[GST applies?]] = "Yes", (PO[[#This Row],[Value inc. GST]] / 1 + PO[[#This Row],[GST %]]) * PO[[#This Row],[GST %]], 0)</f>
        <v>0</v>
      </c>
      <c r="P372" s="31">
        <f>_xlfn.XLOOKUP(PO[[#This Row],[Supplier name]], Supplier_master[Supplier name], Supplier_master[EOM or Net], 0)</f>
        <v>0</v>
      </c>
      <c r="Q372" s="31">
        <f>_xlfn.XLOOKUP(PO[[#This Row],[Supplier name]], Supplier_master[Supplier name], Supplier_master[Terms days], 0)</f>
        <v>0</v>
      </c>
      <c r="R3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2" s="4"/>
      <c r="T372" s="46">
        <f>IF(PO[[#This Row],[Payment date - override (dd/mm/yyyy)]] &lt;&gt; "", PO[[#This Row],[Payment date - override (dd/mm/yyyy)]], PO[[#This Row],[Due date (dd/mm/yyyy)]])</f>
        <v>0</v>
      </c>
      <c r="U372" s="46">
        <f t="shared" si="5"/>
        <v>52</v>
      </c>
    </row>
    <row r="373" spans="3:21" x14ac:dyDescent="0.25">
      <c r="C373" s="24"/>
      <c r="D373" s="20"/>
      <c r="E373" s="4"/>
      <c r="F373" s="37"/>
      <c r="G373" s="38"/>
      <c r="H373" s="31">
        <f>_xlfn.XLOOKUP(PO[[#This Row],[Supplier name]], Supplier_master[Supplier name], Supplier_master[Category L1], 0)</f>
        <v>0</v>
      </c>
      <c r="I373" s="31">
        <f>_xlfn.XLOOKUP(PO[[#This Row],[Supplier name]], Supplier_master[Supplier name], Supplier_master[Category L2], 0)</f>
        <v>0</v>
      </c>
      <c r="J373" s="55"/>
      <c r="K373" s="55"/>
      <c r="L373" s="31">
        <f>IF(PO[[#This Row],[Spend category L1 - Override]] &lt;&gt; "", PO[[#This Row],[Spend category L1 - Override]], PO[[#This Row],[Spend category L1]])</f>
        <v>0</v>
      </c>
      <c r="M373" s="31">
        <f>IF(PO[[#This Row],[Spend category L2 - Override]] &lt;&gt; "", PO[[#This Row],[Spend category L2 - Override]], PO[[#This Row],[Spend category L2]])</f>
        <v>0</v>
      </c>
      <c r="N373" s="63">
        <f>Assumptions!$D$15</f>
        <v>0.1</v>
      </c>
      <c r="O373" s="45">
        <f>IF(PO[[#This Row],[GST applies?]] = "Yes", (PO[[#This Row],[Value inc. GST]] / 1 + PO[[#This Row],[GST %]]) * PO[[#This Row],[GST %]], 0)</f>
        <v>0</v>
      </c>
      <c r="P373" s="31">
        <f>_xlfn.XLOOKUP(PO[[#This Row],[Supplier name]], Supplier_master[Supplier name], Supplier_master[EOM or Net], 0)</f>
        <v>0</v>
      </c>
      <c r="Q373" s="31">
        <f>_xlfn.XLOOKUP(PO[[#This Row],[Supplier name]], Supplier_master[Supplier name], Supplier_master[Terms days], 0)</f>
        <v>0</v>
      </c>
      <c r="R3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3" s="4"/>
      <c r="T373" s="46">
        <f>IF(PO[[#This Row],[Payment date - override (dd/mm/yyyy)]] &lt;&gt; "", PO[[#This Row],[Payment date - override (dd/mm/yyyy)]], PO[[#This Row],[Due date (dd/mm/yyyy)]])</f>
        <v>0</v>
      </c>
      <c r="U373" s="46">
        <f t="shared" si="5"/>
        <v>52</v>
      </c>
    </row>
    <row r="374" spans="3:21" x14ac:dyDescent="0.25">
      <c r="C374" s="24"/>
      <c r="D374" s="20"/>
      <c r="E374" s="4"/>
      <c r="F374" s="37"/>
      <c r="G374" s="38"/>
      <c r="H374" s="31">
        <f>_xlfn.XLOOKUP(PO[[#This Row],[Supplier name]], Supplier_master[Supplier name], Supplier_master[Category L1], 0)</f>
        <v>0</v>
      </c>
      <c r="I374" s="31">
        <f>_xlfn.XLOOKUP(PO[[#This Row],[Supplier name]], Supplier_master[Supplier name], Supplier_master[Category L2], 0)</f>
        <v>0</v>
      </c>
      <c r="J374" s="55"/>
      <c r="K374" s="55"/>
      <c r="L374" s="31">
        <f>IF(PO[[#This Row],[Spend category L1 - Override]] &lt;&gt; "", PO[[#This Row],[Spend category L1 - Override]], PO[[#This Row],[Spend category L1]])</f>
        <v>0</v>
      </c>
      <c r="M374" s="31">
        <f>IF(PO[[#This Row],[Spend category L2 - Override]] &lt;&gt; "", PO[[#This Row],[Spend category L2 - Override]], PO[[#This Row],[Spend category L2]])</f>
        <v>0</v>
      </c>
      <c r="N374" s="63">
        <f>Assumptions!$D$15</f>
        <v>0.1</v>
      </c>
      <c r="O374" s="45">
        <f>IF(PO[[#This Row],[GST applies?]] = "Yes", (PO[[#This Row],[Value inc. GST]] / 1 + PO[[#This Row],[GST %]]) * PO[[#This Row],[GST %]], 0)</f>
        <v>0</v>
      </c>
      <c r="P374" s="31">
        <f>_xlfn.XLOOKUP(PO[[#This Row],[Supplier name]], Supplier_master[Supplier name], Supplier_master[EOM or Net], 0)</f>
        <v>0</v>
      </c>
      <c r="Q374" s="31">
        <f>_xlfn.XLOOKUP(PO[[#This Row],[Supplier name]], Supplier_master[Supplier name], Supplier_master[Terms days], 0)</f>
        <v>0</v>
      </c>
      <c r="R3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4" s="4"/>
      <c r="T374" s="46">
        <f>IF(PO[[#This Row],[Payment date - override (dd/mm/yyyy)]] &lt;&gt; "", PO[[#This Row],[Payment date - override (dd/mm/yyyy)]], PO[[#This Row],[Due date (dd/mm/yyyy)]])</f>
        <v>0</v>
      </c>
      <c r="U374" s="46">
        <f t="shared" si="5"/>
        <v>52</v>
      </c>
    </row>
    <row r="375" spans="3:21" x14ac:dyDescent="0.25">
      <c r="C375" s="24"/>
      <c r="D375" s="20"/>
      <c r="E375" s="4"/>
      <c r="F375" s="37"/>
      <c r="G375" s="38"/>
      <c r="H375" s="31">
        <f>_xlfn.XLOOKUP(PO[[#This Row],[Supplier name]], Supplier_master[Supplier name], Supplier_master[Category L1], 0)</f>
        <v>0</v>
      </c>
      <c r="I375" s="31">
        <f>_xlfn.XLOOKUP(PO[[#This Row],[Supplier name]], Supplier_master[Supplier name], Supplier_master[Category L2], 0)</f>
        <v>0</v>
      </c>
      <c r="J375" s="55"/>
      <c r="K375" s="55"/>
      <c r="L375" s="31">
        <f>IF(PO[[#This Row],[Spend category L1 - Override]] &lt;&gt; "", PO[[#This Row],[Spend category L1 - Override]], PO[[#This Row],[Spend category L1]])</f>
        <v>0</v>
      </c>
      <c r="M375" s="31">
        <f>IF(PO[[#This Row],[Spend category L2 - Override]] &lt;&gt; "", PO[[#This Row],[Spend category L2 - Override]], PO[[#This Row],[Spend category L2]])</f>
        <v>0</v>
      </c>
      <c r="N375" s="63">
        <f>Assumptions!$D$15</f>
        <v>0.1</v>
      </c>
      <c r="O375" s="45">
        <f>IF(PO[[#This Row],[GST applies?]] = "Yes", (PO[[#This Row],[Value inc. GST]] / 1 + PO[[#This Row],[GST %]]) * PO[[#This Row],[GST %]], 0)</f>
        <v>0</v>
      </c>
      <c r="P375" s="31">
        <f>_xlfn.XLOOKUP(PO[[#This Row],[Supplier name]], Supplier_master[Supplier name], Supplier_master[EOM or Net], 0)</f>
        <v>0</v>
      </c>
      <c r="Q375" s="31">
        <f>_xlfn.XLOOKUP(PO[[#This Row],[Supplier name]], Supplier_master[Supplier name], Supplier_master[Terms days], 0)</f>
        <v>0</v>
      </c>
      <c r="R3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5" s="4"/>
      <c r="T375" s="46">
        <f>IF(PO[[#This Row],[Payment date - override (dd/mm/yyyy)]] &lt;&gt; "", PO[[#This Row],[Payment date - override (dd/mm/yyyy)]], PO[[#This Row],[Due date (dd/mm/yyyy)]])</f>
        <v>0</v>
      </c>
      <c r="U375" s="46">
        <f t="shared" si="5"/>
        <v>52</v>
      </c>
    </row>
    <row r="376" spans="3:21" x14ac:dyDescent="0.25">
      <c r="C376" s="24"/>
      <c r="D376" s="20"/>
      <c r="E376" s="4"/>
      <c r="F376" s="37"/>
      <c r="G376" s="38"/>
      <c r="H376" s="31">
        <f>_xlfn.XLOOKUP(PO[[#This Row],[Supplier name]], Supplier_master[Supplier name], Supplier_master[Category L1], 0)</f>
        <v>0</v>
      </c>
      <c r="I376" s="31">
        <f>_xlfn.XLOOKUP(PO[[#This Row],[Supplier name]], Supplier_master[Supplier name], Supplier_master[Category L2], 0)</f>
        <v>0</v>
      </c>
      <c r="J376" s="55"/>
      <c r="K376" s="55"/>
      <c r="L376" s="31">
        <f>IF(PO[[#This Row],[Spend category L1 - Override]] &lt;&gt; "", PO[[#This Row],[Spend category L1 - Override]], PO[[#This Row],[Spend category L1]])</f>
        <v>0</v>
      </c>
      <c r="M376" s="31">
        <f>IF(PO[[#This Row],[Spend category L2 - Override]] &lt;&gt; "", PO[[#This Row],[Spend category L2 - Override]], PO[[#This Row],[Spend category L2]])</f>
        <v>0</v>
      </c>
      <c r="N376" s="63">
        <f>Assumptions!$D$15</f>
        <v>0.1</v>
      </c>
      <c r="O376" s="45">
        <f>IF(PO[[#This Row],[GST applies?]] = "Yes", (PO[[#This Row],[Value inc. GST]] / 1 + PO[[#This Row],[GST %]]) * PO[[#This Row],[GST %]], 0)</f>
        <v>0</v>
      </c>
      <c r="P376" s="31">
        <f>_xlfn.XLOOKUP(PO[[#This Row],[Supplier name]], Supplier_master[Supplier name], Supplier_master[EOM or Net], 0)</f>
        <v>0</v>
      </c>
      <c r="Q376" s="31">
        <f>_xlfn.XLOOKUP(PO[[#This Row],[Supplier name]], Supplier_master[Supplier name], Supplier_master[Terms days], 0)</f>
        <v>0</v>
      </c>
      <c r="R3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6" s="4"/>
      <c r="T376" s="46">
        <f>IF(PO[[#This Row],[Payment date - override (dd/mm/yyyy)]] &lt;&gt; "", PO[[#This Row],[Payment date - override (dd/mm/yyyy)]], PO[[#This Row],[Due date (dd/mm/yyyy)]])</f>
        <v>0</v>
      </c>
      <c r="U376" s="46">
        <f t="shared" si="5"/>
        <v>52</v>
      </c>
    </row>
    <row r="377" spans="3:21" x14ac:dyDescent="0.25">
      <c r="C377" s="24"/>
      <c r="D377" s="20"/>
      <c r="E377" s="4"/>
      <c r="F377" s="37"/>
      <c r="G377" s="38"/>
      <c r="H377" s="31">
        <f>_xlfn.XLOOKUP(PO[[#This Row],[Supplier name]], Supplier_master[Supplier name], Supplier_master[Category L1], 0)</f>
        <v>0</v>
      </c>
      <c r="I377" s="31">
        <f>_xlfn.XLOOKUP(PO[[#This Row],[Supplier name]], Supplier_master[Supplier name], Supplier_master[Category L2], 0)</f>
        <v>0</v>
      </c>
      <c r="J377" s="55"/>
      <c r="K377" s="55"/>
      <c r="L377" s="31">
        <f>IF(PO[[#This Row],[Spend category L1 - Override]] &lt;&gt; "", PO[[#This Row],[Spend category L1 - Override]], PO[[#This Row],[Spend category L1]])</f>
        <v>0</v>
      </c>
      <c r="M377" s="31">
        <f>IF(PO[[#This Row],[Spend category L2 - Override]] &lt;&gt; "", PO[[#This Row],[Spend category L2 - Override]], PO[[#This Row],[Spend category L2]])</f>
        <v>0</v>
      </c>
      <c r="N377" s="63">
        <f>Assumptions!$D$15</f>
        <v>0.1</v>
      </c>
      <c r="O377" s="45">
        <f>IF(PO[[#This Row],[GST applies?]] = "Yes", (PO[[#This Row],[Value inc. GST]] / 1 + PO[[#This Row],[GST %]]) * PO[[#This Row],[GST %]], 0)</f>
        <v>0</v>
      </c>
      <c r="P377" s="31">
        <f>_xlfn.XLOOKUP(PO[[#This Row],[Supplier name]], Supplier_master[Supplier name], Supplier_master[EOM or Net], 0)</f>
        <v>0</v>
      </c>
      <c r="Q377" s="31">
        <f>_xlfn.XLOOKUP(PO[[#This Row],[Supplier name]], Supplier_master[Supplier name], Supplier_master[Terms days], 0)</f>
        <v>0</v>
      </c>
      <c r="R3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7" s="4"/>
      <c r="T377" s="46">
        <f>IF(PO[[#This Row],[Payment date - override (dd/mm/yyyy)]] &lt;&gt; "", PO[[#This Row],[Payment date - override (dd/mm/yyyy)]], PO[[#This Row],[Due date (dd/mm/yyyy)]])</f>
        <v>0</v>
      </c>
      <c r="U377" s="46">
        <f t="shared" si="5"/>
        <v>52</v>
      </c>
    </row>
    <row r="378" spans="3:21" x14ac:dyDescent="0.25">
      <c r="C378" s="24"/>
      <c r="D378" s="20"/>
      <c r="E378" s="4"/>
      <c r="F378" s="37"/>
      <c r="G378" s="38"/>
      <c r="H378" s="31">
        <f>_xlfn.XLOOKUP(PO[[#This Row],[Supplier name]], Supplier_master[Supplier name], Supplier_master[Category L1], 0)</f>
        <v>0</v>
      </c>
      <c r="I378" s="31">
        <f>_xlfn.XLOOKUP(PO[[#This Row],[Supplier name]], Supplier_master[Supplier name], Supplier_master[Category L2], 0)</f>
        <v>0</v>
      </c>
      <c r="J378" s="55"/>
      <c r="K378" s="55"/>
      <c r="L378" s="31">
        <f>IF(PO[[#This Row],[Spend category L1 - Override]] &lt;&gt; "", PO[[#This Row],[Spend category L1 - Override]], PO[[#This Row],[Spend category L1]])</f>
        <v>0</v>
      </c>
      <c r="M378" s="31">
        <f>IF(PO[[#This Row],[Spend category L2 - Override]] &lt;&gt; "", PO[[#This Row],[Spend category L2 - Override]], PO[[#This Row],[Spend category L2]])</f>
        <v>0</v>
      </c>
      <c r="N378" s="63">
        <f>Assumptions!$D$15</f>
        <v>0.1</v>
      </c>
      <c r="O378" s="45">
        <f>IF(PO[[#This Row],[GST applies?]] = "Yes", (PO[[#This Row],[Value inc. GST]] / 1 + PO[[#This Row],[GST %]]) * PO[[#This Row],[GST %]], 0)</f>
        <v>0</v>
      </c>
      <c r="P378" s="31">
        <f>_xlfn.XLOOKUP(PO[[#This Row],[Supplier name]], Supplier_master[Supplier name], Supplier_master[EOM or Net], 0)</f>
        <v>0</v>
      </c>
      <c r="Q378" s="31">
        <f>_xlfn.XLOOKUP(PO[[#This Row],[Supplier name]], Supplier_master[Supplier name], Supplier_master[Terms days], 0)</f>
        <v>0</v>
      </c>
      <c r="R3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8" s="4"/>
      <c r="T378" s="46">
        <f>IF(PO[[#This Row],[Payment date - override (dd/mm/yyyy)]] &lt;&gt; "", PO[[#This Row],[Payment date - override (dd/mm/yyyy)]], PO[[#This Row],[Due date (dd/mm/yyyy)]])</f>
        <v>0</v>
      </c>
      <c r="U378" s="46">
        <f t="shared" si="5"/>
        <v>52</v>
      </c>
    </row>
    <row r="379" spans="3:21" x14ac:dyDescent="0.25">
      <c r="C379" s="24"/>
      <c r="D379" s="20"/>
      <c r="E379" s="4"/>
      <c r="F379" s="37"/>
      <c r="G379" s="38"/>
      <c r="H379" s="31">
        <f>_xlfn.XLOOKUP(PO[[#This Row],[Supplier name]], Supplier_master[Supplier name], Supplier_master[Category L1], 0)</f>
        <v>0</v>
      </c>
      <c r="I379" s="31">
        <f>_xlfn.XLOOKUP(PO[[#This Row],[Supplier name]], Supplier_master[Supplier name], Supplier_master[Category L2], 0)</f>
        <v>0</v>
      </c>
      <c r="J379" s="55"/>
      <c r="K379" s="55"/>
      <c r="L379" s="31">
        <f>IF(PO[[#This Row],[Spend category L1 - Override]] &lt;&gt; "", PO[[#This Row],[Spend category L1 - Override]], PO[[#This Row],[Spend category L1]])</f>
        <v>0</v>
      </c>
      <c r="M379" s="31">
        <f>IF(PO[[#This Row],[Spend category L2 - Override]] &lt;&gt; "", PO[[#This Row],[Spend category L2 - Override]], PO[[#This Row],[Spend category L2]])</f>
        <v>0</v>
      </c>
      <c r="N379" s="63">
        <f>Assumptions!$D$15</f>
        <v>0.1</v>
      </c>
      <c r="O379" s="45">
        <f>IF(PO[[#This Row],[GST applies?]] = "Yes", (PO[[#This Row],[Value inc. GST]] / 1 + PO[[#This Row],[GST %]]) * PO[[#This Row],[GST %]], 0)</f>
        <v>0</v>
      </c>
      <c r="P379" s="31">
        <f>_xlfn.XLOOKUP(PO[[#This Row],[Supplier name]], Supplier_master[Supplier name], Supplier_master[EOM or Net], 0)</f>
        <v>0</v>
      </c>
      <c r="Q379" s="31">
        <f>_xlfn.XLOOKUP(PO[[#This Row],[Supplier name]], Supplier_master[Supplier name], Supplier_master[Terms days], 0)</f>
        <v>0</v>
      </c>
      <c r="R3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9" s="4"/>
      <c r="T379" s="46">
        <f>IF(PO[[#This Row],[Payment date - override (dd/mm/yyyy)]] &lt;&gt; "", PO[[#This Row],[Payment date - override (dd/mm/yyyy)]], PO[[#This Row],[Due date (dd/mm/yyyy)]])</f>
        <v>0</v>
      </c>
      <c r="U379" s="46">
        <f t="shared" si="5"/>
        <v>52</v>
      </c>
    </row>
    <row r="380" spans="3:21" x14ac:dyDescent="0.25">
      <c r="C380" s="24"/>
      <c r="D380" s="20"/>
      <c r="E380" s="4"/>
      <c r="F380" s="37"/>
      <c r="G380" s="38"/>
      <c r="H380" s="31">
        <f>_xlfn.XLOOKUP(PO[[#This Row],[Supplier name]], Supplier_master[Supplier name], Supplier_master[Category L1], 0)</f>
        <v>0</v>
      </c>
      <c r="I380" s="31">
        <f>_xlfn.XLOOKUP(PO[[#This Row],[Supplier name]], Supplier_master[Supplier name], Supplier_master[Category L2], 0)</f>
        <v>0</v>
      </c>
      <c r="J380" s="55"/>
      <c r="K380" s="55"/>
      <c r="L380" s="31">
        <f>IF(PO[[#This Row],[Spend category L1 - Override]] &lt;&gt; "", PO[[#This Row],[Spend category L1 - Override]], PO[[#This Row],[Spend category L1]])</f>
        <v>0</v>
      </c>
      <c r="M380" s="31">
        <f>IF(PO[[#This Row],[Spend category L2 - Override]] &lt;&gt; "", PO[[#This Row],[Spend category L2 - Override]], PO[[#This Row],[Spend category L2]])</f>
        <v>0</v>
      </c>
      <c r="N380" s="63">
        <f>Assumptions!$D$15</f>
        <v>0.1</v>
      </c>
      <c r="O380" s="45">
        <f>IF(PO[[#This Row],[GST applies?]] = "Yes", (PO[[#This Row],[Value inc. GST]] / 1 + PO[[#This Row],[GST %]]) * PO[[#This Row],[GST %]], 0)</f>
        <v>0</v>
      </c>
      <c r="P380" s="31">
        <f>_xlfn.XLOOKUP(PO[[#This Row],[Supplier name]], Supplier_master[Supplier name], Supplier_master[EOM or Net], 0)</f>
        <v>0</v>
      </c>
      <c r="Q380" s="31">
        <f>_xlfn.XLOOKUP(PO[[#This Row],[Supplier name]], Supplier_master[Supplier name], Supplier_master[Terms days], 0)</f>
        <v>0</v>
      </c>
      <c r="R3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0" s="4"/>
      <c r="T380" s="46">
        <f>IF(PO[[#This Row],[Payment date - override (dd/mm/yyyy)]] &lt;&gt; "", PO[[#This Row],[Payment date - override (dd/mm/yyyy)]], PO[[#This Row],[Due date (dd/mm/yyyy)]])</f>
        <v>0</v>
      </c>
      <c r="U380" s="46">
        <f t="shared" si="5"/>
        <v>52</v>
      </c>
    </row>
    <row r="381" spans="3:21" x14ac:dyDescent="0.25">
      <c r="C381" s="24"/>
      <c r="D381" s="20"/>
      <c r="E381" s="4"/>
      <c r="F381" s="37"/>
      <c r="G381" s="38"/>
      <c r="H381" s="31">
        <f>_xlfn.XLOOKUP(PO[[#This Row],[Supplier name]], Supplier_master[Supplier name], Supplier_master[Category L1], 0)</f>
        <v>0</v>
      </c>
      <c r="I381" s="31">
        <f>_xlfn.XLOOKUP(PO[[#This Row],[Supplier name]], Supplier_master[Supplier name], Supplier_master[Category L2], 0)</f>
        <v>0</v>
      </c>
      <c r="J381" s="55"/>
      <c r="K381" s="55"/>
      <c r="L381" s="31">
        <f>IF(PO[[#This Row],[Spend category L1 - Override]] &lt;&gt; "", PO[[#This Row],[Spend category L1 - Override]], PO[[#This Row],[Spend category L1]])</f>
        <v>0</v>
      </c>
      <c r="M381" s="31">
        <f>IF(PO[[#This Row],[Spend category L2 - Override]] &lt;&gt; "", PO[[#This Row],[Spend category L2 - Override]], PO[[#This Row],[Spend category L2]])</f>
        <v>0</v>
      </c>
      <c r="N381" s="63">
        <f>Assumptions!$D$15</f>
        <v>0.1</v>
      </c>
      <c r="O381" s="45">
        <f>IF(PO[[#This Row],[GST applies?]] = "Yes", (PO[[#This Row],[Value inc. GST]] / 1 + PO[[#This Row],[GST %]]) * PO[[#This Row],[GST %]], 0)</f>
        <v>0</v>
      </c>
      <c r="P381" s="31">
        <f>_xlfn.XLOOKUP(PO[[#This Row],[Supplier name]], Supplier_master[Supplier name], Supplier_master[EOM or Net], 0)</f>
        <v>0</v>
      </c>
      <c r="Q381" s="31">
        <f>_xlfn.XLOOKUP(PO[[#This Row],[Supplier name]], Supplier_master[Supplier name], Supplier_master[Terms days], 0)</f>
        <v>0</v>
      </c>
      <c r="R3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1" s="4"/>
      <c r="T381" s="46">
        <f>IF(PO[[#This Row],[Payment date - override (dd/mm/yyyy)]] &lt;&gt; "", PO[[#This Row],[Payment date - override (dd/mm/yyyy)]], PO[[#This Row],[Due date (dd/mm/yyyy)]])</f>
        <v>0</v>
      </c>
      <c r="U381" s="46">
        <f t="shared" si="5"/>
        <v>52</v>
      </c>
    </row>
    <row r="382" spans="3:21" x14ac:dyDescent="0.25">
      <c r="C382" s="24"/>
      <c r="D382" s="20"/>
      <c r="E382" s="4"/>
      <c r="F382" s="37"/>
      <c r="G382" s="38"/>
      <c r="H382" s="31">
        <f>_xlfn.XLOOKUP(PO[[#This Row],[Supplier name]], Supplier_master[Supplier name], Supplier_master[Category L1], 0)</f>
        <v>0</v>
      </c>
      <c r="I382" s="31">
        <f>_xlfn.XLOOKUP(PO[[#This Row],[Supplier name]], Supplier_master[Supplier name], Supplier_master[Category L2], 0)</f>
        <v>0</v>
      </c>
      <c r="J382" s="55"/>
      <c r="K382" s="55"/>
      <c r="L382" s="31">
        <f>IF(PO[[#This Row],[Spend category L1 - Override]] &lt;&gt; "", PO[[#This Row],[Spend category L1 - Override]], PO[[#This Row],[Spend category L1]])</f>
        <v>0</v>
      </c>
      <c r="M382" s="31">
        <f>IF(PO[[#This Row],[Spend category L2 - Override]] &lt;&gt; "", PO[[#This Row],[Spend category L2 - Override]], PO[[#This Row],[Spend category L2]])</f>
        <v>0</v>
      </c>
      <c r="N382" s="63">
        <f>Assumptions!$D$15</f>
        <v>0.1</v>
      </c>
      <c r="O382" s="45">
        <f>IF(PO[[#This Row],[GST applies?]] = "Yes", (PO[[#This Row],[Value inc. GST]] / 1 + PO[[#This Row],[GST %]]) * PO[[#This Row],[GST %]], 0)</f>
        <v>0</v>
      </c>
      <c r="P382" s="31">
        <f>_xlfn.XLOOKUP(PO[[#This Row],[Supplier name]], Supplier_master[Supplier name], Supplier_master[EOM or Net], 0)</f>
        <v>0</v>
      </c>
      <c r="Q382" s="31">
        <f>_xlfn.XLOOKUP(PO[[#This Row],[Supplier name]], Supplier_master[Supplier name], Supplier_master[Terms days], 0)</f>
        <v>0</v>
      </c>
      <c r="R3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2" s="4"/>
      <c r="T382" s="46">
        <f>IF(PO[[#This Row],[Payment date - override (dd/mm/yyyy)]] &lt;&gt; "", PO[[#This Row],[Payment date - override (dd/mm/yyyy)]], PO[[#This Row],[Due date (dd/mm/yyyy)]])</f>
        <v>0</v>
      </c>
      <c r="U382" s="46">
        <f t="shared" si="5"/>
        <v>52</v>
      </c>
    </row>
    <row r="383" spans="3:21" x14ac:dyDescent="0.25">
      <c r="C383" s="24"/>
      <c r="D383" s="20"/>
      <c r="E383" s="4"/>
      <c r="F383" s="37"/>
      <c r="G383" s="38"/>
      <c r="H383" s="31">
        <f>_xlfn.XLOOKUP(PO[[#This Row],[Supplier name]], Supplier_master[Supplier name], Supplier_master[Category L1], 0)</f>
        <v>0</v>
      </c>
      <c r="I383" s="31">
        <f>_xlfn.XLOOKUP(PO[[#This Row],[Supplier name]], Supplier_master[Supplier name], Supplier_master[Category L2], 0)</f>
        <v>0</v>
      </c>
      <c r="J383" s="55"/>
      <c r="K383" s="55"/>
      <c r="L383" s="31">
        <f>IF(PO[[#This Row],[Spend category L1 - Override]] &lt;&gt; "", PO[[#This Row],[Spend category L1 - Override]], PO[[#This Row],[Spend category L1]])</f>
        <v>0</v>
      </c>
      <c r="M383" s="31">
        <f>IF(PO[[#This Row],[Spend category L2 - Override]] &lt;&gt; "", PO[[#This Row],[Spend category L2 - Override]], PO[[#This Row],[Spend category L2]])</f>
        <v>0</v>
      </c>
      <c r="N383" s="63">
        <f>Assumptions!$D$15</f>
        <v>0.1</v>
      </c>
      <c r="O383" s="45">
        <f>IF(PO[[#This Row],[GST applies?]] = "Yes", (PO[[#This Row],[Value inc. GST]] / 1 + PO[[#This Row],[GST %]]) * PO[[#This Row],[GST %]], 0)</f>
        <v>0</v>
      </c>
      <c r="P383" s="31">
        <f>_xlfn.XLOOKUP(PO[[#This Row],[Supplier name]], Supplier_master[Supplier name], Supplier_master[EOM or Net], 0)</f>
        <v>0</v>
      </c>
      <c r="Q383" s="31">
        <f>_xlfn.XLOOKUP(PO[[#This Row],[Supplier name]], Supplier_master[Supplier name], Supplier_master[Terms days], 0)</f>
        <v>0</v>
      </c>
      <c r="R3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3" s="4"/>
      <c r="T383" s="46">
        <f>IF(PO[[#This Row],[Payment date - override (dd/mm/yyyy)]] &lt;&gt; "", PO[[#This Row],[Payment date - override (dd/mm/yyyy)]], PO[[#This Row],[Due date (dd/mm/yyyy)]])</f>
        <v>0</v>
      </c>
      <c r="U383" s="46">
        <f t="shared" si="5"/>
        <v>52</v>
      </c>
    </row>
    <row r="384" spans="3:21" x14ac:dyDescent="0.25">
      <c r="C384" s="24"/>
      <c r="D384" s="20"/>
      <c r="E384" s="4"/>
      <c r="F384" s="37"/>
      <c r="G384" s="38"/>
      <c r="H384" s="31">
        <f>_xlfn.XLOOKUP(PO[[#This Row],[Supplier name]], Supplier_master[Supplier name], Supplier_master[Category L1], 0)</f>
        <v>0</v>
      </c>
      <c r="I384" s="31">
        <f>_xlfn.XLOOKUP(PO[[#This Row],[Supplier name]], Supplier_master[Supplier name], Supplier_master[Category L2], 0)</f>
        <v>0</v>
      </c>
      <c r="J384" s="55"/>
      <c r="K384" s="55"/>
      <c r="L384" s="31">
        <f>IF(PO[[#This Row],[Spend category L1 - Override]] &lt;&gt; "", PO[[#This Row],[Spend category L1 - Override]], PO[[#This Row],[Spend category L1]])</f>
        <v>0</v>
      </c>
      <c r="M384" s="31">
        <f>IF(PO[[#This Row],[Spend category L2 - Override]] &lt;&gt; "", PO[[#This Row],[Spend category L2 - Override]], PO[[#This Row],[Spend category L2]])</f>
        <v>0</v>
      </c>
      <c r="N384" s="63">
        <f>Assumptions!$D$15</f>
        <v>0.1</v>
      </c>
      <c r="O384" s="45">
        <f>IF(PO[[#This Row],[GST applies?]] = "Yes", (PO[[#This Row],[Value inc. GST]] / 1 + PO[[#This Row],[GST %]]) * PO[[#This Row],[GST %]], 0)</f>
        <v>0</v>
      </c>
      <c r="P384" s="31">
        <f>_xlfn.XLOOKUP(PO[[#This Row],[Supplier name]], Supplier_master[Supplier name], Supplier_master[EOM or Net], 0)</f>
        <v>0</v>
      </c>
      <c r="Q384" s="31">
        <f>_xlfn.XLOOKUP(PO[[#This Row],[Supplier name]], Supplier_master[Supplier name], Supplier_master[Terms days], 0)</f>
        <v>0</v>
      </c>
      <c r="R3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4" s="4"/>
      <c r="T384" s="46">
        <f>IF(PO[[#This Row],[Payment date - override (dd/mm/yyyy)]] &lt;&gt; "", PO[[#This Row],[Payment date - override (dd/mm/yyyy)]], PO[[#This Row],[Due date (dd/mm/yyyy)]])</f>
        <v>0</v>
      </c>
      <c r="U384" s="46">
        <f t="shared" si="5"/>
        <v>52</v>
      </c>
    </row>
    <row r="385" spans="3:21" x14ac:dyDescent="0.25">
      <c r="C385" s="24"/>
      <c r="D385" s="20"/>
      <c r="E385" s="4"/>
      <c r="F385" s="37"/>
      <c r="G385" s="38"/>
      <c r="H385" s="31">
        <f>_xlfn.XLOOKUP(PO[[#This Row],[Supplier name]], Supplier_master[Supplier name], Supplier_master[Category L1], 0)</f>
        <v>0</v>
      </c>
      <c r="I385" s="31">
        <f>_xlfn.XLOOKUP(PO[[#This Row],[Supplier name]], Supplier_master[Supplier name], Supplier_master[Category L2], 0)</f>
        <v>0</v>
      </c>
      <c r="J385" s="55"/>
      <c r="K385" s="55"/>
      <c r="L385" s="31">
        <f>IF(PO[[#This Row],[Spend category L1 - Override]] &lt;&gt; "", PO[[#This Row],[Spend category L1 - Override]], PO[[#This Row],[Spend category L1]])</f>
        <v>0</v>
      </c>
      <c r="M385" s="31">
        <f>IF(PO[[#This Row],[Spend category L2 - Override]] &lt;&gt; "", PO[[#This Row],[Spend category L2 - Override]], PO[[#This Row],[Spend category L2]])</f>
        <v>0</v>
      </c>
      <c r="N385" s="63">
        <f>Assumptions!$D$15</f>
        <v>0.1</v>
      </c>
      <c r="O385" s="45">
        <f>IF(PO[[#This Row],[GST applies?]] = "Yes", (PO[[#This Row],[Value inc. GST]] / 1 + PO[[#This Row],[GST %]]) * PO[[#This Row],[GST %]], 0)</f>
        <v>0</v>
      </c>
      <c r="P385" s="31">
        <f>_xlfn.XLOOKUP(PO[[#This Row],[Supplier name]], Supplier_master[Supplier name], Supplier_master[EOM or Net], 0)</f>
        <v>0</v>
      </c>
      <c r="Q385" s="31">
        <f>_xlfn.XLOOKUP(PO[[#This Row],[Supplier name]], Supplier_master[Supplier name], Supplier_master[Terms days], 0)</f>
        <v>0</v>
      </c>
      <c r="R3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5" s="4"/>
      <c r="T385" s="46">
        <f>IF(PO[[#This Row],[Payment date - override (dd/mm/yyyy)]] &lt;&gt; "", PO[[#This Row],[Payment date - override (dd/mm/yyyy)]], PO[[#This Row],[Due date (dd/mm/yyyy)]])</f>
        <v>0</v>
      </c>
      <c r="U385" s="46">
        <f t="shared" si="5"/>
        <v>52</v>
      </c>
    </row>
    <row r="386" spans="3:21" x14ac:dyDescent="0.25">
      <c r="C386" s="24"/>
      <c r="D386" s="20"/>
      <c r="E386" s="4"/>
      <c r="F386" s="37"/>
      <c r="G386" s="38"/>
      <c r="H386" s="31">
        <f>_xlfn.XLOOKUP(PO[[#This Row],[Supplier name]], Supplier_master[Supplier name], Supplier_master[Category L1], 0)</f>
        <v>0</v>
      </c>
      <c r="I386" s="31">
        <f>_xlfn.XLOOKUP(PO[[#This Row],[Supplier name]], Supplier_master[Supplier name], Supplier_master[Category L2], 0)</f>
        <v>0</v>
      </c>
      <c r="J386" s="55"/>
      <c r="K386" s="55"/>
      <c r="L386" s="31">
        <f>IF(PO[[#This Row],[Spend category L1 - Override]] &lt;&gt; "", PO[[#This Row],[Spend category L1 - Override]], PO[[#This Row],[Spend category L1]])</f>
        <v>0</v>
      </c>
      <c r="M386" s="31">
        <f>IF(PO[[#This Row],[Spend category L2 - Override]] &lt;&gt; "", PO[[#This Row],[Spend category L2 - Override]], PO[[#This Row],[Spend category L2]])</f>
        <v>0</v>
      </c>
      <c r="N386" s="63">
        <f>Assumptions!$D$15</f>
        <v>0.1</v>
      </c>
      <c r="O386" s="45">
        <f>IF(PO[[#This Row],[GST applies?]] = "Yes", (PO[[#This Row],[Value inc. GST]] / 1 + PO[[#This Row],[GST %]]) * PO[[#This Row],[GST %]], 0)</f>
        <v>0</v>
      </c>
      <c r="P386" s="31">
        <f>_xlfn.XLOOKUP(PO[[#This Row],[Supplier name]], Supplier_master[Supplier name], Supplier_master[EOM or Net], 0)</f>
        <v>0</v>
      </c>
      <c r="Q386" s="31">
        <f>_xlfn.XLOOKUP(PO[[#This Row],[Supplier name]], Supplier_master[Supplier name], Supplier_master[Terms days], 0)</f>
        <v>0</v>
      </c>
      <c r="R3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6" s="4"/>
      <c r="T386" s="46">
        <f>IF(PO[[#This Row],[Payment date - override (dd/mm/yyyy)]] &lt;&gt; "", PO[[#This Row],[Payment date - override (dd/mm/yyyy)]], PO[[#This Row],[Due date (dd/mm/yyyy)]])</f>
        <v>0</v>
      </c>
      <c r="U386" s="46">
        <f t="shared" si="5"/>
        <v>52</v>
      </c>
    </row>
    <row r="387" spans="3:21" x14ac:dyDescent="0.25">
      <c r="C387" s="24"/>
      <c r="D387" s="20"/>
      <c r="E387" s="4"/>
      <c r="F387" s="37"/>
      <c r="G387" s="38"/>
      <c r="H387" s="31">
        <f>_xlfn.XLOOKUP(PO[[#This Row],[Supplier name]], Supplier_master[Supplier name], Supplier_master[Category L1], 0)</f>
        <v>0</v>
      </c>
      <c r="I387" s="31">
        <f>_xlfn.XLOOKUP(PO[[#This Row],[Supplier name]], Supplier_master[Supplier name], Supplier_master[Category L2], 0)</f>
        <v>0</v>
      </c>
      <c r="J387" s="55"/>
      <c r="K387" s="55"/>
      <c r="L387" s="31">
        <f>IF(PO[[#This Row],[Spend category L1 - Override]] &lt;&gt; "", PO[[#This Row],[Spend category L1 - Override]], PO[[#This Row],[Spend category L1]])</f>
        <v>0</v>
      </c>
      <c r="M387" s="31">
        <f>IF(PO[[#This Row],[Spend category L2 - Override]] &lt;&gt; "", PO[[#This Row],[Spend category L2 - Override]], PO[[#This Row],[Spend category L2]])</f>
        <v>0</v>
      </c>
      <c r="N387" s="63">
        <f>Assumptions!$D$15</f>
        <v>0.1</v>
      </c>
      <c r="O387" s="45">
        <f>IF(PO[[#This Row],[GST applies?]] = "Yes", (PO[[#This Row],[Value inc. GST]] / 1 + PO[[#This Row],[GST %]]) * PO[[#This Row],[GST %]], 0)</f>
        <v>0</v>
      </c>
      <c r="P387" s="31">
        <f>_xlfn.XLOOKUP(PO[[#This Row],[Supplier name]], Supplier_master[Supplier name], Supplier_master[EOM or Net], 0)</f>
        <v>0</v>
      </c>
      <c r="Q387" s="31">
        <f>_xlfn.XLOOKUP(PO[[#This Row],[Supplier name]], Supplier_master[Supplier name], Supplier_master[Terms days], 0)</f>
        <v>0</v>
      </c>
      <c r="R3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7" s="4"/>
      <c r="T387" s="46">
        <f>IF(PO[[#This Row],[Payment date - override (dd/mm/yyyy)]] &lt;&gt; "", PO[[#This Row],[Payment date - override (dd/mm/yyyy)]], PO[[#This Row],[Due date (dd/mm/yyyy)]])</f>
        <v>0</v>
      </c>
      <c r="U387" s="46">
        <f t="shared" si="5"/>
        <v>52</v>
      </c>
    </row>
    <row r="388" spans="3:21" x14ac:dyDescent="0.25">
      <c r="C388" s="24"/>
      <c r="D388" s="20"/>
      <c r="E388" s="4"/>
      <c r="F388" s="37"/>
      <c r="G388" s="38"/>
      <c r="H388" s="31">
        <f>_xlfn.XLOOKUP(PO[[#This Row],[Supplier name]], Supplier_master[Supplier name], Supplier_master[Category L1], 0)</f>
        <v>0</v>
      </c>
      <c r="I388" s="31">
        <f>_xlfn.XLOOKUP(PO[[#This Row],[Supplier name]], Supplier_master[Supplier name], Supplier_master[Category L2], 0)</f>
        <v>0</v>
      </c>
      <c r="J388" s="55"/>
      <c r="K388" s="55"/>
      <c r="L388" s="31">
        <f>IF(PO[[#This Row],[Spend category L1 - Override]] &lt;&gt; "", PO[[#This Row],[Spend category L1 - Override]], PO[[#This Row],[Spend category L1]])</f>
        <v>0</v>
      </c>
      <c r="M388" s="31">
        <f>IF(PO[[#This Row],[Spend category L2 - Override]] &lt;&gt; "", PO[[#This Row],[Spend category L2 - Override]], PO[[#This Row],[Spend category L2]])</f>
        <v>0</v>
      </c>
      <c r="N388" s="63">
        <f>Assumptions!$D$15</f>
        <v>0.1</v>
      </c>
      <c r="O388" s="45">
        <f>IF(PO[[#This Row],[GST applies?]] = "Yes", (PO[[#This Row],[Value inc. GST]] / 1 + PO[[#This Row],[GST %]]) * PO[[#This Row],[GST %]], 0)</f>
        <v>0</v>
      </c>
      <c r="P388" s="31">
        <f>_xlfn.XLOOKUP(PO[[#This Row],[Supplier name]], Supplier_master[Supplier name], Supplier_master[EOM or Net], 0)</f>
        <v>0</v>
      </c>
      <c r="Q388" s="31">
        <f>_xlfn.XLOOKUP(PO[[#This Row],[Supplier name]], Supplier_master[Supplier name], Supplier_master[Terms days], 0)</f>
        <v>0</v>
      </c>
      <c r="R3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8" s="4"/>
      <c r="T388" s="46">
        <f>IF(PO[[#This Row],[Payment date - override (dd/mm/yyyy)]] &lt;&gt; "", PO[[#This Row],[Payment date - override (dd/mm/yyyy)]], PO[[#This Row],[Due date (dd/mm/yyyy)]])</f>
        <v>0</v>
      </c>
      <c r="U388" s="46">
        <f t="shared" si="5"/>
        <v>52</v>
      </c>
    </row>
    <row r="389" spans="3:21" x14ac:dyDescent="0.25">
      <c r="C389" s="24"/>
      <c r="D389" s="20"/>
      <c r="E389" s="4"/>
      <c r="F389" s="37"/>
      <c r="G389" s="38"/>
      <c r="H389" s="31">
        <f>_xlfn.XLOOKUP(PO[[#This Row],[Supplier name]], Supplier_master[Supplier name], Supplier_master[Category L1], 0)</f>
        <v>0</v>
      </c>
      <c r="I389" s="31">
        <f>_xlfn.XLOOKUP(PO[[#This Row],[Supplier name]], Supplier_master[Supplier name], Supplier_master[Category L2], 0)</f>
        <v>0</v>
      </c>
      <c r="J389" s="55"/>
      <c r="K389" s="55"/>
      <c r="L389" s="31">
        <f>IF(PO[[#This Row],[Spend category L1 - Override]] &lt;&gt; "", PO[[#This Row],[Spend category L1 - Override]], PO[[#This Row],[Spend category L1]])</f>
        <v>0</v>
      </c>
      <c r="M389" s="31">
        <f>IF(PO[[#This Row],[Spend category L2 - Override]] &lt;&gt; "", PO[[#This Row],[Spend category L2 - Override]], PO[[#This Row],[Spend category L2]])</f>
        <v>0</v>
      </c>
      <c r="N389" s="63">
        <f>Assumptions!$D$15</f>
        <v>0.1</v>
      </c>
      <c r="O389" s="45">
        <f>IF(PO[[#This Row],[GST applies?]] = "Yes", (PO[[#This Row],[Value inc. GST]] / 1 + PO[[#This Row],[GST %]]) * PO[[#This Row],[GST %]], 0)</f>
        <v>0</v>
      </c>
      <c r="P389" s="31">
        <f>_xlfn.XLOOKUP(PO[[#This Row],[Supplier name]], Supplier_master[Supplier name], Supplier_master[EOM or Net], 0)</f>
        <v>0</v>
      </c>
      <c r="Q389" s="31">
        <f>_xlfn.XLOOKUP(PO[[#This Row],[Supplier name]], Supplier_master[Supplier name], Supplier_master[Terms days], 0)</f>
        <v>0</v>
      </c>
      <c r="R3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9" s="4"/>
      <c r="T389" s="46">
        <f>IF(PO[[#This Row],[Payment date - override (dd/mm/yyyy)]] &lt;&gt; "", PO[[#This Row],[Payment date - override (dd/mm/yyyy)]], PO[[#This Row],[Due date (dd/mm/yyyy)]])</f>
        <v>0</v>
      </c>
      <c r="U389" s="46">
        <f t="shared" si="5"/>
        <v>52</v>
      </c>
    </row>
    <row r="390" spans="3:21" x14ac:dyDescent="0.25">
      <c r="C390" s="24"/>
      <c r="D390" s="20"/>
      <c r="E390" s="4"/>
      <c r="F390" s="37"/>
      <c r="G390" s="38"/>
      <c r="H390" s="31">
        <f>_xlfn.XLOOKUP(PO[[#This Row],[Supplier name]], Supplier_master[Supplier name], Supplier_master[Category L1], 0)</f>
        <v>0</v>
      </c>
      <c r="I390" s="31">
        <f>_xlfn.XLOOKUP(PO[[#This Row],[Supplier name]], Supplier_master[Supplier name], Supplier_master[Category L2], 0)</f>
        <v>0</v>
      </c>
      <c r="J390" s="55"/>
      <c r="K390" s="55"/>
      <c r="L390" s="31">
        <f>IF(PO[[#This Row],[Spend category L1 - Override]] &lt;&gt; "", PO[[#This Row],[Spend category L1 - Override]], PO[[#This Row],[Spend category L1]])</f>
        <v>0</v>
      </c>
      <c r="M390" s="31">
        <f>IF(PO[[#This Row],[Spend category L2 - Override]] &lt;&gt; "", PO[[#This Row],[Spend category L2 - Override]], PO[[#This Row],[Spend category L2]])</f>
        <v>0</v>
      </c>
      <c r="N390" s="63">
        <f>Assumptions!$D$15</f>
        <v>0.1</v>
      </c>
      <c r="O390" s="45">
        <f>IF(PO[[#This Row],[GST applies?]] = "Yes", (PO[[#This Row],[Value inc. GST]] / 1 + PO[[#This Row],[GST %]]) * PO[[#This Row],[GST %]], 0)</f>
        <v>0</v>
      </c>
      <c r="P390" s="31">
        <f>_xlfn.XLOOKUP(PO[[#This Row],[Supplier name]], Supplier_master[Supplier name], Supplier_master[EOM or Net], 0)</f>
        <v>0</v>
      </c>
      <c r="Q390" s="31">
        <f>_xlfn.XLOOKUP(PO[[#This Row],[Supplier name]], Supplier_master[Supplier name], Supplier_master[Terms days], 0)</f>
        <v>0</v>
      </c>
      <c r="R3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0" s="4"/>
      <c r="T390" s="46">
        <f>IF(PO[[#This Row],[Payment date - override (dd/mm/yyyy)]] &lt;&gt; "", PO[[#This Row],[Payment date - override (dd/mm/yyyy)]], PO[[#This Row],[Due date (dd/mm/yyyy)]])</f>
        <v>0</v>
      </c>
      <c r="U390" s="46">
        <f t="shared" si="5"/>
        <v>52</v>
      </c>
    </row>
    <row r="391" spans="3:21" x14ac:dyDescent="0.25">
      <c r="C391" s="24"/>
      <c r="D391" s="20"/>
      <c r="E391" s="4"/>
      <c r="F391" s="37"/>
      <c r="G391" s="38"/>
      <c r="H391" s="31">
        <f>_xlfn.XLOOKUP(PO[[#This Row],[Supplier name]], Supplier_master[Supplier name], Supplier_master[Category L1], 0)</f>
        <v>0</v>
      </c>
      <c r="I391" s="31">
        <f>_xlfn.XLOOKUP(PO[[#This Row],[Supplier name]], Supplier_master[Supplier name], Supplier_master[Category L2], 0)</f>
        <v>0</v>
      </c>
      <c r="J391" s="55"/>
      <c r="K391" s="55"/>
      <c r="L391" s="31">
        <f>IF(PO[[#This Row],[Spend category L1 - Override]] &lt;&gt; "", PO[[#This Row],[Spend category L1 - Override]], PO[[#This Row],[Spend category L1]])</f>
        <v>0</v>
      </c>
      <c r="M391" s="31">
        <f>IF(PO[[#This Row],[Spend category L2 - Override]] &lt;&gt; "", PO[[#This Row],[Spend category L2 - Override]], PO[[#This Row],[Spend category L2]])</f>
        <v>0</v>
      </c>
      <c r="N391" s="63">
        <f>Assumptions!$D$15</f>
        <v>0.1</v>
      </c>
      <c r="O391" s="45">
        <f>IF(PO[[#This Row],[GST applies?]] = "Yes", (PO[[#This Row],[Value inc. GST]] / 1 + PO[[#This Row],[GST %]]) * PO[[#This Row],[GST %]], 0)</f>
        <v>0</v>
      </c>
      <c r="P391" s="31">
        <f>_xlfn.XLOOKUP(PO[[#This Row],[Supplier name]], Supplier_master[Supplier name], Supplier_master[EOM or Net], 0)</f>
        <v>0</v>
      </c>
      <c r="Q391" s="31">
        <f>_xlfn.XLOOKUP(PO[[#This Row],[Supplier name]], Supplier_master[Supplier name], Supplier_master[Terms days], 0)</f>
        <v>0</v>
      </c>
      <c r="R3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1" s="4"/>
      <c r="T391" s="46">
        <f>IF(PO[[#This Row],[Payment date - override (dd/mm/yyyy)]] &lt;&gt; "", PO[[#This Row],[Payment date - override (dd/mm/yyyy)]], PO[[#This Row],[Due date (dd/mm/yyyy)]])</f>
        <v>0</v>
      </c>
      <c r="U391" s="46">
        <f t="shared" si="5"/>
        <v>52</v>
      </c>
    </row>
    <row r="392" spans="3:21" x14ac:dyDescent="0.25">
      <c r="C392" s="24"/>
      <c r="D392" s="20"/>
      <c r="E392" s="4"/>
      <c r="F392" s="37"/>
      <c r="G392" s="38"/>
      <c r="H392" s="31">
        <f>_xlfn.XLOOKUP(PO[[#This Row],[Supplier name]], Supplier_master[Supplier name], Supplier_master[Category L1], 0)</f>
        <v>0</v>
      </c>
      <c r="I392" s="31">
        <f>_xlfn.XLOOKUP(PO[[#This Row],[Supplier name]], Supplier_master[Supplier name], Supplier_master[Category L2], 0)</f>
        <v>0</v>
      </c>
      <c r="J392" s="55"/>
      <c r="K392" s="55"/>
      <c r="L392" s="31">
        <f>IF(PO[[#This Row],[Spend category L1 - Override]] &lt;&gt; "", PO[[#This Row],[Spend category L1 - Override]], PO[[#This Row],[Spend category L1]])</f>
        <v>0</v>
      </c>
      <c r="M392" s="31">
        <f>IF(PO[[#This Row],[Spend category L2 - Override]] &lt;&gt; "", PO[[#This Row],[Spend category L2 - Override]], PO[[#This Row],[Spend category L2]])</f>
        <v>0</v>
      </c>
      <c r="N392" s="63">
        <f>Assumptions!$D$15</f>
        <v>0.1</v>
      </c>
      <c r="O392" s="45">
        <f>IF(PO[[#This Row],[GST applies?]] = "Yes", (PO[[#This Row],[Value inc. GST]] / 1 + PO[[#This Row],[GST %]]) * PO[[#This Row],[GST %]], 0)</f>
        <v>0</v>
      </c>
      <c r="P392" s="31">
        <f>_xlfn.XLOOKUP(PO[[#This Row],[Supplier name]], Supplier_master[Supplier name], Supplier_master[EOM or Net], 0)</f>
        <v>0</v>
      </c>
      <c r="Q392" s="31">
        <f>_xlfn.XLOOKUP(PO[[#This Row],[Supplier name]], Supplier_master[Supplier name], Supplier_master[Terms days], 0)</f>
        <v>0</v>
      </c>
      <c r="R3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2" s="4"/>
      <c r="T392" s="46">
        <f>IF(PO[[#This Row],[Payment date - override (dd/mm/yyyy)]] &lt;&gt; "", PO[[#This Row],[Payment date - override (dd/mm/yyyy)]], PO[[#This Row],[Due date (dd/mm/yyyy)]])</f>
        <v>0</v>
      </c>
      <c r="U392" s="46">
        <f t="shared" si="5"/>
        <v>52</v>
      </c>
    </row>
    <row r="393" spans="3:21" x14ac:dyDescent="0.25">
      <c r="C393" s="24"/>
      <c r="D393" s="20"/>
      <c r="E393" s="4"/>
      <c r="F393" s="37"/>
      <c r="G393" s="38"/>
      <c r="H393" s="31">
        <f>_xlfn.XLOOKUP(PO[[#This Row],[Supplier name]], Supplier_master[Supplier name], Supplier_master[Category L1], 0)</f>
        <v>0</v>
      </c>
      <c r="I393" s="31">
        <f>_xlfn.XLOOKUP(PO[[#This Row],[Supplier name]], Supplier_master[Supplier name], Supplier_master[Category L2], 0)</f>
        <v>0</v>
      </c>
      <c r="J393" s="55"/>
      <c r="K393" s="55"/>
      <c r="L393" s="31">
        <f>IF(PO[[#This Row],[Spend category L1 - Override]] &lt;&gt; "", PO[[#This Row],[Spend category L1 - Override]], PO[[#This Row],[Spend category L1]])</f>
        <v>0</v>
      </c>
      <c r="M393" s="31">
        <f>IF(PO[[#This Row],[Spend category L2 - Override]] &lt;&gt; "", PO[[#This Row],[Spend category L2 - Override]], PO[[#This Row],[Spend category L2]])</f>
        <v>0</v>
      </c>
      <c r="N393" s="63">
        <f>Assumptions!$D$15</f>
        <v>0.1</v>
      </c>
      <c r="O393" s="45">
        <f>IF(PO[[#This Row],[GST applies?]] = "Yes", (PO[[#This Row],[Value inc. GST]] / 1 + PO[[#This Row],[GST %]]) * PO[[#This Row],[GST %]], 0)</f>
        <v>0</v>
      </c>
      <c r="P393" s="31">
        <f>_xlfn.XLOOKUP(PO[[#This Row],[Supplier name]], Supplier_master[Supplier name], Supplier_master[EOM or Net], 0)</f>
        <v>0</v>
      </c>
      <c r="Q393" s="31">
        <f>_xlfn.XLOOKUP(PO[[#This Row],[Supplier name]], Supplier_master[Supplier name], Supplier_master[Terms days], 0)</f>
        <v>0</v>
      </c>
      <c r="R3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3" s="4"/>
      <c r="T393" s="46">
        <f>IF(PO[[#This Row],[Payment date - override (dd/mm/yyyy)]] &lt;&gt; "", PO[[#This Row],[Payment date - override (dd/mm/yyyy)]], PO[[#This Row],[Due date (dd/mm/yyyy)]])</f>
        <v>0</v>
      </c>
      <c r="U393" s="46">
        <f t="shared" ref="U393:U456" si="6">IF(GST_Freq="Monthly",
    DATE(YEAR(E393), MONTH(E393) + 1, 21),
    IF(GST_Freq="Quarterly",
        IF(MOD(MONTH(E393) + 2 - MOD(MOD(MONTH(E393) - GST_First_Month, 12), 3), 12) = 0,
            DATE(YEAR(E393), MONTH(E393) + 4 - MOD(MOD(MONTH(E393) - GST_First_Month, 12), 3), 28),
            DATE(YEAR(E393), MONTH(E393) + 3 - MOD(MOD(MONTH(E393) - GST_First_Month, 12), 3), 28)
        ),
        "Invalid frequency"
    )
)</f>
        <v>52</v>
      </c>
    </row>
    <row r="394" spans="3:21" x14ac:dyDescent="0.25">
      <c r="C394" s="24"/>
      <c r="D394" s="20"/>
      <c r="E394" s="4"/>
      <c r="F394" s="37"/>
      <c r="G394" s="38"/>
      <c r="H394" s="31">
        <f>_xlfn.XLOOKUP(PO[[#This Row],[Supplier name]], Supplier_master[Supplier name], Supplier_master[Category L1], 0)</f>
        <v>0</v>
      </c>
      <c r="I394" s="31">
        <f>_xlfn.XLOOKUP(PO[[#This Row],[Supplier name]], Supplier_master[Supplier name], Supplier_master[Category L2], 0)</f>
        <v>0</v>
      </c>
      <c r="J394" s="55"/>
      <c r="K394" s="55"/>
      <c r="L394" s="31">
        <f>IF(PO[[#This Row],[Spend category L1 - Override]] &lt;&gt; "", PO[[#This Row],[Spend category L1 - Override]], PO[[#This Row],[Spend category L1]])</f>
        <v>0</v>
      </c>
      <c r="M394" s="31">
        <f>IF(PO[[#This Row],[Spend category L2 - Override]] &lt;&gt; "", PO[[#This Row],[Spend category L2 - Override]], PO[[#This Row],[Spend category L2]])</f>
        <v>0</v>
      </c>
      <c r="N394" s="63">
        <f>Assumptions!$D$15</f>
        <v>0.1</v>
      </c>
      <c r="O394" s="45">
        <f>IF(PO[[#This Row],[GST applies?]] = "Yes", (PO[[#This Row],[Value inc. GST]] / 1 + PO[[#This Row],[GST %]]) * PO[[#This Row],[GST %]], 0)</f>
        <v>0</v>
      </c>
      <c r="P394" s="31">
        <f>_xlfn.XLOOKUP(PO[[#This Row],[Supplier name]], Supplier_master[Supplier name], Supplier_master[EOM or Net], 0)</f>
        <v>0</v>
      </c>
      <c r="Q394" s="31">
        <f>_xlfn.XLOOKUP(PO[[#This Row],[Supplier name]], Supplier_master[Supplier name], Supplier_master[Terms days], 0)</f>
        <v>0</v>
      </c>
      <c r="R3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4" s="4"/>
      <c r="T394" s="46">
        <f>IF(PO[[#This Row],[Payment date - override (dd/mm/yyyy)]] &lt;&gt; "", PO[[#This Row],[Payment date - override (dd/mm/yyyy)]], PO[[#This Row],[Due date (dd/mm/yyyy)]])</f>
        <v>0</v>
      </c>
      <c r="U394" s="46">
        <f t="shared" si="6"/>
        <v>52</v>
      </c>
    </row>
    <row r="395" spans="3:21" x14ac:dyDescent="0.25">
      <c r="C395" s="24"/>
      <c r="D395" s="20"/>
      <c r="E395" s="4"/>
      <c r="F395" s="37"/>
      <c r="G395" s="38"/>
      <c r="H395" s="31">
        <f>_xlfn.XLOOKUP(PO[[#This Row],[Supplier name]], Supplier_master[Supplier name], Supplier_master[Category L1], 0)</f>
        <v>0</v>
      </c>
      <c r="I395" s="31">
        <f>_xlfn.XLOOKUP(PO[[#This Row],[Supplier name]], Supplier_master[Supplier name], Supplier_master[Category L2], 0)</f>
        <v>0</v>
      </c>
      <c r="J395" s="55"/>
      <c r="K395" s="55"/>
      <c r="L395" s="31">
        <f>IF(PO[[#This Row],[Spend category L1 - Override]] &lt;&gt; "", PO[[#This Row],[Spend category L1 - Override]], PO[[#This Row],[Spend category L1]])</f>
        <v>0</v>
      </c>
      <c r="M395" s="31">
        <f>IF(PO[[#This Row],[Spend category L2 - Override]] &lt;&gt; "", PO[[#This Row],[Spend category L2 - Override]], PO[[#This Row],[Spend category L2]])</f>
        <v>0</v>
      </c>
      <c r="N395" s="63">
        <f>Assumptions!$D$15</f>
        <v>0.1</v>
      </c>
      <c r="O395" s="45">
        <f>IF(PO[[#This Row],[GST applies?]] = "Yes", (PO[[#This Row],[Value inc. GST]] / 1 + PO[[#This Row],[GST %]]) * PO[[#This Row],[GST %]], 0)</f>
        <v>0</v>
      </c>
      <c r="P395" s="31">
        <f>_xlfn.XLOOKUP(PO[[#This Row],[Supplier name]], Supplier_master[Supplier name], Supplier_master[EOM or Net], 0)</f>
        <v>0</v>
      </c>
      <c r="Q395" s="31">
        <f>_xlfn.XLOOKUP(PO[[#This Row],[Supplier name]], Supplier_master[Supplier name], Supplier_master[Terms days], 0)</f>
        <v>0</v>
      </c>
      <c r="R3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5" s="4"/>
      <c r="T395" s="46">
        <f>IF(PO[[#This Row],[Payment date - override (dd/mm/yyyy)]] &lt;&gt; "", PO[[#This Row],[Payment date - override (dd/mm/yyyy)]], PO[[#This Row],[Due date (dd/mm/yyyy)]])</f>
        <v>0</v>
      </c>
      <c r="U395" s="46">
        <f t="shared" si="6"/>
        <v>52</v>
      </c>
    </row>
    <row r="396" spans="3:21" x14ac:dyDescent="0.25">
      <c r="C396" s="24"/>
      <c r="D396" s="20"/>
      <c r="E396" s="4"/>
      <c r="F396" s="37"/>
      <c r="G396" s="38"/>
      <c r="H396" s="31">
        <f>_xlfn.XLOOKUP(PO[[#This Row],[Supplier name]], Supplier_master[Supplier name], Supplier_master[Category L1], 0)</f>
        <v>0</v>
      </c>
      <c r="I396" s="31">
        <f>_xlfn.XLOOKUP(PO[[#This Row],[Supplier name]], Supplier_master[Supplier name], Supplier_master[Category L2], 0)</f>
        <v>0</v>
      </c>
      <c r="J396" s="55"/>
      <c r="K396" s="55"/>
      <c r="L396" s="31">
        <f>IF(PO[[#This Row],[Spend category L1 - Override]] &lt;&gt; "", PO[[#This Row],[Spend category L1 - Override]], PO[[#This Row],[Spend category L1]])</f>
        <v>0</v>
      </c>
      <c r="M396" s="31">
        <f>IF(PO[[#This Row],[Spend category L2 - Override]] &lt;&gt; "", PO[[#This Row],[Spend category L2 - Override]], PO[[#This Row],[Spend category L2]])</f>
        <v>0</v>
      </c>
      <c r="N396" s="63">
        <f>Assumptions!$D$15</f>
        <v>0.1</v>
      </c>
      <c r="O396" s="45">
        <f>IF(PO[[#This Row],[GST applies?]] = "Yes", (PO[[#This Row],[Value inc. GST]] / 1 + PO[[#This Row],[GST %]]) * PO[[#This Row],[GST %]], 0)</f>
        <v>0</v>
      </c>
      <c r="P396" s="31">
        <f>_xlfn.XLOOKUP(PO[[#This Row],[Supplier name]], Supplier_master[Supplier name], Supplier_master[EOM or Net], 0)</f>
        <v>0</v>
      </c>
      <c r="Q396" s="31">
        <f>_xlfn.XLOOKUP(PO[[#This Row],[Supplier name]], Supplier_master[Supplier name], Supplier_master[Terms days], 0)</f>
        <v>0</v>
      </c>
      <c r="R3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6" s="4"/>
      <c r="T396" s="46">
        <f>IF(PO[[#This Row],[Payment date - override (dd/mm/yyyy)]] &lt;&gt; "", PO[[#This Row],[Payment date - override (dd/mm/yyyy)]], PO[[#This Row],[Due date (dd/mm/yyyy)]])</f>
        <v>0</v>
      </c>
      <c r="U396" s="46">
        <f t="shared" si="6"/>
        <v>52</v>
      </c>
    </row>
    <row r="397" spans="3:21" x14ac:dyDescent="0.25">
      <c r="C397" s="24"/>
      <c r="D397" s="20"/>
      <c r="E397" s="4"/>
      <c r="F397" s="37"/>
      <c r="G397" s="38"/>
      <c r="H397" s="31">
        <f>_xlfn.XLOOKUP(PO[[#This Row],[Supplier name]], Supplier_master[Supplier name], Supplier_master[Category L1], 0)</f>
        <v>0</v>
      </c>
      <c r="I397" s="31">
        <f>_xlfn.XLOOKUP(PO[[#This Row],[Supplier name]], Supplier_master[Supplier name], Supplier_master[Category L2], 0)</f>
        <v>0</v>
      </c>
      <c r="J397" s="55"/>
      <c r="K397" s="55"/>
      <c r="L397" s="31">
        <f>IF(PO[[#This Row],[Spend category L1 - Override]] &lt;&gt; "", PO[[#This Row],[Spend category L1 - Override]], PO[[#This Row],[Spend category L1]])</f>
        <v>0</v>
      </c>
      <c r="M397" s="31">
        <f>IF(PO[[#This Row],[Spend category L2 - Override]] &lt;&gt; "", PO[[#This Row],[Spend category L2 - Override]], PO[[#This Row],[Spend category L2]])</f>
        <v>0</v>
      </c>
      <c r="N397" s="63">
        <f>Assumptions!$D$15</f>
        <v>0.1</v>
      </c>
      <c r="O397" s="45">
        <f>IF(PO[[#This Row],[GST applies?]] = "Yes", (PO[[#This Row],[Value inc. GST]] / 1 + PO[[#This Row],[GST %]]) * PO[[#This Row],[GST %]], 0)</f>
        <v>0</v>
      </c>
      <c r="P397" s="31">
        <f>_xlfn.XLOOKUP(PO[[#This Row],[Supplier name]], Supplier_master[Supplier name], Supplier_master[EOM or Net], 0)</f>
        <v>0</v>
      </c>
      <c r="Q397" s="31">
        <f>_xlfn.XLOOKUP(PO[[#This Row],[Supplier name]], Supplier_master[Supplier name], Supplier_master[Terms days], 0)</f>
        <v>0</v>
      </c>
      <c r="R3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7" s="4"/>
      <c r="T397" s="46">
        <f>IF(PO[[#This Row],[Payment date - override (dd/mm/yyyy)]] &lt;&gt; "", PO[[#This Row],[Payment date - override (dd/mm/yyyy)]], PO[[#This Row],[Due date (dd/mm/yyyy)]])</f>
        <v>0</v>
      </c>
      <c r="U397" s="46">
        <f t="shared" si="6"/>
        <v>52</v>
      </c>
    </row>
    <row r="398" spans="3:21" x14ac:dyDescent="0.25">
      <c r="C398" s="24"/>
      <c r="D398" s="20"/>
      <c r="E398" s="4"/>
      <c r="F398" s="37"/>
      <c r="G398" s="38"/>
      <c r="H398" s="31">
        <f>_xlfn.XLOOKUP(PO[[#This Row],[Supplier name]], Supplier_master[Supplier name], Supplier_master[Category L1], 0)</f>
        <v>0</v>
      </c>
      <c r="I398" s="31">
        <f>_xlfn.XLOOKUP(PO[[#This Row],[Supplier name]], Supplier_master[Supplier name], Supplier_master[Category L2], 0)</f>
        <v>0</v>
      </c>
      <c r="J398" s="55"/>
      <c r="K398" s="55"/>
      <c r="L398" s="31">
        <f>IF(PO[[#This Row],[Spend category L1 - Override]] &lt;&gt; "", PO[[#This Row],[Spend category L1 - Override]], PO[[#This Row],[Spend category L1]])</f>
        <v>0</v>
      </c>
      <c r="M398" s="31">
        <f>IF(PO[[#This Row],[Spend category L2 - Override]] &lt;&gt; "", PO[[#This Row],[Spend category L2 - Override]], PO[[#This Row],[Spend category L2]])</f>
        <v>0</v>
      </c>
      <c r="N398" s="63">
        <f>Assumptions!$D$15</f>
        <v>0.1</v>
      </c>
      <c r="O398" s="45">
        <f>IF(PO[[#This Row],[GST applies?]] = "Yes", (PO[[#This Row],[Value inc. GST]] / 1 + PO[[#This Row],[GST %]]) * PO[[#This Row],[GST %]], 0)</f>
        <v>0</v>
      </c>
      <c r="P398" s="31">
        <f>_xlfn.XLOOKUP(PO[[#This Row],[Supplier name]], Supplier_master[Supplier name], Supplier_master[EOM or Net], 0)</f>
        <v>0</v>
      </c>
      <c r="Q398" s="31">
        <f>_xlfn.XLOOKUP(PO[[#This Row],[Supplier name]], Supplier_master[Supplier name], Supplier_master[Terms days], 0)</f>
        <v>0</v>
      </c>
      <c r="R3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8" s="4"/>
      <c r="T398" s="46">
        <f>IF(PO[[#This Row],[Payment date - override (dd/mm/yyyy)]] &lt;&gt; "", PO[[#This Row],[Payment date - override (dd/mm/yyyy)]], PO[[#This Row],[Due date (dd/mm/yyyy)]])</f>
        <v>0</v>
      </c>
      <c r="U398" s="46">
        <f t="shared" si="6"/>
        <v>52</v>
      </c>
    </row>
    <row r="399" spans="3:21" x14ac:dyDescent="0.25">
      <c r="C399" s="24"/>
      <c r="D399" s="20"/>
      <c r="E399" s="4"/>
      <c r="F399" s="37"/>
      <c r="G399" s="38"/>
      <c r="H399" s="31">
        <f>_xlfn.XLOOKUP(PO[[#This Row],[Supplier name]], Supplier_master[Supplier name], Supplier_master[Category L1], 0)</f>
        <v>0</v>
      </c>
      <c r="I399" s="31">
        <f>_xlfn.XLOOKUP(PO[[#This Row],[Supplier name]], Supplier_master[Supplier name], Supplier_master[Category L2], 0)</f>
        <v>0</v>
      </c>
      <c r="J399" s="55"/>
      <c r="K399" s="55"/>
      <c r="L399" s="31">
        <f>IF(PO[[#This Row],[Spend category L1 - Override]] &lt;&gt; "", PO[[#This Row],[Spend category L1 - Override]], PO[[#This Row],[Spend category L1]])</f>
        <v>0</v>
      </c>
      <c r="M399" s="31">
        <f>IF(PO[[#This Row],[Spend category L2 - Override]] &lt;&gt; "", PO[[#This Row],[Spend category L2 - Override]], PO[[#This Row],[Spend category L2]])</f>
        <v>0</v>
      </c>
      <c r="N399" s="63">
        <f>Assumptions!$D$15</f>
        <v>0.1</v>
      </c>
      <c r="O399" s="45">
        <f>IF(PO[[#This Row],[GST applies?]] = "Yes", (PO[[#This Row],[Value inc. GST]] / 1 + PO[[#This Row],[GST %]]) * PO[[#This Row],[GST %]], 0)</f>
        <v>0</v>
      </c>
      <c r="P399" s="31">
        <f>_xlfn.XLOOKUP(PO[[#This Row],[Supplier name]], Supplier_master[Supplier name], Supplier_master[EOM or Net], 0)</f>
        <v>0</v>
      </c>
      <c r="Q399" s="31">
        <f>_xlfn.XLOOKUP(PO[[#This Row],[Supplier name]], Supplier_master[Supplier name], Supplier_master[Terms days], 0)</f>
        <v>0</v>
      </c>
      <c r="R3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9" s="4"/>
      <c r="T399" s="46">
        <f>IF(PO[[#This Row],[Payment date - override (dd/mm/yyyy)]] &lt;&gt; "", PO[[#This Row],[Payment date - override (dd/mm/yyyy)]], PO[[#This Row],[Due date (dd/mm/yyyy)]])</f>
        <v>0</v>
      </c>
      <c r="U399" s="46">
        <f t="shared" si="6"/>
        <v>52</v>
      </c>
    </row>
    <row r="400" spans="3:21" x14ac:dyDescent="0.25">
      <c r="C400" s="24"/>
      <c r="D400" s="20"/>
      <c r="E400" s="4"/>
      <c r="F400" s="37"/>
      <c r="G400" s="38"/>
      <c r="H400" s="31">
        <f>_xlfn.XLOOKUP(PO[[#This Row],[Supplier name]], Supplier_master[Supplier name], Supplier_master[Category L1], 0)</f>
        <v>0</v>
      </c>
      <c r="I400" s="31">
        <f>_xlfn.XLOOKUP(PO[[#This Row],[Supplier name]], Supplier_master[Supplier name], Supplier_master[Category L2], 0)</f>
        <v>0</v>
      </c>
      <c r="J400" s="55"/>
      <c r="K400" s="55"/>
      <c r="L400" s="31">
        <f>IF(PO[[#This Row],[Spend category L1 - Override]] &lt;&gt; "", PO[[#This Row],[Spend category L1 - Override]], PO[[#This Row],[Spend category L1]])</f>
        <v>0</v>
      </c>
      <c r="M400" s="31">
        <f>IF(PO[[#This Row],[Spend category L2 - Override]] &lt;&gt; "", PO[[#This Row],[Spend category L2 - Override]], PO[[#This Row],[Spend category L2]])</f>
        <v>0</v>
      </c>
      <c r="N400" s="63">
        <f>Assumptions!$D$15</f>
        <v>0.1</v>
      </c>
      <c r="O400" s="45">
        <f>IF(PO[[#This Row],[GST applies?]] = "Yes", (PO[[#This Row],[Value inc. GST]] / 1 + PO[[#This Row],[GST %]]) * PO[[#This Row],[GST %]], 0)</f>
        <v>0</v>
      </c>
      <c r="P400" s="31">
        <f>_xlfn.XLOOKUP(PO[[#This Row],[Supplier name]], Supplier_master[Supplier name], Supplier_master[EOM or Net], 0)</f>
        <v>0</v>
      </c>
      <c r="Q400" s="31">
        <f>_xlfn.XLOOKUP(PO[[#This Row],[Supplier name]], Supplier_master[Supplier name], Supplier_master[Terms days], 0)</f>
        <v>0</v>
      </c>
      <c r="R4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0" s="4"/>
      <c r="T400" s="46">
        <f>IF(PO[[#This Row],[Payment date - override (dd/mm/yyyy)]] &lt;&gt; "", PO[[#This Row],[Payment date - override (dd/mm/yyyy)]], PO[[#This Row],[Due date (dd/mm/yyyy)]])</f>
        <v>0</v>
      </c>
      <c r="U400" s="46">
        <f t="shared" si="6"/>
        <v>52</v>
      </c>
    </row>
    <row r="401" spans="3:21" x14ac:dyDescent="0.25">
      <c r="C401" s="24"/>
      <c r="D401" s="20"/>
      <c r="E401" s="4"/>
      <c r="F401" s="37"/>
      <c r="G401" s="38"/>
      <c r="H401" s="31">
        <f>_xlfn.XLOOKUP(PO[[#This Row],[Supplier name]], Supplier_master[Supplier name], Supplier_master[Category L1], 0)</f>
        <v>0</v>
      </c>
      <c r="I401" s="31">
        <f>_xlfn.XLOOKUP(PO[[#This Row],[Supplier name]], Supplier_master[Supplier name], Supplier_master[Category L2], 0)</f>
        <v>0</v>
      </c>
      <c r="J401" s="55"/>
      <c r="K401" s="55"/>
      <c r="L401" s="31">
        <f>IF(PO[[#This Row],[Spend category L1 - Override]] &lt;&gt; "", PO[[#This Row],[Spend category L1 - Override]], PO[[#This Row],[Spend category L1]])</f>
        <v>0</v>
      </c>
      <c r="M401" s="31">
        <f>IF(PO[[#This Row],[Spend category L2 - Override]] &lt;&gt; "", PO[[#This Row],[Spend category L2 - Override]], PO[[#This Row],[Spend category L2]])</f>
        <v>0</v>
      </c>
      <c r="N401" s="63">
        <f>Assumptions!$D$15</f>
        <v>0.1</v>
      </c>
      <c r="O401" s="45">
        <f>IF(PO[[#This Row],[GST applies?]] = "Yes", (PO[[#This Row],[Value inc. GST]] / 1 + PO[[#This Row],[GST %]]) * PO[[#This Row],[GST %]], 0)</f>
        <v>0</v>
      </c>
      <c r="P401" s="31">
        <f>_xlfn.XLOOKUP(PO[[#This Row],[Supplier name]], Supplier_master[Supplier name], Supplier_master[EOM or Net], 0)</f>
        <v>0</v>
      </c>
      <c r="Q401" s="31">
        <f>_xlfn.XLOOKUP(PO[[#This Row],[Supplier name]], Supplier_master[Supplier name], Supplier_master[Terms days], 0)</f>
        <v>0</v>
      </c>
      <c r="R4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1" s="4"/>
      <c r="T401" s="46">
        <f>IF(PO[[#This Row],[Payment date - override (dd/mm/yyyy)]] &lt;&gt; "", PO[[#This Row],[Payment date - override (dd/mm/yyyy)]], PO[[#This Row],[Due date (dd/mm/yyyy)]])</f>
        <v>0</v>
      </c>
      <c r="U401" s="46">
        <f t="shared" si="6"/>
        <v>52</v>
      </c>
    </row>
    <row r="402" spans="3:21" x14ac:dyDescent="0.25">
      <c r="C402" s="24"/>
      <c r="D402" s="20"/>
      <c r="E402" s="4"/>
      <c r="F402" s="37"/>
      <c r="G402" s="38"/>
      <c r="H402" s="31">
        <f>_xlfn.XLOOKUP(PO[[#This Row],[Supplier name]], Supplier_master[Supplier name], Supplier_master[Category L1], 0)</f>
        <v>0</v>
      </c>
      <c r="I402" s="31">
        <f>_xlfn.XLOOKUP(PO[[#This Row],[Supplier name]], Supplier_master[Supplier name], Supplier_master[Category L2], 0)</f>
        <v>0</v>
      </c>
      <c r="J402" s="55"/>
      <c r="K402" s="55"/>
      <c r="L402" s="31">
        <f>IF(PO[[#This Row],[Spend category L1 - Override]] &lt;&gt; "", PO[[#This Row],[Spend category L1 - Override]], PO[[#This Row],[Spend category L1]])</f>
        <v>0</v>
      </c>
      <c r="M402" s="31">
        <f>IF(PO[[#This Row],[Spend category L2 - Override]] &lt;&gt; "", PO[[#This Row],[Spend category L2 - Override]], PO[[#This Row],[Spend category L2]])</f>
        <v>0</v>
      </c>
      <c r="N402" s="63">
        <f>Assumptions!$D$15</f>
        <v>0.1</v>
      </c>
      <c r="O402" s="45">
        <f>IF(PO[[#This Row],[GST applies?]] = "Yes", (PO[[#This Row],[Value inc. GST]] / 1 + PO[[#This Row],[GST %]]) * PO[[#This Row],[GST %]], 0)</f>
        <v>0</v>
      </c>
      <c r="P402" s="31">
        <f>_xlfn.XLOOKUP(PO[[#This Row],[Supplier name]], Supplier_master[Supplier name], Supplier_master[EOM or Net], 0)</f>
        <v>0</v>
      </c>
      <c r="Q402" s="31">
        <f>_xlfn.XLOOKUP(PO[[#This Row],[Supplier name]], Supplier_master[Supplier name], Supplier_master[Terms days], 0)</f>
        <v>0</v>
      </c>
      <c r="R4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2" s="4"/>
      <c r="T402" s="46">
        <f>IF(PO[[#This Row],[Payment date - override (dd/mm/yyyy)]] &lt;&gt; "", PO[[#This Row],[Payment date - override (dd/mm/yyyy)]], PO[[#This Row],[Due date (dd/mm/yyyy)]])</f>
        <v>0</v>
      </c>
      <c r="U402" s="46">
        <f t="shared" si="6"/>
        <v>52</v>
      </c>
    </row>
    <row r="403" spans="3:21" x14ac:dyDescent="0.25">
      <c r="C403" s="24"/>
      <c r="D403" s="20"/>
      <c r="E403" s="4"/>
      <c r="F403" s="37"/>
      <c r="G403" s="38"/>
      <c r="H403" s="31">
        <f>_xlfn.XLOOKUP(PO[[#This Row],[Supplier name]], Supplier_master[Supplier name], Supplier_master[Category L1], 0)</f>
        <v>0</v>
      </c>
      <c r="I403" s="31">
        <f>_xlfn.XLOOKUP(PO[[#This Row],[Supplier name]], Supplier_master[Supplier name], Supplier_master[Category L2], 0)</f>
        <v>0</v>
      </c>
      <c r="J403" s="55"/>
      <c r="K403" s="55"/>
      <c r="L403" s="31">
        <f>IF(PO[[#This Row],[Spend category L1 - Override]] &lt;&gt; "", PO[[#This Row],[Spend category L1 - Override]], PO[[#This Row],[Spend category L1]])</f>
        <v>0</v>
      </c>
      <c r="M403" s="31">
        <f>IF(PO[[#This Row],[Spend category L2 - Override]] &lt;&gt; "", PO[[#This Row],[Spend category L2 - Override]], PO[[#This Row],[Spend category L2]])</f>
        <v>0</v>
      </c>
      <c r="N403" s="63">
        <f>Assumptions!$D$15</f>
        <v>0.1</v>
      </c>
      <c r="O403" s="45">
        <f>IF(PO[[#This Row],[GST applies?]] = "Yes", (PO[[#This Row],[Value inc. GST]] / 1 + PO[[#This Row],[GST %]]) * PO[[#This Row],[GST %]], 0)</f>
        <v>0</v>
      </c>
      <c r="P403" s="31">
        <f>_xlfn.XLOOKUP(PO[[#This Row],[Supplier name]], Supplier_master[Supplier name], Supplier_master[EOM or Net], 0)</f>
        <v>0</v>
      </c>
      <c r="Q403" s="31">
        <f>_xlfn.XLOOKUP(PO[[#This Row],[Supplier name]], Supplier_master[Supplier name], Supplier_master[Terms days], 0)</f>
        <v>0</v>
      </c>
      <c r="R4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3" s="4"/>
      <c r="T403" s="46">
        <f>IF(PO[[#This Row],[Payment date - override (dd/mm/yyyy)]] &lt;&gt; "", PO[[#This Row],[Payment date - override (dd/mm/yyyy)]], PO[[#This Row],[Due date (dd/mm/yyyy)]])</f>
        <v>0</v>
      </c>
      <c r="U403" s="46">
        <f t="shared" si="6"/>
        <v>52</v>
      </c>
    </row>
    <row r="404" spans="3:21" x14ac:dyDescent="0.25">
      <c r="C404" s="24"/>
      <c r="D404" s="20"/>
      <c r="E404" s="4"/>
      <c r="F404" s="37"/>
      <c r="G404" s="38"/>
      <c r="H404" s="31">
        <f>_xlfn.XLOOKUP(PO[[#This Row],[Supplier name]], Supplier_master[Supplier name], Supplier_master[Category L1], 0)</f>
        <v>0</v>
      </c>
      <c r="I404" s="31">
        <f>_xlfn.XLOOKUP(PO[[#This Row],[Supplier name]], Supplier_master[Supplier name], Supplier_master[Category L2], 0)</f>
        <v>0</v>
      </c>
      <c r="J404" s="55"/>
      <c r="K404" s="55"/>
      <c r="L404" s="31">
        <f>IF(PO[[#This Row],[Spend category L1 - Override]] &lt;&gt; "", PO[[#This Row],[Spend category L1 - Override]], PO[[#This Row],[Spend category L1]])</f>
        <v>0</v>
      </c>
      <c r="M404" s="31">
        <f>IF(PO[[#This Row],[Spend category L2 - Override]] &lt;&gt; "", PO[[#This Row],[Spend category L2 - Override]], PO[[#This Row],[Spend category L2]])</f>
        <v>0</v>
      </c>
      <c r="N404" s="63">
        <f>Assumptions!$D$15</f>
        <v>0.1</v>
      </c>
      <c r="O404" s="45">
        <f>IF(PO[[#This Row],[GST applies?]] = "Yes", (PO[[#This Row],[Value inc. GST]] / 1 + PO[[#This Row],[GST %]]) * PO[[#This Row],[GST %]], 0)</f>
        <v>0</v>
      </c>
      <c r="P404" s="31">
        <f>_xlfn.XLOOKUP(PO[[#This Row],[Supplier name]], Supplier_master[Supplier name], Supplier_master[EOM or Net], 0)</f>
        <v>0</v>
      </c>
      <c r="Q404" s="31">
        <f>_xlfn.XLOOKUP(PO[[#This Row],[Supplier name]], Supplier_master[Supplier name], Supplier_master[Terms days], 0)</f>
        <v>0</v>
      </c>
      <c r="R4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4" s="4"/>
      <c r="T404" s="46">
        <f>IF(PO[[#This Row],[Payment date - override (dd/mm/yyyy)]] &lt;&gt; "", PO[[#This Row],[Payment date - override (dd/mm/yyyy)]], PO[[#This Row],[Due date (dd/mm/yyyy)]])</f>
        <v>0</v>
      </c>
      <c r="U404" s="46">
        <f t="shared" si="6"/>
        <v>52</v>
      </c>
    </row>
    <row r="405" spans="3:21" x14ac:dyDescent="0.25">
      <c r="C405" s="24"/>
      <c r="D405" s="20"/>
      <c r="E405" s="4"/>
      <c r="F405" s="37"/>
      <c r="G405" s="38"/>
      <c r="H405" s="31">
        <f>_xlfn.XLOOKUP(PO[[#This Row],[Supplier name]], Supplier_master[Supplier name], Supplier_master[Category L1], 0)</f>
        <v>0</v>
      </c>
      <c r="I405" s="31">
        <f>_xlfn.XLOOKUP(PO[[#This Row],[Supplier name]], Supplier_master[Supplier name], Supplier_master[Category L2], 0)</f>
        <v>0</v>
      </c>
      <c r="J405" s="55"/>
      <c r="K405" s="55"/>
      <c r="L405" s="31">
        <f>IF(PO[[#This Row],[Spend category L1 - Override]] &lt;&gt; "", PO[[#This Row],[Spend category L1 - Override]], PO[[#This Row],[Spend category L1]])</f>
        <v>0</v>
      </c>
      <c r="M405" s="31">
        <f>IF(PO[[#This Row],[Spend category L2 - Override]] &lt;&gt; "", PO[[#This Row],[Spend category L2 - Override]], PO[[#This Row],[Spend category L2]])</f>
        <v>0</v>
      </c>
      <c r="N405" s="63">
        <f>Assumptions!$D$15</f>
        <v>0.1</v>
      </c>
      <c r="O405" s="45">
        <f>IF(PO[[#This Row],[GST applies?]] = "Yes", (PO[[#This Row],[Value inc. GST]] / 1 + PO[[#This Row],[GST %]]) * PO[[#This Row],[GST %]], 0)</f>
        <v>0</v>
      </c>
      <c r="P405" s="31">
        <f>_xlfn.XLOOKUP(PO[[#This Row],[Supplier name]], Supplier_master[Supplier name], Supplier_master[EOM or Net], 0)</f>
        <v>0</v>
      </c>
      <c r="Q405" s="31">
        <f>_xlfn.XLOOKUP(PO[[#This Row],[Supplier name]], Supplier_master[Supplier name], Supplier_master[Terms days], 0)</f>
        <v>0</v>
      </c>
      <c r="R4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5" s="4"/>
      <c r="T405" s="46">
        <f>IF(PO[[#This Row],[Payment date - override (dd/mm/yyyy)]] &lt;&gt; "", PO[[#This Row],[Payment date - override (dd/mm/yyyy)]], PO[[#This Row],[Due date (dd/mm/yyyy)]])</f>
        <v>0</v>
      </c>
      <c r="U405" s="46">
        <f t="shared" si="6"/>
        <v>52</v>
      </c>
    </row>
    <row r="406" spans="3:21" x14ac:dyDescent="0.25">
      <c r="C406" s="24"/>
      <c r="D406" s="20"/>
      <c r="E406" s="4"/>
      <c r="F406" s="37"/>
      <c r="G406" s="38"/>
      <c r="H406" s="31">
        <f>_xlfn.XLOOKUP(PO[[#This Row],[Supplier name]], Supplier_master[Supplier name], Supplier_master[Category L1], 0)</f>
        <v>0</v>
      </c>
      <c r="I406" s="31">
        <f>_xlfn.XLOOKUP(PO[[#This Row],[Supplier name]], Supplier_master[Supplier name], Supplier_master[Category L2], 0)</f>
        <v>0</v>
      </c>
      <c r="J406" s="55"/>
      <c r="K406" s="55"/>
      <c r="L406" s="31">
        <f>IF(PO[[#This Row],[Spend category L1 - Override]] &lt;&gt; "", PO[[#This Row],[Spend category L1 - Override]], PO[[#This Row],[Spend category L1]])</f>
        <v>0</v>
      </c>
      <c r="M406" s="31">
        <f>IF(PO[[#This Row],[Spend category L2 - Override]] &lt;&gt; "", PO[[#This Row],[Spend category L2 - Override]], PO[[#This Row],[Spend category L2]])</f>
        <v>0</v>
      </c>
      <c r="N406" s="63">
        <f>Assumptions!$D$15</f>
        <v>0.1</v>
      </c>
      <c r="O406" s="45">
        <f>IF(PO[[#This Row],[GST applies?]] = "Yes", (PO[[#This Row],[Value inc. GST]] / 1 + PO[[#This Row],[GST %]]) * PO[[#This Row],[GST %]], 0)</f>
        <v>0</v>
      </c>
      <c r="P406" s="31">
        <f>_xlfn.XLOOKUP(PO[[#This Row],[Supplier name]], Supplier_master[Supplier name], Supplier_master[EOM or Net], 0)</f>
        <v>0</v>
      </c>
      <c r="Q406" s="31">
        <f>_xlfn.XLOOKUP(PO[[#This Row],[Supplier name]], Supplier_master[Supplier name], Supplier_master[Terms days], 0)</f>
        <v>0</v>
      </c>
      <c r="R4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6" s="4"/>
      <c r="T406" s="46">
        <f>IF(PO[[#This Row],[Payment date - override (dd/mm/yyyy)]] &lt;&gt; "", PO[[#This Row],[Payment date - override (dd/mm/yyyy)]], PO[[#This Row],[Due date (dd/mm/yyyy)]])</f>
        <v>0</v>
      </c>
      <c r="U406" s="46">
        <f t="shared" si="6"/>
        <v>52</v>
      </c>
    </row>
    <row r="407" spans="3:21" x14ac:dyDescent="0.25">
      <c r="C407" s="24"/>
      <c r="D407" s="20"/>
      <c r="E407" s="4"/>
      <c r="F407" s="37"/>
      <c r="G407" s="38"/>
      <c r="H407" s="31">
        <f>_xlfn.XLOOKUP(PO[[#This Row],[Supplier name]], Supplier_master[Supplier name], Supplier_master[Category L1], 0)</f>
        <v>0</v>
      </c>
      <c r="I407" s="31">
        <f>_xlfn.XLOOKUP(PO[[#This Row],[Supplier name]], Supplier_master[Supplier name], Supplier_master[Category L2], 0)</f>
        <v>0</v>
      </c>
      <c r="J407" s="55"/>
      <c r="K407" s="55"/>
      <c r="L407" s="31">
        <f>IF(PO[[#This Row],[Spend category L1 - Override]] &lt;&gt; "", PO[[#This Row],[Spend category L1 - Override]], PO[[#This Row],[Spend category L1]])</f>
        <v>0</v>
      </c>
      <c r="M407" s="31">
        <f>IF(PO[[#This Row],[Spend category L2 - Override]] &lt;&gt; "", PO[[#This Row],[Spend category L2 - Override]], PO[[#This Row],[Spend category L2]])</f>
        <v>0</v>
      </c>
      <c r="N407" s="63">
        <f>Assumptions!$D$15</f>
        <v>0.1</v>
      </c>
      <c r="O407" s="45">
        <f>IF(PO[[#This Row],[GST applies?]] = "Yes", (PO[[#This Row],[Value inc. GST]] / 1 + PO[[#This Row],[GST %]]) * PO[[#This Row],[GST %]], 0)</f>
        <v>0</v>
      </c>
      <c r="P407" s="31">
        <f>_xlfn.XLOOKUP(PO[[#This Row],[Supplier name]], Supplier_master[Supplier name], Supplier_master[EOM or Net], 0)</f>
        <v>0</v>
      </c>
      <c r="Q407" s="31">
        <f>_xlfn.XLOOKUP(PO[[#This Row],[Supplier name]], Supplier_master[Supplier name], Supplier_master[Terms days], 0)</f>
        <v>0</v>
      </c>
      <c r="R4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7" s="4"/>
      <c r="T407" s="46">
        <f>IF(PO[[#This Row],[Payment date - override (dd/mm/yyyy)]] &lt;&gt; "", PO[[#This Row],[Payment date - override (dd/mm/yyyy)]], PO[[#This Row],[Due date (dd/mm/yyyy)]])</f>
        <v>0</v>
      </c>
      <c r="U407" s="46">
        <f t="shared" si="6"/>
        <v>52</v>
      </c>
    </row>
    <row r="408" spans="3:21" x14ac:dyDescent="0.25">
      <c r="C408" s="24"/>
      <c r="D408" s="20"/>
      <c r="E408" s="4"/>
      <c r="F408" s="37"/>
      <c r="G408" s="38"/>
      <c r="H408" s="31">
        <f>_xlfn.XLOOKUP(PO[[#This Row],[Supplier name]], Supplier_master[Supplier name], Supplier_master[Category L1], 0)</f>
        <v>0</v>
      </c>
      <c r="I408" s="31">
        <f>_xlfn.XLOOKUP(PO[[#This Row],[Supplier name]], Supplier_master[Supplier name], Supplier_master[Category L2], 0)</f>
        <v>0</v>
      </c>
      <c r="J408" s="55"/>
      <c r="K408" s="55"/>
      <c r="L408" s="31">
        <f>IF(PO[[#This Row],[Spend category L1 - Override]] &lt;&gt; "", PO[[#This Row],[Spend category L1 - Override]], PO[[#This Row],[Spend category L1]])</f>
        <v>0</v>
      </c>
      <c r="M408" s="31">
        <f>IF(PO[[#This Row],[Spend category L2 - Override]] &lt;&gt; "", PO[[#This Row],[Spend category L2 - Override]], PO[[#This Row],[Spend category L2]])</f>
        <v>0</v>
      </c>
      <c r="N408" s="63">
        <f>Assumptions!$D$15</f>
        <v>0.1</v>
      </c>
      <c r="O408" s="45">
        <f>IF(PO[[#This Row],[GST applies?]] = "Yes", (PO[[#This Row],[Value inc. GST]] / 1 + PO[[#This Row],[GST %]]) * PO[[#This Row],[GST %]], 0)</f>
        <v>0</v>
      </c>
      <c r="P408" s="31">
        <f>_xlfn.XLOOKUP(PO[[#This Row],[Supplier name]], Supplier_master[Supplier name], Supplier_master[EOM or Net], 0)</f>
        <v>0</v>
      </c>
      <c r="Q408" s="31">
        <f>_xlfn.XLOOKUP(PO[[#This Row],[Supplier name]], Supplier_master[Supplier name], Supplier_master[Terms days], 0)</f>
        <v>0</v>
      </c>
      <c r="R4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8" s="4"/>
      <c r="T408" s="46">
        <f>IF(PO[[#This Row],[Payment date - override (dd/mm/yyyy)]] &lt;&gt; "", PO[[#This Row],[Payment date - override (dd/mm/yyyy)]], PO[[#This Row],[Due date (dd/mm/yyyy)]])</f>
        <v>0</v>
      </c>
      <c r="U408" s="46">
        <f t="shared" si="6"/>
        <v>52</v>
      </c>
    </row>
    <row r="409" spans="3:21" x14ac:dyDescent="0.25">
      <c r="C409" s="24"/>
      <c r="D409" s="20"/>
      <c r="E409" s="4"/>
      <c r="F409" s="37"/>
      <c r="G409" s="38"/>
      <c r="H409" s="31">
        <f>_xlfn.XLOOKUP(PO[[#This Row],[Supplier name]], Supplier_master[Supplier name], Supplier_master[Category L1], 0)</f>
        <v>0</v>
      </c>
      <c r="I409" s="31">
        <f>_xlfn.XLOOKUP(PO[[#This Row],[Supplier name]], Supplier_master[Supplier name], Supplier_master[Category L2], 0)</f>
        <v>0</v>
      </c>
      <c r="J409" s="55"/>
      <c r="K409" s="55"/>
      <c r="L409" s="31">
        <f>IF(PO[[#This Row],[Spend category L1 - Override]] &lt;&gt; "", PO[[#This Row],[Spend category L1 - Override]], PO[[#This Row],[Spend category L1]])</f>
        <v>0</v>
      </c>
      <c r="M409" s="31">
        <f>IF(PO[[#This Row],[Spend category L2 - Override]] &lt;&gt; "", PO[[#This Row],[Spend category L2 - Override]], PO[[#This Row],[Spend category L2]])</f>
        <v>0</v>
      </c>
      <c r="N409" s="63">
        <f>Assumptions!$D$15</f>
        <v>0.1</v>
      </c>
      <c r="O409" s="45">
        <f>IF(PO[[#This Row],[GST applies?]] = "Yes", (PO[[#This Row],[Value inc. GST]] / 1 + PO[[#This Row],[GST %]]) * PO[[#This Row],[GST %]], 0)</f>
        <v>0</v>
      </c>
      <c r="P409" s="31">
        <f>_xlfn.XLOOKUP(PO[[#This Row],[Supplier name]], Supplier_master[Supplier name], Supplier_master[EOM or Net], 0)</f>
        <v>0</v>
      </c>
      <c r="Q409" s="31">
        <f>_xlfn.XLOOKUP(PO[[#This Row],[Supplier name]], Supplier_master[Supplier name], Supplier_master[Terms days], 0)</f>
        <v>0</v>
      </c>
      <c r="R4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9" s="4"/>
      <c r="T409" s="46">
        <f>IF(PO[[#This Row],[Payment date - override (dd/mm/yyyy)]] &lt;&gt; "", PO[[#This Row],[Payment date - override (dd/mm/yyyy)]], PO[[#This Row],[Due date (dd/mm/yyyy)]])</f>
        <v>0</v>
      </c>
      <c r="U409" s="46">
        <f t="shared" si="6"/>
        <v>52</v>
      </c>
    </row>
    <row r="410" spans="3:21" x14ac:dyDescent="0.25">
      <c r="C410" s="24"/>
      <c r="D410" s="20"/>
      <c r="E410" s="4"/>
      <c r="F410" s="37"/>
      <c r="G410" s="38"/>
      <c r="H410" s="31">
        <f>_xlfn.XLOOKUP(PO[[#This Row],[Supplier name]], Supplier_master[Supplier name], Supplier_master[Category L1], 0)</f>
        <v>0</v>
      </c>
      <c r="I410" s="31">
        <f>_xlfn.XLOOKUP(PO[[#This Row],[Supplier name]], Supplier_master[Supplier name], Supplier_master[Category L2], 0)</f>
        <v>0</v>
      </c>
      <c r="J410" s="55"/>
      <c r="K410" s="55"/>
      <c r="L410" s="31">
        <f>IF(PO[[#This Row],[Spend category L1 - Override]] &lt;&gt; "", PO[[#This Row],[Spend category L1 - Override]], PO[[#This Row],[Spend category L1]])</f>
        <v>0</v>
      </c>
      <c r="M410" s="31">
        <f>IF(PO[[#This Row],[Spend category L2 - Override]] &lt;&gt; "", PO[[#This Row],[Spend category L2 - Override]], PO[[#This Row],[Spend category L2]])</f>
        <v>0</v>
      </c>
      <c r="N410" s="63">
        <f>Assumptions!$D$15</f>
        <v>0.1</v>
      </c>
      <c r="O410" s="45">
        <f>IF(PO[[#This Row],[GST applies?]] = "Yes", (PO[[#This Row],[Value inc. GST]] / 1 + PO[[#This Row],[GST %]]) * PO[[#This Row],[GST %]], 0)</f>
        <v>0</v>
      </c>
      <c r="P410" s="31">
        <f>_xlfn.XLOOKUP(PO[[#This Row],[Supplier name]], Supplier_master[Supplier name], Supplier_master[EOM or Net], 0)</f>
        <v>0</v>
      </c>
      <c r="Q410" s="31">
        <f>_xlfn.XLOOKUP(PO[[#This Row],[Supplier name]], Supplier_master[Supplier name], Supplier_master[Terms days], 0)</f>
        <v>0</v>
      </c>
      <c r="R4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0" s="4"/>
      <c r="T410" s="46">
        <f>IF(PO[[#This Row],[Payment date - override (dd/mm/yyyy)]] &lt;&gt; "", PO[[#This Row],[Payment date - override (dd/mm/yyyy)]], PO[[#This Row],[Due date (dd/mm/yyyy)]])</f>
        <v>0</v>
      </c>
      <c r="U410" s="46">
        <f t="shared" si="6"/>
        <v>52</v>
      </c>
    </row>
    <row r="411" spans="3:21" x14ac:dyDescent="0.25">
      <c r="C411" s="24"/>
      <c r="D411" s="20"/>
      <c r="E411" s="4"/>
      <c r="F411" s="37"/>
      <c r="G411" s="38"/>
      <c r="H411" s="31">
        <f>_xlfn.XLOOKUP(PO[[#This Row],[Supplier name]], Supplier_master[Supplier name], Supplier_master[Category L1], 0)</f>
        <v>0</v>
      </c>
      <c r="I411" s="31">
        <f>_xlfn.XLOOKUP(PO[[#This Row],[Supplier name]], Supplier_master[Supplier name], Supplier_master[Category L2], 0)</f>
        <v>0</v>
      </c>
      <c r="J411" s="55"/>
      <c r="K411" s="55"/>
      <c r="L411" s="31">
        <f>IF(PO[[#This Row],[Spend category L1 - Override]] &lt;&gt; "", PO[[#This Row],[Spend category L1 - Override]], PO[[#This Row],[Spend category L1]])</f>
        <v>0</v>
      </c>
      <c r="M411" s="31">
        <f>IF(PO[[#This Row],[Spend category L2 - Override]] &lt;&gt; "", PO[[#This Row],[Spend category L2 - Override]], PO[[#This Row],[Spend category L2]])</f>
        <v>0</v>
      </c>
      <c r="N411" s="63">
        <f>Assumptions!$D$15</f>
        <v>0.1</v>
      </c>
      <c r="O411" s="45">
        <f>IF(PO[[#This Row],[GST applies?]] = "Yes", (PO[[#This Row],[Value inc. GST]] / 1 + PO[[#This Row],[GST %]]) * PO[[#This Row],[GST %]], 0)</f>
        <v>0</v>
      </c>
      <c r="P411" s="31">
        <f>_xlfn.XLOOKUP(PO[[#This Row],[Supplier name]], Supplier_master[Supplier name], Supplier_master[EOM or Net], 0)</f>
        <v>0</v>
      </c>
      <c r="Q411" s="31">
        <f>_xlfn.XLOOKUP(PO[[#This Row],[Supplier name]], Supplier_master[Supplier name], Supplier_master[Terms days], 0)</f>
        <v>0</v>
      </c>
      <c r="R4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1" s="4"/>
      <c r="T411" s="46">
        <f>IF(PO[[#This Row],[Payment date - override (dd/mm/yyyy)]] &lt;&gt; "", PO[[#This Row],[Payment date - override (dd/mm/yyyy)]], PO[[#This Row],[Due date (dd/mm/yyyy)]])</f>
        <v>0</v>
      </c>
      <c r="U411" s="46">
        <f t="shared" si="6"/>
        <v>52</v>
      </c>
    </row>
    <row r="412" spans="3:21" x14ac:dyDescent="0.25">
      <c r="C412" s="24"/>
      <c r="D412" s="20"/>
      <c r="E412" s="4"/>
      <c r="F412" s="37"/>
      <c r="G412" s="38"/>
      <c r="H412" s="31">
        <f>_xlfn.XLOOKUP(PO[[#This Row],[Supplier name]], Supplier_master[Supplier name], Supplier_master[Category L1], 0)</f>
        <v>0</v>
      </c>
      <c r="I412" s="31">
        <f>_xlfn.XLOOKUP(PO[[#This Row],[Supplier name]], Supplier_master[Supplier name], Supplier_master[Category L2], 0)</f>
        <v>0</v>
      </c>
      <c r="J412" s="55"/>
      <c r="K412" s="55"/>
      <c r="L412" s="31">
        <f>IF(PO[[#This Row],[Spend category L1 - Override]] &lt;&gt; "", PO[[#This Row],[Spend category L1 - Override]], PO[[#This Row],[Spend category L1]])</f>
        <v>0</v>
      </c>
      <c r="M412" s="31">
        <f>IF(PO[[#This Row],[Spend category L2 - Override]] &lt;&gt; "", PO[[#This Row],[Spend category L2 - Override]], PO[[#This Row],[Spend category L2]])</f>
        <v>0</v>
      </c>
      <c r="N412" s="63">
        <f>Assumptions!$D$15</f>
        <v>0.1</v>
      </c>
      <c r="O412" s="45">
        <f>IF(PO[[#This Row],[GST applies?]] = "Yes", (PO[[#This Row],[Value inc. GST]] / 1 + PO[[#This Row],[GST %]]) * PO[[#This Row],[GST %]], 0)</f>
        <v>0</v>
      </c>
      <c r="P412" s="31">
        <f>_xlfn.XLOOKUP(PO[[#This Row],[Supplier name]], Supplier_master[Supplier name], Supplier_master[EOM or Net], 0)</f>
        <v>0</v>
      </c>
      <c r="Q412" s="31">
        <f>_xlfn.XLOOKUP(PO[[#This Row],[Supplier name]], Supplier_master[Supplier name], Supplier_master[Terms days], 0)</f>
        <v>0</v>
      </c>
      <c r="R4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2" s="4"/>
      <c r="T412" s="46">
        <f>IF(PO[[#This Row],[Payment date - override (dd/mm/yyyy)]] &lt;&gt; "", PO[[#This Row],[Payment date - override (dd/mm/yyyy)]], PO[[#This Row],[Due date (dd/mm/yyyy)]])</f>
        <v>0</v>
      </c>
      <c r="U412" s="46">
        <f t="shared" si="6"/>
        <v>52</v>
      </c>
    </row>
    <row r="413" spans="3:21" x14ac:dyDescent="0.25">
      <c r="C413" s="24"/>
      <c r="D413" s="20"/>
      <c r="E413" s="4"/>
      <c r="F413" s="37"/>
      <c r="G413" s="38"/>
      <c r="H413" s="31">
        <f>_xlfn.XLOOKUP(PO[[#This Row],[Supplier name]], Supplier_master[Supplier name], Supplier_master[Category L1], 0)</f>
        <v>0</v>
      </c>
      <c r="I413" s="31">
        <f>_xlfn.XLOOKUP(PO[[#This Row],[Supplier name]], Supplier_master[Supplier name], Supplier_master[Category L2], 0)</f>
        <v>0</v>
      </c>
      <c r="J413" s="55"/>
      <c r="K413" s="55"/>
      <c r="L413" s="31">
        <f>IF(PO[[#This Row],[Spend category L1 - Override]] &lt;&gt; "", PO[[#This Row],[Spend category L1 - Override]], PO[[#This Row],[Spend category L1]])</f>
        <v>0</v>
      </c>
      <c r="M413" s="31">
        <f>IF(PO[[#This Row],[Spend category L2 - Override]] &lt;&gt; "", PO[[#This Row],[Spend category L2 - Override]], PO[[#This Row],[Spend category L2]])</f>
        <v>0</v>
      </c>
      <c r="N413" s="63">
        <f>Assumptions!$D$15</f>
        <v>0.1</v>
      </c>
      <c r="O413" s="45">
        <f>IF(PO[[#This Row],[GST applies?]] = "Yes", (PO[[#This Row],[Value inc. GST]] / 1 + PO[[#This Row],[GST %]]) * PO[[#This Row],[GST %]], 0)</f>
        <v>0</v>
      </c>
      <c r="P413" s="31">
        <f>_xlfn.XLOOKUP(PO[[#This Row],[Supplier name]], Supplier_master[Supplier name], Supplier_master[EOM or Net], 0)</f>
        <v>0</v>
      </c>
      <c r="Q413" s="31">
        <f>_xlfn.XLOOKUP(PO[[#This Row],[Supplier name]], Supplier_master[Supplier name], Supplier_master[Terms days], 0)</f>
        <v>0</v>
      </c>
      <c r="R4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3" s="4"/>
      <c r="T413" s="46">
        <f>IF(PO[[#This Row],[Payment date - override (dd/mm/yyyy)]] &lt;&gt; "", PO[[#This Row],[Payment date - override (dd/mm/yyyy)]], PO[[#This Row],[Due date (dd/mm/yyyy)]])</f>
        <v>0</v>
      </c>
      <c r="U413" s="46">
        <f t="shared" si="6"/>
        <v>52</v>
      </c>
    </row>
    <row r="414" spans="3:21" x14ac:dyDescent="0.25">
      <c r="C414" s="24"/>
      <c r="D414" s="20"/>
      <c r="E414" s="4"/>
      <c r="F414" s="37"/>
      <c r="G414" s="38"/>
      <c r="H414" s="31">
        <f>_xlfn.XLOOKUP(PO[[#This Row],[Supplier name]], Supplier_master[Supplier name], Supplier_master[Category L1], 0)</f>
        <v>0</v>
      </c>
      <c r="I414" s="31">
        <f>_xlfn.XLOOKUP(PO[[#This Row],[Supplier name]], Supplier_master[Supplier name], Supplier_master[Category L2], 0)</f>
        <v>0</v>
      </c>
      <c r="J414" s="55"/>
      <c r="K414" s="55"/>
      <c r="L414" s="31">
        <f>IF(PO[[#This Row],[Spend category L1 - Override]] &lt;&gt; "", PO[[#This Row],[Spend category L1 - Override]], PO[[#This Row],[Spend category L1]])</f>
        <v>0</v>
      </c>
      <c r="M414" s="31">
        <f>IF(PO[[#This Row],[Spend category L2 - Override]] &lt;&gt; "", PO[[#This Row],[Spend category L2 - Override]], PO[[#This Row],[Spend category L2]])</f>
        <v>0</v>
      </c>
      <c r="N414" s="63">
        <f>Assumptions!$D$15</f>
        <v>0.1</v>
      </c>
      <c r="O414" s="45">
        <f>IF(PO[[#This Row],[GST applies?]] = "Yes", (PO[[#This Row],[Value inc. GST]] / 1 + PO[[#This Row],[GST %]]) * PO[[#This Row],[GST %]], 0)</f>
        <v>0</v>
      </c>
      <c r="P414" s="31">
        <f>_xlfn.XLOOKUP(PO[[#This Row],[Supplier name]], Supplier_master[Supplier name], Supplier_master[EOM or Net], 0)</f>
        <v>0</v>
      </c>
      <c r="Q414" s="31">
        <f>_xlfn.XLOOKUP(PO[[#This Row],[Supplier name]], Supplier_master[Supplier name], Supplier_master[Terms days], 0)</f>
        <v>0</v>
      </c>
      <c r="R4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4" s="4"/>
      <c r="T414" s="46">
        <f>IF(PO[[#This Row],[Payment date - override (dd/mm/yyyy)]] &lt;&gt; "", PO[[#This Row],[Payment date - override (dd/mm/yyyy)]], PO[[#This Row],[Due date (dd/mm/yyyy)]])</f>
        <v>0</v>
      </c>
      <c r="U414" s="46">
        <f t="shared" si="6"/>
        <v>52</v>
      </c>
    </row>
    <row r="415" spans="3:21" x14ac:dyDescent="0.25">
      <c r="C415" s="24"/>
      <c r="D415" s="20"/>
      <c r="E415" s="4"/>
      <c r="F415" s="37"/>
      <c r="G415" s="38"/>
      <c r="H415" s="31">
        <f>_xlfn.XLOOKUP(PO[[#This Row],[Supplier name]], Supplier_master[Supplier name], Supplier_master[Category L1], 0)</f>
        <v>0</v>
      </c>
      <c r="I415" s="31">
        <f>_xlfn.XLOOKUP(PO[[#This Row],[Supplier name]], Supplier_master[Supplier name], Supplier_master[Category L2], 0)</f>
        <v>0</v>
      </c>
      <c r="J415" s="55"/>
      <c r="K415" s="55"/>
      <c r="L415" s="31">
        <f>IF(PO[[#This Row],[Spend category L1 - Override]] &lt;&gt; "", PO[[#This Row],[Spend category L1 - Override]], PO[[#This Row],[Spend category L1]])</f>
        <v>0</v>
      </c>
      <c r="M415" s="31">
        <f>IF(PO[[#This Row],[Spend category L2 - Override]] &lt;&gt; "", PO[[#This Row],[Spend category L2 - Override]], PO[[#This Row],[Spend category L2]])</f>
        <v>0</v>
      </c>
      <c r="N415" s="63">
        <f>Assumptions!$D$15</f>
        <v>0.1</v>
      </c>
      <c r="O415" s="45">
        <f>IF(PO[[#This Row],[GST applies?]] = "Yes", (PO[[#This Row],[Value inc. GST]] / 1 + PO[[#This Row],[GST %]]) * PO[[#This Row],[GST %]], 0)</f>
        <v>0</v>
      </c>
      <c r="P415" s="31">
        <f>_xlfn.XLOOKUP(PO[[#This Row],[Supplier name]], Supplier_master[Supplier name], Supplier_master[EOM or Net], 0)</f>
        <v>0</v>
      </c>
      <c r="Q415" s="31">
        <f>_xlfn.XLOOKUP(PO[[#This Row],[Supplier name]], Supplier_master[Supplier name], Supplier_master[Terms days], 0)</f>
        <v>0</v>
      </c>
      <c r="R4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5" s="4"/>
      <c r="T415" s="46">
        <f>IF(PO[[#This Row],[Payment date - override (dd/mm/yyyy)]] &lt;&gt; "", PO[[#This Row],[Payment date - override (dd/mm/yyyy)]], PO[[#This Row],[Due date (dd/mm/yyyy)]])</f>
        <v>0</v>
      </c>
      <c r="U415" s="46">
        <f t="shared" si="6"/>
        <v>52</v>
      </c>
    </row>
    <row r="416" spans="3:21" x14ac:dyDescent="0.25">
      <c r="C416" s="24"/>
      <c r="D416" s="20"/>
      <c r="E416" s="4"/>
      <c r="F416" s="37"/>
      <c r="G416" s="38"/>
      <c r="H416" s="31">
        <f>_xlfn.XLOOKUP(PO[[#This Row],[Supplier name]], Supplier_master[Supplier name], Supplier_master[Category L1], 0)</f>
        <v>0</v>
      </c>
      <c r="I416" s="31">
        <f>_xlfn.XLOOKUP(PO[[#This Row],[Supplier name]], Supplier_master[Supplier name], Supplier_master[Category L2], 0)</f>
        <v>0</v>
      </c>
      <c r="J416" s="55"/>
      <c r="K416" s="55"/>
      <c r="L416" s="31">
        <f>IF(PO[[#This Row],[Spend category L1 - Override]] &lt;&gt; "", PO[[#This Row],[Spend category L1 - Override]], PO[[#This Row],[Spend category L1]])</f>
        <v>0</v>
      </c>
      <c r="M416" s="31">
        <f>IF(PO[[#This Row],[Spend category L2 - Override]] &lt;&gt; "", PO[[#This Row],[Spend category L2 - Override]], PO[[#This Row],[Spend category L2]])</f>
        <v>0</v>
      </c>
      <c r="N416" s="63">
        <f>Assumptions!$D$15</f>
        <v>0.1</v>
      </c>
      <c r="O416" s="45">
        <f>IF(PO[[#This Row],[GST applies?]] = "Yes", (PO[[#This Row],[Value inc. GST]] / 1 + PO[[#This Row],[GST %]]) * PO[[#This Row],[GST %]], 0)</f>
        <v>0</v>
      </c>
      <c r="P416" s="31">
        <f>_xlfn.XLOOKUP(PO[[#This Row],[Supplier name]], Supplier_master[Supplier name], Supplier_master[EOM or Net], 0)</f>
        <v>0</v>
      </c>
      <c r="Q416" s="31">
        <f>_xlfn.XLOOKUP(PO[[#This Row],[Supplier name]], Supplier_master[Supplier name], Supplier_master[Terms days], 0)</f>
        <v>0</v>
      </c>
      <c r="R4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6" s="4"/>
      <c r="T416" s="46">
        <f>IF(PO[[#This Row],[Payment date - override (dd/mm/yyyy)]] &lt;&gt; "", PO[[#This Row],[Payment date - override (dd/mm/yyyy)]], PO[[#This Row],[Due date (dd/mm/yyyy)]])</f>
        <v>0</v>
      </c>
      <c r="U416" s="46">
        <f t="shared" si="6"/>
        <v>52</v>
      </c>
    </row>
    <row r="417" spans="3:21" x14ac:dyDescent="0.25">
      <c r="C417" s="24"/>
      <c r="D417" s="20"/>
      <c r="E417" s="4"/>
      <c r="F417" s="37"/>
      <c r="G417" s="38"/>
      <c r="H417" s="31">
        <f>_xlfn.XLOOKUP(PO[[#This Row],[Supplier name]], Supplier_master[Supplier name], Supplier_master[Category L1], 0)</f>
        <v>0</v>
      </c>
      <c r="I417" s="31">
        <f>_xlfn.XLOOKUP(PO[[#This Row],[Supplier name]], Supplier_master[Supplier name], Supplier_master[Category L2], 0)</f>
        <v>0</v>
      </c>
      <c r="J417" s="55"/>
      <c r="K417" s="55"/>
      <c r="L417" s="31">
        <f>IF(PO[[#This Row],[Spend category L1 - Override]] &lt;&gt; "", PO[[#This Row],[Spend category L1 - Override]], PO[[#This Row],[Spend category L1]])</f>
        <v>0</v>
      </c>
      <c r="M417" s="31">
        <f>IF(PO[[#This Row],[Spend category L2 - Override]] &lt;&gt; "", PO[[#This Row],[Spend category L2 - Override]], PO[[#This Row],[Spend category L2]])</f>
        <v>0</v>
      </c>
      <c r="N417" s="63">
        <f>Assumptions!$D$15</f>
        <v>0.1</v>
      </c>
      <c r="O417" s="45">
        <f>IF(PO[[#This Row],[GST applies?]] = "Yes", (PO[[#This Row],[Value inc. GST]] / 1 + PO[[#This Row],[GST %]]) * PO[[#This Row],[GST %]], 0)</f>
        <v>0</v>
      </c>
      <c r="P417" s="31">
        <f>_xlfn.XLOOKUP(PO[[#This Row],[Supplier name]], Supplier_master[Supplier name], Supplier_master[EOM or Net], 0)</f>
        <v>0</v>
      </c>
      <c r="Q417" s="31">
        <f>_xlfn.XLOOKUP(PO[[#This Row],[Supplier name]], Supplier_master[Supplier name], Supplier_master[Terms days], 0)</f>
        <v>0</v>
      </c>
      <c r="R4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7" s="4"/>
      <c r="T417" s="46">
        <f>IF(PO[[#This Row],[Payment date - override (dd/mm/yyyy)]] &lt;&gt; "", PO[[#This Row],[Payment date - override (dd/mm/yyyy)]], PO[[#This Row],[Due date (dd/mm/yyyy)]])</f>
        <v>0</v>
      </c>
      <c r="U417" s="46">
        <f t="shared" si="6"/>
        <v>52</v>
      </c>
    </row>
    <row r="418" spans="3:21" x14ac:dyDescent="0.25">
      <c r="C418" s="24"/>
      <c r="D418" s="20"/>
      <c r="E418" s="4"/>
      <c r="F418" s="37"/>
      <c r="G418" s="38"/>
      <c r="H418" s="31">
        <f>_xlfn.XLOOKUP(PO[[#This Row],[Supplier name]], Supplier_master[Supplier name], Supplier_master[Category L1], 0)</f>
        <v>0</v>
      </c>
      <c r="I418" s="31">
        <f>_xlfn.XLOOKUP(PO[[#This Row],[Supplier name]], Supplier_master[Supplier name], Supplier_master[Category L2], 0)</f>
        <v>0</v>
      </c>
      <c r="J418" s="55"/>
      <c r="K418" s="55"/>
      <c r="L418" s="31">
        <f>IF(PO[[#This Row],[Spend category L1 - Override]] &lt;&gt; "", PO[[#This Row],[Spend category L1 - Override]], PO[[#This Row],[Spend category L1]])</f>
        <v>0</v>
      </c>
      <c r="M418" s="31">
        <f>IF(PO[[#This Row],[Spend category L2 - Override]] &lt;&gt; "", PO[[#This Row],[Spend category L2 - Override]], PO[[#This Row],[Spend category L2]])</f>
        <v>0</v>
      </c>
      <c r="N418" s="63">
        <f>Assumptions!$D$15</f>
        <v>0.1</v>
      </c>
      <c r="O418" s="45">
        <f>IF(PO[[#This Row],[GST applies?]] = "Yes", (PO[[#This Row],[Value inc. GST]] / 1 + PO[[#This Row],[GST %]]) * PO[[#This Row],[GST %]], 0)</f>
        <v>0</v>
      </c>
      <c r="P418" s="31">
        <f>_xlfn.XLOOKUP(PO[[#This Row],[Supplier name]], Supplier_master[Supplier name], Supplier_master[EOM or Net], 0)</f>
        <v>0</v>
      </c>
      <c r="Q418" s="31">
        <f>_xlfn.XLOOKUP(PO[[#This Row],[Supplier name]], Supplier_master[Supplier name], Supplier_master[Terms days], 0)</f>
        <v>0</v>
      </c>
      <c r="R4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8" s="4"/>
      <c r="T418" s="46">
        <f>IF(PO[[#This Row],[Payment date - override (dd/mm/yyyy)]] &lt;&gt; "", PO[[#This Row],[Payment date - override (dd/mm/yyyy)]], PO[[#This Row],[Due date (dd/mm/yyyy)]])</f>
        <v>0</v>
      </c>
      <c r="U418" s="46">
        <f t="shared" si="6"/>
        <v>52</v>
      </c>
    </row>
    <row r="419" spans="3:21" x14ac:dyDescent="0.25">
      <c r="C419" s="24"/>
      <c r="D419" s="20"/>
      <c r="E419" s="4"/>
      <c r="F419" s="37"/>
      <c r="G419" s="38"/>
      <c r="H419" s="31">
        <f>_xlfn.XLOOKUP(PO[[#This Row],[Supplier name]], Supplier_master[Supplier name], Supplier_master[Category L1], 0)</f>
        <v>0</v>
      </c>
      <c r="I419" s="31">
        <f>_xlfn.XLOOKUP(PO[[#This Row],[Supplier name]], Supplier_master[Supplier name], Supplier_master[Category L2], 0)</f>
        <v>0</v>
      </c>
      <c r="J419" s="55"/>
      <c r="K419" s="55"/>
      <c r="L419" s="31">
        <f>IF(PO[[#This Row],[Spend category L1 - Override]] &lt;&gt; "", PO[[#This Row],[Spend category L1 - Override]], PO[[#This Row],[Spend category L1]])</f>
        <v>0</v>
      </c>
      <c r="M419" s="31">
        <f>IF(PO[[#This Row],[Spend category L2 - Override]] &lt;&gt; "", PO[[#This Row],[Spend category L2 - Override]], PO[[#This Row],[Spend category L2]])</f>
        <v>0</v>
      </c>
      <c r="N419" s="63">
        <f>Assumptions!$D$15</f>
        <v>0.1</v>
      </c>
      <c r="O419" s="45">
        <f>IF(PO[[#This Row],[GST applies?]] = "Yes", (PO[[#This Row],[Value inc. GST]] / 1 + PO[[#This Row],[GST %]]) * PO[[#This Row],[GST %]], 0)</f>
        <v>0</v>
      </c>
      <c r="P419" s="31">
        <f>_xlfn.XLOOKUP(PO[[#This Row],[Supplier name]], Supplier_master[Supplier name], Supplier_master[EOM or Net], 0)</f>
        <v>0</v>
      </c>
      <c r="Q419" s="31">
        <f>_xlfn.XLOOKUP(PO[[#This Row],[Supplier name]], Supplier_master[Supplier name], Supplier_master[Terms days], 0)</f>
        <v>0</v>
      </c>
      <c r="R4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9" s="4"/>
      <c r="T419" s="46">
        <f>IF(PO[[#This Row],[Payment date - override (dd/mm/yyyy)]] &lt;&gt; "", PO[[#This Row],[Payment date - override (dd/mm/yyyy)]], PO[[#This Row],[Due date (dd/mm/yyyy)]])</f>
        <v>0</v>
      </c>
      <c r="U419" s="46">
        <f t="shared" si="6"/>
        <v>52</v>
      </c>
    </row>
    <row r="420" spans="3:21" x14ac:dyDescent="0.25">
      <c r="C420" s="24"/>
      <c r="D420" s="20"/>
      <c r="E420" s="4"/>
      <c r="F420" s="37"/>
      <c r="G420" s="38"/>
      <c r="H420" s="31">
        <f>_xlfn.XLOOKUP(PO[[#This Row],[Supplier name]], Supplier_master[Supplier name], Supplier_master[Category L1], 0)</f>
        <v>0</v>
      </c>
      <c r="I420" s="31">
        <f>_xlfn.XLOOKUP(PO[[#This Row],[Supplier name]], Supplier_master[Supplier name], Supplier_master[Category L2], 0)</f>
        <v>0</v>
      </c>
      <c r="J420" s="55"/>
      <c r="K420" s="55"/>
      <c r="L420" s="31">
        <f>IF(PO[[#This Row],[Spend category L1 - Override]] &lt;&gt; "", PO[[#This Row],[Spend category L1 - Override]], PO[[#This Row],[Spend category L1]])</f>
        <v>0</v>
      </c>
      <c r="M420" s="31">
        <f>IF(PO[[#This Row],[Spend category L2 - Override]] &lt;&gt; "", PO[[#This Row],[Spend category L2 - Override]], PO[[#This Row],[Spend category L2]])</f>
        <v>0</v>
      </c>
      <c r="N420" s="63">
        <f>Assumptions!$D$15</f>
        <v>0.1</v>
      </c>
      <c r="O420" s="45">
        <f>IF(PO[[#This Row],[GST applies?]] = "Yes", (PO[[#This Row],[Value inc. GST]] / 1 + PO[[#This Row],[GST %]]) * PO[[#This Row],[GST %]], 0)</f>
        <v>0</v>
      </c>
      <c r="P420" s="31">
        <f>_xlfn.XLOOKUP(PO[[#This Row],[Supplier name]], Supplier_master[Supplier name], Supplier_master[EOM or Net], 0)</f>
        <v>0</v>
      </c>
      <c r="Q420" s="31">
        <f>_xlfn.XLOOKUP(PO[[#This Row],[Supplier name]], Supplier_master[Supplier name], Supplier_master[Terms days], 0)</f>
        <v>0</v>
      </c>
      <c r="R4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0" s="4"/>
      <c r="T420" s="46">
        <f>IF(PO[[#This Row],[Payment date - override (dd/mm/yyyy)]] &lt;&gt; "", PO[[#This Row],[Payment date - override (dd/mm/yyyy)]], PO[[#This Row],[Due date (dd/mm/yyyy)]])</f>
        <v>0</v>
      </c>
      <c r="U420" s="46">
        <f t="shared" si="6"/>
        <v>52</v>
      </c>
    </row>
    <row r="421" spans="3:21" x14ac:dyDescent="0.25">
      <c r="C421" s="24"/>
      <c r="D421" s="20"/>
      <c r="E421" s="4"/>
      <c r="F421" s="37"/>
      <c r="G421" s="38"/>
      <c r="H421" s="31">
        <f>_xlfn.XLOOKUP(PO[[#This Row],[Supplier name]], Supplier_master[Supplier name], Supplier_master[Category L1], 0)</f>
        <v>0</v>
      </c>
      <c r="I421" s="31">
        <f>_xlfn.XLOOKUP(PO[[#This Row],[Supplier name]], Supplier_master[Supplier name], Supplier_master[Category L2], 0)</f>
        <v>0</v>
      </c>
      <c r="J421" s="55"/>
      <c r="K421" s="55"/>
      <c r="L421" s="31">
        <f>IF(PO[[#This Row],[Spend category L1 - Override]] &lt;&gt; "", PO[[#This Row],[Spend category L1 - Override]], PO[[#This Row],[Spend category L1]])</f>
        <v>0</v>
      </c>
      <c r="M421" s="31">
        <f>IF(PO[[#This Row],[Spend category L2 - Override]] &lt;&gt; "", PO[[#This Row],[Spend category L2 - Override]], PO[[#This Row],[Spend category L2]])</f>
        <v>0</v>
      </c>
      <c r="N421" s="63">
        <f>Assumptions!$D$15</f>
        <v>0.1</v>
      </c>
      <c r="O421" s="45">
        <f>IF(PO[[#This Row],[GST applies?]] = "Yes", (PO[[#This Row],[Value inc. GST]] / 1 + PO[[#This Row],[GST %]]) * PO[[#This Row],[GST %]], 0)</f>
        <v>0</v>
      </c>
      <c r="P421" s="31">
        <f>_xlfn.XLOOKUP(PO[[#This Row],[Supplier name]], Supplier_master[Supplier name], Supplier_master[EOM or Net], 0)</f>
        <v>0</v>
      </c>
      <c r="Q421" s="31">
        <f>_xlfn.XLOOKUP(PO[[#This Row],[Supplier name]], Supplier_master[Supplier name], Supplier_master[Terms days], 0)</f>
        <v>0</v>
      </c>
      <c r="R4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1" s="4"/>
      <c r="T421" s="46">
        <f>IF(PO[[#This Row],[Payment date - override (dd/mm/yyyy)]] &lt;&gt; "", PO[[#This Row],[Payment date - override (dd/mm/yyyy)]], PO[[#This Row],[Due date (dd/mm/yyyy)]])</f>
        <v>0</v>
      </c>
      <c r="U421" s="46">
        <f t="shared" si="6"/>
        <v>52</v>
      </c>
    </row>
    <row r="422" spans="3:21" x14ac:dyDescent="0.25">
      <c r="C422" s="24"/>
      <c r="D422" s="20"/>
      <c r="E422" s="4"/>
      <c r="F422" s="37"/>
      <c r="G422" s="38"/>
      <c r="H422" s="31">
        <f>_xlfn.XLOOKUP(PO[[#This Row],[Supplier name]], Supplier_master[Supplier name], Supplier_master[Category L1], 0)</f>
        <v>0</v>
      </c>
      <c r="I422" s="31">
        <f>_xlfn.XLOOKUP(PO[[#This Row],[Supplier name]], Supplier_master[Supplier name], Supplier_master[Category L2], 0)</f>
        <v>0</v>
      </c>
      <c r="J422" s="55"/>
      <c r="K422" s="55"/>
      <c r="L422" s="31">
        <f>IF(PO[[#This Row],[Spend category L1 - Override]] &lt;&gt; "", PO[[#This Row],[Spend category L1 - Override]], PO[[#This Row],[Spend category L1]])</f>
        <v>0</v>
      </c>
      <c r="M422" s="31">
        <f>IF(PO[[#This Row],[Spend category L2 - Override]] &lt;&gt; "", PO[[#This Row],[Spend category L2 - Override]], PO[[#This Row],[Spend category L2]])</f>
        <v>0</v>
      </c>
      <c r="N422" s="63">
        <f>Assumptions!$D$15</f>
        <v>0.1</v>
      </c>
      <c r="O422" s="45">
        <f>IF(PO[[#This Row],[GST applies?]] = "Yes", (PO[[#This Row],[Value inc. GST]] / 1 + PO[[#This Row],[GST %]]) * PO[[#This Row],[GST %]], 0)</f>
        <v>0</v>
      </c>
      <c r="P422" s="31">
        <f>_xlfn.XLOOKUP(PO[[#This Row],[Supplier name]], Supplier_master[Supplier name], Supplier_master[EOM or Net], 0)</f>
        <v>0</v>
      </c>
      <c r="Q422" s="31">
        <f>_xlfn.XLOOKUP(PO[[#This Row],[Supplier name]], Supplier_master[Supplier name], Supplier_master[Terms days], 0)</f>
        <v>0</v>
      </c>
      <c r="R4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2" s="4"/>
      <c r="T422" s="46">
        <f>IF(PO[[#This Row],[Payment date - override (dd/mm/yyyy)]] &lt;&gt; "", PO[[#This Row],[Payment date - override (dd/mm/yyyy)]], PO[[#This Row],[Due date (dd/mm/yyyy)]])</f>
        <v>0</v>
      </c>
      <c r="U422" s="46">
        <f t="shared" si="6"/>
        <v>52</v>
      </c>
    </row>
    <row r="423" spans="3:21" x14ac:dyDescent="0.25">
      <c r="C423" s="24"/>
      <c r="D423" s="20"/>
      <c r="E423" s="4"/>
      <c r="F423" s="37"/>
      <c r="G423" s="38"/>
      <c r="H423" s="31">
        <f>_xlfn.XLOOKUP(PO[[#This Row],[Supplier name]], Supplier_master[Supplier name], Supplier_master[Category L1], 0)</f>
        <v>0</v>
      </c>
      <c r="I423" s="31">
        <f>_xlfn.XLOOKUP(PO[[#This Row],[Supplier name]], Supplier_master[Supplier name], Supplier_master[Category L2], 0)</f>
        <v>0</v>
      </c>
      <c r="J423" s="55"/>
      <c r="K423" s="55"/>
      <c r="L423" s="31">
        <f>IF(PO[[#This Row],[Spend category L1 - Override]] &lt;&gt; "", PO[[#This Row],[Spend category L1 - Override]], PO[[#This Row],[Spend category L1]])</f>
        <v>0</v>
      </c>
      <c r="M423" s="31">
        <f>IF(PO[[#This Row],[Spend category L2 - Override]] &lt;&gt; "", PO[[#This Row],[Spend category L2 - Override]], PO[[#This Row],[Spend category L2]])</f>
        <v>0</v>
      </c>
      <c r="N423" s="63">
        <f>Assumptions!$D$15</f>
        <v>0.1</v>
      </c>
      <c r="O423" s="45">
        <f>IF(PO[[#This Row],[GST applies?]] = "Yes", (PO[[#This Row],[Value inc. GST]] / 1 + PO[[#This Row],[GST %]]) * PO[[#This Row],[GST %]], 0)</f>
        <v>0</v>
      </c>
      <c r="P423" s="31">
        <f>_xlfn.XLOOKUP(PO[[#This Row],[Supplier name]], Supplier_master[Supplier name], Supplier_master[EOM or Net], 0)</f>
        <v>0</v>
      </c>
      <c r="Q423" s="31">
        <f>_xlfn.XLOOKUP(PO[[#This Row],[Supplier name]], Supplier_master[Supplier name], Supplier_master[Terms days], 0)</f>
        <v>0</v>
      </c>
      <c r="R4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3" s="4"/>
      <c r="T423" s="46">
        <f>IF(PO[[#This Row],[Payment date - override (dd/mm/yyyy)]] &lt;&gt; "", PO[[#This Row],[Payment date - override (dd/mm/yyyy)]], PO[[#This Row],[Due date (dd/mm/yyyy)]])</f>
        <v>0</v>
      </c>
      <c r="U423" s="46">
        <f t="shared" si="6"/>
        <v>52</v>
      </c>
    </row>
    <row r="424" spans="3:21" x14ac:dyDescent="0.25">
      <c r="C424" s="24"/>
      <c r="D424" s="20"/>
      <c r="E424" s="4"/>
      <c r="F424" s="37"/>
      <c r="G424" s="38"/>
      <c r="H424" s="31">
        <f>_xlfn.XLOOKUP(PO[[#This Row],[Supplier name]], Supplier_master[Supplier name], Supplier_master[Category L1], 0)</f>
        <v>0</v>
      </c>
      <c r="I424" s="31">
        <f>_xlfn.XLOOKUP(PO[[#This Row],[Supplier name]], Supplier_master[Supplier name], Supplier_master[Category L2], 0)</f>
        <v>0</v>
      </c>
      <c r="J424" s="55"/>
      <c r="K424" s="55"/>
      <c r="L424" s="31">
        <f>IF(PO[[#This Row],[Spend category L1 - Override]] &lt;&gt; "", PO[[#This Row],[Spend category L1 - Override]], PO[[#This Row],[Spend category L1]])</f>
        <v>0</v>
      </c>
      <c r="M424" s="31">
        <f>IF(PO[[#This Row],[Spend category L2 - Override]] &lt;&gt; "", PO[[#This Row],[Spend category L2 - Override]], PO[[#This Row],[Spend category L2]])</f>
        <v>0</v>
      </c>
      <c r="N424" s="63">
        <f>Assumptions!$D$15</f>
        <v>0.1</v>
      </c>
      <c r="O424" s="45">
        <f>IF(PO[[#This Row],[GST applies?]] = "Yes", (PO[[#This Row],[Value inc. GST]] / 1 + PO[[#This Row],[GST %]]) * PO[[#This Row],[GST %]], 0)</f>
        <v>0</v>
      </c>
      <c r="P424" s="31">
        <f>_xlfn.XLOOKUP(PO[[#This Row],[Supplier name]], Supplier_master[Supplier name], Supplier_master[EOM or Net], 0)</f>
        <v>0</v>
      </c>
      <c r="Q424" s="31">
        <f>_xlfn.XLOOKUP(PO[[#This Row],[Supplier name]], Supplier_master[Supplier name], Supplier_master[Terms days], 0)</f>
        <v>0</v>
      </c>
      <c r="R4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4" s="4"/>
      <c r="T424" s="46">
        <f>IF(PO[[#This Row],[Payment date - override (dd/mm/yyyy)]] &lt;&gt; "", PO[[#This Row],[Payment date - override (dd/mm/yyyy)]], PO[[#This Row],[Due date (dd/mm/yyyy)]])</f>
        <v>0</v>
      </c>
      <c r="U424" s="46">
        <f t="shared" si="6"/>
        <v>52</v>
      </c>
    </row>
    <row r="425" spans="3:21" x14ac:dyDescent="0.25">
      <c r="C425" s="24"/>
      <c r="D425" s="20"/>
      <c r="E425" s="4"/>
      <c r="F425" s="37"/>
      <c r="G425" s="38"/>
      <c r="H425" s="31">
        <f>_xlfn.XLOOKUP(PO[[#This Row],[Supplier name]], Supplier_master[Supplier name], Supplier_master[Category L1], 0)</f>
        <v>0</v>
      </c>
      <c r="I425" s="31">
        <f>_xlfn.XLOOKUP(PO[[#This Row],[Supplier name]], Supplier_master[Supplier name], Supplier_master[Category L2], 0)</f>
        <v>0</v>
      </c>
      <c r="J425" s="55"/>
      <c r="K425" s="55"/>
      <c r="L425" s="31">
        <f>IF(PO[[#This Row],[Spend category L1 - Override]] &lt;&gt; "", PO[[#This Row],[Spend category L1 - Override]], PO[[#This Row],[Spend category L1]])</f>
        <v>0</v>
      </c>
      <c r="M425" s="31">
        <f>IF(PO[[#This Row],[Spend category L2 - Override]] &lt;&gt; "", PO[[#This Row],[Spend category L2 - Override]], PO[[#This Row],[Spend category L2]])</f>
        <v>0</v>
      </c>
      <c r="N425" s="63">
        <f>Assumptions!$D$15</f>
        <v>0.1</v>
      </c>
      <c r="O425" s="45">
        <f>IF(PO[[#This Row],[GST applies?]] = "Yes", (PO[[#This Row],[Value inc. GST]] / 1 + PO[[#This Row],[GST %]]) * PO[[#This Row],[GST %]], 0)</f>
        <v>0</v>
      </c>
      <c r="P425" s="31">
        <f>_xlfn.XLOOKUP(PO[[#This Row],[Supplier name]], Supplier_master[Supplier name], Supplier_master[EOM or Net], 0)</f>
        <v>0</v>
      </c>
      <c r="Q425" s="31">
        <f>_xlfn.XLOOKUP(PO[[#This Row],[Supplier name]], Supplier_master[Supplier name], Supplier_master[Terms days], 0)</f>
        <v>0</v>
      </c>
      <c r="R4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5" s="4"/>
      <c r="T425" s="46">
        <f>IF(PO[[#This Row],[Payment date - override (dd/mm/yyyy)]] &lt;&gt; "", PO[[#This Row],[Payment date - override (dd/mm/yyyy)]], PO[[#This Row],[Due date (dd/mm/yyyy)]])</f>
        <v>0</v>
      </c>
      <c r="U425" s="46">
        <f t="shared" si="6"/>
        <v>52</v>
      </c>
    </row>
    <row r="426" spans="3:21" x14ac:dyDescent="0.25">
      <c r="C426" s="24"/>
      <c r="D426" s="20"/>
      <c r="E426" s="4"/>
      <c r="F426" s="37"/>
      <c r="G426" s="38"/>
      <c r="H426" s="31">
        <f>_xlfn.XLOOKUP(PO[[#This Row],[Supplier name]], Supplier_master[Supplier name], Supplier_master[Category L1], 0)</f>
        <v>0</v>
      </c>
      <c r="I426" s="31">
        <f>_xlfn.XLOOKUP(PO[[#This Row],[Supplier name]], Supplier_master[Supplier name], Supplier_master[Category L2], 0)</f>
        <v>0</v>
      </c>
      <c r="J426" s="55"/>
      <c r="K426" s="55"/>
      <c r="L426" s="31">
        <f>IF(PO[[#This Row],[Spend category L1 - Override]] &lt;&gt; "", PO[[#This Row],[Spend category L1 - Override]], PO[[#This Row],[Spend category L1]])</f>
        <v>0</v>
      </c>
      <c r="M426" s="31">
        <f>IF(PO[[#This Row],[Spend category L2 - Override]] &lt;&gt; "", PO[[#This Row],[Spend category L2 - Override]], PO[[#This Row],[Spend category L2]])</f>
        <v>0</v>
      </c>
      <c r="N426" s="63">
        <f>Assumptions!$D$15</f>
        <v>0.1</v>
      </c>
      <c r="O426" s="45">
        <f>IF(PO[[#This Row],[GST applies?]] = "Yes", (PO[[#This Row],[Value inc. GST]] / 1 + PO[[#This Row],[GST %]]) * PO[[#This Row],[GST %]], 0)</f>
        <v>0</v>
      </c>
      <c r="P426" s="31">
        <f>_xlfn.XLOOKUP(PO[[#This Row],[Supplier name]], Supplier_master[Supplier name], Supplier_master[EOM or Net], 0)</f>
        <v>0</v>
      </c>
      <c r="Q426" s="31">
        <f>_xlfn.XLOOKUP(PO[[#This Row],[Supplier name]], Supplier_master[Supplier name], Supplier_master[Terms days], 0)</f>
        <v>0</v>
      </c>
      <c r="R4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6" s="4"/>
      <c r="T426" s="46">
        <f>IF(PO[[#This Row],[Payment date - override (dd/mm/yyyy)]] &lt;&gt; "", PO[[#This Row],[Payment date - override (dd/mm/yyyy)]], PO[[#This Row],[Due date (dd/mm/yyyy)]])</f>
        <v>0</v>
      </c>
      <c r="U426" s="46">
        <f t="shared" si="6"/>
        <v>52</v>
      </c>
    </row>
    <row r="427" spans="3:21" x14ac:dyDescent="0.25">
      <c r="C427" s="24"/>
      <c r="D427" s="20"/>
      <c r="E427" s="4"/>
      <c r="F427" s="37"/>
      <c r="G427" s="38"/>
      <c r="H427" s="31">
        <f>_xlfn.XLOOKUP(PO[[#This Row],[Supplier name]], Supplier_master[Supplier name], Supplier_master[Category L1], 0)</f>
        <v>0</v>
      </c>
      <c r="I427" s="31">
        <f>_xlfn.XLOOKUP(PO[[#This Row],[Supplier name]], Supplier_master[Supplier name], Supplier_master[Category L2], 0)</f>
        <v>0</v>
      </c>
      <c r="J427" s="55"/>
      <c r="K427" s="55"/>
      <c r="L427" s="31">
        <f>IF(PO[[#This Row],[Spend category L1 - Override]] &lt;&gt; "", PO[[#This Row],[Spend category L1 - Override]], PO[[#This Row],[Spend category L1]])</f>
        <v>0</v>
      </c>
      <c r="M427" s="31">
        <f>IF(PO[[#This Row],[Spend category L2 - Override]] &lt;&gt; "", PO[[#This Row],[Spend category L2 - Override]], PO[[#This Row],[Spend category L2]])</f>
        <v>0</v>
      </c>
      <c r="N427" s="63">
        <f>Assumptions!$D$15</f>
        <v>0.1</v>
      </c>
      <c r="O427" s="45">
        <f>IF(PO[[#This Row],[GST applies?]] = "Yes", (PO[[#This Row],[Value inc. GST]] / 1 + PO[[#This Row],[GST %]]) * PO[[#This Row],[GST %]], 0)</f>
        <v>0</v>
      </c>
      <c r="P427" s="31">
        <f>_xlfn.XLOOKUP(PO[[#This Row],[Supplier name]], Supplier_master[Supplier name], Supplier_master[EOM or Net], 0)</f>
        <v>0</v>
      </c>
      <c r="Q427" s="31">
        <f>_xlfn.XLOOKUP(PO[[#This Row],[Supplier name]], Supplier_master[Supplier name], Supplier_master[Terms days], 0)</f>
        <v>0</v>
      </c>
      <c r="R4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7" s="4"/>
      <c r="T427" s="46">
        <f>IF(PO[[#This Row],[Payment date - override (dd/mm/yyyy)]] &lt;&gt; "", PO[[#This Row],[Payment date - override (dd/mm/yyyy)]], PO[[#This Row],[Due date (dd/mm/yyyy)]])</f>
        <v>0</v>
      </c>
      <c r="U427" s="46">
        <f t="shared" si="6"/>
        <v>52</v>
      </c>
    </row>
    <row r="428" spans="3:21" x14ac:dyDescent="0.25">
      <c r="C428" s="24"/>
      <c r="D428" s="20"/>
      <c r="E428" s="4"/>
      <c r="F428" s="37"/>
      <c r="G428" s="38"/>
      <c r="H428" s="31">
        <f>_xlfn.XLOOKUP(PO[[#This Row],[Supplier name]], Supplier_master[Supplier name], Supplier_master[Category L1], 0)</f>
        <v>0</v>
      </c>
      <c r="I428" s="31">
        <f>_xlfn.XLOOKUP(PO[[#This Row],[Supplier name]], Supplier_master[Supplier name], Supplier_master[Category L2], 0)</f>
        <v>0</v>
      </c>
      <c r="J428" s="55"/>
      <c r="K428" s="55"/>
      <c r="L428" s="31">
        <f>IF(PO[[#This Row],[Spend category L1 - Override]] &lt;&gt; "", PO[[#This Row],[Spend category L1 - Override]], PO[[#This Row],[Spend category L1]])</f>
        <v>0</v>
      </c>
      <c r="M428" s="31">
        <f>IF(PO[[#This Row],[Spend category L2 - Override]] &lt;&gt; "", PO[[#This Row],[Spend category L2 - Override]], PO[[#This Row],[Spend category L2]])</f>
        <v>0</v>
      </c>
      <c r="N428" s="63">
        <f>Assumptions!$D$15</f>
        <v>0.1</v>
      </c>
      <c r="O428" s="45">
        <f>IF(PO[[#This Row],[GST applies?]] = "Yes", (PO[[#This Row],[Value inc. GST]] / 1 + PO[[#This Row],[GST %]]) * PO[[#This Row],[GST %]], 0)</f>
        <v>0</v>
      </c>
      <c r="P428" s="31">
        <f>_xlfn.XLOOKUP(PO[[#This Row],[Supplier name]], Supplier_master[Supplier name], Supplier_master[EOM or Net], 0)</f>
        <v>0</v>
      </c>
      <c r="Q428" s="31">
        <f>_xlfn.XLOOKUP(PO[[#This Row],[Supplier name]], Supplier_master[Supplier name], Supplier_master[Terms days], 0)</f>
        <v>0</v>
      </c>
      <c r="R4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8" s="4"/>
      <c r="T428" s="46">
        <f>IF(PO[[#This Row],[Payment date - override (dd/mm/yyyy)]] &lt;&gt; "", PO[[#This Row],[Payment date - override (dd/mm/yyyy)]], PO[[#This Row],[Due date (dd/mm/yyyy)]])</f>
        <v>0</v>
      </c>
      <c r="U428" s="46">
        <f t="shared" si="6"/>
        <v>52</v>
      </c>
    </row>
    <row r="429" spans="3:21" x14ac:dyDescent="0.25">
      <c r="C429" s="24"/>
      <c r="D429" s="20"/>
      <c r="E429" s="4"/>
      <c r="F429" s="37"/>
      <c r="G429" s="38"/>
      <c r="H429" s="31">
        <f>_xlfn.XLOOKUP(PO[[#This Row],[Supplier name]], Supplier_master[Supplier name], Supplier_master[Category L1], 0)</f>
        <v>0</v>
      </c>
      <c r="I429" s="31">
        <f>_xlfn.XLOOKUP(PO[[#This Row],[Supplier name]], Supplier_master[Supplier name], Supplier_master[Category L2], 0)</f>
        <v>0</v>
      </c>
      <c r="J429" s="55"/>
      <c r="K429" s="55"/>
      <c r="L429" s="31">
        <f>IF(PO[[#This Row],[Spend category L1 - Override]] &lt;&gt; "", PO[[#This Row],[Spend category L1 - Override]], PO[[#This Row],[Spend category L1]])</f>
        <v>0</v>
      </c>
      <c r="M429" s="31">
        <f>IF(PO[[#This Row],[Spend category L2 - Override]] &lt;&gt; "", PO[[#This Row],[Spend category L2 - Override]], PO[[#This Row],[Spend category L2]])</f>
        <v>0</v>
      </c>
      <c r="N429" s="63">
        <f>Assumptions!$D$15</f>
        <v>0.1</v>
      </c>
      <c r="O429" s="45">
        <f>IF(PO[[#This Row],[GST applies?]] = "Yes", (PO[[#This Row],[Value inc. GST]] / 1 + PO[[#This Row],[GST %]]) * PO[[#This Row],[GST %]], 0)</f>
        <v>0</v>
      </c>
      <c r="P429" s="31">
        <f>_xlfn.XLOOKUP(PO[[#This Row],[Supplier name]], Supplier_master[Supplier name], Supplier_master[EOM or Net], 0)</f>
        <v>0</v>
      </c>
      <c r="Q429" s="31">
        <f>_xlfn.XLOOKUP(PO[[#This Row],[Supplier name]], Supplier_master[Supplier name], Supplier_master[Terms days], 0)</f>
        <v>0</v>
      </c>
      <c r="R4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9" s="4"/>
      <c r="T429" s="46">
        <f>IF(PO[[#This Row],[Payment date - override (dd/mm/yyyy)]] &lt;&gt; "", PO[[#This Row],[Payment date - override (dd/mm/yyyy)]], PO[[#This Row],[Due date (dd/mm/yyyy)]])</f>
        <v>0</v>
      </c>
      <c r="U429" s="46">
        <f t="shared" si="6"/>
        <v>52</v>
      </c>
    </row>
    <row r="430" spans="3:21" x14ac:dyDescent="0.25">
      <c r="C430" s="24"/>
      <c r="D430" s="20"/>
      <c r="E430" s="4"/>
      <c r="F430" s="37"/>
      <c r="G430" s="38"/>
      <c r="H430" s="31">
        <f>_xlfn.XLOOKUP(PO[[#This Row],[Supplier name]], Supplier_master[Supplier name], Supplier_master[Category L1], 0)</f>
        <v>0</v>
      </c>
      <c r="I430" s="31">
        <f>_xlfn.XLOOKUP(PO[[#This Row],[Supplier name]], Supplier_master[Supplier name], Supplier_master[Category L2], 0)</f>
        <v>0</v>
      </c>
      <c r="J430" s="55"/>
      <c r="K430" s="55"/>
      <c r="L430" s="31">
        <f>IF(PO[[#This Row],[Spend category L1 - Override]] &lt;&gt; "", PO[[#This Row],[Spend category L1 - Override]], PO[[#This Row],[Spend category L1]])</f>
        <v>0</v>
      </c>
      <c r="M430" s="31">
        <f>IF(PO[[#This Row],[Spend category L2 - Override]] &lt;&gt; "", PO[[#This Row],[Spend category L2 - Override]], PO[[#This Row],[Spend category L2]])</f>
        <v>0</v>
      </c>
      <c r="N430" s="63">
        <f>Assumptions!$D$15</f>
        <v>0.1</v>
      </c>
      <c r="O430" s="45">
        <f>IF(PO[[#This Row],[GST applies?]] = "Yes", (PO[[#This Row],[Value inc. GST]] / 1 + PO[[#This Row],[GST %]]) * PO[[#This Row],[GST %]], 0)</f>
        <v>0</v>
      </c>
      <c r="P430" s="31">
        <f>_xlfn.XLOOKUP(PO[[#This Row],[Supplier name]], Supplier_master[Supplier name], Supplier_master[EOM or Net], 0)</f>
        <v>0</v>
      </c>
      <c r="Q430" s="31">
        <f>_xlfn.XLOOKUP(PO[[#This Row],[Supplier name]], Supplier_master[Supplier name], Supplier_master[Terms days], 0)</f>
        <v>0</v>
      </c>
      <c r="R4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0" s="4"/>
      <c r="T430" s="46">
        <f>IF(PO[[#This Row],[Payment date - override (dd/mm/yyyy)]] &lt;&gt; "", PO[[#This Row],[Payment date - override (dd/mm/yyyy)]], PO[[#This Row],[Due date (dd/mm/yyyy)]])</f>
        <v>0</v>
      </c>
      <c r="U430" s="46">
        <f t="shared" si="6"/>
        <v>52</v>
      </c>
    </row>
    <row r="431" spans="3:21" x14ac:dyDescent="0.25">
      <c r="C431" s="24"/>
      <c r="D431" s="20"/>
      <c r="E431" s="4"/>
      <c r="F431" s="37"/>
      <c r="G431" s="38"/>
      <c r="H431" s="31">
        <f>_xlfn.XLOOKUP(PO[[#This Row],[Supplier name]], Supplier_master[Supplier name], Supplier_master[Category L1], 0)</f>
        <v>0</v>
      </c>
      <c r="I431" s="31">
        <f>_xlfn.XLOOKUP(PO[[#This Row],[Supplier name]], Supplier_master[Supplier name], Supplier_master[Category L2], 0)</f>
        <v>0</v>
      </c>
      <c r="J431" s="55"/>
      <c r="K431" s="55"/>
      <c r="L431" s="31">
        <f>IF(PO[[#This Row],[Spend category L1 - Override]] &lt;&gt; "", PO[[#This Row],[Spend category L1 - Override]], PO[[#This Row],[Spend category L1]])</f>
        <v>0</v>
      </c>
      <c r="M431" s="31">
        <f>IF(PO[[#This Row],[Spend category L2 - Override]] &lt;&gt; "", PO[[#This Row],[Spend category L2 - Override]], PO[[#This Row],[Spend category L2]])</f>
        <v>0</v>
      </c>
      <c r="N431" s="63">
        <f>Assumptions!$D$15</f>
        <v>0.1</v>
      </c>
      <c r="O431" s="45">
        <f>IF(PO[[#This Row],[GST applies?]] = "Yes", (PO[[#This Row],[Value inc. GST]] / 1 + PO[[#This Row],[GST %]]) * PO[[#This Row],[GST %]], 0)</f>
        <v>0</v>
      </c>
      <c r="P431" s="31">
        <f>_xlfn.XLOOKUP(PO[[#This Row],[Supplier name]], Supplier_master[Supplier name], Supplier_master[EOM or Net], 0)</f>
        <v>0</v>
      </c>
      <c r="Q431" s="31">
        <f>_xlfn.XLOOKUP(PO[[#This Row],[Supplier name]], Supplier_master[Supplier name], Supplier_master[Terms days], 0)</f>
        <v>0</v>
      </c>
      <c r="R4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1" s="4"/>
      <c r="T431" s="46">
        <f>IF(PO[[#This Row],[Payment date - override (dd/mm/yyyy)]] &lt;&gt; "", PO[[#This Row],[Payment date - override (dd/mm/yyyy)]], PO[[#This Row],[Due date (dd/mm/yyyy)]])</f>
        <v>0</v>
      </c>
      <c r="U431" s="46">
        <f t="shared" si="6"/>
        <v>52</v>
      </c>
    </row>
    <row r="432" spans="3:21" x14ac:dyDescent="0.25">
      <c r="C432" s="24"/>
      <c r="D432" s="20"/>
      <c r="E432" s="4"/>
      <c r="F432" s="37"/>
      <c r="G432" s="38"/>
      <c r="H432" s="31">
        <f>_xlfn.XLOOKUP(PO[[#This Row],[Supplier name]], Supplier_master[Supplier name], Supplier_master[Category L1], 0)</f>
        <v>0</v>
      </c>
      <c r="I432" s="31">
        <f>_xlfn.XLOOKUP(PO[[#This Row],[Supplier name]], Supplier_master[Supplier name], Supplier_master[Category L2], 0)</f>
        <v>0</v>
      </c>
      <c r="J432" s="55"/>
      <c r="K432" s="55"/>
      <c r="L432" s="31">
        <f>IF(PO[[#This Row],[Spend category L1 - Override]] &lt;&gt; "", PO[[#This Row],[Spend category L1 - Override]], PO[[#This Row],[Spend category L1]])</f>
        <v>0</v>
      </c>
      <c r="M432" s="31">
        <f>IF(PO[[#This Row],[Spend category L2 - Override]] &lt;&gt; "", PO[[#This Row],[Spend category L2 - Override]], PO[[#This Row],[Spend category L2]])</f>
        <v>0</v>
      </c>
      <c r="N432" s="63">
        <f>Assumptions!$D$15</f>
        <v>0.1</v>
      </c>
      <c r="O432" s="45">
        <f>IF(PO[[#This Row],[GST applies?]] = "Yes", (PO[[#This Row],[Value inc. GST]] / 1 + PO[[#This Row],[GST %]]) * PO[[#This Row],[GST %]], 0)</f>
        <v>0</v>
      </c>
      <c r="P432" s="31">
        <f>_xlfn.XLOOKUP(PO[[#This Row],[Supplier name]], Supplier_master[Supplier name], Supplier_master[EOM or Net], 0)</f>
        <v>0</v>
      </c>
      <c r="Q432" s="31">
        <f>_xlfn.XLOOKUP(PO[[#This Row],[Supplier name]], Supplier_master[Supplier name], Supplier_master[Terms days], 0)</f>
        <v>0</v>
      </c>
      <c r="R4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2" s="4"/>
      <c r="T432" s="46">
        <f>IF(PO[[#This Row],[Payment date - override (dd/mm/yyyy)]] &lt;&gt; "", PO[[#This Row],[Payment date - override (dd/mm/yyyy)]], PO[[#This Row],[Due date (dd/mm/yyyy)]])</f>
        <v>0</v>
      </c>
      <c r="U432" s="46">
        <f t="shared" si="6"/>
        <v>52</v>
      </c>
    </row>
    <row r="433" spans="3:21" x14ac:dyDescent="0.25">
      <c r="C433" s="24"/>
      <c r="D433" s="20"/>
      <c r="E433" s="4"/>
      <c r="F433" s="37"/>
      <c r="G433" s="38"/>
      <c r="H433" s="31">
        <f>_xlfn.XLOOKUP(PO[[#This Row],[Supplier name]], Supplier_master[Supplier name], Supplier_master[Category L1], 0)</f>
        <v>0</v>
      </c>
      <c r="I433" s="31">
        <f>_xlfn.XLOOKUP(PO[[#This Row],[Supplier name]], Supplier_master[Supplier name], Supplier_master[Category L2], 0)</f>
        <v>0</v>
      </c>
      <c r="J433" s="55"/>
      <c r="K433" s="55"/>
      <c r="L433" s="31">
        <f>IF(PO[[#This Row],[Spend category L1 - Override]] &lt;&gt; "", PO[[#This Row],[Spend category L1 - Override]], PO[[#This Row],[Spend category L1]])</f>
        <v>0</v>
      </c>
      <c r="M433" s="31">
        <f>IF(PO[[#This Row],[Spend category L2 - Override]] &lt;&gt; "", PO[[#This Row],[Spend category L2 - Override]], PO[[#This Row],[Spend category L2]])</f>
        <v>0</v>
      </c>
      <c r="N433" s="63">
        <f>Assumptions!$D$15</f>
        <v>0.1</v>
      </c>
      <c r="O433" s="45">
        <f>IF(PO[[#This Row],[GST applies?]] = "Yes", (PO[[#This Row],[Value inc. GST]] / 1 + PO[[#This Row],[GST %]]) * PO[[#This Row],[GST %]], 0)</f>
        <v>0</v>
      </c>
      <c r="P433" s="31">
        <f>_xlfn.XLOOKUP(PO[[#This Row],[Supplier name]], Supplier_master[Supplier name], Supplier_master[EOM or Net], 0)</f>
        <v>0</v>
      </c>
      <c r="Q433" s="31">
        <f>_xlfn.XLOOKUP(PO[[#This Row],[Supplier name]], Supplier_master[Supplier name], Supplier_master[Terms days], 0)</f>
        <v>0</v>
      </c>
      <c r="R4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3" s="4"/>
      <c r="T433" s="46">
        <f>IF(PO[[#This Row],[Payment date - override (dd/mm/yyyy)]] &lt;&gt; "", PO[[#This Row],[Payment date - override (dd/mm/yyyy)]], PO[[#This Row],[Due date (dd/mm/yyyy)]])</f>
        <v>0</v>
      </c>
      <c r="U433" s="46">
        <f t="shared" si="6"/>
        <v>52</v>
      </c>
    </row>
    <row r="434" spans="3:21" x14ac:dyDescent="0.25">
      <c r="C434" s="24"/>
      <c r="D434" s="20"/>
      <c r="E434" s="4"/>
      <c r="F434" s="37"/>
      <c r="G434" s="38"/>
      <c r="H434" s="31">
        <f>_xlfn.XLOOKUP(PO[[#This Row],[Supplier name]], Supplier_master[Supplier name], Supplier_master[Category L1], 0)</f>
        <v>0</v>
      </c>
      <c r="I434" s="31">
        <f>_xlfn.XLOOKUP(PO[[#This Row],[Supplier name]], Supplier_master[Supplier name], Supplier_master[Category L2], 0)</f>
        <v>0</v>
      </c>
      <c r="J434" s="55"/>
      <c r="K434" s="55"/>
      <c r="L434" s="31">
        <f>IF(PO[[#This Row],[Spend category L1 - Override]] &lt;&gt; "", PO[[#This Row],[Spend category L1 - Override]], PO[[#This Row],[Spend category L1]])</f>
        <v>0</v>
      </c>
      <c r="M434" s="31">
        <f>IF(PO[[#This Row],[Spend category L2 - Override]] &lt;&gt; "", PO[[#This Row],[Spend category L2 - Override]], PO[[#This Row],[Spend category L2]])</f>
        <v>0</v>
      </c>
      <c r="N434" s="63">
        <f>Assumptions!$D$15</f>
        <v>0.1</v>
      </c>
      <c r="O434" s="45">
        <f>IF(PO[[#This Row],[GST applies?]] = "Yes", (PO[[#This Row],[Value inc. GST]] / 1 + PO[[#This Row],[GST %]]) * PO[[#This Row],[GST %]], 0)</f>
        <v>0</v>
      </c>
      <c r="P434" s="31">
        <f>_xlfn.XLOOKUP(PO[[#This Row],[Supplier name]], Supplier_master[Supplier name], Supplier_master[EOM or Net], 0)</f>
        <v>0</v>
      </c>
      <c r="Q434" s="31">
        <f>_xlfn.XLOOKUP(PO[[#This Row],[Supplier name]], Supplier_master[Supplier name], Supplier_master[Terms days], 0)</f>
        <v>0</v>
      </c>
      <c r="R4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4" s="4"/>
      <c r="T434" s="46">
        <f>IF(PO[[#This Row],[Payment date - override (dd/mm/yyyy)]] &lt;&gt; "", PO[[#This Row],[Payment date - override (dd/mm/yyyy)]], PO[[#This Row],[Due date (dd/mm/yyyy)]])</f>
        <v>0</v>
      </c>
      <c r="U434" s="46">
        <f t="shared" si="6"/>
        <v>52</v>
      </c>
    </row>
    <row r="435" spans="3:21" x14ac:dyDescent="0.25">
      <c r="C435" s="24"/>
      <c r="D435" s="20"/>
      <c r="E435" s="4"/>
      <c r="F435" s="37"/>
      <c r="G435" s="38"/>
      <c r="H435" s="31">
        <f>_xlfn.XLOOKUP(PO[[#This Row],[Supplier name]], Supplier_master[Supplier name], Supplier_master[Category L1], 0)</f>
        <v>0</v>
      </c>
      <c r="I435" s="31">
        <f>_xlfn.XLOOKUP(PO[[#This Row],[Supplier name]], Supplier_master[Supplier name], Supplier_master[Category L2], 0)</f>
        <v>0</v>
      </c>
      <c r="J435" s="55"/>
      <c r="K435" s="55"/>
      <c r="L435" s="31">
        <f>IF(PO[[#This Row],[Spend category L1 - Override]] &lt;&gt; "", PO[[#This Row],[Spend category L1 - Override]], PO[[#This Row],[Spend category L1]])</f>
        <v>0</v>
      </c>
      <c r="M435" s="31">
        <f>IF(PO[[#This Row],[Spend category L2 - Override]] &lt;&gt; "", PO[[#This Row],[Spend category L2 - Override]], PO[[#This Row],[Spend category L2]])</f>
        <v>0</v>
      </c>
      <c r="N435" s="63">
        <f>Assumptions!$D$15</f>
        <v>0.1</v>
      </c>
      <c r="O435" s="45">
        <f>IF(PO[[#This Row],[GST applies?]] = "Yes", (PO[[#This Row],[Value inc. GST]] / 1 + PO[[#This Row],[GST %]]) * PO[[#This Row],[GST %]], 0)</f>
        <v>0</v>
      </c>
      <c r="P435" s="31">
        <f>_xlfn.XLOOKUP(PO[[#This Row],[Supplier name]], Supplier_master[Supplier name], Supplier_master[EOM or Net], 0)</f>
        <v>0</v>
      </c>
      <c r="Q435" s="31">
        <f>_xlfn.XLOOKUP(PO[[#This Row],[Supplier name]], Supplier_master[Supplier name], Supplier_master[Terms days], 0)</f>
        <v>0</v>
      </c>
      <c r="R4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5" s="4"/>
      <c r="T435" s="46">
        <f>IF(PO[[#This Row],[Payment date - override (dd/mm/yyyy)]] &lt;&gt; "", PO[[#This Row],[Payment date - override (dd/mm/yyyy)]], PO[[#This Row],[Due date (dd/mm/yyyy)]])</f>
        <v>0</v>
      </c>
      <c r="U435" s="46">
        <f t="shared" si="6"/>
        <v>52</v>
      </c>
    </row>
    <row r="436" spans="3:21" x14ac:dyDescent="0.25">
      <c r="C436" s="24"/>
      <c r="D436" s="20"/>
      <c r="E436" s="4"/>
      <c r="F436" s="37"/>
      <c r="G436" s="38"/>
      <c r="H436" s="31">
        <f>_xlfn.XLOOKUP(PO[[#This Row],[Supplier name]], Supplier_master[Supplier name], Supplier_master[Category L1], 0)</f>
        <v>0</v>
      </c>
      <c r="I436" s="31">
        <f>_xlfn.XLOOKUP(PO[[#This Row],[Supplier name]], Supplier_master[Supplier name], Supplier_master[Category L2], 0)</f>
        <v>0</v>
      </c>
      <c r="J436" s="55"/>
      <c r="K436" s="55"/>
      <c r="L436" s="31">
        <f>IF(PO[[#This Row],[Spend category L1 - Override]] &lt;&gt; "", PO[[#This Row],[Spend category L1 - Override]], PO[[#This Row],[Spend category L1]])</f>
        <v>0</v>
      </c>
      <c r="M436" s="31">
        <f>IF(PO[[#This Row],[Spend category L2 - Override]] &lt;&gt; "", PO[[#This Row],[Spend category L2 - Override]], PO[[#This Row],[Spend category L2]])</f>
        <v>0</v>
      </c>
      <c r="N436" s="63">
        <f>Assumptions!$D$15</f>
        <v>0.1</v>
      </c>
      <c r="O436" s="45">
        <f>IF(PO[[#This Row],[GST applies?]] = "Yes", (PO[[#This Row],[Value inc. GST]] / 1 + PO[[#This Row],[GST %]]) * PO[[#This Row],[GST %]], 0)</f>
        <v>0</v>
      </c>
      <c r="P436" s="31">
        <f>_xlfn.XLOOKUP(PO[[#This Row],[Supplier name]], Supplier_master[Supplier name], Supplier_master[EOM or Net], 0)</f>
        <v>0</v>
      </c>
      <c r="Q436" s="31">
        <f>_xlfn.XLOOKUP(PO[[#This Row],[Supplier name]], Supplier_master[Supplier name], Supplier_master[Terms days], 0)</f>
        <v>0</v>
      </c>
      <c r="R4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6" s="4"/>
      <c r="T436" s="46">
        <f>IF(PO[[#This Row],[Payment date - override (dd/mm/yyyy)]] &lt;&gt; "", PO[[#This Row],[Payment date - override (dd/mm/yyyy)]], PO[[#This Row],[Due date (dd/mm/yyyy)]])</f>
        <v>0</v>
      </c>
      <c r="U436" s="46">
        <f t="shared" si="6"/>
        <v>52</v>
      </c>
    </row>
    <row r="437" spans="3:21" x14ac:dyDescent="0.25">
      <c r="C437" s="24"/>
      <c r="D437" s="20"/>
      <c r="E437" s="4"/>
      <c r="F437" s="37"/>
      <c r="G437" s="38"/>
      <c r="H437" s="31">
        <f>_xlfn.XLOOKUP(PO[[#This Row],[Supplier name]], Supplier_master[Supplier name], Supplier_master[Category L1], 0)</f>
        <v>0</v>
      </c>
      <c r="I437" s="31">
        <f>_xlfn.XLOOKUP(PO[[#This Row],[Supplier name]], Supplier_master[Supplier name], Supplier_master[Category L2], 0)</f>
        <v>0</v>
      </c>
      <c r="J437" s="55"/>
      <c r="K437" s="55"/>
      <c r="L437" s="31">
        <f>IF(PO[[#This Row],[Spend category L1 - Override]] &lt;&gt; "", PO[[#This Row],[Spend category L1 - Override]], PO[[#This Row],[Spend category L1]])</f>
        <v>0</v>
      </c>
      <c r="M437" s="31">
        <f>IF(PO[[#This Row],[Spend category L2 - Override]] &lt;&gt; "", PO[[#This Row],[Spend category L2 - Override]], PO[[#This Row],[Spend category L2]])</f>
        <v>0</v>
      </c>
      <c r="N437" s="63">
        <f>Assumptions!$D$15</f>
        <v>0.1</v>
      </c>
      <c r="O437" s="45">
        <f>IF(PO[[#This Row],[GST applies?]] = "Yes", (PO[[#This Row],[Value inc. GST]] / 1 + PO[[#This Row],[GST %]]) * PO[[#This Row],[GST %]], 0)</f>
        <v>0</v>
      </c>
      <c r="P437" s="31">
        <f>_xlfn.XLOOKUP(PO[[#This Row],[Supplier name]], Supplier_master[Supplier name], Supplier_master[EOM or Net], 0)</f>
        <v>0</v>
      </c>
      <c r="Q437" s="31">
        <f>_xlfn.XLOOKUP(PO[[#This Row],[Supplier name]], Supplier_master[Supplier name], Supplier_master[Terms days], 0)</f>
        <v>0</v>
      </c>
      <c r="R4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7" s="4"/>
      <c r="T437" s="46">
        <f>IF(PO[[#This Row],[Payment date - override (dd/mm/yyyy)]] &lt;&gt; "", PO[[#This Row],[Payment date - override (dd/mm/yyyy)]], PO[[#This Row],[Due date (dd/mm/yyyy)]])</f>
        <v>0</v>
      </c>
      <c r="U437" s="46">
        <f t="shared" si="6"/>
        <v>52</v>
      </c>
    </row>
    <row r="438" spans="3:21" x14ac:dyDescent="0.25">
      <c r="C438" s="24"/>
      <c r="D438" s="20"/>
      <c r="E438" s="4"/>
      <c r="F438" s="37"/>
      <c r="G438" s="38"/>
      <c r="H438" s="31">
        <f>_xlfn.XLOOKUP(PO[[#This Row],[Supplier name]], Supplier_master[Supplier name], Supplier_master[Category L1], 0)</f>
        <v>0</v>
      </c>
      <c r="I438" s="31">
        <f>_xlfn.XLOOKUP(PO[[#This Row],[Supplier name]], Supplier_master[Supplier name], Supplier_master[Category L2], 0)</f>
        <v>0</v>
      </c>
      <c r="J438" s="55"/>
      <c r="K438" s="55"/>
      <c r="L438" s="31">
        <f>IF(PO[[#This Row],[Spend category L1 - Override]] &lt;&gt; "", PO[[#This Row],[Spend category L1 - Override]], PO[[#This Row],[Spend category L1]])</f>
        <v>0</v>
      </c>
      <c r="M438" s="31">
        <f>IF(PO[[#This Row],[Spend category L2 - Override]] &lt;&gt; "", PO[[#This Row],[Spend category L2 - Override]], PO[[#This Row],[Spend category L2]])</f>
        <v>0</v>
      </c>
      <c r="N438" s="63">
        <f>Assumptions!$D$15</f>
        <v>0.1</v>
      </c>
      <c r="O438" s="45">
        <f>IF(PO[[#This Row],[GST applies?]] = "Yes", (PO[[#This Row],[Value inc. GST]] / 1 + PO[[#This Row],[GST %]]) * PO[[#This Row],[GST %]], 0)</f>
        <v>0</v>
      </c>
      <c r="P438" s="31">
        <f>_xlfn.XLOOKUP(PO[[#This Row],[Supplier name]], Supplier_master[Supplier name], Supplier_master[EOM or Net], 0)</f>
        <v>0</v>
      </c>
      <c r="Q438" s="31">
        <f>_xlfn.XLOOKUP(PO[[#This Row],[Supplier name]], Supplier_master[Supplier name], Supplier_master[Terms days], 0)</f>
        <v>0</v>
      </c>
      <c r="R4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8" s="4"/>
      <c r="T438" s="46">
        <f>IF(PO[[#This Row],[Payment date - override (dd/mm/yyyy)]] &lt;&gt; "", PO[[#This Row],[Payment date - override (dd/mm/yyyy)]], PO[[#This Row],[Due date (dd/mm/yyyy)]])</f>
        <v>0</v>
      </c>
      <c r="U438" s="46">
        <f t="shared" si="6"/>
        <v>52</v>
      </c>
    </row>
    <row r="439" spans="3:21" x14ac:dyDescent="0.25">
      <c r="C439" s="24"/>
      <c r="D439" s="20"/>
      <c r="E439" s="4"/>
      <c r="F439" s="37"/>
      <c r="G439" s="38"/>
      <c r="H439" s="31">
        <f>_xlfn.XLOOKUP(PO[[#This Row],[Supplier name]], Supplier_master[Supplier name], Supplier_master[Category L1], 0)</f>
        <v>0</v>
      </c>
      <c r="I439" s="31">
        <f>_xlfn.XLOOKUP(PO[[#This Row],[Supplier name]], Supplier_master[Supplier name], Supplier_master[Category L2], 0)</f>
        <v>0</v>
      </c>
      <c r="J439" s="55"/>
      <c r="K439" s="55"/>
      <c r="L439" s="31">
        <f>IF(PO[[#This Row],[Spend category L1 - Override]] &lt;&gt; "", PO[[#This Row],[Spend category L1 - Override]], PO[[#This Row],[Spend category L1]])</f>
        <v>0</v>
      </c>
      <c r="M439" s="31">
        <f>IF(PO[[#This Row],[Spend category L2 - Override]] &lt;&gt; "", PO[[#This Row],[Spend category L2 - Override]], PO[[#This Row],[Spend category L2]])</f>
        <v>0</v>
      </c>
      <c r="N439" s="63">
        <f>Assumptions!$D$15</f>
        <v>0.1</v>
      </c>
      <c r="O439" s="45">
        <f>IF(PO[[#This Row],[GST applies?]] = "Yes", (PO[[#This Row],[Value inc. GST]] / 1 + PO[[#This Row],[GST %]]) * PO[[#This Row],[GST %]], 0)</f>
        <v>0</v>
      </c>
      <c r="P439" s="31">
        <f>_xlfn.XLOOKUP(PO[[#This Row],[Supplier name]], Supplier_master[Supplier name], Supplier_master[EOM or Net], 0)</f>
        <v>0</v>
      </c>
      <c r="Q439" s="31">
        <f>_xlfn.XLOOKUP(PO[[#This Row],[Supplier name]], Supplier_master[Supplier name], Supplier_master[Terms days], 0)</f>
        <v>0</v>
      </c>
      <c r="R4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9" s="4"/>
      <c r="T439" s="46">
        <f>IF(PO[[#This Row],[Payment date - override (dd/mm/yyyy)]] &lt;&gt; "", PO[[#This Row],[Payment date - override (dd/mm/yyyy)]], PO[[#This Row],[Due date (dd/mm/yyyy)]])</f>
        <v>0</v>
      </c>
      <c r="U439" s="46">
        <f t="shared" si="6"/>
        <v>52</v>
      </c>
    </row>
    <row r="440" spans="3:21" x14ac:dyDescent="0.25">
      <c r="C440" s="24"/>
      <c r="D440" s="20"/>
      <c r="E440" s="4"/>
      <c r="F440" s="37"/>
      <c r="G440" s="38"/>
      <c r="H440" s="31">
        <f>_xlfn.XLOOKUP(PO[[#This Row],[Supplier name]], Supplier_master[Supplier name], Supplier_master[Category L1], 0)</f>
        <v>0</v>
      </c>
      <c r="I440" s="31">
        <f>_xlfn.XLOOKUP(PO[[#This Row],[Supplier name]], Supplier_master[Supplier name], Supplier_master[Category L2], 0)</f>
        <v>0</v>
      </c>
      <c r="J440" s="55"/>
      <c r="K440" s="55"/>
      <c r="L440" s="31">
        <f>IF(PO[[#This Row],[Spend category L1 - Override]] &lt;&gt; "", PO[[#This Row],[Spend category L1 - Override]], PO[[#This Row],[Spend category L1]])</f>
        <v>0</v>
      </c>
      <c r="M440" s="31">
        <f>IF(PO[[#This Row],[Spend category L2 - Override]] &lt;&gt; "", PO[[#This Row],[Spend category L2 - Override]], PO[[#This Row],[Spend category L2]])</f>
        <v>0</v>
      </c>
      <c r="N440" s="63">
        <f>Assumptions!$D$15</f>
        <v>0.1</v>
      </c>
      <c r="O440" s="45">
        <f>IF(PO[[#This Row],[GST applies?]] = "Yes", (PO[[#This Row],[Value inc. GST]] / 1 + PO[[#This Row],[GST %]]) * PO[[#This Row],[GST %]], 0)</f>
        <v>0</v>
      </c>
      <c r="P440" s="31">
        <f>_xlfn.XLOOKUP(PO[[#This Row],[Supplier name]], Supplier_master[Supplier name], Supplier_master[EOM or Net], 0)</f>
        <v>0</v>
      </c>
      <c r="Q440" s="31">
        <f>_xlfn.XLOOKUP(PO[[#This Row],[Supplier name]], Supplier_master[Supplier name], Supplier_master[Terms days], 0)</f>
        <v>0</v>
      </c>
      <c r="R4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0" s="4"/>
      <c r="T440" s="46">
        <f>IF(PO[[#This Row],[Payment date - override (dd/mm/yyyy)]] &lt;&gt; "", PO[[#This Row],[Payment date - override (dd/mm/yyyy)]], PO[[#This Row],[Due date (dd/mm/yyyy)]])</f>
        <v>0</v>
      </c>
      <c r="U440" s="46">
        <f t="shared" si="6"/>
        <v>52</v>
      </c>
    </row>
    <row r="441" spans="3:21" x14ac:dyDescent="0.25">
      <c r="C441" s="24"/>
      <c r="D441" s="20"/>
      <c r="E441" s="4"/>
      <c r="F441" s="37"/>
      <c r="G441" s="38"/>
      <c r="H441" s="31">
        <f>_xlfn.XLOOKUP(PO[[#This Row],[Supplier name]], Supplier_master[Supplier name], Supplier_master[Category L1], 0)</f>
        <v>0</v>
      </c>
      <c r="I441" s="31">
        <f>_xlfn.XLOOKUP(PO[[#This Row],[Supplier name]], Supplier_master[Supplier name], Supplier_master[Category L2], 0)</f>
        <v>0</v>
      </c>
      <c r="J441" s="55"/>
      <c r="K441" s="55"/>
      <c r="L441" s="31">
        <f>IF(PO[[#This Row],[Spend category L1 - Override]] &lt;&gt; "", PO[[#This Row],[Spend category L1 - Override]], PO[[#This Row],[Spend category L1]])</f>
        <v>0</v>
      </c>
      <c r="M441" s="31">
        <f>IF(PO[[#This Row],[Spend category L2 - Override]] &lt;&gt; "", PO[[#This Row],[Spend category L2 - Override]], PO[[#This Row],[Spend category L2]])</f>
        <v>0</v>
      </c>
      <c r="N441" s="63">
        <f>Assumptions!$D$15</f>
        <v>0.1</v>
      </c>
      <c r="O441" s="45">
        <f>IF(PO[[#This Row],[GST applies?]] = "Yes", (PO[[#This Row],[Value inc. GST]] / 1 + PO[[#This Row],[GST %]]) * PO[[#This Row],[GST %]], 0)</f>
        <v>0</v>
      </c>
      <c r="P441" s="31">
        <f>_xlfn.XLOOKUP(PO[[#This Row],[Supplier name]], Supplier_master[Supplier name], Supplier_master[EOM or Net], 0)</f>
        <v>0</v>
      </c>
      <c r="Q441" s="31">
        <f>_xlfn.XLOOKUP(PO[[#This Row],[Supplier name]], Supplier_master[Supplier name], Supplier_master[Terms days], 0)</f>
        <v>0</v>
      </c>
      <c r="R4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1" s="4"/>
      <c r="T441" s="46">
        <f>IF(PO[[#This Row],[Payment date - override (dd/mm/yyyy)]] &lt;&gt; "", PO[[#This Row],[Payment date - override (dd/mm/yyyy)]], PO[[#This Row],[Due date (dd/mm/yyyy)]])</f>
        <v>0</v>
      </c>
      <c r="U441" s="46">
        <f t="shared" si="6"/>
        <v>52</v>
      </c>
    </row>
    <row r="442" spans="3:21" x14ac:dyDescent="0.25">
      <c r="C442" s="24"/>
      <c r="D442" s="20"/>
      <c r="E442" s="4"/>
      <c r="F442" s="37"/>
      <c r="G442" s="38"/>
      <c r="H442" s="31">
        <f>_xlfn.XLOOKUP(PO[[#This Row],[Supplier name]], Supplier_master[Supplier name], Supplier_master[Category L1], 0)</f>
        <v>0</v>
      </c>
      <c r="I442" s="31">
        <f>_xlfn.XLOOKUP(PO[[#This Row],[Supplier name]], Supplier_master[Supplier name], Supplier_master[Category L2], 0)</f>
        <v>0</v>
      </c>
      <c r="J442" s="55"/>
      <c r="K442" s="55"/>
      <c r="L442" s="31">
        <f>IF(PO[[#This Row],[Spend category L1 - Override]] &lt;&gt; "", PO[[#This Row],[Spend category L1 - Override]], PO[[#This Row],[Spend category L1]])</f>
        <v>0</v>
      </c>
      <c r="M442" s="31">
        <f>IF(PO[[#This Row],[Spend category L2 - Override]] &lt;&gt; "", PO[[#This Row],[Spend category L2 - Override]], PO[[#This Row],[Spend category L2]])</f>
        <v>0</v>
      </c>
      <c r="N442" s="63">
        <f>Assumptions!$D$15</f>
        <v>0.1</v>
      </c>
      <c r="O442" s="45">
        <f>IF(PO[[#This Row],[GST applies?]] = "Yes", (PO[[#This Row],[Value inc. GST]] / 1 + PO[[#This Row],[GST %]]) * PO[[#This Row],[GST %]], 0)</f>
        <v>0</v>
      </c>
      <c r="P442" s="31">
        <f>_xlfn.XLOOKUP(PO[[#This Row],[Supplier name]], Supplier_master[Supplier name], Supplier_master[EOM or Net], 0)</f>
        <v>0</v>
      </c>
      <c r="Q442" s="31">
        <f>_xlfn.XLOOKUP(PO[[#This Row],[Supplier name]], Supplier_master[Supplier name], Supplier_master[Terms days], 0)</f>
        <v>0</v>
      </c>
      <c r="R4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2" s="4"/>
      <c r="T442" s="46">
        <f>IF(PO[[#This Row],[Payment date - override (dd/mm/yyyy)]] &lt;&gt; "", PO[[#This Row],[Payment date - override (dd/mm/yyyy)]], PO[[#This Row],[Due date (dd/mm/yyyy)]])</f>
        <v>0</v>
      </c>
      <c r="U442" s="46">
        <f t="shared" si="6"/>
        <v>52</v>
      </c>
    </row>
    <row r="443" spans="3:21" x14ac:dyDescent="0.25">
      <c r="C443" s="24"/>
      <c r="D443" s="20"/>
      <c r="E443" s="4"/>
      <c r="F443" s="37"/>
      <c r="G443" s="38"/>
      <c r="H443" s="31">
        <f>_xlfn.XLOOKUP(PO[[#This Row],[Supplier name]], Supplier_master[Supplier name], Supplier_master[Category L1], 0)</f>
        <v>0</v>
      </c>
      <c r="I443" s="31">
        <f>_xlfn.XLOOKUP(PO[[#This Row],[Supplier name]], Supplier_master[Supplier name], Supplier_master[Category L2], 0)</f>
        <v>0</v>
      </c>
      <c r="J443" s="55"/>
      <c r="K443" s="55"/>
      <c r="L443" s="31">
        <f>IF(PO[[#This Row],[Spend category L1 - Override]] &lt;&gt; "", PO[[#This Row],[Spend category L1 - Override]], PO[[#This Row],[Spend category L1]])</f>
        <v>0</v>
      </c>
      <c r="M443" s="31">
        <f>IF(PO[[#This Row],[Spend category L2 - Override]] &lt;&gt; "", PO[[#This Row],[Spend category L2 - Override]], PO[[#This Row],[Spend category L2]])</f>
        <v>0</v>
      </c>
      <c r="N443" s="63">
        <f>Assumptions!$D$15</f>
        <v>0.1</v>
      </c>
      <c r="O443" s="45">
        <f>IF(PO[[#This Row],[GST applies?]] = "Yes", (PO[[#This Row],[Value inc. GST]] / 1 + PO[[#This Row],[GST %]]) * PO[[#This Row],[GST %]], 0)</f>
        <v>0</v>
      </c>
      <c r="P443" s="31">
        <f>_xlfn.XLOOKUP(PO[[#This Row],[Supplier name]], Supplier_master[Supplier name], Supplier_master[EOM or Net], 0)</f>
        <v>0</v>
      </c>
      <c r="Q443" s="31">
        <f>_xlfn.XLOOKUP(PO[[#This Row],[Supplier name]], Supplier_master[Supplier name], Supplier_master[Terms days], 0)</f>
        <v>0</v>
      </c>
      <c r="R4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3" s="4"/>
      <c r="T443" s="46">
        <f>IF(PO[[#This Row],[Payment date - override (dd/mm/yyyy)]] &lt;&gt; "", PO[[#This Row],[Payment date - override (dd/mm/yyyy)]], PO[[#This Row],[Due date (dd/mm/yyyy)]])</f>
        <v>0</v>
      </c>
      <c r="U443" s="46">
        <f t="shared" si="6"/>
        <v>52</v>
      </c>
    </row>
    <row r="444" spans="3:21" x14ac:dyDescent="0.25">
      <c r="C444" s="24"/>
      <c r="D444" s="20"/>
      <c r="E444" s="4"/>
      <c r="F444" s="37"/>
      <c r="G444" s="38"/>
      <c r="H444" s="31">
        <f>_xlfn.XLOOKUP(PO[[#This Row],[Supplier name]], Supplier_master[Supplier name], Supplier_master[Category L1], 0)</f>
        <v>0</v>
      </c>
      <c r="I444" s="31">
        <f>_xlfn.XLOOKUP(PO[[#This Row],[Supplier name]], Supplier_master[Supplier name], Supplier_master[Category L2], 0)</f>
        <v>0</v>
      </c>
      <c r="J444" s="55"/>
      <c r="K444" s="55"/>
      <c r="L444" s="31">
        <f>IF(PO[[#This Row],[Spend category L1 - Override]] &lt;&gt; "", PO[[#This Row],[Spend category L1 - Override]], PO[[#This Row],[Spend category L1]])</f>
        <v>0</v>
      </c>
      <c r="M444" s="31">
        <f>IF(PO[[#This Row],[Spend category L2 - Override]] &lt;&gt; "", PO[[#This Row],[Spend category L2 - Override]], PO[[#This Row],[Spend category L2]])</f>
        <v>0</v>
      </c>
      <c r="N444" s="63">
        <f>Assumptions!$D$15</f>
        <v>0.1</v>
      </c>
      <c r="O444" s="45">
        <f>IF(PO[[#This Row],[GST applies?]] = "Yes", (PO[[#This Row],[Value inc. GST]] / 1 + PO[[#This Row],[GST %]]) * PO[[#This Row],[GST %]], 0)</f>
        <v>0</v>
      </c>
      <c r="P444" s="31">
        <f>_xlfn.XLOOKUP(PO[[#This Row],[Supplier name]], Supplier_master[Supplier name], Supplier_master[EOM or Net], 0)</f>
        <v>0</v>
      </c>
      <c r="Q444" s="31">
        <f>_xlfn.XLOOKUP(PO[[#This Row],[Supplier name]], Supplier_master[Supplier name], Supplier_master[Terms days], 0)</f>
        <v>0</v>
      </c>
      <c r="R4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4" s="4"/>
      <c r="T444" s="46">
        <f>IF(PO[[#This Row],[Payment date - override (dd/mm/yyyy)]] &lt;&gt; "", PO[[#This Row],[Payment date - override (dd/mm/yyyy)]], PO[[#This Row],[Due date (dd/mm/yyyy)]])</f>
        <v>0</v>
      </c>
      <c r="U444" s="46">
        <f t="shared" si="6"/>
        <v>52</v>
      </c>
    </row>
    <row r="445" spans="3:21" x14ac:dyDescent="0.25">
      <c r="C445" s="24"/>
      <c r="D445" s="20"/>
      <c r="E445" s="4"/>
      <c r="F445" s="37"/>
      <c r="G445" s="38"/>
      <c r="H445" s="31">
        <f>_xlfn.XLOOKUP(PO[[#This Row],[Supplier name]], Supplier_master[Supplier name], Supplier_master[Category L1], 0)</f>
        <v>0</v>
      </c>
      <c r="I445" s="31">
        <f>_xlfn.XLOOKUP(PO[[#This Row],[Supplier name]], Supplier_master[Supplier name], Supplier_master[Category L2], 0)</f>
        <v>0</v>
      </c>
      <c r="J445" s="55"/>
      <c r="K445" s="55"/>
      <c r="L445" s="31">
        <f>IF(PO[[#This Row],[Spend category L1 - Override]] &lt;&gt; "", PO[[#This Row],[Spend category L1 - Override]], PO[[#This Row],[Spend category L1]])</f>
        <v>0</v>
      </c>
      <c r="M445" s="31">
        <f>IF(PO[[#This Row],[Spend category L2 - Override]] &lt;&gt; "", PO[[#This Row],[Spend category L2 - Override]], PO[[#This Row],[Spend category L2]])</f>
        <v>0</v>
      </c>
      <c r="N445" s="63">
        <f>Assumptions!$D$15</f>
        <v>0.1</v>
      </c>
      <c r="O445" s="45">
        <f>IF(PO[[#This Row],[GST applies?]] = "Yes", (PO[[#This Row],[Value inc. GST]] / 1 + PO[[#This Row],[GST %]]) * PO[[#This Row],[GST %]], 0)</f>
        <v>0</v>
      </c>
      <c r="P445" s="31">
        <f>_xlfn.XLOOKUP(PO[[#This Row],[Supplier name]], Supplier_master[Supplier name], Supplier_master[EOM or Net], 0)</f>
        <v>0</v>
      </c>
      <c r="Q445" s="31">
        <f>_xlfn.XLOOKUP(PO[[#This Row],[Supplier name]], Supplier_master[Supplier name], Supplier_master[Terms days], 0)</f>
        <v>0</v>
      </c>
      <c r="R4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5" s="4"/>
      <c r="T445" s="46">
        <f>IF(PO[[#This Row],[Payment date - override (dd/mm/yyyy)]] &lt;&gt; "", PO[[#This Row],[Payment date - override (dd/mm/yyyy)]], PO[[#This Row],[Due date (dd/mm/yyyy)]])</f>
        <v>0</v>
      </c>
      <c r="U445" s="46">
        <f t="shared" si="6"/>
        <v>52</v>
      </c>
    </row>
    <row r="446" spans="3:21" x14ac:dyDescent="0.25">
      <c r="C446" s="24"/>
      <c r="D446" s="20"/>
      <c r="E446" s="4"/>
      <c r="F446" s="37"/>
      <c r="G446" s="38"/>
      <c r="H446" s="31">
        <f>_xlfn.XLOOKUP(PO[[#This Row],[Supplier name]], Supplier_master[Supplier name], Supplier_master[Category L1], 0)</f>
        <v>0</v>
      </c>
      <c r="I446" s="31">
        <f>_xlfn.XLOOKUP(PO[[#This Row],[Supplier name]], Supplier_master[Supplier name], Supplier_master[Category L2], 0)</f>
        <v>0</v>
      </c>
      <c r="J446" s="55"/>
      <c r="K446" s="55"/>
      <c r="L446" s="31">
        <f>IF(PO[[#This Row],[Spend category L1 - Override]] &lt;&gt; "", PO[[#This Row],[Spend category L1 - Override]], PO[[#This Row],[Spend category L1]])</f>
        <v>0</v>
      </c>
      <c r="M446" s="31">
        <f>IF(PO[[#This Row],[Spend category L2 - Override]] &lt;&gt; "", PO[[#This Row],[Spend category L2 - Override]], PO[[#This Row],[Spend category L2]])</f>
        <v>0</v>
      </c>
      <c r="N446" s="63">
        <f>Assumptions!$D$15</f>
        <v>0.1</v>
      </c>
      <c r="O446" s="45">
        <f>IF(PO[[#This Row],[GST applies?]] = "Yes", (PO[[#This Row],[Value inc. GST]] / 1 + PO[[#This Row],[GST %]]) * PO[[#This Row],[GST %]], 0)</f>
        <v>0</v>
      </c>
      <c r="P446" s="31">
        <f>_xlfn.XLOOKUP(PO[[#This Row],[Supplier name]], Supplier_master[Supplier name], Supplier_master[EOM or Net], 0)</f>
        <v>0</v>
      </c>
      <c r="Q446" s="31">
        <f>_xlfn.XLOOKUP(PO[[#This Row],[Supplier name]], Supplier_master[Supplier name], Supplier_master[Terms days], 0)</f>
        <v>0</v>
      </c>
      <c r="R4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6" s="4"/>
      <c r="T446" s="46">
        <f>IF(PO[[#This Row],[Payment date - override (dd/mm/yyyy)]] &lt;&gt; "", PO[[#This Row],[Payment date - override (dd/mm/yyyy)]], PO[[#This Row],[Due date (dd/mm/yyyy)]])</f>
        <v>0</v>
      </c>
      <c r="U446" s="46">
        <f t="shared" si="6"/>
        <v>52</v>
      </c>
    </row>
    <row r="447" spans="3:21" x14ac:dyDescent="0.25">
      <c r="C447" s="24"/>
      <c r="D447" s="20"/>
      <c r="E447" s="4"/>
      <c r="F447" s="37"/>
      <c r="G447" s="38"/>
      <c r="H447" s="31">
        <f>_xlfn.XLOOKUP(PO[[#This Row],[Supplier name]], Supplier_master[Supplier name], Supplier_master[Category L1], 0)</f>
        <v>0</v>
      </c>
      <c r="I447" s="31">
        <f>_xlfn.XLOOKUP(PO[[#This Row],[Supplier name]], Supplier_master[Supplier name], Supplier_master[Category L2], 0)</f>
        <v>0</v>
      </c>
      <c r="J447" s="55"/>
      <c r="K447" s="55"/>
      <c r="L447" s="31">
        <f>IF(PO[[#This Row],[Spend category L1 - Override]] &lt;&gt; "", PO[[#This Row],[Spend category L1 - Override]], PO[[#This Row],[Spend category L1]])</f>
        <v>0</v>
      </c>
      <c r="M447" s="31">
        <f>IF(PO[[#This Row],[Spend category L2 - Override]] &lt;&gt; "", PO[[#This Row],[Spend category L2 - Override]], PO[[#This Row],[Spend category L2]])</f>
        <v>0</v>
      </c>
      <c r="N447" s="63">
        <f>Assumptions!$D$15</f>
        <v>0.1</v>
      </c>
      <c r="O447" s="45">
        <f>IF(PO[[#This Row],[GST applies?]] = "Yes", (PO[[#This Row],[Value inc. GST]] / 1 + PO[[#This Row],[GST %]]) * PO[[#This Row],[GST %]], 0)</f>
        <v>0</v>
      </c>
      <c r="P447" s="31">
        <f>_xlfn.XLOOKUP(PO[[#This Row],[Supplier name]], Supplier_master[Supplier name], Supplier_master[EOM or Net], 0)</f>
        <v>0</v>
      </c>
      <c r="Q447" s="31">
        <f>_xlfn.XLOOKUP(PO[[#This Row],[Supplier name]], Supplier_master[Supplier name], Supplier_master[Terms days], 0)</f>
        <v>0</v>
      </c>
      <c r="R4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7" s="4"/>
      <c r="T447" s="46">
        <f>IF(PO[[#This Row],[Payment date - override (dd/mm/yyyy)]] &lt;&gt; "", PO[[#This Row],[Payment date - override (dd/mm/yyyy)]], PO[[#This Row],[Due date (dd/mm/yyyy)]])</f>
        <v>0</v>
      </c>
      <c r="U447" s="46">
        <f t="shared" si="6"/>
        <v>52</v>
      </c>
    </row>
    <row r="448" spans="3:21" x14ac:dyDescent="0.25">
      <c r="C448" s="24"/>
      <c r="D448" s="20"/>
      <c r="E448" s="4"/>
      <c r="F448" s="37"/>
      <c r="G448" s="38"/>
      <c r="H448" s="31">
        <f>_xlfn.XLOOKUP(PO[[#This Row],[Supplier name]], Supplier_master[Supplier name], Supplier_master[Category L1], 0)</f>
        <v>0</v>
      </c>
      <c r="I448" s="31">
        <f>_xlfn.XLOOKUP(PO[[#This Row],[Supplier name]], Supplier_master[Supplier name], Supplier_master[Category L2], 0)</f>
        <v>0</v>
      </c>
      <c r="J448" s="55"/>
      <c r="K448" s="55"/>
      <c r="L448" s="31">
        <f>IF(PO[[#This Row],[Spend category L1 - Override]] &lt;&gt; "", PO[[#This Row],[Spend category L1 - Override]], PO[[#This Row],[Spend category L1]])</f>
        <v>0</v>
      </c>
      <c r="M448" s="31">
        <f>IF(PO[[#This Row],[Spend category L2 - Override]] &lt;&gt; "", PO[[#This Row],[Spend category L2 - Override]], PO[[#This Row],[Spend category L2]])</f>
        <v>0</v>
      </c>
      <c r="N448" s="63">
        <f>Assumptions!$D$15</f>
        <v>0.1</v>
      </c>
      <c r="O448" s="45">
        <f>IF(PO[[#This Row],[GST applies?]] = "Yes", (PO[[#This Row],[Value inc. GST]] / 1 + PO[[#This Row],[GST %]]) * PO[[#This Row],[GST %]], 0)</f>
        <v>0</v>
      </c>
      <c r="P448" s="31">
        <f>_xlfn.XLOOKUP(PO[[#This Row],[Supplier name]], Supplier_master[Supplier name], Supplier_master[EOM or Net], 0)</f>
        <v>0</v>
      </c>
      <c r="Q448" s="31">
        <f>_xlfn.XLOOKUP(PO[[#This Row],[Supplier name]], Supplier_master[Supplier name], Supplier_master[Terms days], 0)</f>
        <v>0</v>
      </c>
      <c r="R4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8" s="4"/>
      <c r="T448" s="46">
        <f>IF(PO[[#This Row],[Payment date - override (dd/mm/yyyy)]] &lt;&gt; "", PO[[#This Row],[Payment date - override (dd/mm/yyyy)]], PO[[#This Row],[Due date (dd/mm/yyyy)]])</f>
        <v>0</v>
      </c>
      <c r="U448" s="46">
        <f t="shared" si="6"/>
        <v>52</v>
      </c>
    </row>
    <row r="449" spans="3:21" x14ac:dyDescent="0.25">
      <c r="C449" s="24"/>
      <c r="D449" s="20"/>
      <c r="E449" s="4"/>
      <c r="F449" s="37"/>
      <c r="G449" s="38"/>
      <c r="H449" s="31">
        <f>_xlfn.XLOOKUP(PO[[#This Row],[Supplier name]], Supplier_master[Supplier name], Supplier_master[Category L1], 0)</f>
        <v>0</v>
      </c>
      <c r="I449" s="31">
        <f>_xlfn.XLOOKUP(PO[[#This Row],[Supplier name]], Supplier_master[Supplier name], Supplier_master[Category L2], 0)</f>
        <v>0</v>
      </c>
      <c r="J449" s="55"/>
      <c r="K449" s="55"/>
      <c r="L449" s="31">
        <f>IF(PO[[#This Row],[Spend category L1 - Override]] &lt;&gt; "", PO[[#This Row],[Spend category L1 - Override]], PO[[#This Row],[Spend category L1]])</f>
        <v>0</v>
      </c>
      <c r="M449" s="31">
        <f>IF(PO[[#This Row],[Spend category L2 - Override]] &lt;&gt; "", PO[[#This Row],[Spend category L2 - Override]], PO[[#This Row],[Spend category L2]])</f>
        <v>0</v>
      </c>
      <c r="N449" s="63">
        <f>Assumptions!$D$15</f>
        <v>0.1</v>
      </c>
      <c r="O449" s="45">
        <f>IF(PO[[#This Row],[GST applies?]] = "Yes", (PO[[#This Row],[Value inc. GST]] / 1 + PO[[#This Row],[GST %]]) * PO[[#This Row],[GST %]], 0)</f>
        <v>0</v>
      </c>
      <c r="P449" s="31">
        <f>_xlfn.XLOOKUP(PO[[#This Row],[Supplier name]], Supplier_master[Supplier name], Supplier_master[EOM or Net], 0)</f>
        <v>0</v>
      </c>
      <c r="Q449" s="31">
        <f>_xlfn.XLOOKUP(PO[[#This Row],[Supplier name]], Supplier_master[Supplier name], Supplier_master[Terms days], 0)</f>
        <v>0</v>
      </c>
      <c r="R4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9" s="4"/>
      <c r="T449" s="46">
        <f>IF(PO[[#This Row],[Payment date - override (dd/mm/yyyy)]] &lt;&gt; "", PO[[#This Row],[Payment date - override (dd/mm/yyyy)]], PO[[#This Row],[Due date (dd/mm/yyyy)]])</f>
        <v>0</v>
      </c>
      <c r="U449" s="46">
        <f t="shared" si="6"/>
        <v>52</v>
      </c>
    </row>
    <row r="450" spans="3:21" x14ac:dyDescent="0.25">
      <c r="C450" s="24"/>
      <c r="D450" s="20"/>
      <c r="E450" s="4"/>
      <c r="F450" s="37"/>
      <c r="G450" s="38"/>
      <c r="H450" s="31">
        <f>_xlfn.XLOOKUP(PO[[#This Row],[Supplier name]], Supplier_master[Supplier name], Supplier_master[Category L1], 0)</f>
        <v>0</v>
      </c>
      <c r="I450" s="31">
        <f>_xlfn.XLOOKUP(PO[[#This Row],[Supplier name]], Supplier_master[Supplier name], Supplier_master[Category L2], 0)</f>
        <v>0</v>
      </c>
      <c r="J450" s="55"/>
      <c r="K450" s="55"/>
      <c r="L450" s="31">
        <f>IF(PO[[#This Row],[Spend category L1 - Override]] &lt;&gt; "", PO[[#This Row],[Spend category L1 - Override]], PO[[#This Row],[Spend category L1]])</f>
        <v>0</v>
      </c>
      <c r="M450" s="31">
        <f>IF(PO[[#This Row],[Spend category L2 - Override]] &lt;&gt; "", PO[[#This Row],[Spend category L2 - Override]], PO[[#This Row],[Spend category L2]])</f>
        <v>0</v>
      </c>
      <c r="N450" s="63">
        <f>Assumptions!$D$15</f>
        <v>0.1</v>
      </c>
      <c r="O450" s="45">
        <f>IF(PO[[#This Row],[GST applies?]] = "Yes", (PO[[#This Row],[Value inc. GST]] / 1 + PO[[#This Row],[GST %]]) * PO[[#This Row],[GST %]], 0)</f>
        <v>0</v>
      </c>
      <c r="P450" s="31">
        <f>_xlfn.XLOOKUP(PO[[#This Row],[Supplier name]], Supplier_master[Supplier name], Supplier_master[EOM or Net], 0)</f>
        <v>0</v>
      </c>
      <c r="Q450" s="31">
        <f>_xlfn.XLOOKUP(PO[[#This Row],[Supplier name]], Supplier_master[Supplier name], Supplier_master[Terms days], 0)</f>
        <v>0</v>
      </c>
      <c r="R4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0" s="4"/>
      <c r="T450" s="46">
        <f>IF(PO[[#This Row],[Payment date - override (dd/mm/yyyy)]] &lt;&gt; "", PO[[#This Row],[Payment date - override (dd/mm/yyyy)]], PO[[#This Row],[Due date (dd/mm/yyyy)]])</f>
        <v>0</v>
      </c>
      <c r="U450" s="46">
        <f t="shared" si="6"/>
        <v>52</v>
      </c>
    </row>
    <row r="451" spans="3:21" x14ac:dyDescent="0.25">
      <c r="C451" s="24"/>
      <c r="D451" s="20"/>
      <c r="E451" s="4"/>
      <c r="F451" s="37"/>
      <c r="G451" s="38"/>
      <c r="H451" s="31">
        <f>_xlfn.XLOOKUP(PO[[#This Row],[Supplier name]], Supplier_master[Supplier name], Supplier_master[Category L1], 0)</f>
        <v>0</v>
      </c>
      <c r="I451" s="31">
        <f>_xlfn.XLOOKUP(PO[[#This Row],[Supplier name]], Supplier_master[Supplier name], Supplier_master[Category L2], 0)</f>
        <v>0</v>
      </c>
      <c r="J451" s="55"/>
      <c r="K451" s="55"/>
      <c r="L451" s="31">
        <f>IF(PO[[#This Row],[Spend category L1 - Override]] &lt;&gt; "", PO[[#This Row],[Spend category L1 - Override]], PO[[#This Row],[Spend category L1]])</f>
        <v>0</v>
      </c>
      <c r="M451" s="31">
        <f>IF(PO[[#This Row],[Spend category L2 - Override]] &lt;&gt; "", PO[[#This Row],[Spend category L2 - Override]], PO[[#This Row],[Spend category L2]])</f>
        <v>0</v>
      </c>
      <c r="N451" s="63">
        <f>Assumptions!$D$15</f>
        <v>0.1</v>
      </c>
      <c r="O451" s="45">
        <f>IF(PO[[#This Row],[GST applies?]] = "Yes", (PO[[#This Row],[Value inc. GST]] / 1 + PO[[#This Row],[GST %]]) * PO[[#This Row],[GST %]], 0)</f>
        <v>0</v>
      </c>
      <c r="P451" s="31">
        <f>_xlfn.XLOOKUP(PO[[#This Row],[Supplier name]], Supplier_master[Supplier name], Supplier_master[EOM or Net], 0)</f>
        <v>0</v>
      </c>
      <c r="Q451" s="31">
        <f>_xlfn.XLOOKUP(PO[[#This Row],[Supplier name]], Supplier_master[Supplier name], Supplier_master[Terms days], 0)</f>
        <v>0</v>
      </c>
      <c r="R4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1" s="4"/>
      <c r="T451" s="46">
        <f>IF(PO[[#This Row],[Payment date - override (dd/mm/yyyy)]] &lt;&gt; "", PO[[#This Row],[Payment date - override (dd/mm/yyyy)]], PO[[#This Row],[Due date (dd/mm/yyyy)]])</f>
        <v>0</v>
      </c>
      <c r="U451" s="46">
        <f t="shared" si="6"/>
        <v>52</v>
      </c>
    </row>
    <row r="452" spans="3:21" x14ac:dyDescent="0.25">
      <c r="C452" s="24"/>
      <c r="D452" s="20"/>
      <c r="E452" s="4"/>
      <c r="F452" s="37"/>
      <c r="G452" s="38"/>
      <c r="H452" s="31">
        <f>_xlfn.XLOOKUP(PO[[#This Row],[Supplier name]], Supplier_master[Supplier name], Supplier_master[Category L1], 0)</f>
        <v>0</v>
      </c>
      <c r="I452" s="31">
        <f>_xlfn.XLOOKUP(PO[[#This Row],[Supplier name]], Supplier_master[Supplier name], Supplier_master[Category L2], 0)</f>
        <v>0</v>
      </c>
      <c r="J452" s="55"/>
      <c r="K452" s="55"/>
      <c r="L452" s="31">
        <f>IF(PO[[#This Row],[Spend category L1 - Override]] &lt;&gt; "", PO[[#This Row],[Spend category L1 - Override]], PO[[#This Row],[Spend category L1]])</f>
        <v>0</v>
      </c>
      <c r="M452" s="31">
        <f>IF(PO[[#This Row],[Spend category L2 - Override]] &lt;&gt; "", PO[[#This Row],[Spend category L2 - Override]], PO[[#This Row],[Spend category L2]])</f>
        <v>0</v>
      </c>
      <c r="N452" s="63">
        <f>Assumptions!$D$15</f>
        <v>0.1</v>
      </c>
      <c r="O452" s="45">
        <f>IF(PO[[#This Row],[GST applies?]] = "Yes", (PO[[#This Row],[Value inc. GST]] / 1 + PO[[#This Row],[GST %]]) * PO[[#This Row],[GST %]], 0)</f>
        <v>0</v>
      </c>
      <c r="P452" s="31">
        <f>_xlfn.XLOOKUP(PO[[#This Row],[Supplier name]], Supplier_master[Supplier name], Supplier_master[EOM or Net], 0)</f>
        <v>0</v>
      </c>
      <c r="Q452" s="31">
        <f>_xlfn.XLOOKUP(PO[[#This Row],[Supplier name]], Supplier_master[Supplier name], Supplier_master[Terms days], 0)</f>
        <v>0</v>
      </c>
      <c r="R4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2" s="4"/>
      <c r="T452" s="46">
        <f>IF(PO[[#This Row],[Payment date - override (dd/mm/yyyy)]] &lt;&gt; "", PO[[#This Row],[Payment date - override (dd/mm/yyyy)]], PO[[#This Row],[Due date (dd/mm/yyyy)]])</f>
        <v>0</v>
      </c>
      <c r="U452" s="46">
        <f t="shared" si="6"/>
        <v>52</v>
      </c>
    </row>
    <row r="453" spans="3:21" x14ac:dyDescent="0.25">
      <c r="C453" s="24"/>
      <c r="D453" s="20"/>
      <c r="E453" s="4"/>
      <c r="F453" s="37"/>
      <c r="G453" s="38"/>
      <c r="H453" s="31">
        <f>_xlfn.XLOOKUP(PO[[#This Row],[Supplier name]], Supplier_master[Supplier name], Supplier_master[Category L1], 0)</f>
        <v>0</v>
      </c>
      <c r="I453" s="31">
        <f>_xlfn.XLOOKUP(PO[[#This Row],[Supplier name]], Supplier_master[Supplier name], Supplier_master[Category L2], 0)</f>
        <v>0</v>
      </c>
      <c r="J453" s="55"/>
      <c r="K453" s="55"/>
      <c r="L453" s="31">
        <f>IF(PO[[#This Row],[Spend category L1 - Override]] &lt;&gt; "", PO[[#This Row],[Spend category L1 - Override]], PO[[#This Row],[Spend category L1]])</f>
        <v>0</v>
      </c>
      <c r="M453" s="31">
        <f>IF(PO[[#This Row],[Spend category L2 - Override]] &lt;&gt; "", PO[[#This Row],[Spend category L2 - Override]], PO[[#This Row],[Spend category L2]])</f>
        <v>0</v>
      </c>
      <c r="N453" s="63">
        <f>Assumptions!$D$15</f>
        <v>0.1</v>
      </c>
      <c r="O453" s="45">
        <f>IF(PO[[#This Row],[GST applies?]] = "Yes", (PO[[#This Row],[Value inc. GST]] / 1 + PO[[#This Row],[GST %]]) * PO[[#This Row],[GST %]], 0)</f>
        <v>0</v>
      </c>
      <c r="P453" s="31">
        <f>_xlfn.XLOOKUP(PO[[#This Row],[Supplier name]], Supplier_master[Supplier name], Supplier_master[EOM or Net], 0)</f>
        <v>0</v>
      </c>
      <c r="Q453" s="31">
        <f>_xlfn.XLOOKUP(PO[[#This Row],[Supplier name]], Supplier_master[Supplier name], Supplier_master[Terms days], 0)</f>
        <v>0</v>
      </c>
      <c r="R4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3" s="4"/>
      <c r="T453" s="46">
        <f>IF(PO[[#This Row],[Payment date - override (dd/mm/yyyy)]] &lt;&gt; "", PO[[#This Row],[Payment date - override (dd/mm/yyyy)]], PO[[#This Row],[Due date (dd/mm/yyyy)]])</f>
        <v>0</v>
      </c>
      <c r="U453" s="46">
        <f t="shared" si="6"/>
        <v>52</v>
      </c>
    </row>
    <row r="454" spans="3:21" x14ac:dyDescent="0.25">
      <c r="C454" s="24"/>
      <c r="D454" s="20"/>
      <c r="E454" s="4"/>
      <c r="F454" s="37"/>
      <c r="G454" s="38"/>
      <c r="H454" s="31">
        <f>_xlfn.XLOOKUP(PO[[#This Row],[Supplier name]], Supplier_master[Supplier name], Supplier_master[Category L1], 0)</f>
        <v>0</v>
      </c>
      <c r="I454" s="31">
        <f>_xlfn.XLOOKUP(PO[[#This Row],[Supplier name]], Supplier_master[Supplier name], Supplier_master[Category L2], 0)</f>
        <v>0</v>
      </c>
      <c r="J454" s="55"/>
      <c r="K454" s="55"/>
      <c r="L454" s="31">
        <f>IF(PO[[#This Row],[Spend category L1 - Override]] &lt;&gt; "", PO[[#This Row],[Spend category L1 - Override]], PO[[#This Row],[Spend category L1]])</f>
        <v>0</v>
      </c>
      <c r="M454" s="31">
        <f>IF(PO[[#This Row],[Spend category L2 - Override]] &lt;&gt; "", PO[[#This Row],[Spend category L2 - Override]], PO[[#This Row],[Spend category L2]])</f>
        <v>0</v>
      </c>
      <c r="N454" s="63">
        <f>Assumptions!$D$15</f>
        <v>0.1</v>
      </c>
      <c r="O454" s="45">
        <f>IF(PO[[#This Row],[GST applies?]] = "Yes", (PO[[#This Row],[Value inc. GST]] / 1 + PO[[#This Row],[GST %]]) * PO[[#This Row],[GST %]], 0)</f>
        <v>0</v>
      </c>
      <c r="P454" s="31">
        <f>_xlfn.XLOOKUP(PO[[#This Row],[Supplier name]], Supplier_master[Supplier name], Supplier_master[EOM or Net], 0)</f>
        <v>0</v>
      </c>
      <c r="Q454" s="31">
        <f>_xlfn.XLOOKUP(PO[[#This Row],[Supplier name]], Supplier_master[Supplier name], Supplier_master[Terms days], 0)</f>
        <v>0</v>
      </c>
      <c r="R4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4" s="4"/>
      <c r="T454" s="46">
        <f>IF(PO[[#This Row],[Payment date - override (dd/mm/yyyy)]] &lt;&gt; "", PO[[#This Row],[Payment date - override (dd/mm/yyyy)]], PO[[#This Row],[Due date (dd/mm/yyyy)]])</f>
        <v>0</v>
      </c>
      <c r="U454" s="46">
        <f t="shared" si="6"/>
        <v>52</v>
      </c>
    </row>
    <row r="455" spans="3:21" x14ac:dyDescent="0.25">
      <c r="C455" s="24"/>
      <c r="D455" s="20"/>
      <c r="E455" s="4"/>
      <c r="F455" s="37"/>
      <c r="G455" s="38"/>
      <c r="H455" s="31">
        <f>_xlfn.XLOOKUP(PO[[#This Row],[Supplier name]], Supplier_master[Supplier name], Supplier_master[Category L1], 0)</f>
        <v>0</v>
      </c>
      <c r="I455" s="31">
        <f>_xlfn.XLOOKUP(PO[[#This Row],[Supplier name]], Supplier_master[Supplier name], Supplier_master[Category L2], 0)</f>
        <v>0</v>
      </c>
      <c r="J455" s="55"/>
      <c r="K455" s="55"/>
      <c r="L455" s="31">
        <f>IF(PO[[#This Row],[Spend category L1 - Override]] &lt;&gt; "", PO[[#This Row],[Spend category L1 - Override]], PO[[#This Row],[Spend category L1]])</f>
        <v>0</v>
      </c>
      <c r="M455" s="31">
        <f>IF(PO[[#This Row],[Spend category L2 - Override]] &lt;&gt; "", PO[[#This Row],[Spend category L2 - Override]], PO[[#This Row],[Spend category L2]])</f>
        <v>0</v>
      </c>
      <c r="N455" s="63">
        <f>Assumptions!$D$15</f>
        <v>0.1</v>
      </c>
      <c r="O455" s="45">
        <f>IF(PO[[#This Row],[GST applies?]] = "Yes", (PO[[#This Row],[Value inc. GST]] / 1 + PO[[#This Row],[GST %]]) * PO[[#This Row],[GST %]], 0)</f>
        <v>0</v>
      </c>
      <c r="P455" s="31">
        <f>_xlfn.XLOOKUP(PO[[#This Row],[Supplier name]], Supplier_master[Supplier name], Supplier_master[EOM or Net], 0)</f>
        <v>0</v>
      </c>
      <c r="Q455" s="31">
        <f>_xlfn.XLOOKUP(PO[[#This Row],[Supplier name]], Supplier_master[Supplier name], Supplier_master[Terms days], 0)</f>
        <v>0</v>
      </c>
      <c r="R4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5" s="4"/>
      <c r="T455" s="46">
        <f>IF(PO[[#This Row],[Payment date - override (dd/mm/yyyy)]] &lt;&gt; "", PO[[#This Row],[Payment date - override (dd/mm/yyyy)]], PO[[#This Row],[Due date (dd/mm/yyyy)]])</f>
        <v>0</v>
      </c>
      <c r="U455" s="46">
        <f t="shared" si="6"/>
        <v>52</v>
      </c>
    </row>
    <row r="456" spans="3:21" x14ac:dyDescent="0.25">
      <c r="C456" s="24"/>
      <c r="D456" s="20"/>
      <c r="E456" s="4"/>
      <c r="F456" s="37"/>
      <c r="G456" s="38"/>
      <c r="H456" s="31">
        <f>_xlfn.XLOOKUP(PO[[#This Row],[Supplier name]], Supplier_master[Supplier name], Supplier_master[Category L1], 0)</f>
        <v>0</v>
      </c>
      <c r="I456" s="31">
        <f>_xlfn.XLOOKUP(PO[[#This Row],[Supplier name]], Supplier_master[Supplier name], Supplier_master[Category L2], 0)</f>
        <v>0</v>
      </c>
      <c r="J456" s="55"/>
      <c r="K456" s="55"/>
      <c r="L456" s="31">
        <f>IF(PO[[#This Row],[Spend category L1 - Override]] &lt;&gt; "", PO[[#This Row],[Spend category L1 - Override]], PO[[#This Row],[Spend category L1]])</f>
        <v>0</v>
      </c>
      <c r="M456" s="31">
        <f>IF(PO[[#This Row],[Spend category L2 - Override]] &lt;&gt; "", PO[[#This Row],[Spend category L2 - Override]], PO[[#This Row],[Spend category L2]])</f>
        <v>0</v>
      </c>
      <c r="N456" s="63">
        <f>Assumptions!$D$15</f>
        <v>0.1</v>
      </c>
      <c r="O456" s="45">
        <f>IF(PO[[#This Row],[GST applies?]] = "Yes", (PO[[#This Row],[Value inc. GST]] / 1 + PO[[#This Row],[GST %]]) * PO[[#This Row],[GST %]], 0)</f>
        <v>0</v>
      </c>
      <c r="P456" s="31">
        <f>_xlfn.XLOOKUP(PO[[#This Row],[Supplier name]], Supplier_master[Supplier name], Supplier_master[EOM or Net], 0)</f>
        <v>0</v>
      </c>
      <c r="Q456" s="31">
        <f>_xlfn.XLOOKUP(PO[[#This Row],[Supplier name]], Supplier_master[Supplier name], Supplier_master[Terms days], 0)</f>
        <v>0</v>
      </c>
      <c r="R4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6" s="4"/>
      <c r="T456" s="46">
        <f>IF(PO[[#This Row],[Payment date - override (dd/mm/yyyy)]] &lt;&gt; "", PO[[#This Row],[Payment date - override (dd/mm/yyyy)]], PO[[#This Row],[Due date (dd/mm/yyyy)]])</f>
        <v>0</v>
      </c>
      <c r="U456" s="46">
        <f t="shared" si="6"/>
        <v>52</v>
      </c>
    </row>
    <row r="457" spans="3:21" x14ac:dyDescent="0.25">
      <c r="C457" s="24"/>
      <c r="D457" s="20"/>
      <c r="E457" s="4"/>
      <c r="F457" s="37"/>
      <c r="G457" s="38"/>
      <c r="H457" s="31">
        <f>_xlfn.XLOOKUP(PO[[#This Row],[Supplier name]], Supplier_master[Supplier name], Supplier_master[Category L1], 0)</f>
        <v>0</v>
      </c>
      <c r="I457" s="31">
        <f>_xlfn.XLOOKUP(PO[[#This Row],[Supplier name]], Supplier_master[Supplier name], Supplier_master[Category L2], 0)</f>
        <v>0</v>
      </c>
      <c r="J457" s="55"/>
      <c r="K457" s="55"/>
      <c r="L457" s="31">
        <f>IF(PO[[#This Row],[Spend category L1 - Override]] &lt;&gt; "", PO[[#This Row],[Spend category L1 - Override]], PO[[#This Row],[Spend category L1]])</f>
        <v>0</v>
      </c>
      <c r="M457" s="31">
        <f>IF(PO[[#This Row],[Spend category L2 - Override]] &lt;&gt; "", PO[[#This Row],[Spend category L2 - Override]], PO[[#This Row],[Spend category L2]])</f>
        <v>0</v>
      </c>
      <c r="N457" s="63">
        <f>Assumptions!$D$15</f>
        <v>0.1</v>
      </c>
      <c r="O457" s="45">
        <f>IF(PO[[#This Row],[GST applies?]] = "Yes", (PO[[#This Row],[Value inc. GST]] / 1 + PO[[#This Row],[GST %]]) * PO[[#This Row],[GST %]], 0)</f>
        <v>0</v>
      </c>
      <c r="P457" s="31">
        <f>_xlfn.XLOOKUP(PO[[#This Row],[Supplier name]], Supplier_master[Supplier name], Supplier_master[EOM or Net], 0)</f>
        <v>0</v>
      </c>
      <c r="Q457" s="31">
        <f>_xlfn.XLOOKUP(PO[[#This Row],[Supplier name]], Supplier_master[Supplier name], Supplier_master[Terms days], 0)</f>
        <v>0</v>
      </c>
      <c r="R4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7" s="4"/>
      <c r="T457" s="46">
        <f>IF(PO[[#This Row],[Payment date - override (dd/mm/yyyy)]] &lt;&gt; "", PO[[#This Row],[Payment date - override (dd/mm/yyyy)]], PO[[#This Row],[Due date (dd/mm/yyyy)]])</f>
        <v>0</v>
      </c>
      <c r="U457" s="46">
        <f t="shared" ref="U457:U520" si="7">IF(GST_Freq="Monthly",
    DATE(YEAR(E457), MONTH(E457) + 1, 21),
    IF(GST_Freq="Quarterly",
        IF(MOD(MONTH(E457) + 2 - MOD(MOD(MONTH(E457) - GST_First_Month, 12), 3), 12) = 0,
            DATE(YEAR(E457), MONTH(E457) + 4 - MOD(MOD(MONTH(E457) - GST_First_Month, 12), 3), 28),
            DATE(YEAR(E457), MONTH(E457) + 3 - MOD(MOD(MONTH(E457) - GST_First_Month, 12), 3), 28)
        ),
        "Invalid frequency"
    )
)</f>
        <v>52</v>
      </c>
    </row>
    <row r="458" spans="3:21" x14ac:dyDescent="0.25">
      <c r="C458" s="24"/>
      <c r="D458" s="20"/>
      <c r="E458" s="4"/>
      <c r="F458" s="37"/>
      <c r="G458" s="38"/>
      <c r="H458" s="31">
        <f>_xlfn.XLOOKUP(PO[[#This Row],[Supplier name]], Supplier_master[Supplier name], Supplier_master[Category L1], 0)</f>
        <v>0</v>
      </c>
      <c r="I458" s="31">
        <f>_xlfn.XLOOKUP(PO[[#This Row],[Supplier name]], Supplier_master[Supplier name], Supplier_master[Category L2], 0)</f>
        <v>0</v>
      </c>
      <c r="J458" s="55"/>
      <c r="K458" s="55"/>
      <c r="L458" s="31">
        <f>IF(PO[[#This Row],[Spend category L1 - Override]] &lt;&gt; "", PO[[#This Row],[Spend category L1 - Override]], PO[[#This Row],[Spend category L1]])</f>
        <v>0</v>
      </c>
      <c r="M458" s="31">
        <f>IF(PO[[#This Row],[Spend category L2 - Override]] &lt;&gt; "", PO[[#This Row],[Spend category L2 - Override]], PO[[#This Row],[Spend category L2]])</f>
        <v>0</v>
      </c>
      <c r="N458" s="63">
        <f>Assumptions!$D$15</f>
        <v>0.1</v>
      </c>
      <c r="O458" s="45">
        <f>IF(PO[[#This Row],[GST applies?]] = "Yes", (PO[[#This Row],[Value inc. GST]] / 1 + PO[[#This Row],[GST %]]) * PO[[#This Row],[GST %]], 0)</f>
        <v>0</v>
      </c>
      <c r="P458" s="31">
        <f>_xlfn.XLOOKUP(PO[[#This Row],[Supplier name]], Supplier_master[Supplier name], Supplier_master[EOM or Net], 0)</f>
        <v>0</v>
      </c>
      <c r="Q458" s="31">
        <f>_xlfn.XLOOKUP(PO[[#This Row],[Supplier name]], Supplier_master[Supplier name], Supplier_master[Terms days], 0)</f>
        <v>0</v>
      </c>
      <c r="R4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8" s="4"/>
      <c r="T458" s="46">
        <f>IF(PO[[#This Row],[Payment date - override (dd/mm/yyyy)]] &lt;&gt; "", PO[[#This Row],[Payment date - override (dd/mm/yyyy)]], PO[[#This Row],[Due date (dd/mm/yyyy)]])</f>
        <v>0</v>
      </c>
      <c r="U458" s="46">
        <f t="shared" si="7"/>
        <v>52</v>
      </c>
    </row>
    <row r="459" spans="3:21" x14ac:dyDescent="0.25">
      <c r="C459" s="24"/>
      <c r="D459" s="20"/>
      <c r="E459" s="4"/>
      <c r="F459" s="37"/>
      <c r="G459" s="38"/>
      <c r="H459" s="31">
        <f>_xlfn.XLOOKUP(PO[[#This Row],[Supplier name]], Supplier_master[Supplier name], Supplier_master[Category L1], 0)</f>
        <v>0</v>
      </c>
      <c r="I459" s="31">
        <f>_xlfn.XLOOKUP(PO[[#This Row],[Supplier name]], Supplier_master[Supplier name], Supplier_master[Category L2], 0)</f>
        <v>0</v>
      </c>
      <c r="J459" s="55"/>
      <c r="K459" s="55"/>
      <c r="L459" s="31">
        <f>IF(PO[[#This Row],[Spend category L1 - Override]] &lt;&gt; "", PO[[#This Row],[Spend category L1 - Override]], PO[[#This Row],[Spend category L1]])</f>
        <v>0</v>
      </c>
      <c r="M459" s="31">
        <f>IF(PO[[#This Row],[Spend category L2 - Override]] &lt;&gt; "", PO[[#This Row],[Spend category L2 - Override]], PO[[#This Row],[Spend category L2]])</f>
        <v>0</v>
      </c>
      <c r="N459" s="63">
        <f>Assumptions!$D$15</f>
        <v>0.1</v>
      </c>
      <c r="O459" s="45">
        <f>IF(PO[[#This Row],[GST applies?]] = "Yes", (PO[[#This Row],[Value inc. GST]] / 1 + PO[[#This Row],[GST %]]) * PO[[#This Row],[GST %]], 0)</f>
        <v>0</v>
      </c>
      <c r="P459" s="31">
        <f>_xlfn.XLOOKUP(PO[[#This Row],[Supplier name]], Supplier_master[Supplier name], Supplier_master[EOM or Net], 0)</f>
        <v>0</v>
      </c>
      <c r="Q459" s="31">
        <f>_xlfn.XLOOKUP(PO[[#This Row],[Supplier name]], Supplier_master[Supplier name], Supplier_master[Terms days], 0)</f>
        <v>0</v>
      </c>
      <c r="R4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9" s="4"/>
      <c r="T459" s="46">
        <f>IF(PO[[#This Row],[Payment date - override (dd/mm/yyyy)]] &lt;&gt; "", PO[[#This Row],[Payment date - override (dd/mm/yyyy)]], PO[[#This Row],[Due date (dd/mm/yyyy)]])</f>
        <v>0</v>
      </c>
      <c r="U459" s="46">
        <f t="shared" si="7"/>
        <v>52</v>
      </c>
    </row>
    <row r="460" spans="3:21" x14ac:dyDescent="0.25">
      <c r="C460" s="24"/>
      <c r="D460" s="20"/>
      <c r="E460" s="4"/>
      <c r="F460" s="37"/>
      <c r="G460" s="38"/>
      <c r="H460" s="31">
        <f>_xlfn.XLOOKUP(PO[[#This Row],[Supplier name]], Supplier_master[Supplier name], Supplier_master[Category L1], 0)</f>
        <v>0</v>
      </c>
      <c r="I460" s="31">
        <f>_xlfn.XLOOKUP(PO[[#This Row],[Supplier name]], Supplier_master[Supplier name], Supplier_master[Category L2], 0)</f>
        <v>0</v>
      </c>
      <c r="J460" s="55"/>
      <c r="K460" s="55"/>
      <c r="L460" s="31">
        <f>IF(PO[[#This Row],[Spend category L1 - Override]] &lt;&gt; "", PO[[#This Row],[Spend category L1 - Override]], PO[[#This Row],[Spend category L1]])</f>
        <v>0</v>
      </c>
      <c r="M460" s="31">
        <f>IF(PO[[#This Row],[Spend category L2 - Override]] &lt;&gt; "", PO[[#This Row],[Spend category L2 - Override]], PO[[#This Row],[Spend category L2]])</f>
        <v>0</v>
      </c>
      <c r="N460" s="63">
        <f>Assumptions!$D$15</f>
        <v>0.1</v>
      </c>
      <c r="O460" s="45">
        <f>IF(PO[[#This Row],[GST applies?]] = "Yes", (PO[[#This Row],[Value inc. GST]] / 1 + PO[[#This Row],[GST %]]) * PO[[#This Row],[GST %]], 0)</f>
        <v>0</v>
      </c>
      <c r="P460" s="31">
        <f>_xlfn.XLOOKUP(PO[[#This Row],[Supplier name]], Supplier_master[Supplier name], Supplier_master[EOM or Net], 0)</f>
        <v>0</v>
      </c>
      <c r="Q460" s="31">
        <f>_xlfn.XLOOKUP(PO[[#This Row],[Supplier name]], Supplier_master[Supplier name], Supplier_master[Terms days], 0)</f>
        <v>0</v>
      </c>
      <c r="R4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0" s="4"/>
      <c r="T460" s="46">
        <f>IF(PO[[#This Row],[Payment date - override (dd/mm/yyyy)]] &lt;&gt; "", PO[[#This Row],[Payment date - override (dd/mm/yyyy)]], PO[[#This Row],[Due date (dd/mm/yyyy)]])</f>
        <v>0</v>
      </c>
      <c r="U460" s="46">
        <f t="shared" si="7"/>
        <v>52</v>
      </c>
    </row>
    <row r="461" spans="3:21" x14ac:dyDescent="0.25">
      <c r="C461" s="24"/>
      <c r="D461" s="20"/>
      <c r="E461" s="4"/>
      <c r="F461" s="37"/>
      <c r="G461" s="38"/>
      <c r="H461" s="31">
        <f>_xlfn.XLOOKUP(PO[[#This Row],[Supplier name]], Supplier_master[Supplier name], Supplier_master[Category L1], 0)</f>
        <v>0</v>
      </c>
      <c r="I461" s="31">
        <f>_xlfn.XLOOKUP(PO[[#This Row],[Supplier name]], Supplier_master[Supplier name], Supplier_master[Category L2], 0)</f>
        <v>0</v>
      </c>
      <c r="J461" s="55"/>
      <c r="K461" s="55"/>
      <c r="L461" s="31">
        <f>IF(PO[[#This Row],[Spend category L1 - Override]] &lt;&gt; "", PO[[#This Row],[Spend category L1 - Override]], PO[[#This Row],[Spend category L1]])</f>
        <v>0</v>
      </c>
      <c r="M461" s="31">
        <f>IF(PO[[#This Row],[Spend category L2 - Override]] &lt;&gt; "", PO[[#This Row],[Spend category L2 - Override]], PO[[#This Row],[Spend category L2]])</f>
        <v>0</v>
      </c>
      <c r="N461" s="63">
        <f>Assumptions!$D$15</f>
        <v>0.1</v>
      </c>
      <c r="O461" s="45">
        <f>IF(PO[[#This Row],[GST applies?]] = "Yes", (PO[[#This Row],[Value inc. GST]] / 1 + PO[[#This Row],[GST %]]) * PO[[#This Row],[GST %]], 0)</f>
        <v>0</v>
      </c>
      <c r="P461" s="31">
        <f>_xlfn.XLOOKUP(PO[[#This Row],[Supplier name]], Supplier_master[Supplier name], Supplier_master[EOM or Net], 0)</f>
        <v>0</v>
      </c>
      <c r="Q461" s="31">
        <f>_xlfn.XLOOKUP(PO[[#This Row],[Supplier name]], Supplier_master[Supplier name], Supplier_master[Terms days], 0)</f>
        <v>0</v>
      </c>
      <c r="R4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1" s="4"/>
      <c r="T461" s="46">
        <f>IF(PO[[#This Row],[Payment date - override (dd/mm/yyyy)]] &lt;&gt; "", PO[[#This Row],[Payment date - override (dd/mm/yyyy)]], PO[[#This Row],[Due date (dd/mm/yyyy)]])</f>
        <v>0</v>
      </c>
      <c r="U461" s="46">
        <f t="shared" si="7"/>
        <v>52</v>
      </c>
    </row>
    <row r="462" spans="3:21" x14ac:dyDescent="0.25">
      <c r="C462" s="24"/>
      <c r="D462" s="20"/>
      <c r="E462" s="4"/>
      <c r="F462" s="37"/>
      <c r="G462" s="38"/>
      <c r="H462" s="31">
        <f>_xlfn.XLOOKUP(PO[[#This Row],[Supplier name]], Supplier_master[Supplier name], Supplier_master[Category L1], 0)</f>
        <v>0</v>
      </c>
      <c r="I462" s="31">
        <f>_xlfn.XLOOKUP(PO[[#This Row],[Supplier name]], Supplier_master[Supplier name], Supplier_master[Category L2], 0)</f>
        <v>0</v>
      </c>
      <c r="J462" s="55"/>
      <c r="K462" s="55"/>
      <c r="L462" s="31">
        <f>IF(PO[[#This Row],[Spend category L1 - Override]] &lt;&gt; "", PO[[#This Row],[Spend category L1 - Override]], PO[[#This Row],[Spend category L1]])</f>
        <v>0</v>
      </c>
      <c r="M462" s="31">
        <f>IF(PO[[#This Row],[Spend category L2 - Override]] &lt;&gt; "", PO[[#This Row],[Spend category L2 - Override]], PO[[#This Row],[Spend category L2]])</f>
        <v>0</v>
      </c>
      <c r="N462" s="63">
        <f>Assumptions!$D$15</f>
        <v>0.1</v>
      </c>
      <c r="O462" s="45">
        <f>IF(PO[[#This Row],[GST applies?]] = "Yes", (PO[[#This Row],[Value inc. GST]] / 1 + PO[[#This Row],[GST %]]) * PO[[#This Row],[GST %]], 0)</f>
        <v>0</v>
      </c>
      <c r="P462" s="31">
        <f>_xlfn.XLOOKUP(PO[[#This Row],[Supplier name]], Supplier_master[Supplier name], Supplier_master[EOM or Net], 0)</f>
        <v>0</v>
      </c>
      <c r="Q462" s="31">
        <f>_xlfn.XLOOKUP(PO[[#This Row],[Supplier name]], Supplier_master[Supplier name], Supplier_master[Terms days], 0)</f>
        <v>0</v>
      </c>
      <c r="R4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2" s="4"/>
      <c r="T462" s="46">
        <f>IF(PO[[#This Row],[Payment date - override (dd/mm/yyyy)]] &lt;&gt; "", PO[[#This Row],[Payment date - override (dd/mm/yyyy)]], PO[[#This Row],[Due date (dd/mm/yyyy)]])</f>
        <v>0</v>
      </c>
      <c r="U462" s="46">
        <f t="shared" si="7"/>
        <v>52</v>
      </c>
    </row>
    <row r="463" spans="3:21" x14ac:dyDescent="0.25">
      <c r="C463" s="24"/>
      <c r="D463" s="20"/>
      <c r="E463" s="4"/>
      <c r="F463" s="37"/>
      <c r="G463" s="38"/>
      <c r="H463" s="31">
        <f>_xlfn.XLOOKUP(PO[[#This Row],[Supplier name]], Supplier_master[Supplier name], Supplier_master[Category L1], 0)</f>
        <v>0</v>
      </c>
      <c r="I463" s="31">
        <f>_xlfn.XLOOKUP(PO[[#This Row],[Supplier name]], Supplier_master[Supplier name], Supplier_master[Category L2], 0)</f>
        <v>0</v>
      </c>
      <c r="J463" s="55"/>
      <c r="K463" s="55"/>
      <c r="L463" s="31">
        <f>IF(PO[[#This Row],[Spend category L1 - Override]] &lt;&gt; "", PO[[#This Row],[Spend category L1 - Override]], PO[[#This Row],[Spend category L1]])</f>
        <v>0</v>
      </c>
      <c r="M463" s="31">
        <f>IF(PO[[#This Row],[Spend category L2 - Override]] &lt;&gt; "", PO[[#This Row],[Spend category L2 - Override]], PO[[#This Row],[Spend category L2]])</f>
        <v>0</v>
      </c>
      <c r="N463" s="63">
        <f>Assumptions!$D$15</f>
        <v>0.1</v>
      </c>
      <c r="O463" s="45">
        <f>IF(PO[[#This Row],[GST applies?]] = "Yes", (PO[[#This Row],[Value inc. GST]] / 1 + PO[[#This Row],[GST %]]) * PO[[#This Row],[GST %]], 0)</f>
        <v>0</v>
      </c>
      <c r="P463" s="31">
        <f>_xlfn.XLOOKUP(PO[[#This Row],[Supplier name]], Supplier_master[Supplier name], Supplier_master[EOM or Net], 0)</f>
        <v>0</v>
      </c>
      <c r="Q463" s="31">
        <f>_xlfn.XLOOKUP(PO[[#This Row],[Supplier name]], Supplier_master[Supplier name], Supplier_master[Terms days], 0)</f>
        <v>0</v>
      </c>
      <c r="R4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3" s="4"/>
      <c r="T463" s="46">
        <f>IF(PO[[#This Row],[Payment date - override (dd/mm/yyyy)]] &lt;&gt; "", PO[[#This Row],[Payment date - override (dd/mm/yyyy)]], PO[[#This Row],[Due date (dd/mm/yyyy)]])</f>
        <v>0</v>
      </c>
      <c r="U463" s="46">
        <f t="shared" si="7"/>
        <v>52</v>
      </c>
    </row>
    <row r="464" spans="3:21" x14ac:dyDescent="0.25">
      <c r="C464" s="24"/>
      <c r="D464" s="20"/>
      <c r="E464" s="4"/>
      <c r="F464" s="37"/>
      <c r="G464" s="38"/>
      <c r="H464" s="31">
        <f>_xlfn.XLOOKUP(PO[[#This Row],[Supplier name]], Supplier_master[Supplier name], Supplier_master[Category L1], 0)</f>
        <v>0</v>
      </c>
      <c r="I464" s="31">
        <f>_xlfn.XLOOKUP(PO[[#This Row],[Supplier name]], Supplier_master[Supplier name], Supplier_master[Category L2], 0)</f>
        <v>0</v>
      </c>
      <c r="J464" s="55"/>
      <c r="K464" s="55"/>
      <c r="L464" s="31">
        <f>IF(PO[[#This Row],[Spend category L1 - Override]] &lt;&gt; "", PO[[#This Row],[Spend category L1 - Override]], PO[[#This Row],[Spend category L1]])</f>
        <v>0</v>
      </c>
      <c r="M464" s="31">
        <f>IF(PO[[#This Row],[Spend category L2 - Override]] &lt;&gt; "", PO[[#This Row],[Spend category L2 - Override]], PO[[#This Row],[Spend category L2]])</f>
        <v>0</v>
      </c>
      <c r="N464" s="63">
        <f>Assumptions!$D$15</f>
        <v>0.1</v>
      </c>
      <c r="O464" s="45">
        <f>IF(PO[[#This Row],[GST applies?]] = "Yes", (PO[[#This Row],[Value inc. GST]] / 1 + PO[[#This Row],[GST %]]) * PO[[#This Row],[GST %]], 0)</f>
        <v>0</v>
      </c>
      <c r="P464" s="31">
        <f>_xlfn.XLOOKUP(PO[[#This Row],[Supplier name]], Supplier_master[Supplier name], Supplier_master[EOM or Net], 0)</f>
        <v>0</v>
      </c>
      <c r="Q464" s="31">
        <f>_xlfn.XLOOKUP(PO[[#This Row],[Supplier name]], Supplier_master[Supplier name], Supplier_master[Terms days], 0)</f>
        <v>0</v>
      </c>
      <c r="R4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4" s="4"/>
      <c r="T464" s="46">
        <f>IF(PO[[#This Row],[Payment date - override (dd/mm/yyyy)]] &lt;&gt; "", PO[[#This Row],[Payment date - override (dd/mm/yyyy)]], PO[[#This Row],[Due date (dd/mm/yyyy)]])</f>
        <v>0</v>
      </c>
      <c r="U464" s="46">
        <f t="shared" si="7"/>
        <v>52</v>
      </c>
    </row>
    <row r="465" spans="3:21" x14ac:dyDescent="0.25">
      <c r="C465" s="24"/>
      <c r="D465" s="20"/>
      <c r="E465" s="4"/>
      <c r="F465" s="37"/>
      <c r="G465" s="38"/>
      <c r="H465" s="31">
        <f>_xlfn.XLOOKUP(PO[[#This Row],[Supplier name]], Supplier_master[Supplier name], Supplier_master[Category L1], 0)</f>
        <v>0</v>
      </c>
      <c r="I465" s="31">
        <f>_xlfn.XLOOKUP(PO[[#This Row],[Supplier name]], Supplier_master[Supplier name], Supplier_master[Category L2], 0)</f>
        <v>0</v>
      </c>
      <c r="J465" s="55"/>
      <c r="K465" s="55"/>
      <c r="L465" s="31">
        <f>IF(PO[[#This Row],[Spend category L1 - Override]] &lt;&gt; "", PO[[#This Row],[Spend category L1 - Override]], PO[[#This Row],[Spend category L1]])</f>
        <v>0</v>
      </c>
      <c r="M465" s="31">
        <f>IF(PO[[#This Row],[Spend category L2 - Override]] &lt;&gt; "", PO[[#This Row],[Spend category L2 - Override]], PO[[#This Row],[Spend category L2]])</f>
        <v>0</v>
      </c>
      <c r="N465" s="63">
        <f>Assumptions!$D$15</f>
        <v>0.1</v>
      </c>
      <c r="O465" s="45">
        <f>IF(PO[[#This Row],[GST applies?]] = "Yes", (PO[[#This Row],[Value inc. GST]] / 1 + PO[[#This Row],[GST %]]) * PO[[#This Row],[GST %]], 0)</f>
        <v>0</v>
      </c>
      <c r="P465" s="31">
        <f>_xlfn.XLOOKUP(PO[[#This Row],[Supplier name]], Supplier_master[Supplier name], Supplier_master[EOM or Net], 0)</f>
        <v>0</v>
      </c>
      <c r="Q465" s="31">
        <f>_xlfn.XLOOKUP(PO[[#This Row],[Supplier name]], Supplier_master[Supplier name], Supplier_master[Terms days], 0)</f>
        <v>0</v>
      </c>
      <c r="R4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5" s="4"/>
      <c r="T465" s="46">
        <f>IF(PO[[#This Row],[Payment date - override (dd/mm/yyyy)]] &lt;&gt; "", PO[[#This Row],[Payment date - override (dd/mm/yyyy)]], PO[[#This Row],[Due date (dd/mm/yyyy)]])</f>
        <v>0</v>
      </c>
      <c r="U465" s="46">
        <f t="shared" si="7"/>
        <v>52</v>
      </c>
    </row>
    <row r="466" spans="3:21" x14ac:dyDescent="0.25">
      <c r="C466" s="24"/>
      <c r="D466" s="20"/>
      <c r="E466" s="4"/>
      <c r="F466" s="37"/>
      <c r="G466" s="38"/>
      <c r="H466" s="31">
        <f>_xlfn.XLOOKUP(PO[[#This Row],[Supplier name]], Supplier_master[Supplier name], Supplier_master[Category L1], 0)</f>
        <v>0</v>
      </c>
      <c r="I466" s="31">
        <f>_xlfn.XLOOKUP(PO[[#This Row],[Supplier name]], Supplier_master[Supplier name], Supplier_master[Category L2], 0)</f>
        <v>0</v>
      </c>
      <c r="J466" s="55"/>
      <c r="K466" s="55"/>
      <c r="L466" s="31">
        <f>IF(PO[[#This Row],[Spend category L1 - Override]] &lt;&gt; "", PO[[#This Row],[Spend category L1 - Override]], PO[[#This Row],[Spend category L1]])</f>
        <v>0</v>
      </c>
      <c r="M466" s="31">
        <f>IF(PO[[#This Row],[Spend category L2 - Override]] &lt;&gt; "", PO[[#This Row],[Spend category L2 - Override]], PO[[#This Row],[Spend category L2]])</f>
        <v>0</v>
      </c>
      <c r="N466" s="63">
        <f>Assumptions!$D$15</f>
        <v>0.1</v>
      </c>
      <c r="O466" s="45">
        <f>IF(PO[[#This Row],[GST applies?]] = "Yes", (PO[[#This Row],[Value inc. GST]] / 1 + PO[[#This Row],[GST %]]) * PO[[#This Row],[GST %]], 0)</f>
        <v>0</v>
      </c>
      <c r="P466" s="31">
        <f>_xlfn.XLOOKUP(PO[[#This Row],[Supplier name]], Supplier_master[Supplier name], Supplier_master[EOM or Net], 0)</f>
        <v>0</v>
      </c>
      <c r="Q466" s="31">
        <f>_xlfn.XLOOKUP(PO[[#This Row],[Supplier name]], Supplier_master[Supplier name], Supplier_master[Terms days], 0)</f>
        <v>0</v>
      </c>
      <c r="R4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6" s="4"/>
      <c r="T466" s="46">
        <f>IF(PO[[#This Row],[Payment date - override (dd/mm/yyyy)]] &lt;&gt; "", PO[[#This Row],[Payment date - override (dd/mm/yyyy)]], PO[[#This Row],[Due date (dd/mm/yyyy)]])</f>
        <v>0</v>
      </c>
      <c r="U466" s="46">
        <f t="shared" si="7"/>
        <v>52</v>
      </c>
    </row>
    <row r="467" spans="3:21" x14ac:dyDescent="0.25">
      <c r="C467" s="24"/>
      <c r="D467" s="20"/>
      <c r="E467" s="4"/>
      <c r="F467" s="37"/>
      <c r="G467" s="38"/>
      <c r="H467" s="31">
        <f>_xlfn.XLOOKUP(PO[[#This Row],[Supplier name]], Supplier_master[Supplier name], Supplier_master[Category L1], 0)</f>
        <v>0</v>
      </c>
      <c r="I467" s="31">
        <f>_xlfn.XLOOKUP(PO[[#This Row],[Supplier name]], Supplier_master[Supplier name], Supplier_master[Category L2], 0)</f>
        <v>0</v>
      </c>
      <c r="J467" s="55"/>
      <c r="K467" s="55"/>
      <c r="L467" s="31">
        <f>IF(PO[[#This Row],[Spend category L1 - Override]] &lt;&gt; "", PO[[#This Row],[Spend category L1 - Override]], PO[[#This Row],[Spend category L1]])</f>
        <v>0</v>
      </c>
      <c r="M467" s="31">
        <f>IF(PO[[#This Row],[Spend category L2 - Override]] &lt;&gt; "", PO[[#This Row],[Spend category L2 - Override]], PO[[#This Row],[Spend category L2]])</f>
        <v>0</v>
      </c>
      <c r="N467" s="63">
        <f>Assumptions!$D$15</f>
        <v>0.1</v>
      </c>
      <c r="O467" s="45">
        <f>IF(PO[[#This Row],[GST applies?]] = "Yes", (PO[[#This Row],[Value inc. GST]] / 1 + PO[[#This Row],[GST %]]) * PO[[#This Row],[GST %]], 0)</f>
        <v>0</v>
      </c>
      <c r="P467" s="31">
        <f>_xlfn.XLOOKUP(PO[[#This Row],[Supplier name]], Supplier_master[Supplier name], Supplier_master[EOM or Net], 0)</f>
        <v>0</v>
      </c>
      <c r="Q467" s="31">
        <f>_xlfn.XLOOKUP(PO[[#This Row],[Supplier name]], Supplier_master[Supplier name], Supplier_master[Terms days], 0)</f>
        <v>0</v>
      </c>
      <c r="R4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7" s="4"/>
      <c r="T467" s="46">
        <f>IF(PO[[#This Row],[Payment date - override (dd/mm/yyyy)]] &lt;&gt; "", PO[[#This Row],[Payment date - override (dd/mm/yyyy)]], PO[[#This Row],[Due date (dd/mm/yyyy)]])</f>
        <v>0</v>
      </c>
      <c r="U467" s="46">
        <f t="shared" si="7"/>
        <v>52</v>
      </c>
    </row>
    <row r="468" spans="3:21" x14ac:dyDescent="0.25">
      <c r="C468" s="24"/>
      <c r="D468" s="20"/>
      <c r="E468" s="4"/>
      <c r="F468" s="37"/>
      <c r="G468" s="38"/>
      <c r="H468" s="31">
        <f>_xlfn.XLOOKUP(PO[[#This Row],[Supplier name]], Supplier_master[Supplier name], Supplier_master[Category L1], 0)</f>
        <v>0</v>
      </c>
      <c r="I468" s="31">
        <f>_xlfn.XLOOKUP(PO[[#This Row],[Supplier name]], Supplier_master[Supplier name], Supplier_master[Category L2], 0)</f>
        <v>0</v>
      </c>
      <c r="J468" s="55"/>
      <c r="K468" s="55"/>
      <c r="L468" s="31">
        <f>IF(PO[[#This Row],[Spend category L1 - Override]] &lt;&gt; "", PO[[#This Row],[Spend category L1 - Override]], PO[[#This Row],[Spend category L1]])</f>
        <v>0</v>
      </c>
      <c r="M468" s="31">
        <f>IF(PO[[#This Row],[Spend category L2 - Override]] &lt;&gt; "", PO[[#This Row],[Spend category L2 - Override]], PO[[#This Row],[Spend category L2]])</f>
        <v>0</v>
      </c>
      <c r="N468" s="63">
        <f>Assumptions!$D$15</f>
        <v>0.1</v>
      </c>
      <c r="O468" s="45">
        <f>IF(PO[[#This Row],[GST applies?]] = "Yes", (PO[[#This Row],[Value inc. GST]] / 1 + PO[[#This Row],[GST %]]) * PO[[#This Row],[GST %]], 0)</f>
        <v>0</v>
      </c>
      <c r="P468" s="31">
        <f>_xlfn.XLOOKUP(PO[[#This Row],[Supplier name]], Supplier_master[Supplier name], Supplier_master[EOM or Net], 0)</f>
        <v>0</v>
      </c>
      <c r="Q468" s="31">
        <f>_xlfn.XLOOKUP(PO[[#This Row],[Supplier name]], Supplier_master[Supplier name], Supplier_master[Terms days], 0)</f>
        <v>0</v>
      </c>
      <c r="R4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8" s="4"/>
      <c r="T468" s="46">
        <f>IF(PO[[#This Row],[Payment date - override (dd/mm/yyyy)]] &lt;&gt; "", PO[[#This Row],[Payment date - override (dd/mm/yyyy)]], PO[[#This Row],[Due date (dd/mm/yyyy)]])</f>
        <v>0</v>
      </c>
      <c r="U468" s="46">
        <f t="shared" si="7"/>
        <v>52</v>
      </c>
    </row>
    <row r="469" spans="3:21" x14ac:dyDescent="0.25">
      <c r="C469" s="24"/>
      <c r="D469" s="20"/>
      <c r="E469" s="4"/>
      <c r="F469" s="37"/>
      <c r="G469" s="38"/>
      <c r="H469" s="31">
        <f>_xlfn.XLOOKUP(PO[[#This Row],[Supplier name]], Supplier_master[Supplier name], Supplier_master[Category L1], 0)</f>
        <v>0</v>
      </c>
      <c r="I469" s="31">
        <f>_xlfn.XLOOKUP(PO[[#This Row],[Supplier name]], Supplier_master[Supplier name], Supplier_master[Category L2], 0)</f>
        <v>0</v>
      </c>
      <c r="J469" s="55"/>
      <c r="K469" s="55"/>
      <c r="L469" s="31">
        <f>IF(PO[[#This Row],[Spend category L1 - Override]] &lt;&gt; "", PO[[#This Row],[Spend category L1 - Override]], PO[[#This Row],[Spend category L1]])</f>
        <v>0</v>
      </c>
      <c r="M469" s="31">
        <f>IF(PO[[#This Row],[Spend category L2 - Override]] &lt;&gt; "", PO[[#This Row],[Spend category L2 - Override]], PO[[#This Row],[Spend category L2]])</f>
        <v>0</v>
      </c>
      <c r="N469" s="63">
        <f>Assumptions!$D$15</f>
        <v>0.1</v>
      </c>
      <c r="O469" s="45">
        <f>IF(PO[[#This Row],[GST applies?]] = "Yes", (PO[[#This Row],[Value inc. GST]] / 1 + PO[[#This Row],[GST %]]) * PO[[#This Row],[GST %]], 0)</f>
        <v>0</v>
      </c>
      <c r="P469" s="31">
        <f>_xlfn.XLOOKUP(PO[[#This Row],[Supplier name]], Supplier_master[Supplier name], Supplier_master[EOM or Net], 0)</f>
        <v>0</v>
      </c>
      <c r="Q469" s="31">
        <f>_xlfn.XLOOKUP(PO[[#This Row],[Supplier name]], Supplier_master[Supplier name], Supplier_master[Terms days], 0)</f>
        <v>0</v>
      </c>
      <c r="R4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9" s="4"/>
      <c r="T469" s="46">
        <f>IF(PO[[#This Row],[Payment date - override (dd/mm/yyyy)]] &lt;&gt; "", PO[[#This Row],[Payment date - override (dd/mm/yyyy)]], PO[[#This Row],[Due date (dd/mm/yyyy)]])</f>
        <v>0</v>
      </c>
      <c r="U469" s="46">
        <f t="shared" si="7"/>
        <v>52</v>
      </c>
    </row>
    <row r="470" spans="3:21" x14ac:dyDescent="0.25">
      <c r="C470" s="24"/>
      <c r="D470" s="20"/>
      <c r="E470" s="4"/>
      <c r="F470" s="37"/>
      <c r="G470" s="38"/>
      <c r="H470" s="31">
        <f>_xlfn.XLOOKUP(PO[[#This Row],[Supplier name]], Supplier_master[Supplier name], Supplier_master[Category L1], 0)</f>
        <v>0</v>
      </c>
      <c r="I470" s="31">
        <f>_xlfn.XLOOKUP(PO[[#This Row],[Supplier name]], Supplier_master[Supplier name], Supplier_master[Category L2], 0)</f>
        <v>0</v>
      </c>
      <c r="J470" s="55"/>
      <c r="K470" s="55"/>
      <c r="L470" s="31">
        <f>IF(PO[[#This Row],[Spend category L1 - Override]] &lt;&gt; "", PO[[#This Row],[Spend category L1 - Override]], PO[[#This Row],[Spend category L1]])</f>
        <v>0</v>
      </c>
      <c r="M470" s="31">
        <f>IF(PO[[#This Row],[Spend category L2 - Override]] &lt;&gt; "", PO[[#This Row],[Spend category L2 - Override]], PO[[#This Row],[Spend category L2]])</f>
        <v>0</v>
      </c>
      <c r="N470" s="63">
        <f>Assumptions!$D$15</f>
        <v>0.1</v>
      </c>
      <c r="O470" s="45">
        <f>IF(PO[[#This Row],[GST applies?]] = "Yes", (PO[[#This Row],[Value inc. GST]] / 1 + PO[[#This Row],[GST %]]) * PO[[#This Row],[GST %]], 0)</f>
        <v>0</v>
      </c>
      <c r="P470" s="31">
        <f>_xlfn.XLOOKUP(PO[[#This Row],[Supplier name]], Supplier_master[Supplier name], Supplier_master[EOM or Net], 0)</f>
        <v>0</v>
      </c>
      <c r="Q470" s="31">
        <f>_xlfn.XLOOKUP(PO[[#This Row],[Supplier name]], Supplier_master[Supplier name], Supplier_master[Terms days], 0)</f>
        <v>0</v>
      </c>
      <c r="R4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0" s="4"/>
      <c r="T470" s="46">
        <f>IF(PO[[#This Row],[Payment date - override (dd/mm/yyyy)]] &lt;&gt; "", PO[[#This Row],[Payment date - override (dd/mm/yyyy)]], PO[[#This Row],[Due date (dd/mm/yyyy)]])</f>
        <v>0</v>
      </c>
      <c r="U470" s="46">
        <f t="shared" si="7"/>
        <v>52</v>
      </c>
    </row>
    <row r="471" spans="3:21" x14ac:dyDescent="0.25">
      <c r="C471" s="24"/>
      <c r="D471" s="20"/>
      <c r="E471" s="4"/>
      <c r="F471" s="37"/>
      <c r="G471" s="38"/>
      <c r="H471" s="31">
        <f>_xlfn.XLOOKUP(PO[[#This Row],[Supplier name]], Supplier_master[Supplier name], Supplier_master[Category L1], 0)</f>
        <v>0</v>
      </c>
      <c r="I471" s="31">
        <f>_xlfn.XLOOKUP(PO[[#This Row],[Supplier name]], Supplier_master[Supplier name], Supplier_master[Category L2], 0)</f>
        <v>0</v>
      </c>
      <c r="J471" s="55"/>
      <c r="K471" s="55"/>
      <c r="L471" s="31">
        <f>IF(PO[[#This Row],[Spend category L1 - Override]] &lt;&gt; "", PO[[#This Row],[Spend category L1 - Override]], PO[[#This Row],[Spend category L1]])</f>
        <v>0</v>
      </c>
      <c r="M471" s="31">
        <f>IF(PO[[#This Row],[Spend category L2 - Override]] &lt;&gt; "", PO[[#This Row],[Spend category L2 - Override]], PO[[#This Row],[Spend category L2]])</f>
        <v>0</v>
      </c>
      <c r="N471" s="63">
        <f>Assumptions!$D$15</f>
        <v>0.1</v>
      </c>
      <c r="O471" s="45">
        <f>IF(PO[[#This Row],[GST applies?]] = "Yes", (PO[[#This Row],[Value inc. GST]] / 1 + PO[[#This Row],[GST %]]) * PO[[#This Row],[GST %]], 0)</f>
        <v>0</v>
      </c>
      <c r="P471" s="31">
        <f>_xlfn.XLOOKUP(PO[[#This Row],[Supplier name]], Supplier_master[Supplier name], Supplier_master[EOM or Net], 0)</f>
        <v>0</v>
      </c>
      <c r="Q471" s="31">
        <f>_xlfn.XLOOKUP(PO[[#This Row],[Supplier name]], Supplier_master[Supplier name], Supplier_master[Terms days], 0)</f>
        <v>0</v>
      </c>
      <c r="R4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1" s="4"/>
      <c r="T471" s="46">
        <f>IF(PO[[#This Row],[Payment date - override (dd/mm/yyyy)]] &lt;&gt; "", PO[[#This Row],[Payment date - override (dd/mm/yyyy)]], PO[[#This Row],[Due date (dd/mm/yyyy)]])</f>
        <v>0</v>
      </c>
      <c r="U471" s="46">
        <f t="shared" si="7"/>
        <v>52</v>
      </c>
    </row>
    <row r="472" spans="3:21" x14ac:dyDescent="0.25">
      <c r="C472" s="24"/>
      <c r="D472" s="20"/>
      <c r="E472" s="4"/>
      <c r="F472" s="37"/>
      <c r="G472" s="38"/>
      <c r="H472" s="31">
        <f>_xlfn.XLOOKUP(PO[[#This Row],[Supplier name]], Supplier_master[Supplier name], Supplier_master[Category L1], 0)</f>
        <v>0</v>
      </c>
      <c r="I472" s="31">
        <f>_xlfn.XLOOKUP(PO[[#This Row],[Supplier name]], Supplier_master[Supplier name], Supplier_master[Category L2], 0)</f>
        <v>0</v>
      </c>
      <c r="J472" s="55"/>
      <c r="K472" s="55"/>
      <c r="L472" s="31">
        <f>IF(PO[[#This Row],[Spend category L1 - Override]] &lt;&gt; "", PO[[#This Row],[Spend category L1 - Override]], PO[[#This Row],[Spend category L1]])</f>
        <v>0</v>
      </c>
      <c r="M472" s="31">
        <f>IF(PO[[#This Row],[Spend category L2 - Override]] &lt;&gt; "", PO[[#This Row],[Spend category L2 - Override]], PO[[#This Row],[Spend category L2]])</f>
        <v>0</v>
      </c>
      <c r="N472" s="63">
        <f>Assumptions!$D$15</f>
        <v>0.1</v>
      </c>
      <c r="O472" s="45">
        <f>IF(PO[[#This Row],[GST applies?]] = "Yes", (PO[[#This Row],[Value inc. GST]] / 1 + PO[[#This Row],[GST %]]) * PO[[#This Row],[GST %]], 0)</f>
        <v>0</v>
      </c>
      <c r="P472" s="31">
        <f>_xlfn.XLOOKUP(PO[[#This Row],[Supplier name]], Supplier_master[Supplier name], Supplier_master[EOM or Net], 0)</f>
        <v>0</v>
      </c>
      <c r="Q472" s="31">
        <f>_xlfn.XLOOKUP(PO[[#This Row],[Supplier name]], Supplier_master[Supplier name], Supplier_master[Terms days], 0)</f>
        <v>0</v>
      </c>
      <c r="R4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2" s="4"/>
      <c r="T472" s="46">
        <f>IF(PO[[#This Row],[Payment date - override (dd/mm/yyyy)]] &lt;&gt; "", PO[[#This Row],[Payment date - override (dd/mm/yyyy)]], PO[[#This Row],[Due date (dd/mm/yyyy)]])</f>
        <v>0</v>
      </c>
      <c r="U472" s="46">
        <f t="shared" si="7"/>
        <v>52</v>
      </c>
    </row>
    <row r="473" spans="3:21" x14ac:dyDescent="0.25">
      <c r="C473" s="24"/>
      <c r="D473" s="20"/>
      <c r="E473" s="4"/>
      <c r="F473" s="37"/>
      <c r="G473" s="38"/>
      <c r="H473" s="31">
        <f>_xlfn.XLOOKUP(PO[[#This Row],[Supplier name]], Supplier_master[Supplier name], Supplier_master[Category L1], 0)</f>
        <v>0</v>
      </c>
      <c r="I473" s="31">
        <f>_xlfn.XLOOKUP(PO[[#This Row],[Supplier name]], Supplier_master[Supplier name], Supplier_master[Category L2], 0)</f>
        <v>0</v>
      </c>
      <c r="J473" s="55"/>
      <c r="K473" s="55"/>
      <c r="L473" s="31">
        <f>IF(PO[[#This Row],[Spend category L1 - Override]] &lt;&gt; "", PO[[#This Row],[Spend category L1 - Override]], PO[[#This Row],[Spend category L1]])</f>
        <v>0</v>
      </c>
      <c r="M473" s="31">
        <f>IF(PO[[#This Row],[Spend category L2 - Override]] &lt;&gt; "", PO[[#This Row],[Spend category L2 - Override]], PO[[#This Row],[Spend category L2]])</f>
        <v>0</v>
      </c>
      <c r="N473" s="63">
        <f>Assumptions!$D$15</f>
        <v>0.1</v>
      </c>
      <c r="O473" s="45">
        <f>IF(PO[[#This Row],[GST applies?]] = "Yes", (PO[[#This Row],[Value inc. GST]] / 1 + PO[[#This Row],[GST %]]) * PO[[#This Row],[GST %]], 0)</f>
        <v>0</v>
      </c>
      <c r="P473" s="31">
        <f>_xlfn.XLOOKUP(PO[[#This Row],[Supplier name]], Supplier_master[Supplier name], Supplier_master[EOM or Net], 0)</f>
        <v>0</v>
      </c>
      <c r="Q473" s="31">
        <f>_xlfn.XLOOKUP(PO[[#This Row],[Supplier name]], Supplier_master[Supplier name], Supplier_master[Terms days], 0)</f>
        <v>0</v>
      </c>
      <c r="R4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3" s="4"/>
      <c r="T473" s="46">
        <f>IF(PO[[#This Row],[Payment date - override (dd/mm/yyyy)]] &lt;&gt; "", PO[[#This Row],[Payment date - override (dd/mm/yyyy)]], PO[[#This Row],[Due date (dd/mm/yyyy)]])</f>
        <v>0</v>
      </c>
      <c r="U473" s="46">
        <f t="shared" si="7"/>
        <v>52</v>
      </c>
    </row>
    <row r="474" spans="3:21" x14ac:dyDescent="0.25">
      <c r="C474" s="24"/>
      <c r="D474" s="20"/>
      <c r="E474" s="4"/>
      <c r="F474" s="37"/>
      <c r="G474" s="38"/>
      <c r="H474" s="31">
        <f>_xlfn.XLOOKUP(PO[[#This Row],[Supplier name]], Supplier_master[Supplier name], Supplier_master[Category L1], 0)</f>
        <v>0</v>
      </c>
      <c r="I474" s="31">
        <f>_xlfn.XLOOKUP(PO[[#This Row],[Supplier name]], Supplier_master[Supplier name], Supplier_master[Category L2], 0)</f>
        <v>0</v>
      </c>
      <c r="J474" s="55"/>
      <c r="K474" s="55"/>
      <c r="L474" s="31">
        <f>IF(PO[[#This Row],[Spend category L1 - Override]] &lt;&gt; "", PO[[#This Row],[Spend category L1 - Override]], PO[[#This Row],[Spend category L1]])</f>
        <v>0</v>
      </c>
      <c r="M474" s="31">
        <f>IF(PO[[#This Row],[Spend category L2 - Override]] &lt;&gt; "", PO[[#This Row],[Spend category L2 - Override]], PO[[#This Row],[Spend category L2]])</f>
        <v>0</v>
      </c>
      <c r="N474" s="63">
        <f>Assumptions!$D$15</f>
        <v>0.1</v>
      </c>
      <c r="O474" s="45">
        <f>IF(PO[[#This Row],[GST applies?]] = "Yes", (PO[[#This Row],[Value inc. GST]] / 1 + PO[[#This Row],[GST %]]) * PO[[#This Row],[GST %]], 0)</f>
        <v>0</v>
      </c>
      <c r="P474" s="31">
        <f>_xlfn.XLOOKUP(PO[[#This Row],[Supplier name]], Supplier_master[Supplier name], Supplier_master[EOM or Net], 0)</f>
        <v>0</v>
      </c>
      <c r="Q474" s="31">
        <f>_xlfn.XLOOKUP(PO[[#This Row],[Supplier name]], Supplier_master[Supplier name], Supplier_master[Terms days], 0)</f>
        <v>0</v>
      </c>
      <c r="R4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4" s="4"/>
      <c r="T474" s="46">
        <f>IF(PO[[#This Row],[Payment date - override (dd/mm/yyyy)]] &lt;&gt; "", PO[[#This Row],[Payment date - override (dd/mm/yyyy)]], PO[[#This Row],[Due date (dd/mm/yyyy)]])</f>
        <v>0</v>
      </c>
      <c r="U474" s="46">
        <f t="shared" si="7"/>
        <v>52</v>
      </c>
    </row>
    <row r="475" spans="3:21" x14ac:dyDescent="0.25">
      <c r="C475" s="24"/>
      <c r="D475" s="20"/>
      <c r="E475" s="4"/>
      <c r="F475" s="37"/>
      <c r="G475" s="38"/>
      <c r="H475" s="31">
        <f>_xlfn.XLOOKUP(PO[[#This Row],[Supplier name]], Supplier_master[Supplier name], Supplier_master[Category L1], 0)</f>
        <v>0</v>
      </c>
      <c r="I475" s="31">
        <f>_xlfn.XLOOKUP(PO[[#This Row],[Supplier name]], Supplier_master[Supplier name], Supplier_master[Category L2], 0)</f>
        <v>0</v>
      </c>
      <c r="J475" s="55"/>
      <c r="K475" s="55"/>
      <c r="L475" s="31">
        <f>IF(PO[[#This Row],[Spend category L1 - Override]] &lt;&gt; "", PO[[#This Row],[Spend category L1 - Override]], PO[[#This Row],[Spend category L1]])</f>
        <v>0</v>
      </c>
      <c r="M475" s="31">
        <f>IF(PO[[#This Row],[Spend category L2 - Override]] &lt;&gt; "", PO[[#This Row],[Spend category L2 - Override]], PO[[#This Row],[Spend category L2]])</f>
        <v>0</v>
      </c>
      <c r="N475" s="63">
        <f>Assumptions!$D$15</f>
        <v>0.1</v>
      </c>
      <c r="O475" s="45">
        <f>IF(PO[[#This Row],[GST applies?]] = "Yes", (PO[[#This Row],[Value inc. GST]] / 1 + PO[[#This Row],[GST %]]) * PO[[#This Row],[GST %]], 0)</f>
        <v>0</v>
      </c>
      <c r="P475" s="31">
        <f>_xlfn.XLOOKUP(PO[[#This Row],[Supplier name]], Supplier_master[Supplier name], Supplier_master[EOM or Net], 0)</f>
        <v>0</v>
      </c>
      <c r="Q475" s="31">
        <f>_xlfn.XLOOKUP(PO[[#This Row],[Supplier name]], Supplier_master[Supplier name], Supplier_master[Terms days], 0)</f>
        <v>0</v>
      </c>
      <c r="R4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5" s="4"/>
      <c r="T475" s="46">
        <f>IF(PO[[#This Row],[Payment date - override (dd/mm/yyyy)]] &lt;&gt; "", PO[[#This Row],[Payment date - override (dd/mm/yyyy)]], PO[[#This Row],[Due date (dd/mm/yyyy)]])</f>
        <v>0</v>
      </c>
      <c r="U475" s="46">
        <f t="shared" si="7"/>
        <v>52</v>
      </c>
    </row>
    <row r="476" spans="3:21" x14ac:dyDescent="0.25">
      <c r="C476" s="24"/>
      <c r="D476" s="20"/>
      <c r="E476" s="4"/>
      <c r="F476" s="37"/>
      <c r="G476" s="38"/>
      <c r="H476" s="31">
        <f>_xlfn.XLOOKUP(PO[[#This Row],[Supplier name]], Supplier_master[Supplier name], Supplier_master[Category L1], 0)</f>
        <v>0</v>
      </c>
      <c r="I476" s="31">
        <f>_xlfn.XLOOKUP(PO[[#This Row],[Supplier name]], Supplier_master[Supplier name], Supplier_master[Category L2], 0)</f>
        <v>0</v>
      </c>
      <c r="J476" s="55"/>
      <c r="K476" s="55"/>
      <c r="L476" s="31">
        <f>IF(PO[[#This Row],[Spend category L1 - Override]] &lt;&gt; "", PO[[#This Row],[Spend category L1 - Override]], PO[[#This Row],[Spend category L1]])</f>
        <v>0</v>
      </c>
      <c r="M476" s="31">
        <f>IF(PO[[#This Row],[Spend category L2 - Override]] &lt;&gt; "", PO[[#This Row],[Spend category L2 - Override]], PO[[#This Row],[Spend category L2]])</f>
        <v>0</v>
      </c>
      <c r="N476" s="63">
        <f>Assumptions!$D$15</f>
        <v>0.1</v>
      </c>
      <c r="O476" s="45">
        <f>IF(PO[[#This Row],[GST applies?]] = "Yes", (PO[[#This Row],[Value inc. GST]] / 1 + PO[[#This Row],[GST %]]) * PO[[#This Row],[GST %]], 0)</f>
        <v>0</v>
      </c>
      <c r="P476" s="31">
        <f>_xlfn.XLOOKUP(PO[[#This Row],[Supplier name]], Supplier_master[Supplier name], Supplier_master[EOM or Net], 0)</f>
        <v>0</v>
      </c>
      <c r="Q476" s="31">
        <f>_xlfn.XLOOKUP(PO[[#This Row],[Supplier name]], Supplier_master[Supplier name], Supplier_master[Terms days], 0)</f>
        <v>0</v>
      </c>
      <c r="R4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6" s="4"/>
      <c r="T476" s="46">
        <f>IF(PO[[#This Row],[Payment date - override (dd/mm/yyyy)]] &lt;&gt; "", PO[[#This Row],[Payment date - override (dd/mm/yyyy)]], PO[[#This Row],[Due date (dd/mm/yyyy)]])</f>
        <v>0</v>
      </c>
      <c r="U476" s="46">
        <f t="shared" si="7"/>
        <v>52</v>
      </c>
    </row>
    <row r="477" spans="3:21" x14ac:dyDescent="0.25">
      <c r="C477" s="24"/>
      <c r="D477" s="20"/>
      <c r="E477" s="4"/>
      <c r="F477" s="37"/>
      <c r="G477" s="38"/>
      <c r="H477" s="31">
        <f>_xlfn.XLOOKUP(PO[[#This Row],[Supplier name]], Supplier_master[Supplier name], Supplier_master[Category L1], 0)</f>
        <v>0</v>
      </c>
      <c r="I477" s="31">
        <f>_xlfn.XLOOKUP(PO[[#This Row],[Supplier name]], Supplier_master[Supplier name], Supplier_master[Category L2], 0)</f>
        <v>0</v>
      </c>
      <c r="J477" s="55"/>
      <c r="K477" s="55"/>
      <c r="L477" s="31">
        <f>IF(PO[[#This Row],[Spend category L1 - Override]] &lt;&gt; "", PO[[#This Row],[Spend category L1 - Override]], PO[[#This Row],[Spend category L1]])</f>
        <v>0</v>
      </c>
      <c r="M477" s="31">
        <f>IF(PO[[#This Row],[Spend category L2 - Override]] &lt;&gt; "", PO[[#This Row],[Spend category L2 - Override]], PO[[#This Row],[Spend category L2]])</f>
        <v>0</v>
      </c>
      <c r="N477" s="63">
        <f>Assumptions!$D$15</f>
        <v>0.1</v>
      </c>
      <c r="O477" s="45">
        <f>IF(PO[[#This Row],[GST applies?]] = "Yes", (PO[[#This Row],[Value inc. GST]] / 1 + PO[[#This Row],[GST %]]) * PO[[#This Row],[GST %]], 0)</f>
        <v>0</v>
      </c>
      <c r="P477" s="31">
        <f>_xlfn.XLOOKUP(PO[[#This Row],[Supplier name]], Supplier_master[Supplier name], Supplier_master[EOM or Net], 0)</f>
        <v>0</v>
      </c>
      <c r="Q477" s="31">
        <f>_xlfn.XLOOKUP(PO[[#This Row],[Supplier name]], Supplier_master[Supplier name], Supplier_master[Terms days], 0)</f>
        <v>0</v>
      </c>
      <c r="R4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7" s="4"/>
      <c r="T477" s="46">
        <f>IF(PO[[#This Row],[Payment date - override (dd/mm/yyyy)]] &lt;&gt; "", PO[[#This Row],[Payment date - override (dd/mm/yyyy)]], PO[[#This Row],[Due date (dd/mm/yyyy)]])</f>
        <v>0</v>
      </c>
      <c r="U477" s="46">
        <f t="shared" si="7"/>
        <v>52</v>
      </c>
    </row>
    <row r="478" spans="3:21" x14ac:dyDescent="0.25">
      <c r="C478" s="24"/>
      <c r="D478" s="20"/>
      <c r="E478" s="4"/>
      <c r="F478" s="37"/>
      <c r="G478" s="38"/>
      <c r="H478" s="31">
        <f>_xlfn.XLOOKUP(PO[[#This Row],[Supplier name]], Supplier_master[Supplier name], Supplier_master[Category L1], 0)</f>
        <v>0</v>
      </c>
      <c r="I478" s="31">
        <f>_xlfn.XLOOKUP(PO[[#This Row],[Supplier name]], Supplier_master[Supplier name], Supplier_master[Category L2], 0)</f>
        <v>0</v>
      </c>
      <c r="J478" s="55"/>
      <c r="K478" s="55"/>
      <c r="L478" s="31">
        <f>IF(PO[[#This Row],[Spend category L1 - Override]] &lt;&gt; "", PO[[#This Row],[Spend category L1 - Override]], PO[[#This Row],[Spend category L1]])</f>
        <v>0</v>
      </c>
      <c r="M478" s="31">
        <f>IF(PO[[#This Row],[Spend category L2 - Override]] &lt;&gt; "", PO[[#This Row],[Spend category L2 - Override]], PO[[#This Row],[Spend category L2]])</f>
        <v>0</v>
      </c>
      <c r="N478" s="63">
        <f>Assumptions!$D$15</f>
        <v>0.1</v>
      </c>
      <c r="O478" s="45">
        <f>IF(PO[[#This Row],[GST applies?]] = "Yes", (PO[[#This Row],[Value inc. GST]] / 1 + PO[[#This Row],[GST %]]) * PO[[#This Row],[GST %]], 0)</f>
        <v>0</v>
      </c>
      <c r="P478" s="31">
        <f>_xlfn.XLOOKUP(PO[[#This Row],[Supplier name]], Supplier_master[Supplier name], Supplier_master[EOM or Net], 0)</f>
        <v>0</v>
      </c>
      <c r="Q478" s="31">
        <f>_xlfn.XLOOKUP(PO[[#This Row],[Supplier name]], Supplier_master[Supplier name], Supplier_master[Terms days], 0)</f>
        <v>0</v>
      </c>
      <c r="R4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8" s="4"/>
      <c r="T478" s="46">
        <f>IF(PO[[#This Row],[Payment date - override (dd/mm/yyyy)]] &lt;&gt; "", PO[[#This Row],[Payment date - override (dd/mm/yyyy)]], PO[[#This Row],[Due date (dd/mm/yyyy)]])</f>
        <v>0</v>
      </c>
      <c r="U478" s="46">
        <f t="shared" si="7"/>
        <v>52</v>
      </c>
    </row>
    <row r="479" spans="3:21" x14ac:dyDescent="0.25">
      <c r="C479" s="24"/>
      <c r="D479" s="20"/>
      <c r="E479" s="4"/>
      <c r="F479" s="37"/>
      <c r="G479" s="38"/>
      <c r="H479" s="31">
        <f>_xlfn.XLOOKUP(PO[[#This Row],[Supplier name]], Supplier_master[Supplier name], Supplier_master[Category L1], 0)</f>
        <v>0</v>
      </c>
      <c r="I479" s="31">
        <f>_xlfn.XLOOKUP(PO[[#This Row],[Supplier name]], Supplier_master[Supplier name], Supplier_master[Category L2], 0)</f>
        <v>0</v>
      </c>
      <c r="J479" s="55"/>
      <c r="K479" s="55"/>
      <c r="L479" s="31">
        <f>IF(PO[[#This Row],[Spend category L1 - Override]] &lt;&gt; "", PO[[#This Row],[Spend category L1 - Override]], PO[[#This Row],[Spend category L1]])</f>
        <v>0</v>
      </c>
      <c r="M479" s="31">
        <f>IF(PO[[#This Row],[Spend category L2 - Override]] &lt;&gt; "", PO[[#This Row],[Spend category L2 - Override]], PO[[#This Row],[Spend category L2]])</f>
        <v>0</v>
      </c>
      <c r="N479" s="63">
        <f>Assumptions!$D$15</f>
        <v>0.1</v>
      </c>
      <c r="O479" s="45">
        <f>IF(PO[[#This Row],[GST applies?]] = "Yes", (PO[[#This Row],[Value inc. GST]] / 1 + PO[[#This Row],[GST %]]) * PO[[#This Row],[GST %]], 0)</f>
        <v>0</v>
      </c>
      <c r="P479" s="31">
        <f>_xlfn.XLOOKUP(PO[[#This Row],[Supplier name]], Supplier_master[Supplier name], Supplier_master[EOM or Net], 0)</f>
        <v>0</v>
      </c>
      <c r="Q479" s="31">
        <f>_xlfn.XLOOKUP(PO[[#This Row],[Supplier name]], Supplier_master[Supplier name], Supplier_master[Terms days], 0)</f>
        <v>0</v>
      </c>
      <c r="R4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9" s="4"/>
      <c r="T479" s="46">
        <f>IF(PO[[#This Row],[Payment date - override (dd/mm/yyyy)]] &lt;&gt; "", PO[[#This Row],[Payment date - override (dd/mm/yyyy)]], PO[[#This Row],[Due date (dd/mm/yyyy)]])</f>
        <v>0</v>
      </c>
      <c r="U479" s="46">
        <f t="shared" si="7"/>
        <v>52</v>
      </c>
    </row>
    <row r="480" spans="3:21" x14ac:dyDescent="0.25">
      <c r="C480" s="24"/>
      <c r="D480" s="20"/>
      <c r="E480" s="4"/>
      <c r="F480" s="37"/>
      <c r="G480" s="38"/>
      <c r="H480" s="31">
        <f>_xlfn.XLOOKUP(PO[[#This Row],[Supplier name]], Supplier_master[Supplier name], Supplier_master[Category L1], 0)</f>
        <v>0</v>
      </c>
      <c r="I480" s="31">
        <f>_xlfn.XLOOKUP(PO[[#This Row],[Supplier name]], Supplier_master[Supplier name], Supplier_master[Category L2], 0)</f>
        <v>0</v>
      </c>
      <c r="J480" s="55"/>
      <c r="K480" s="55"/>
      <c r="L480" s="31">
        <f>IF(PO[[#This Row],[Spend category L1 - Override]] &lt;&gt; "", PO[[#This Row],[Spend category L1 - Override]], PO[[#This Row],[Spend category L1]])</f>
        <v>0</v>
      </c>
      <c r="M480" s="31">
        <f>IF(PO[[#This Row],[Spend category L2 - Override]] &lt;&gt; "", PO[[#This Row],[Spend category L2 - Override]], PO[[#This Row],[Spend category L2]])</f>
        <v>0</v>
      </c>
      <c r="N480" s="63">
        <f>Assumptions!$D$15</f>
        <v>0.1</v>
      </c>
      <c r="O480" s="45">
        <f>IF(PO[[#This Row],[GST applies?]] = "Yes", (PO[[#This Row],[Value inc. GST]] / 1 + PO[[#This Row],[GST %]]) * PO[[#This Row],[GST %]], 0)</f>
        <v>0</v>
      </c>
      <c r="P480" s="31">
        <f>_xlfn.XLOOKUP(PO[[#This Row],[Supplier name]], Supplier_master[Supplier name], Supplier_master[EOM or Net], 0)</f>
        <v>0</v>
      </c>
      <c r="Q480" s="31">
        <f>_xlfn.XLOOKUP(PO[[#This Row],[Supplier name]], Supplier_master[Supplier name], Supplier_master[Terms days], 0)</f>
        <v>0</v>
      </c>
      <c r="R4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0" s="4"/>
      <c r="T480" s="46">
        <f>IF(PO[[#This Row],[Payment date - override (dd/mm/yyyy)]] &lt;&gt; "", PO[[#This Row],[Payment date - override (dd/mm/yyyy)]], PO[[#This Row],[Due date (dd/mm/yyyy)]])</f>
        <v>0</v>
      </c>
      <c r="U480" s="46">
        <f t="shared" si="7"/>
        <v>52</v>
      </c>
    </row>
    <row r="481" spans="3:21" x14ac:dyDescent="0.25">
      <c r="C481" s="24"/>
      <c r="D481" s="20"/>
      <c r="E481" s="4"/>
      <c r="F481" s="37"/>
      <c r="G481" s="38"/>
      <c r="H481" s="31">
        <f>_xlfn.XLOOKUP(PO[[#This Row],[Supplier name]], Supplier_master[Supplier name], Supplier_master[Category L1], 0)</f>
        <v>0</v>
      </c>
      <c r="I481" s="31">
        <f>_xlfn.XLOOKUP(PO[[#This Row],[Supplier name]], Supplier_master[Supplier name], Supplier_master[Category L2], 0)</f>
        <v>0</v>
      </c>
      <c r="J481" s="55"/>
      <c r="K481" s="55"/>
      <c r="L481" s="31">
        <f>IF(PO[[#This Row],[Spend category L1 - Override]] &lt;&gt; "", PO[[#This Row],[Spend category L1 - Override]], PO[[#This Row],[Spend category L1]])</f>
        <v>0</v>
      </c>
      <c r="M481" s="31">
        <f>IF(PO[[#This Row],[Spend category L2 - Override]] &lt;&gt; "", PO[[#This Row],[Spend category L2 - Override]], PO[[#This Row],[Spend category L2]])</f>
        <v>0</v>
      </c>
      <c r="N481" s="63">
        <f>Assumptions!$D$15</f>
        <v>0.1</v>
      </c>
      <c r="O481" s="45">
        <f>IF(PO[[#This Row],[GST applies?]] = "Yes", (PO[[#This Row],[Value inc. GST]] / 1 + PO[[#This Row],[GST %]]) * PO[[#This Row],[GST %]], 0)</f>
        <v>0</v>
      </c>
      <c r="P481" s="31">
        <f>_xlfn.XLOOKUP(PO[[#This Row],[Supplier name]], Supplier_master[Supplier name], Supplier_master[EOM or Net], 0)</f>
        <v>0</v>
      </c>
      <c r="Q481" s="31">
        <f>_xlfn.XLOOKUP(PO[[#This Row],[Supplier name]], Supplier_master[Supplier name], Supplier_master[Terms days], 0)</f>
        <v>0</v>
      </c>
      <c r="R4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1" s="4"/>
      <c r="T481" s="46">
        <f>IF(PO[[#This Row],[Payment date - override (dd/mm/yyyy)]] &lt;&gt; "", PO[[#This Row],[Payment date - override (dd/mm/yyyy)]], PO[[#This Row],[Due date (dd/mm/yyyy)]])</f>
        <v>0</v>
      </c>
      <c r="U481" s="46">
        <f t="shared" si="7"/>
        <v>52</v>
      </c>
    </row>
    <row r="482" spans="3:21" x14ac:dyDescent="0.25">
      <c r="C482" s="24"/>
      <c r="D482" s="20"/>
      <c r="E482" s="4"/>
      <c r="F482" s="37"/>
      <c r="G482" s="38"/>
      <c r="H482" s="31">
        <f>_xlfn.XLOOKUP(PO[[#This Row],[Supplier name]], Supplier_master[Supplier name], Supplier_master[Category L1], 0)</f>
        <v>0</v>
      </c>
      <c r="I482" s="31">
        <f>_xlfn.XLOOKUP(PO[[#This Row],[Supplier name]], Supplier_master[Supplier name], Supplier_master[Category L2], 0)</f>
        <v>0</v>
      </c>
      <c r="J482" s="55"/>
      <c r="K482" s="55"/>
      <c r="L482" s="31">
        <f>IF(PO[[#This Row],[Spend category L1 - Override]] &lt;&gt; "", PO[[#This Row],[Spend category L1 - Override]], PO[[#This Row],[Spend category L1]])</f>
        <v>0</v>
      </c>
      <c r="M482" s="31">
        <f>IF(PO[[#This Row],[Spend category L2 - Override]] &lt;&gt; "", PO[[#This Row],[Spend category L2 - Override]], PO[[#This Row],[Spend category L2]])</f>
        <v>0</v>
      </c>
      <c r="N482" s="63">
        <f>Assumptions!$D$15</f>
        <v>0.1</v>
      </c>
      <c r="O482" s="45">
        <f>IF(PO[[#This Row],[GST applies?]] = "Yes", (PO[[#This Row],[Value inc. GST]] / 1 + PO[[#This Row],[GST %]]) * PO[[#This Row],[GST %]], 0)</f>
        <v>0</v>
      </c>
      <c r="P482" s="31">
        <f>_xlfn.XLOOKUP(PO[[#This Row],[Supplier name]], Supplier_master[Supplier name], Supplier_master[EOM or Net], 0)</f>
        <v>0</v>
      </c>
      <c r="Q482" s="31">
        <f>_xlfn.XLOOKUP(PO[[#This Row],[Supplier name]], Supplier_master[Supplier name], Supplier_master[Terms days], 0)</f>
        <v>0</v>
      </c>
      <c r="R4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2" s="4"/>
      <c r="T482" s="46">
        <f>IF(PO[[#This Row],[Payment date - override (dd/mm/yyyy)]] &lt;&gt; "", PO[[#This Row],[Payment date - override (dd/mm/yyyy)]], PO[[#This Row],[Due date (dd/mm/yyyy)]])</f>
        <v>0</v>
      </c>
      <c r="U482" s="46">
        <f t="shared" si="7"/>
        <v>52</v>
      </c>
    </row>
    <row r="483" spans="3:21" x14ac:dyDescent="0.25">
      <c r="C483" s="24"/>
      <c r="D483" s="20"/>
      <c r="E483" s="4"/>
      <c r="F483" s="37"/>
      <c r="G483" s="38"/>
      <c r="H483" s="31">
        <f>_xlfn.XLOOKUP(PO[[#This Row],[Supplier name]], Supplier_master[Supplier name], Supplier_master[Category L1], 0)</f>
        <v>0</v>
      </c>
      <c r="I483" s="31">
        <f>_xlfn.XLOOKUP(PO[[#This Row],[Supplier name]], Supplier_master[Supplier name], Supplier_master[Category L2], 0)</f>
        <v>0</v>
      </c>
      <c r="J483" s="55"/>
      <c r="K483" s="55"/>
      <c r="L483" s="31">
        <f>IF(PO[[#This Row],[Spend category L1 - Override]] &lt;&gt; "", PO[[#This Row],[Spend category L1 - Override]], PO[[#This Row],[Spend category L1]])</f>
        <v>0</v>
      </c>
      <c r="M483" s="31">
        <f>IF(PO[[#This Row],[Spend category L2 - Override]] &lt;&gt; "", PO[[#This Row],[Spend category L2 - Override]], PO[[#This Row],[Spend category L2]])</f>
        <v>0</v>
      </c>
      <c r="N483" s="63">
        <f>Assumptions!$D$15</f>
        <v>0.1</v>
      </c>
      <c r="O483" s="45">
        <f>IF(PO[[#This Row],[GST applies?]] = "Yes", (PO[[#This Row],[Value inc. GST]] / 1 + PO[[#This Row],[GST %]]) * PO[[#This Row],[GST %]], 0)</f>
        <v>0</v>
      </c>
      <c r="P483" s="31">
        <f>_xlfn.XLOOKUP(PO[[#This Row],[Supplier name]], Supplier_master[Supplier name], Supplier_master[EOM or Net], 0)</f>
        <v>0</v>
      </c>
      <c r="Q483" s="31">
        <f>_xlfn.XLOOKUP(PO[[#This Row],[Supplier name]], Supplier_master[Supplier name], Supplier_master[Terms days], 0)</f>
        <v>0</v>
      </c>
      <c r="R4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3" s="4"/>
      <c r="T483" s="46">
        <f>IF(PO[[#This Row],[Payment date - override (dd/mm/yyyy)]] &lt;&gt; "", PO[[#This Row],[Payment date - override (dd/mm/yyyy)]], PO[[#This Row],[Due date (dd/mm/yyyy)]])</f>
        <v>0</v>
      </c>
      <c r="U483" s="46">
        <f t="shared" si="7"/>
        <v>52</v>
      </c>
    </row>
    <row r="484" spans="3:21" x14ac:dyDescent="0.25">
      <c r="C484" s="24"/>
      <c r="D484" s="20"/>
      <c r="E484" s="4"/>
      <c r="F484" s="37"/>
      <c r="G484" s="38"/>
      <c r="H484" s="31">
        <f>_xlfn.XLOOKUP(PO[[#This Row],[Supplier name]], Supplier_master[Supplier name], Supplier_master[Category L1], 0)</f>
        <v>0</v>
      </c>
      <c r="I484" s="31">
        <f>_xlfn.XLOOKUP(PO[[#This Row],[Supplier name]], Supplier_master[Supplier name], Supplier_master[Category L2], 0)</f>
        <v>0</v>
      </c>
      <c r="J484" s="55"/>
      <c r="K484" s="55"/>
      <c r="L484" s="31">
        <f>IF(PO[[#This Row],[Spend category L1 - Override]] &lt;&gt; "", PO[[#This Row],[Spend category L1 - Override]], PO[[#This Row],[Spend category L1]])</f>
        <v>0</v>
      </c>
      <c r="M484" s="31">
        <f>IF(PO[[#This Row],[Spend category L2 - Override]] &lt;&gt; "", PO[[#This Row],[Spend category L2 - Override]], PO[[#This Row],[Spend category L2]])</f>
        <v>0</v>
      </c>
      <c r="N484" s="63">
        <f>Assumptions!$D$15</f>
        <v>0.1</v>
      </c>
      <c r="O484" s="45">
        <f>IF(PO[[#This Row],[GST applies?]] = "Yes", (PO[[#This Row],[Value inc. GST]] / 1 + PO[[#This Row],[GST %]]) * PO[[#This Row],[GST %]], 0)</f>
        <v>0</v>
      </c>
      <c r="P484" s="31">
        <f>_xlfn.XLOOKUP(PO[[#This Row],[Supplier name]], Supplier_master[Supplier name], Supplier_master[EOM or Net], 0)</f>
        <v>0</v>
      </c>
      <c r="Q484" s="31">
        <f>_xlfn.XLOOKUP(PO[[#This Row],[Supplier name]], Supplier_master[Supplier name], Supplier_master[Terms days], 0)</f>
        <v>0</v>
      </c>
      <c r="R4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4" s="4"/>
      <c r="T484" s="46">
        <f>IF(PO[[#This Row],[Payment date - override (dd/mm/yyyy)]] &lt;&gt; "", PO[[#This Row],[Payment date - override (dd/mm/yyyy)]], PO[[#This Row],[Due date (dd/mm/yyyy)]])</f>
        <v>0</v>
      </c>
      <c r="U484" s="46">
        <f t="shared" si="7"/>
        <v>52</v>
      </c>
    </row>
    <row r="485" spans="3:21" x14ac:dyDescent="0.25">
      <c r="C485" s="24"/>
      <c r="D485" s="20"/>
      <c r="E485" s="4"/>
      <c r="F485" s="37"/>
      <c r="G485" s="38"/>
      <c r="H485" s="31">
        <f>_xlfn.XLOOKUP(PO[[#This Row],[Supplier name]], Supplier_master[Supplier name], Supplier_master[Category L1], 0)</f>
        <v>0</v>
      </c>
      <c r="I485" s="31">
        <f>_xlfn.XLOOKUP(PO[[#This Row],[Supplier name]], Supplier_master[Supplier name], Supplier_master[Category L2], 0)</f>
        <v>0</v>
      </c>
      <c r="J485" s="55"/>
      <c r="K485" s="55"/>
      <c r="L485" s="31">
        <f>IF(PO[[#This Row],[Spend category L1 - Override]] &lt;&gt; "", PO[[#This Row],[Spend category L1 - Override]], PO[[#This Row],[Spend category L1]])</f>
        <v>0</v>
      </c>
      <c r="M485" s="31">
        <f>IF(PO[[#This Row],[Spend category L2 - Override]] &lt;&gt; "", PO[[#This Row],[Spend category L2 - Override]], PO[[#This Row],[Spend category L2]])</f>
        <v>0</v>
      </c>
      <c r="N485" s="63">
        <f>Assumptions!$D$15</f>
        <v>0.1</v>
      </c>
      <c r="O485" s="45">
        <f>IF(PO[[#This Row],[GST applies?]] = "Yes", (PO[[#This Row],[Value inc. GST]] / 1 + PO[[#This Row],[GST %]]) * PO[[#This Row],[GST %]], 0)</f>
        <v>0</v>
      </c>
      <c r="P485" s="31">
        <f>_xlfn.XLOOKUP(PO[[#This Row],[Supplier name]], Supplier_master[Supplier name], Supplier_master[EOM or Net], 0)</f>
        <v>0</v>
      </c>
      <c r="Q485" s="31">
        <f>_xlfn.XLOOKUP(PO[[#This Row],[Supplier name]], Supplier_master[Supplier name], Supplier_master[Terms days], 0)</f>
        <v>0</v>
      </c>
      <c r="R4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5" s="4"/>
      <c r="T485" s="46">
        <f>IF(PO[[#This Row],[Payment date - override (dd/mm/yyyy)]] &lt;&gt; "", PO[[#This Row],[Payment date - override (dd/mm/yyyy)]], PO[[#This Row],[Due date (dd/mm/yyyy)]])</f>
        <v>0</v>
      </c>
      <c r="U485" s="46">
        <f t="shared" si="7"/>
        <v>52</v>
      </c>
    </row>
    <row r="486" spans="3:21" x14ac:dyDescent="0.25">
      <c r="C486" s="24"/>
      <c r="D486" s="20"/>
      <c r="E486" s="4"/>
      <c r="F486" s="37"/>
      <c r="G486" s="38"/>
      <c r="H486" s="31">
        <f>_xlfn.XLOOKUP(PO[[#This Row],[Supplier name]], Supplier_master[Supplier name], Supplier_master[Category L1], 0)</f>
        <v>0</v>
      </c>
      <c r="I486" s="31">
        <f>_xlfn.XLOOKUP(PO[[#This Row],[Supplier name]], Supplier_master[Supplier name], Supplier_master[Category L2], 0)</f>
        <v>0</v>
      </c>
      <c r="J486" s="55"/>
      <c r="K486" s="55"/>
      <c r="L486" s="31">
        <f>IF(PO[[#This Row],[Spend category L1 - Override]] &lt;&gt; "", PO[[#This Row],[Spend category L1 - Override]], PO[[#This Row],[Spend category L1]])</f>
        <v>0</v>
      </c>
      <c r="M486" s="31">
        <f>IF(PO[[#This Row],[Spend category L2 - Override]] &lt;&gt; "", PO[[#This Row],[Spend category L2 - Override]], PO[[#This Row],[Spend category L2]])</f>
        <v>0</v>
      </c>
      <c r="N486" s="63">
        <f>Assumptions!$D$15</f>
        <v>0.1</v>
      </c>
      <c r="O486" s="45">
        <f>IF(PO[[#This Row],[GST applies?]] = "Yes", (PO[[#This Row],[Value inc. GST]] / 1 + PO[[#This Row],[GST %]]) * PO[[#This Row],[GST %]], 0)</f>
        <v>0</v>
      </c>
      <c r="P486" s="31">
        <f>_xlfn.XLOOKUP(PO[[#This Row],[Supplier name]], Supplier_master[Supplier name], Supplier_master[EOM or Net], 0)</f>
        <v>0</v>
      </c>
      <c r="Q486" s="31">
        <f>_xlfn.XLOOKUP(PO[[#This Row],[Supplier name]], Supplier_master[Supplier name], Supplier_master[Terms days], 0)</f>
        <v>0</v>
      </c>
      <c r="R4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6" s="4"/>
      <c r="T486" s="46">
        <f>IF(PO[[#This Row],[Payment date - override (dd/mm/yyyy)]] &lt;&gt; "", PO[[#This Row],[Payment date - override (dd/mm/yyyy)]], PO[[#This Row],[Due date (dd/mm/yyyy)]])</f>
        <v>0</v>
      </c>
      <c r="U486" s="46">
        <f t="shared" si="7"/>
        <v>52</v>
      </c>
    </row>
    <row r="487" spans="3:21" x14ac:dyDescent="0.25">
      <c r="C487" s="24"/>
      <c r="D487" s="20"/>
      <c r="E487" s="4"/>
      <c r="F487" s="37"/>
      <c r="G487" s="38"/>
      <c r="H487" s="31">
        <f>_xlfn.XLOOKUP(PO[[#This Row],[Supplier name]], Supplier_master[Supplier name], Supplier_master[Category L1], 0)</f>
        <v>0</v>
      </c>
      <c r="I487" s="31">
        <f>_xlfn.XLOOKUP(PO[[#This Row],[Supplier name]], Supplier_master[Supplier name], Supplier_master[Category L2], 0)</f>
        <v>0</v>
      </c>
      <c r="J487" s="55"/>
      <c r="K487" s="55"/>
      <c r="L487" s="31">
        <f>IF(PO[[#This Row],[Spend category L1 - Override]] &lt;&gt; "", PO[[#This Row],[Spend category L1 - Override]], PO[[#This Row],[Spend category L1]])</f>
        <v>0</v>
      </c>
      <c r="M487" s="31">
        <f>IF(PO[[#This Row],[Spend category L2 - Override]] &lt;&gt; "", PO[[#This Row],[Spend category L2 - Override]], PO[[#This Row],[Spend category L2]])</f>
        <v>0</v>
      </c>
      <c r="N487" s="63">
        <f>Assumptions!$D$15</f>
        <v>0.1</v>
      </c>
      <c r="O487" s="45">
        <f>IF(PO[[#This Row],[GST applies?]] = "Yes", (PO[[#This Row],[Value inc. GST]] / 1 + PO[[#This Row],[GST %]]) * PO[[#This Row],[GST %]], 0)</f>
        <v>0</v>
      </c>
      <c r="P487" s="31">
        <f>_xlfn.XLOOKUP(PO[[#This Row],[Supplier name]], Supplier_master[Supplier name], Supplier_master[EOM or Net], 0)</f>
        <v>0</v>
      </c>
      <c r="Q487" s="31">
        <f>_xlfn.XLOOKUP(PO[[#This Row],[Supplier name]], Supplier_master[Supplier name], Supplier_master[Terms days], 0)</f>
        <v>0</v>
      </c>
      <c r="R4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7" s="4"/>
      <c r="T487" s="46">
        <f>IF(PO[[#This Row],[Payment date - override (dd/mm/yyyy)]] &lt;&gt; "", PO[[#This Row],[Payment date - override (dd/mm/yyyy)]], PO[[#This Row],[Due date (dd/mm/yyyy)]])</f>
        <v>0</v>
      </c>
      <c r="U487" s="46">
        <f t="shared" si="7"/>
        <v>52</v>
      </c>
    </row>
    <row r="488" spans="3:21" x14ac:dyDescent="0.25">
      <c r="C488" s="24"/>
      <c r="D488" s="20"/>
      <c r="E488" s="4"/>
      <c r="F488" s="37"/>
      <c r="G488" s="38"/>
      <c r="H488" s="31">
        <f>_xlfn.XLOOKUP(PO[[#This Row],[Supplier name]], Supplier_master[Supplier name], Supplier_master[Category L1], 0)</f>
        <v>0</v>
      </c>
      <c r="I488" s="31">
        <f>_xlfn.XLOOKUP(PO[[#This Row],[Supplier name]], Supplier_master[Supplier name], Supplier_master[Category L2], 0)</f>
        <v>0</v>
      </c>
      <c r="J488" s="55"/>
      <c r="K488" s="55"/>
      <c r="L488" s="31">
        <f>IF(PO[[#This Row],[Spend category L1 - Override]] &lt;&gt; "", PO[[#This Row],[Spend category L1 - Override]], PO[[#This Row],[Spend category L1]])</f>
        <v>0</v>
      </c>
      <c r="M488" s="31">
        <f>IF(PO[[#This Row],[Spend category L2 - Override]] &lt;&gt; "", PO[[#This Row],[Spend category L2 - Override]], PO[[#This Row],[Spend category L2]])</f>
        <v>0</v>
      </c>
      <c r="N488" s="63">
        <f>Assumptions!$D$15</f>
        <v>0.1</v>
      </c>
      <c r="O488" s="45">
        <f>IF(PO[[#This Row],[GST applies?]] = "Yes", (PO[[#This Row],[Value inc. GST]] / 1 + PO[[#This Row],[GST %]]) * PO[[#This Row],[GST %]], 0)</f>
        <v>0</v>
      </c>
      <c r="P488" s="31">
        <f>_xlfn.XLOOKUP(PO[[#This Row],[Supplier name]], Supplier_master[Supplier name], Supplier_master[EOM or Net], 0)</f>
        <v>0</v>
      </c>
      <c r="Q488" s="31">
        <f>_xlfn.XLOOKUP(PO[[#This Row],[Supplier name]], Supplier_master[Supplier name], Supplier_master[Terms days], 0)</f>
        <v>0</v>
      </c>
      <c r="R4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8" s="4"/>
      <c r="T488" s="46">
        <f>IF(PO[[#This Row],[Payment date - override (dd/mm/yyyy)]] &lt;&gt; "", PO[[#This Row],[Payment date - override (dd/mm/yyyy)]], PO[[#This Row],[Due date (dd/mm/yyyy)]])</f>
        <v>0</v>
      </c>
      <c r="U488" s="46">
        <f t="shared" si="7"/>
        <v>52</v>
      </c>
    </row>
    <row r="489" spans="3:21" x14ac:dyDescent="0.25">
      <c r="C489" s="24"/>
      <c r="D489" s="20"/>
      <c r="E489" s="4"/>
      <c r="F489" s="37"/>
      <c r="G489" s="38"/>
      <c r="H489" s="31">
        <f>_xlfn.XLOOKUP(PO[[#This Row],[Supplier name]], Supplier_master[Supplier name], Supplier_master[Category L1], 0)</f>
        <v>0</v>
      </c>
      <c r="I489" s="31">
        <f>_xlfn.XLOOKUP(PO[[#This Row],[Supplier name]], Supplier_master[Supplier name], Supplier_master[Category L2], 0)</f>
        <v>0</v>
      </c>
      <c r="J489" s="55"/>
      <c r="K489" s="55"/>
      <c r="L489" s="31">
        <f>IF(PO[[#This Row],[Spend category L1 - Override]] &lt;&gt; "", PO[[#This Row],[Spend category L1 - Override]], PO[[#This Row],[Spend category L1]])</f>
        <v>0</v>
      </c>
      <c r="M489" s="31">
        <f>IF(PO[[#This Row],[Spend category L2 - Override]] &lt;&gt; "", PO[[#This Row],[Spend category L2 - Override]], PO[[#This Row],[Spend category L2]])</f>
        <v>0</v>
      </c>
      <c r="N489" s="63">
        <f>Assumptions!$D$15</f>
        <v>0.1</v>
      </c>
      <c r="O489" s="45">
        <f>IF(PO[[#This Row],[GST applies?]] = "Yes", (PO[[#This Row],[Value inc. GST]] / 1 + PO[[#This Row],[GST %]]) * PO[[#This Row],[GST %]], 0)</f>
        <v>0</v>
      </c>
      <c r="P489" s="31">
        <f>_xlfn.XLOOKUP(PO[[#This Row],[Supplier name]], Supplier_master[Supplier name], Supplier_master[EOM or Net], 0)</f>
        <v>0</v>
      </c>
      <c r="Q489" s="31">
        <f>_xlfn.XLOOKUP(PO[[#This Row],[Supplier name]], Supplier_master[Supplier name], Supplier_master[Terms days], 0)</f>
        <v>0</v>
      </c>
      <c r="R4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9" s="4"/>
      <c r="T489" s="46">
        <f>IF(PO[[#This Row],[Payment date - override (dd/mm/yyyy)]] &lt;&gt; "", PO[[#This Row],[Payment date - override (dd/mm/yyyy)]], PO[[#This Row],[Due date (dd/mm/yyyy)]])</f>
        <v>0</v>
      </c>
      <c r="U489" s="46">
        <f t="shared" si="7"/>
        <v>52</v>
      </c>
    </row>
    <row r="490" spans="3:21" x14ac:dyDescent="0.25">
      <c r="C490" s="24"/>
      <c r="D490" s="20"/>
      <c r="E490" s="4"/>
      <c r="F490" s="37"/>
      <c r="G490" s="38"/>
      <c r="H490" s="31">
        <f>_xlfn.XLOOKUP(PO[[#This Row],[Supplier name]], Supplier_master[Supplier name], Supplier_master[Category L1], 0)</f>
        <v>0</v>
      </c>
      <c r="I490" s="31">
        <f>_xlfn.XLOOKUP(PO[[#This Row],[Supplier name]], Supplier_master[Supplier name], Supplier_master[Category L2], 0)</f>
        <v>0</v>
      </c>
      <c r="J490" s="55"/>
      <c r="K490" s="55"/>
      <c r="L490" s="31">
        <f>IF(PO[[#This Row],[Spend category L1 - Override]] &lt;&gt; "", PO[[#This Row],[Spend category L1 - Override]], PO[[#This Row],[Spend category L1]])</f>
        <v>0</v>
      </c>
      <c r="M490" s="31">
        <f>IF(PO[[#This Row],[Spend category L2 - Override]] &lt;&gt; "", PO[[#This Row],[Spend category L2 - Override]], PO[[#This Row],[Spend category L2]])</f>
        <v>0</v>
      </c>
      <c r="N490" s="63">
        <f>Assumptions!$D$15</f>
        <v>0.1</v>
      </c>
      <c r="O490" s="45">
        <f>IF(PO[[#This Row],[GST applies?]] = "Yes", (PO[[#This Row],[Value inc. GST]] / 1 + PO[[#This Row],[GST %]]) * PO[[#This Row],[GST %]], 0)</f>
        <v>0</v>
      </c>
      <c r="P490" s="31">
        <f>_xlfn.XLOOKUP(PO[[#This Row],[Supplier name]], Supplier_master[Supplier name], Supplier_master[EOM or Net], 0)</f>
        <v>0</v>
      </c>
      <c r="Q490" s="31">
        <f>_xlfn.XLOOKUP(PO[[#This Row],[Supplier name]], Supplier_master[Supplier name], Supplier_master[Terms days], 0)</f>
        <v>0</v>
      </c>
      <c r="R4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0" s="4"/>
      <c r="T490" s="46">
        <f>IF(PO[[#This Row],[Payment date - override (dd/mm/yyyy)]] &lt;&gt; "", PO[[#This Row],[Payment date - override (dd/mm/yyyy)]], PO[[#This Row],[Due date (dd/mm/yyyy)]])</f>
        <v>0</v>
      </c>
      <c r="U490" s="46">
        <f t="shared" si="7"/>
        <v>52</v>
      </c>
    </row>
    <row r="491" spans="3:21" x14ac:dyDescent="0.25">
      <c r="C491" s="24"/>
      <c r="D491" s="20"/>
      <c r="E491" s="4"/>
      <c r="F491" s="37"/>
      <c r="G491" s="38"/>
      <c r="H491" s="31">
        <f>_xlfn.XLOOKUP(PO[[#This Row],[Supplier name]], Supplier_master[Supplier name], Supplier_master[Category L1], 0)</f>
        <v>0</v>
      </c>
      <c r="I491" s="31">
        <f>_xlfn.XLOOKUP(PO[[#This Row],[Supplier name]], Supplier_master[Supplier name], Supplier_master[Category L2], 0)</f>
        <v>0</v>
      </c>
      <c r="J491" s="55"/>
      <c r="K491" s="55"/>
      <c r="L491" s="31">
        <f>IF(PO[[#This Row],[Spend category L1 - Override]] &lt;&gt; "", PO[[#This Row],[Spend category L1 - Override]], PO[[#This Row],[Spend category L1]])</f>
        <v>0</v>
      </c>
      <c r="M491" s="31">
        <f>IF(PO[[#This Row],[Spend category L2 - Override]] &lt;&gt; "", PO[[#This Row],[Spend category L2 - Override]], PO[[#This Row],[Spend category L2]])</f>
        <v>0</v>
      </c>
      <c r="N491" s="63">
        <f>Assumptions!$D$15</f>
        <v>0.1</v>
      </c>
      <c r="O491" s="45">
        <f>IF(PO[[#This Row],[GST applies?]] = "Yes", (PO[[#This Row],[Value inc. GST]] / 1 + PO[[#This Row],[GST %]]) * PO[[#This Row],[GST %]], 0)</f>
        <v>0</v>
      </c>
      <c r="P491" s="31">
        <f>_xlfn.XLOOKUP(PO[[#This Row],[Supplier name]], Supplier_master[Supplier name], Supplier_master[EOM or Net], 0)</f>
        <v>0</v>
      </c>
      <c r="Q491" s="31">
        <f>_xlfn.XLOOKUP(PO[[#This Row],[Supplier name]], Supplier_master[Supplier name], Supplier_master[Terms days], 0)</f>
        <v>0</v>
      </c>
      <c r="R4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1" s="4"/>
      <c r="T491" s="46">
        <f>IF(PO[[#This Row],[Payment date - override (dd/mm/yyyy)]] &lt;&gt; "", PO[[#This Row],[Payment date - override (dd/mm/yyyy)]], PO[[#This Row],[Due date (dd/mm/yyyy)]])</f>
        <v>0</v>
      </c>
      <c r="U491" s="46">
        <f t="shared" si="7"/>
        <v>52</v>
      </c>
    </row>
    <row r="492" spans="3:21" x14ac:dyDescent="0.25">
      <c r="C492" s="24"/>
      <c r="D492" s="20"/>
      <c r="E492" s="4"/>
      <c r="F492" s="37"/>
      <c r="G492" s="38"/>
      <c r="H492" s="31">
        <f>_xlfn.XLOOKUP(PO[[#This Row],[Supplier name]], Supplier_master[Supplier name], Supplier_master[Category L1], 0)</f>
        <v>0</v>
      </c>
      <c r="I492" s="31">
        <f>_xlfn.XLOOKUP(PO[[#This Row],[Supplier name]], Supplier_master[Supplier name], Supplier_master[Category L2], 0)</f>
        <v>0</v>
      </c>
      <c r="J492" s="55"/>
      <c r="K492" s="55"/>
      <c r="L492" s="31">
        <f>IF(PO[[#This Row],[Spend category L1 - Override]] &lt;&gt; "", PO[[#This Row],[Spend category L1 - Override]], PO[[#This Row],[Spend category L1]])</f>
        <v>0</v>
      </c>
      <c r="M492" s="31">
        <f>IF(PO[[#This Row],[Spend category L2 - Override]] &lt;&gt; "", PO[[#This Row],[Spend category L2 - Override]], PO[[#This Row],[Spend category L2]])</f>
        <v>0</v>
      </c>
      <c r="N492" s="63">
        <f>Assumptions!$D$15</f>
        <v>0.1</v>
      </c>
      <c r="O492" s="45">
        <f>IF(PO[[#This Row],[GST applies?]] = "Yes", (PO[[#This Row],[Value inc. GST]] / 1 + PO[[#This Row],[GST %]]) * PO[[#This Row],[GST %]], 0)</f>
        <v>0</v>
      </c>
      <c r="P492" s="31">
        <f>_xlfn.XLOOKUP(PO[[#This Row],[Supplier name]], Supplier_master[Supplier name], Supplier_master[EOM or Net], 0)</f>
        <v>0</v>
      </c>
      <c r="Q492" s="31">
        <f>_xlfn.XLOOKUP(PO[[#This Row],[Supplier name]], Supplier_master[Supplier name], Supplier_master[Terms days], 0)</f>
        <v>0</v>
      </c>
      <c r="R4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2" s="4"/>
      <c r="T492" s="46">
        <f>IF(PO[[#This Row],[Payment date - override (dd/mm/yyyy)]] &lt;&gt; "", PO[[#This Row],[Payment date - override (dd/mm/yyyy)]], PO[[#This Row],[Due date (dd/mm/yyyy)]])</f>
        <v>0</v>
      </c>
      <c r="U492" s="46">
        <f t="shared" si="7"/>
        <v>52</v>
      </c>
    </row>
    <row r="493" spans="3:21" x14ac:dyDescent="0.25">
      <c r="C493" s="24"/>
      <c r="D493" s="20"/>
      <c r="E493" s="4"/>
      <c r="F493" s="37"/>
      <c r="G493" s="38"/>
      <c r="H493" s="31">
        <f>_xlfn.XLOOKUP(PO[[#This Row],[Supplier name]], Supplier_master[Supplier name], Supplier_master[Category L1], 0)</f>
        <v>0</v>
      </c>
      <c r="I493" s="31">
        <f>_xlfn.XLOOKUP(PO[[#This Row],[Supplier name]], Supplier_master[Supplier name], Supplier_master[Category L2], 0)</f>
        <v>0</v>
      </c>
      <c r="J493" s="55"/>
      <c r="K493" s="55"/>
      <c r="L493" s="31">
        <f>IF(PO[[#This Row],[Spend category L1 - Override]] &lt;&gt; "", PO[[#This Row],[Spend category L1 - Override]], PO[[#This Row],[Spend category L1]])</f>
        <v>0</v>
      </c>
      <c r="M493" s="31">
        <f>IF(PO[[#This Row],[Spend category L2 - Override]] &lt;&gt; "", PO[[#This Row],[Spend category L2 - Override]], PO[[#This Row],[Spend category L2]])</f>
        <v>0</v>
      </c>
      <c r="N493" s="63">
        <f>Assumptions!$D$15</f>
        <v>0.1</v>
      </c>
      <c r="O493" s="45">
        <f>IF(PO[[#This Row],[GST applies?]] = "Yes", (PO[[#This Row],[Value inc. GST]] / 1 + PO[[#This Row],[GST %]]) * PO[[#This Row],[GST %]], 0)</f>
        <v>0</v>
      </c>
      <c r="P493" s="31">
        <f>_xlfn.XLOOKUP(PO[[#This Row],[Supplier name]], Supplier_master[Supplier name], Supplier_master[EOM or Net], 0)</f>
        <v>0</v>
      </c>
      <c r="Q493" s="31">
        <f>_xlfn.XLOOKUP(PO[[#This Row],[Supplier name]], Supplier_master[Supplier name], Supplier_master[Terms days], 0)</f>
        <v>0</v>
      </c>
      <c r="R4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3" s="4"/>
      <c r="T493" s="46">
        <f>IF(PO[[#This Row],[Payment date - override (dd/mm/yyyy)]] &lt;&gt; "", PO[[#This Row],[Payment date - override (dd/mm/yyyy)]], PO[[#This Row],[Due date (dd/mm/yyyy)]])</f>
        <v>0</v>
      </c>
      <c r="U493" s="46">
        <f t="shared" si="7"/>
        <v>52</v>
      </c>
    </row>
    <row r="494" spans="3:21" x14ac:dyDescent="0.25">
      <c r="C494" s="24"/>
      <c r="D494" s="20"/>
      <c r="E494" s="4"/>
      <c r="F494" s="37"/>
      <c r="G494" s="38"/>
      <c r="H494" s="31">
        <f>_xlfn.XLOOKUP(PO[[#This Row],[Supplier name]], Supplier_master[Supplier name], Supplier_master[Category L1], 0)</f>
        <v>0</v>
      </c>
      <c r="I494" s="31">
        <f>_xlfn.XLOOKUP(PO[[#This Row],[Supplier name]], Supplier_master[Supplier name], Supplier_master[Category L2], 0)</f>
        <v>0</v>
      </c>
      <c r="J494" s="55"/>
      <c r="K494" s="55"/>
      <c r="L494" s="31">
        <f>IF(PO[[#This Row],[Spend category L1 - Override]] &lt;&gt; "", PO[[#This Row],[Spend category L1 - Override]], PO[[#This Row],[Spend category L1]])</f>
        <v>0</v>
      </c>
      <c r="M494" s="31">
        <f>IF(PO[[#This Row],[Spend category L2 - Override]] &lt;&gt; "", PO[[#This Row],[Spend category L2 - Override]], PO[[#This Row],[Spend category L2]])</f>
        <v>0</v>
      </c>
      <c r="N494" s="63">
        <f>Assumptions!$D$15</f>
        <v>0.1</v>
      </c>
      <c r="O494" s="45">
        <f>IF(PO[[#This Row],[GST applies?]] = "Yes", (PO[[#This Row],[Value inc. GST]] / 1 + PO[[#This Row],[GST %]]) * PO[[#This Row],[GST %]], 0)</f>
        <v>0</v>
      </c>
      <c r="P494" s="31">
        <f>_xlfn.XLOOKUP(PO[[#This Row],[Supplier name]], Supplier_master[Supplier name], Supplier_master[EOM or Net], 0)</f>
        <v>0</v>
      </c>
      <c r="Q494" s="31">
        <f>_xlfn.XLOOKUP(PO[[#This Row],[Supplier name]], Supplier_master[Supplier name], Supplier_master[Terms days], 0)</f>
        <v>0</v>
      </c>
      <c r="R4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4" s="4"/>
      <c r="T494" s="46">
        <f>IF(PO[[#This Row],[Payment date - override (dd/mm/yyyy)]] &lt;&gt; "", PO[[#This Row],[Payment date - override (dd/mm/yyyy)]], PO[[#This Row],[Due date (dd/mm/yyyy)]])</f>
        <v>0</v>
      </c>
      <c r="U494" s="46">
        <f t="shared" si="7"/>
        <v>52</v>
      </c>
    </row>
    <row r="495" spans="3:21" x14ac:dyDescent="0.25">
      <c r="C495" s="24"/>
      <c r="D495" s="20"/>
      <c r="E495" s="4"/>
      <c r="F495" s="37"/>
      <c r="G495" s="38"/>
      <c r="H495" s="31">
        <f>_xlfn.XLOOKUP(PO[[#This Row],[Supplier name]], Supplier_master[Supplier name], Supplier_master[Category L1], 0)</f>
        <v>0</v>
      </c>
      <c r="I495" s="31">
        <f>_xlfn.XLOOKUP(PO[[#This Row],[Supplier name]], Supplier_master[Supplier name], Supplier_master[Category L2], 0)</f>
        <v>0</v>
      </c>
      <c r="J495" s="55"/>
      <c r="K495" s="55"/>
      <c r="L495" s="31">
        <f>IF(PO[[#This Row],[Spend category L1 - Override]] &lt;&gt; "", PO[[#This Row],[Spend category L1 - Override]], PO[[#This Row],[Spend category L1]])</f>
        <v>0</v>
      </c>
      <c r="M495" s="31">
        <f>IF(PO[[#This Row],[Spend category L2 - Override]] &lt;&gt; "", PO[[#This Row],[Spend category L2 - Override]], PO[[#This Row],[Spend category L2]])</f>
        <v>0</v>
      </c>
      <c r="N495" s="63">
        <f>Assumptions!$D$15</f>
        <v>0.1</v>
      </c>
      <c r="O495" s="45">
        <f>IF(PO[[#This Row],[GST applies?]] = "Yes", (PO[[#This Row],[Value inc. GST]] / 1 + PO[[#This Row],[GST %]]) * PO[[#This Row],[GST %]], 0)</f>
        <v>0</v>
      </c>
      <c r="P495" s="31">
        <f>_xlfn.XLOOKUP(PO[[#This Row],[Supplier name]], Supplier_master[Supplier name], Supplier_master[EOM or Net], 0)</f>
        <v>0</v>
      </c>
      <c r="Q495" s="31">
        <f>_xlfn.XLOOKUP(PO[[#This Row],[Supplier name]], Supplier_master[Supplier name], Supplier_master[Terms days], 0)</f>
        <v>0</v>
      </c>
      <c r="R4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5" s="4"/>
      <c r="T495" s="46">
        <f>IF(PO[[#This Row],[Payment date - override (dd/mm/yyyy)]] &lt;&gt; "", PO[[#This Row],[Payment date - override (dd/mm/yyyy)]], PO[[#This Row],[Due date (dd/mm/yyyy)]])</f>
        <v>0</v>
      </c>
      <c r="U495" s="46">
        <f t="shared" si="7"/>
        <v>52</v>
      </c>
    </row>
    <row r="496" spans="3:21" x14ac:dyDescent="0.25">
      <c r="C496" s="24"/>
      <c r="D496" s="20"/>
      <c r="E496" s="4"/>
      <c r="F496" s="37"/>
      <c r="G496" s="38"/>
      <c r="H496" s="31">
        <f>_xlfn.XLOOKUP(PO[[#This Row],[Supplier name]], Supplier_master[Supplier name], Supplier_master[Category L1], 0)</f>
        <v>0</v>
      </c>
      <c r="I496" s="31">
        <f>_xlfn.XLOOKUP(PO[[#This Row],[Supplier name]], Supplier_master[Supplier name], Supplier_master[Category L2], 0)</f>
        <v>0</v>
      </c>
      <c r="J496" s="55"/>
      <c r="K496" s="55"/>
      <c r="L496" s="31">
        <f>IF(PO[[#This Row],[Spend category L1 - Override]] &lt;&gt; "", PO[[#This Row],[Spend category L1 - Override]], PO[[#This Row],[Spend category L1]])</f>
        <v>0</v>
      </c>
      <c r="M496" s="31">
        <f>IF(PO[[#This Row],[Spend category L2 - Override]] &lt;&gt; "", PO[[#This Row],[Spend category L2 - Override]], PO[[#This Row],[Spend category L2]])</f>
        <v>0</v>
      </c>
      <c r="N496" s="63">
        <f>Assumptions!$D$15</f>
        <v>0.1</v>
      </c>
      <c r="O496" s="45">
        <f>IF(PO[[#This Row],[GST applies?]] = "Yes", (PO[[#This Row],[Value inc. GST]] / 1 + PO[[#This Row],[GST %]]) * PO[[#This Row],[GST %]], 0)</f>
        <v>0</v>
      </c>
      <c r="P496" s="31">
        <f>_xlfn.XLOOKUP(PO[[#This Row],[Supplier name]], Supplier_master[Supplier name], Supplier_master[EOM or Net], 0)</f>
        <v>0</v>
      </c>
      <c r="Q496" s="31">
        <f>_xlfn.XLOOKUP(PO[[#This Row],[Supplier name]], Supplier_master[Supplier name], Supplier_master[Terms days], 0)</f>
        <v>0</v>
      </c>
      <c r="R4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6" s="4"/>
      <c r="T496" s="46">
        <f>IF(PO[[#This Row],[Payment date - override (dd/mm/yyyy)]] &lt;&gt; "", PO[[#This Row],[Payment date - override (dd/mm/yyyy)]], PO[[#This Row],[Due date (dd/mm/yyyy)]])</f>
        <v>0</v>
      </c>
      <c r="U496" s="46">
        <f t="shared" si="7"/>
        <v>52</v>
      </c>
    </row>
    <row r="497" spans="3:21" x14ac:dyDescent="0.25">
      <c r="C497" s="24"/>
      <c r="D497" s="20"/>
      <c r="E497" s="4"/>
      <c r="F497" s="37"/>
      <c r="G497" s="38"/>
      <c r="H497" s="31">
        <f>_xlfn.XLOOKUP(PO[[#This Row],[Supplier name]], Supplier_master[Supplier name], Supplier_master[Category L1], 0)</f>
        <v>0</v>
      </c>
      <c r="I497" s="31">
        <f>_xlfn.XLOOKUP(PO[[#This Row],[Supplier name]], Supplier_master[Supplier name], Supplier_master[Category L2], 0)</f>
        <v>0</v>
      </c>
      <c r="J497" s="55"/>
      <c r="K497" s="55"/>
      <c r="L497" s="31">
        <f>IF(PO[[#This Row],[Spend category L1 - Override]] &lt;&gt; "", PO[[#This Row],[Spend category L1 - Override]], PO[[#This Row],[Spend category L1]])</f>
        <v>0</v>
      </c>
      <c r="M497" s="31">
        <f>IF(PO[[#This Row],[Spend category L2 - Override]] &lt;&gt; "", PO[[#This Row],[Spend category L2 - Override]], PO[[#This Row],[Spend category L2]])</f>
        <v>0</v>
      </c>
      <c r="N497" s="63">
        <f>Assumptions!$D$15</f>
        <v>0.1</v>
      </c>
      <c r="O497" s="45">
        <f>IF(PO[[#This Row],[GST applies?]] = "Yes", (PO[[#This Row],[Value inc. GST]] / 1 + PO[[#This Row],[GST %]]) * PO[[#This Row],[GST %]], 0)</f>
        <v>0</v>
      </c>
      <c r="P497" s="31">
        <f>_xlfn.XLOOKUP(PO[[#This Row],[Supplier name]], Supplier_master[Supplier name], Supplier_master[EOM or Net], 0)</f>
        <v>0</v>
      </c>
      <c r="Q497" s="31">
        <f>_xlfn.XLOOKUP(PO[[#This Row],[Supplier name]], Supplier_master[Supplier name], Supplier_master[Terms days], 0)</f>
        <v>0</v>
      </c>
      <c r="R4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7" s="4"/>
      <c r="T497" s="46">
        <f>IF(PO[[#This Row],[Payment date - override (dd/mm/yyyy)]] &lt;&gt; "", PO[[#This Row],[Payment date - override (dd/mm/yyyy)]], PO[[#This Row],[Due date (dd/mm/yyyy)]])</f>
        <v>0</v>
      </c>
      <c r="U497" s="46">
        <f t="shared" si="7"/>
        <v>52</v>
      </c>
    </row>
    <row r="498" spans="3:21" x14ac:dyDescent="0.25">
      <c r="C498" s="24"/>
      <c r="D498" s="20"/>
      <c r="E498" s="4"/>
      <c r="F498" s="37"/>
      <c r="G498" s="38"/>
      <c r="H498" s="31">
        <f>_xlfn.XLOOKUP(PO[[#This Row],[Supplier name]], Supplier_master[Supplier name], Supplier_master[Category L1], 0)</f>
        <v>0</v>
      </c>
      <c r="I498" s="31">
        <f>_xlfn.XLOOKUP(PO[[#This Row],[Supplier name]], Supplier_master[Supplier name], Supplier_master[Category L2], 0)</f>
        <v>0</v>
      </c>
      <c r="J498" s="55"/>
      <c r="K498" s="55"/>
      <c r="L498" s="31">
        <f>IF(PO[[#This Row],[Spend category L1 - Override]] &lt;&gt; "", PO[[#This Row],[Spend category L1 - Override]], PO[[#This Row],[Spend category L1]])</f>
        <v>0</v>
      </c>
      <c r="M498" s="31">
        <f>IF(PO[[#This Row],[Spend category L2 - Override]] &lt;&gt; "", PO[[#This Row],[Spend category L2 - Override]], PO[[#This Row],[Spend category L2]])</f>
        <v>0</v>
      </c>
      <c r="N498" s="63">
        <f>Assumptions!$D$15</f>
        <v>0.1</v>
      </c>
      <c r="O498" s="45">
        <f>IF(PO[[#This Row],[GST applies?]] = "Yes", (PO[[#This Row],[Value inc. GST]] / 1 + PO[[#This Row],[GST %]]) * PO[[#This Row],[GST %]], 0)</f>
        <v>0</v>
      </c>
      <c r="P498" s="31">
        <f>_xlfn.XLOOKUP(PO[[#This Row],[Supplier name]], Supplier_master[Supplier name], Supplier_master[EOM or Net], 0)</f>
        <v>0</v>
      </c>
      <c r="Q498" s="31">
        <f>_xlfn.XLOOKUP(PO[[#This Row],[Supplier name]], Supplier_master[Supplier name], Supplier_master[Terms days], 0)</f>
        <v>0</v>
      </c>
      <c r="R4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8" s="4"/>
      <c r="T498" s="46">
        <f>IF(PO[[#This Row],[Payment date - override (dd/mm/yyyy)]] &lt;&gt; "", PO[[#This Row],[Payment date - override (dd/mm/yyyy)]], PO[[#This Row],[Due date (dd/mm/yyyy)]])</f>
        <v>0</v>
      </c>
      <c r="U498" s="46">
        <f t="shared" si="7"/>
        <v>52</v>
      </c>
    </row>
    <row r="499" spans="3:21" x14ac:dyDescent="0.25">
      <c r="C499" s="24"/>
      <c r="D499" s="20"/>
      <c r="E499" s="4"/>
      <c r="F499" s="37"/>
      <c r="G499" s="38"/>
      <c r="H499" s="31">
        <f>_xlfn.XLOOKUP(PO[[#This Row],[Supplier name]], Supplier_master[Supplier name], Supplier_master[Category L1], 0)</f>
        <v>0</v>
      </c>
      <c r="I499" s="31">
        <f>_xlfn.XLOOKUP(PO[[#This Row],[Supplier name]], Supplier_master[Supplier name], Supplier_master[Category L2], 0)</f>
        <v>0</v>
      </c>
      <c r="J499" s="55"/>
      <c r="K499" s="55"/>
      <c r="L499" s="31">
        <f>IF(PO[[#This Row],[Spend category L1 - Override]] &lt;&gt; "", PO[[#This Row],[Spend category L1 - Override]], PO[[#This Row],[Spend category L1]])</f>
        <v>0</v>
      </c>
      <c r="M499" s="31">
        <f>IF(PO[[#This Row],[Spend category L2 - Override]] &lt;&gt; "", PO[[#This Row],[Spend category L2 - Override]], PO[[#This Row],[Spend category L2]])</f>
        <v>0</v>
      </c>
      <c r="N499" s="63">
        <f>Assumptions!$D$15</f>
        <v>0.1</v>
      </c>
      <c r="O499" s="45">
        <f>IF(PO[[#This Row],[GST applies?]] = "Yes", (PO[[#This Row],[Value inc. GST]] / 1 + PO[[#This Row],[GST %]]) * PO[[#This Row],[GST %]], 0)</f>
        <v>0</v>
      </c>
      <c r="P499" s="31">
        <f>_xlfn.XLOOKUP(PO[[#This Row],[Supplier name]], Supplier_master[Supplier name], Supplier_master[EOM or Net], 0)</f>
        <v>0</v>
      </c>
      <c r="Q499" s="31">
        <f>_xlfn.XLOOKUP(PO[[#This Row],[Supplier name]], Supplier_master[Supplier name], Supplier_master[Terms days], 0)</f>
        <v>0</v>
      </c>
      <c r="R4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9" s="4"/>
      <c r="T499" s="46">
        <f>IF(PO[[#This Row],[Payment date - override (dd/mm/yyyy)]] &lt;&gt; "", PO[[#This Row],[Payment date - override (dd/mm/yyyy)]], PO[[#This Row],[Due date (dd/mm/yyyy)]])</f>
        <v>0</v>
      </c>
      <c r="U499" s="46">
        <f t="shared" si="7"/>
        <v>52</v>
      </c>
    </row>
    <row r="500" spans="3:21" x14ac:dyDescent="0.25">
      <c r="C500" s="24"/>
      <c r="D500" s="20"/>
      <c r="E500" s="4"/>
      <c r="F500" s="37"/>
      <c r="G500" s="38"/>
      <c r="H500" s="31">
        <f>_xlfn.XLOOKUP(PO[[#This Row],[Supplier name]], Supplier_master[Supplier name], Supplier_master[Category L1], 0)</f>
        <v>0</v>
      </c>
      <c r="I500" s="31">
        <f>_xlfn.XLOOKUP(PO[[#This Row],[Supplier name]], Supplier_master[Supplier name], Supplier_master[Category L2], 0)</f>
        <v>0</v>
      </c>
      <c r="J500" s="55"/>
      <c r="K500" s="55"/>
      <c r="L500" s="31">
        <f>IF(PO[[#This Row],[Spend category L1 - Override]] &lt;&gt; "", PO[[#This Row],[Spend category L1 - Override]], PO[[#This Row],[Spend category L1]])</f>
        <v>0</v>
      </c>
      <c r="M500" s="31">
        <f>IF(PO[[#This Row],[Spend category L2 - Override]] &lt;&gt; "", PO[[#This Row],[Spend category L2 - Override]], PO[[#This Row],[Spend category L2]])</f>
        <v>0</v>
      </c>
      <c r="N500" s="63">
        <f>Assumptions!$D$15</f>
        <v>0.1</v>
      </c>
      <c r="O500" s="45">
        <f>IF(PO[[#This Row],[GST applies?]] = "Yes", (PO[[#This Row],[Value inc. GST]] / 1 + PO[[#This Row],[GST %]]) * PO[[#This Row],[GST %]], 0)</f>
        <v>0</v>
      </c>
      <c r="P500" s="31">
        <f>_xlfn.XLOOKUP(PO[[#This Row],[Supplier name]], Supplier_master[Supplier name], Supplier_master[EOM or Net], 0)</f>
        <v>0</v>
      </c>
      <c r="Q500" s="31">
        <f>_xlfn.XLOOKUP(PO[[#This Row],[Supplier name]], Supplier_master[Supplier name], Supplier_master[Terms days], 0)</f>
        <v>0</v>
      </c>
      <c r="R5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0" s="4"/>
      <c r="T500" s="46">
        <f>IF(PO[[#This Row],[Payment date - override (dd/mm/yyyy)]] &lt;&gt; "", PO[[#This Row],[Payment date - override (dd/mm/yyyy)]], PO[[#This Row],[Due date (dd/mm/yyyy)]])</f>
        <v>0</v>
      </c>
      <c r="U500" s="46">
        <f t="shared" si="7"/>
        <v>52</v>
      </c>
    </row>
    <row r="501" spans="3:21" x14ac:dyDescent="0.25">
      <c r="C501" s="24"/>
      <c r="D501" s="20"/>
      <c r="E501" s="4"/>
      <c r="F501" s="37"/>
      <c r="G501" s="38"/>
      <c r="H501" s="31">
        <f>_xlfn.XLOOKUP(PO[[#This Row],[Supplier name]], Supplier_master[Supplier name], Supplier_master[Category L1], 0)</f>
        <v>0</v>
      </c>
      <c r="I501" s="31">
        <f>_xlfn.XLOOKUP(PO[[#This Row],[Supplier name]], Supplier_master[Supplier name], Supplier_master[Category L2], 0)</f>
        <v>0</v>
      </c>
      <c r="J501" s="55"/>
      <c r="K501" s="55"/>
      <c r="L501" s="31">
        <f>IF(PO[[#This Row],[Spend category L1 - Override]] &lt;&gt; "", PO[[#This Row],[Spend category L1 - Override]], PO[[#This Row],[Spend category L1]])</f>
        <v>0</v>
      </c>
      <c r="M501" s="31">
        <f>IF(PO[[#This Row],[Spend category L2 - Override]] &lt;&gt; "", PO[[#This Row],[Spend category L2 - Override]], PO[[#This Row],[Spend category L2]])</f>
        <v>0</v>
      </c>
      <c r="N501" s="63">
        <f>Assumptions!$D$15</f>
        <v>0.1</v>
      </c>
      <c r="O501" s="45">
        <f>IF(PO[[#This Row],[GST applies?]] = "Yes", (PO[[#This Row],[Value inc. GST]] / 1 + PO[[#This Row],[GST %]]) * PO[[#This Row],[GST %]], 0)</f>
        <v>0</v>
      </c>
      <c r="P501" s="31">
        <f>_xlfn.XLOOKUP(PO[[#This Row],[Supplier name]], Supplier_master[Supplier name], Supplier_master[EOM or Net], 0)</f>
        <v>0</v>
      </c>
      <c r="Q501" s="31">
        <f>_xlfn.XLOOKUP(PO[[#This Row],[Supplier name]], Supplier_master[Supplier name], Supplier_master[Terms days], 0)</f>
        <v>0</v>
      </c>
      <c r="R5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1" s="4"/>
      <c r="T501" s="46">
        <f>IF(PO[[#This Row],[Payment date - override (dd/mm/yyyy)]] &lt;&gt; "", PO[[#This Row],[Payment date - override (dd/mm/yyyy)]], PO[[#This Row],[Due date (dd/mm/yyyy)]])</f>
        <v>0</v>
      </c>
      <c r="U501" s="46">
        <f t="shared" si="7"/>
        <v>52</v>
      </c>
    </row>
    <row r="502" spans="3:21" x14ac:dyDescent="0.25">
      <c r="C502" s="24"/>
      <c r="D502" s="20"/>
      <c r="E502" s="4"/>
      <c r="F502" s="37"/>
      <c r="G502" s="38"/>
      <c r="H502" s="31">
        <f>_xlfn.XLOOKUP(PO[[#This Row],[Supplier name]], Supplier_master[Supplier name], Supplier_master[Category L1], 0)</f>
        <v>0</v>
      </c>
      <c r="I502" s="31">
        <f>_xlfn.XLOOKUP(PO[[#This Row],[Supplier name]], Supplier_master[Supplier name], Supplier_master[Category L2], 0)</f>
        <v>0</v>
      </c>
      <c r="J502" s="55"/>
      <c r="K502" s="55"/>
      <c r="L502" s="31">
        <f>IF(PO[[#This Row],[Spend category L1 - Override]] &lt;&gt; "", PO[[#This Row],[Spend category L1 - Override]], PO[[#This Row],[Spend category L1]])</f>
        <v>0</v>
      </c>
      <c r="M502" s="31">
        <f>IF(PO[[#This Row],[Spend category L2 - Override]] &lt;&gt; "", PO[[#This Row],[Spend category L2 - Override]], PO[[#This Row],[Spend category L2]])</f>
        <v>0</v>
      </c>
      <c r="N502" s="63">
        <f>Assumptions!$D$15</f>
        <v>0.1</v>
      </c>
      <c r="O502" s="45">
        <f>IF(PO[[#This Row],[GST applies?]] = "Yes", (PO[[#This Row],[Value inc. GST]] / 1 + PO[[#This Row],[GST %]]) * PO[[#This Row],[GST %]], 0)</f>
        <v>0</v>
      </c>
      <c r="P502" s="31">
        <f>_xlfn.XLOOKUP(PO[[#This Row],[Supplier name]], Supplier_master[Supplier name], Supplier_master[EOM or Net], 0)</f>
        <v>0</v>
      </c>
      <c r="Q502" s="31">
        <f>_xlfn.XLOOKUP(PO[[#This Row],[Supplier name]], Supplier_master[Supplier name], Supplier_master[Terms days], 0)</f>
        <v>0</v>
      </c>
      <c r="R5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2" s="4"/>
      <c r="T502" s="46">
        <f>IF(PO[[#This Row],[Payment date - override (dd/mm/yyyy)]] &lt;&gt; "", PO[[#This Row],[Payment date - override (dd/mm/yyyy)]], PO[[#This Row],[Due date (dd/mm/yyyy)]])</f>
        <v>0</v>
      </c>
      <c r="U502" s="46">
        <f t="shared" si="7"/>
        <v>52</v>
      </c>
    </row>
    <row r="503" spans="3:21" x14ac:dyDescent="0.25">
      <c r="C503" s="24"/>
      <c r="D503" s="20"/>
      <c r="E503" s="4"/>
      <c r="F503" s="37"/>
      <c r="G503" s="38"/>
      <c r="H503" s="31">
        <f>_xlfn.XLOOKUP(PO[[#This Row],[Supplier name]], Supplier_master[Supplier name], Supplier_master[Category L1], 0)</f>
        <v>0</v>
      </c>
      <c r="I503" s="31">
        <f>_xlfn.XLOOKUP(PO[[#This Row],[Supplier name]], Supplier_master[Supplier name], Supplier_master[Category L2], 0)</f>
        <v>0</v>
      </c>
      <c r="J503" s="55"/>
      <c r="K503" s="55"/>
      <c r="L503" s="31">
        <f>IF(PO[[#This Row],[Spend category L1 - Override]] &lt;&gt; "", PO[[#This Row],[Spend category L1 - Override]], PO[[#This Row],[Spend category L1]])</f>
        <v>0</v>
      </c>
      <c r="M503" s="31">
        <f>IF(PO[[#This Row],[Spend category L2 - Override]] &lt;&gt; "", PO[[#This Row],[Spend category L2 - Override]], PO[[#This Row],[Spend category L2]])</f>
        <v>0</v>
      </c>
      <c r="N503" s="63">
        <f>Assumptions!$D$15</f>
        <v>0.1</v>
      </c>
      <c r="O503" s="45">
        <f>IF(PO[[#This Row],[GST applies?]] = "Yes", (PO[[#This Row],[Value inc. GST]] / 1 + PO[[#This Row],[GST %]]) * PO[[#This Row],[GST %]], 0)</f>
        <v>0</v>
      </c>
      <c r="P503" s="31">
        <f>_xlfn.XLOOKUP(PO[[#This Row],[Supplier name]], Supplier_master[Supplier name], Supplier_master[EOM or Net], 0)</f>
        <v>0</v>
      </c>
      <c r="Q503" s="31">
        <f>_xlfn.XLOOKUP(PO[[#This Row],[Supplier name]], Supplier_master[Supplier name], Supplier_master[Terms days], 0)</f>
        <v>0</v>
      </c>
      <c r="R5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3" s="4"/>
      <c r="T503" s="46">
        <f>IF(PO[[#This Row],[Payment date - override (dd/mm/yyyy)]] &lt;&gt; "", PO[[#This Row],[Payment date - override (dd/mm/yyyy)]], PO[[#This Row],[Due date (dd/mm/yyyy)]])</f>
        <v>0</v>
      </c>
      <c r="U503" s="46">
        <f t="shared" si="7"/>
        <v>52</v>
      </c>
    </row>
    <row r="504" spans="3:21" x14ac:dyDescent="0.25">
      <c r="C504" s="24"/>
      <c r="D504" s="20"/>
      <c r="E504" s="4"/>
      <c r="F504" s="37"/>
      <c r="G504" s="38"/>
      <c r="H504" s="31">
        <f>_xlfn.XLOOKUP(PO[[#This Row],[Supplier name]], Supplier_master[Supplier name], Supplier_master[Category L1], 0)</f>
        <v>0</v>
      </c>
      <c r="I504" s="31">
        <f>_xlfn.XLOOKUP(PO[[#This Row],[Supplier name]], Supplier_master[Supplier name], Supplier_master[Category L2], 0)</f>
        <v>0</v>
      </c>
      <c r="J504" s="55"/>
      <c r="K504" s="55"/>
      <c r="L504" s="31">
        <f>IF(PO[[#This Row],[Spend category L1 - Override]] &lt;&gt; "", PO[[#This Row],[Spend category L1 - Override]], PO[[#This Row],[Spend category L1]])</f>
        <v>0</v>
      </c>
      <c r="M504" s="31">
        <f>IF(PO[[#This Row],[Spend category L2 - Override]] &lt;&gt; "", PO[[#This Row],[Spend category L2 - Override]], PO[[#This Row],[Spend category L2]])</f>
        <v>0</v>
      </c>
      <c r="N504" s="63">
        <f>Assumptions!$D$15</f>
        <v>0.1</v>
      </c>
      <c r="O504" s="45">
        <f>IF(PO[[#This Row],[GST applies?]] = "Yes", (PO[[#This Row],[Value inc. GST]] / 1 + PO[[#This Row],[GST %]]) * PO[[#This Row],[GST %]], 0)</f>
        <v>0</v>
      </c>
      <c r="P504" s="31">
        <f>_xlfn.XLOOKUP(PO[[#This Row],[Supplier name]], Supplier_master[Supplier name], Supplier_master[EOM or Net], 0)</f>
        <v>0</v>
      </c>
      <c r="Q504" s="31">
        <f>_xlfn.XLOOKUP(PO[[#This Row],[Supplier name]], Supplier_master[Supplier name], Supplier_master[Terms days], 0)</f>
        <v>0</v>
      </c>
      <c r="R5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4" s="4"/>
      <c r="T504" s="46">
        <f>IF(PO[[#This Row],[Payment date - override (dd/mm/yyyy)]] &lt;&gt; "", PO[[#This Row],[Payment date - override (dd/mm/yyyy)]], PO[[#This Row],[Due date (dd/mm/yyyy)]])</f>
        <v>0</v>
      </c>
      <c r="U504" s="46">
        <f t="shared" si="7"/>
        <v>52</v>
      </c>
    </row>
    <row r="505" spans="3:21" x14ac:dyDescent="0.25">
      <c r="C505" s="24"/>
      <c r="D505" s="20"/>
      <c r="E505" s="4"/>
      <c r="F505" s="37"/>
      <c r="G505" s="38"/>
      <c r="H505" s="31">
        <f>_xlfn.XLOOKUP(PO[[#This Row],[Supplier name]], Supplier_master[Supplier name], Supplier_master[Category L1], 0)</f>
        <v>0</v>
      </c>
      <c r="I505" s="31">
        <f>_xlfn.XLOOKUP(PO[[#This Row],[Supplier name]], Supplier_master[Supplier name], Supplier_master[Category L2], 0)</f>
        <v>0</v>
      </c>
      <c r="J505" s="55"/>
      <c r="K505" s="55"/>
      <c r="L505" s="31">
        <f>IF(PO[[#This Row],[Spend category L1 - Override]] &lt;&gt; "", PO[[#This Row],[Spend category L1 - Override]], PO[[#This Row],[Spend category L1]])</f>
        <v>0</v>
      </c>
      <c r="M505" s="31">
        <f>IF(PO[[#This Row],[Spend category L2 - Override]] &lt;&gt; "", PO[[#This Row],[Spend category L2 - Override]], PO[[#This Row],[Spend category L2]])</f>
        <v>0</v>
      </c>
      <c r="N505" s="63">
        <f>Assumptions!$D$15</f>
        <v>0.1</v>
      </c>
      <c r="O505" s="45">
        <f>IF(PO[[#This Row],[GST applies?]] = "Yes", (PO[[#This Row],[Value inc. GST]] / 1 + PO[[#This Row],[GST %]]) * PO[[#This Row],[GST %]], 0)</f>
        <v>0</v>
      </c>
      <c r="P505" s="31">
        <f>_xlfn.XLOOKUP(PO[[#This Row],[Supplier name]], Supplier_master[Supplier name], Supplier_master[EOM or Net], 0)</f>
        <v>0</v>
      </c>
      <c r="Q505" s="31">
        <f>_xlfn.XLOOKUP(PO[[#This Row],[Supplier name]], Supplier_master[Supplier name], Supplier_master[Terms days], 0)</f>
        <v>0</v>
      </c>
      <c r="R5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5" s="4"/>
      <c r="T505" s="46">
        <f>IF(PO[[#This Row],[Payment date - override (dd/mm/yyyy)]] &lt;&gt; "", PO[[#This Row],[Payment date - override (dd/mm/yyyy)]], PO[[#This Row],[Due date (dd/mm/yyyy)]])</f>
        <v>0</v>
      </c>
      <c r="U505" s="46">
        <f t="shared" si="7"/>
        <v>52</v>
      </c>
    </row>
    <row r="506" spans="3:21" x14ac:dyDescent="0.25">
      <c r="C506" s="24"/>
      <c r="D506" s="20"/>
      <c r="E506" s="4"/>
      <c r="F506" s="37"/>
      <c r="G506" s="38"/>
      <c r="H506" s="31">
        <f>_xlfn.XLOOKUP(PO[[#This Row],[Supplier name]], Supplier_master[Supplier name], Supplier_master[Category L1], 0)</f>
        <v>0</v>
      </c>
      <c r="I506" s="31">
        <f>_xlfn.XLOOKUP(PO[[#This Row],[Supplier name]], Supplier_master[Supplier name], Supplier_master[Category L2], 0)</f>
        <v>0</v>
      </c>
      <c r="J506" s="55"/>
      <c r="K506" s="55"/>
      <c r="L506" s="31">
        <f>IF(PO[[#This Row],[Spend category L1 - Override]] &lt;&gt; "", PO[[#This Row],[Spend category L1 - Override]], PO[[#This Row],[Spend category L1]])</f>
        <v>0</v>
      </c>
      <c r="M506" s="31">
        <f>IF(PO[[#This Row],[Spend category L2 - Override]] &lt;&gt; "", PO[[#This Row],[Spend category L2 - Override]], PO[[#This Row],[Spend category L2]])</f>
        <v>0</v>
      </c>
      <c r="N506" s="63">
        <f>Assumptions!$D$15</f>
        <v>0.1</v>
      </c>
      <c r="O506" s="45">
        <f>IF(PO[[#This Row],[GST applies?]] = "Yes", (PO[[#This Row],[Value inc. GST]] / 1 + PO[[#This Row],[GST %]]) * PO[[#This Row],[GST %]], 0)</f>
        <v>0</v>
      </c>
      <c r="P506" s="31">
        <f>_xlfn.XLOOKUP(PO[[#This Row],[Supplier name]], Supplier_master[Supplier name], Supplier_master[EOM or Net], 0)</f>
        <v>0</v>
      </c>
      <c r="Q506" s="31">
        <f>_xlfn.XLOOKUP(PO[[#This Row],[Supplier name]], Supplier_master[Supplier name], Supplier_master[Terms days], 0)</f>
        <v>0</v>
      </c>
      <c r="R5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6" s="4"/>
      <c r="T506" s="46">
        <f>IF(PO[[#This Row],[Payment date - override (dd/mm/yyyy)]] &lt;&gt; "", PO[[#This Row],[Payment date - override (dd/mm/yyyy)]], PO[[#This Row],[Due date (dd/mm/yyyy)]])</f>
        <v>0</v>
      </c>
      <c r="U506" s="46">
        <f t="shared" si="7"/>
        <v>52</v>
      </c>
    </row>
    <row r="507" spans="3:21" x14ac:dyDescent="0.25">
      <c r="C507" s="24"/>
      <c r="D507" s="20"/>
      <c r="E507" s="4"/>
      <c r="F507" s="37"/>
      <c r="G507" s="38"/>
      <c r="H507" s="31">
        <f>_xlfn.XLOOKUP(PO[[#This Row],[Supplier name]], Supplier_master[Supplier name], Supplier_master[Category L1], 0)</f>
        <v>0</v>
      </c>
      <c r="I507" s="31">
        <f>_xlfn.XLOOKUP(PO[[#This Row],[Supplier name]], Supplier_master[Supplier name], Supplier_master[Category L2], 0)</f>
        <v>0</v>
      </c>
      <c r="J507" s="55"/>
      <c r="K507" s="55"/>
      <c r="L507" s="31">
        <f>IF(PO[[#This Row],[Spend category L1 - Override]] &lt;&gt; "", PO[[#This Row],[Spend category L1 - Override]], PO[[#This Row],[Spend category L1]])</f>
        <v>0</v>
      </c>
      <c r="M507" s="31">
        <f>IF(PO[[#This Row],[Spend category L2 - Override]] &lt;&gt; "", PO[[#This Row],[Spend category L2 - Override]], PO[[#This Row],[Spend category L2]])</f>
        <v>0</v>
      </c>
      <c r="N507" s="63">
        <f>Assumptions!$D$15</f>
        <v>0.1</v>
      </c>
      <c r="O507" s="45">
        <f>IF(PO[[#This Row],[GST applies?]] = "Yes", (PO[[#This Row],[Value inc. GST]] / 1 + PO[[#This Row],[GST %]]) * PO[[#This Row],[GST %]], 0)</f>
        <v>0</v>
      </c>
      <c r="P507" s="31">
        <f>_xlfn.XLOOKUP(PO[[#This Row],[Supplier name]], Supplier_master[Supplier name], Supplier_master[EOM or Net], 0)</f>
        <v>0</v>
      </c>
      <c r="Q507" s="31">
        <f>_xlfn.XLOOKUP(PO[[#This Row],[Supplier name]], Supplier_master[Supplier name], Supplier_master[Terms days], 0)</f>
        <v>0</v>
      </c>
      <c r="R5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7" s="4"/>
      <c r="T507" s="46">
        <f>IF(PO[[#This Row],[Payment date - override (dd/mm/yyyy)]] &lt;&gt; "", PO[[#This Row],[Payment date - override (dd/mm/yyyy)]], PO[[#This Row],[Due date (dd/mm/yyyy)]])</f>
        <v>0</v>
      </c>
      <c r="U507" s="46">
        <f t="shared" si="7"/>
        <v>52</v>
      </c>
    </row>
    <row r="508" spans="3:21" x14ac:dyDescent="0.25">
      <c r="C508" s="24"/>
      <c r="D508" s="20"/>
      <c r="E508" s="4"/>
      <c r="F508" s="37"/>
      <c r="G508" s="38"/>
      <c r="H508" s="31">
        <f>_xlfn.XLOOKUP(PO[[#This Row],[Supplier name]], Supplier_master[Supplier name], Supplier_master[Category L1], 0)</f>
        <v>0</v>
      </c>
      <c r="I508" s="31">
        <f>_xlfn.XLOOKUP(PO[[#This Row],[Supplier name]], Supplier_master[Supplier name], Supplier_master[Category L2], 0)</f>
        <v>0</v>
      </c>
      <c r="J508" s="55"/>
      <c r="K508" s="55"/>
      <c r="L508" s="31">
        <f>IF(PO[[#This Row],[Spend category L1 - Override]] &lt;&gt; "", PO[[#This Row],[Spend category L1 - Override]], PO[[#This Row],[Spend category L1]])</f>
        <v>0</v>
      </c>
      <c r="M508" s="31">
        <f>IF(PO[[#This Row],[Spend category L2 - Override]] &lt;&gt; "", PO[[#This Row],[Spend category L2 - Override]], PO[[#This Row],[Spend category L2]])</f>
        <v>0</v>
      </c>
      <c r="N508" s="63">
        <f>Assumptions!$D$15</f>
        <v>0.1</v>
      </c>
      <c r="O508" s="45">
        <f>IF(PO[[#This Row],[GST applies?]] = "Yes", (PO[[#This Row],[Value inc. GST]] / 1 + PO[[#This Row],[GST %]]) * PO[[#This Row],[GST %]], 0)</f>
        <v>0</v>
      </c>
      <c r="P508" s="31">
        <f>_xlfn.XLOOKUP(PO[[#This Row],[Supplier name]], Supplier_master[Supplier name], Supplier_master[EOM or Net], 0)</f>
        <v>0</v>
      </c>
      <c r="Q508" s="31">
        <f>_xlfn.XLOOKUP(PO[[#This Row],[Supplier name]], Supplier_master[Supplier name], Supplier_master[Terms days], 0)</f>
        <v>0</v>
      </c>
      <c r="R5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8" s="4"/>
      <c r="T508" s="46">
        <f>IF(PO[[#This Row],[Payment date - override (dd/mm/yyyy)]] &lt;&gt; "", PO[[#This Row],[Payment date - override (dd/mm/yyyy)]], PO[[#This Row],[Due date (dd/mm/yyyy)]])</f>
        <v>0</v>
      </c>
      <c r="U508" s="46">
        <f t="shared" si="7"/>
        <v>52</v>
      </c>
    </row>
    <row r="509" spans="3:21" x14ac:dyDescent="0.25">
      <c r="C509" s="24"/>
      <c r="D509" s="20"/>
      <c r="E509" s="4"/>
      <c r="F509" s="37"/>
      <c r="G509" s="38"/>
      <c r="H509" s="31">
        <f>_xlfn.XLOOKUP(PO[[#This Row],[Supplier name]], Supplier_master[Supplier name], Supplier_master[Category L1], 0)</f>
        <v>0</v>
      </c>
      <c r="I509" s="31">
        <f>_xlfn.XLOOKUP(PO[[#This Row],[Supplier name]], Supplier_master[Supplier name], Supplier_master[Category L2], 0)</f>
        <v>0</v>
      </c>
      <c r="J509" s="55"/>
      <c r="K509" s="55"/>
      <c r="L509" s="31">
        <f>IF(PO[[#This Row],[Spend category L1 - Override]] &lt;&gt; "", PO[[#This Row],[Spend category L1 - Override]], PO[[#This Row],[Spend category L1]])</f>
        <v>0</v>
      </c>
      <c r="M509" s="31">
        <f>IF(PO[[#This Row],[Spend category L2 - Override]] &lt;&gt; "", PO[[#This Row],[Spend category L2 - Override]], PO[[#This Row],[Spend category L2]])</f>
        <v>0</v>
      </c>
      <c r="N509" s="63">
        <f>Assumptions!$D$15</f>
        <v>0.1</v>
      </c>
      <c r="O509" s="45">
        <f>IF(PO[[#This Row],[GST applies?]] = "Yes", (PO[[#This Row],[Value inc. GST]] / 1 + PO[[#This Row],[GST %]]) * PO[[#This Row],[GST %]], 0)</f>
        <v>0</v>
      </c>
      <c r="P509" s="31">
        <f>_xlfn.XLOOKUP(PO[[#This Row],[Supplier name]], Supplier_master[Supplier name], Supplier_master[EOM or Net], 0)</f>
        <v>0</v>
      </c>
      <c r="Q509" s="31">
        <f>_xlfn.XLOOKUP(PO[[#This Row],[Supplier name]], Supplier_master[Supplier name], Supplier_master[Terms days], 0)</f>
        <v>0</v>
      </c>
      <c r="R5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9" s="4"/>
      <c r="T509" s="46">
        <f>IF(PO[[#This Row],[Payment date - override (dd/mm/yyyy)]] &lt;&gt; "", PO[[#This Row],[Payment date - override (dd/mm/yyyy)]], PO[[#This Row],[Due date (dd/mm/yyyy)]])</f>
        <v>0</v>
      </c>
      <c r="U509" s="46">
        <f t="shared" si="7"/>
        <v>52</v>
      </c>
    </row>
    <row r="510" spans="3:21" x14ac:dyDescent="0.25">
      <c r="C510" s="24"/>
      <c r="D510" s="20"/>
      <c r="E510" s="4"/>
      <c r="F510" s="37"/>
      <c r="G510" s="38"/>
      <c r="H510" s="31">
        <f>_xlfn.XLOOKUP(PO[[#This Row],[Supplier name]], Supplier_master[Supplier name], Supplier_master[Category L1], 0)</f>
        <v>0</v>
      </c>
      <c r="I510" s="31">
        <f>_xlfn.XLOOKUP(PO[[#This Row],[Supplier name]], Supplier_master[Supplier name], Supplier_master[Category L2], 0)</f>
        <v>0</v>
      </c>
      <c r="J510" s="55"/>
      <c r="K510" s="55"/>
      <c r="L510" s="31">
        <f>IF(PO[[#This Row],[Spend category L1 - Override]] &lt;&gt; "", PO[[#This Row],[Spend category L1 - Override]], PO[[#This Row],[Spend category L1]])</f>
        <v>0</v>
      </c>
      <c r="M510" s="31">
        <f>IF(PO[[#This Row],[Spend category L2 - Override]] &lt;&gt; "", PO[[#This Row],[Spend category L2 - Override]], PO[[#This Row],[Spend category L2]])</f>
        <v>0</v>
      </c>
      <c r="N510" s="63">
        <f>Assumptions!$D$15</f>
        <v>0.1</v>
      </c>
      <c r="O510" s="45">
        <f>IF(PO[[#This Row],[GST applies?]] = "Yes", (PO[[#This Row],[Value inc. GST]] / 1 + PO[[#This Row],[GST %]]) * PO[[#This Row],[GST %]], 0)</f>
        <v>0</v>
      </c>
      <c r="P510" s="31">
        <f>_xlfn.XLOOKUP(PO[[#This Row],[Supplier name]], Supplier_master[Supplier name], Supplier_master[EOM or Net], 0)</f>
        <v>0</v>
      </c>
      <c r="Q510" s="31">
        <f>_xlfn.XLOOKUP(PO[[#This Row],[Supplier name]], Supplier_master[Supplier name], Supplier_master[Terms days], 0)</f>
        <v>0</v>
      </c>
      <c r="R5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0" s="4"/>
      <c r="T510" s="46">
        <f>IF(PO[[#This Row],[Payment date - override (dd/mm/yyyy)]] &lt;&gt; "", PO[[#This Row],[Payment date - override (dd/mm/yyyy)]], PO[[#This Row],[Due date (dd/mm/yyyy)]])</f>
        <v>0</v>
      </c>
      <c r="U510" s="46">
        <f t="shared" si="7"/>
        <v>52</v>
      </c>
    </row>
    <row r="511" spans="3:21" x14ac:dyDescent="0.25">
      <c r="C511" s="24"/>
      <c r="D511" s="20"/>
      <c r="E511" s="4"/>
      <c r="F511" s="37"/>
      <c r="G511" s="38"/>
      <c r="H511" s="31">
        <f>_xlfn.XLOOKUP(PO[[#This Row],[Supplier name]], Supplier_master[Supplier name], Supplier_master[Category L1], 0)</f>
        <v>0</v>
      </c>
      <c r="I511" s="31">
        <f>_xlfn.XLOOKUP(PO[[#This Row],[Supplier name]], Supplier_master[Supplier name], Supplier_master[Category L2], 0)</f>
        <v>0</v>
      </c>
      <c r="J511" s="55"/>
      <c r="K511" s="55"/>
      <c r="L511" s="31">
        <f>IF(PO[[#This Row],[Spend category L1 - Override]] &lt;&gt; "", PO[[#This Row],[Spend category L1 - Override]], PO[[#This Row],[Spend category L1]])</f>
        <v>0</v>
      </c>
      <c r="M511" s="31">
        <f>IF(PO[[#This Row],[Spend category L2 - Override]] &lt;&gt; "", PO[[#This Row],[Spend category L2 - Override]], PO[[#This Row],[Spend category L2]])</f>
        <v>0</v>
      </c>
      <c r="N511" s="63">
        <f>Assumptions!$D$15</f>
        <v>0.1</v>
      </c>
      <c r="O511" s="45">
        <f>IF(PO[[#This Row],[GST applies?]] = "Yes", (PO[[#This Row],[Value inc. GST]] / 1 + PO[[#This Row],[GST %]]) * PO[[#This Row],[GST %]], 0)</f>
        <v>0</v>
      </c>
      <c r="P511" s="31">
        <f>_xlfn.XLOOKUP(PO[[#This Row],[Supplier name]], Supplier_master[Supplier name], Supplier_master[EOM or Net], 0)</f>
        <v>0</v>
      </c>
      <c r="Q511" s="31">
        <f>_xlfn.XLOOKUP(PO[[#This Row],[Supplier name]], Supplier_master[Supplier name], Supplier_master[Terms days], 0)</f>
        <v>0</v>
      </c>
      <c r="R5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1" s="4"/>
      <c r="T511" s="46">
        <f>IF(PO[[#This Row],[Payment date - override (dd/mm/yyyy)]] &lt;&gt; "", PO[[#This Row],[Payment date - override (dd/mm/yyyy)]], PO[[#This Row],[Due date (dd/mm/yyyy)]])</f>
        <v>0</v>
      </c>
      <c r="U511" s="46">
        <f t="shared" si="7"/>
        <v>52</v>
      </c>
    </row>
    <row r="512" spans="3:21" x14ac:dyDescent="0.25">
      <c r="C512" s="24"/>
      <c r="D512" s="20"/>
      <c r="E512" s="4"/>
      <c r="F512" s="37"/>
      <c r="G512" s="38"/>
      <c r="H512" s="31">
        <f>_xlfn.XLOOKUP(PO[[#This Row],[Supplier name]], Supplier_master[Supplier name], Supplier_master[Category L1], 0)</f>
        <v>0</v>
      </c>
      <c r="I512" s="31">
        <f>_xlfn.XLOOKUP(PO[[#This Row],[Supplier name]], Supplier_master[Supplier name], Supplier_master[Category L2], 0)</f>
        <v>0</v>
      </c>
      <c r="J512" s="55"/>
      <c r="K512" s="55"/>
      <c r="L512" s="31">
        <f>IF(PO[[#This Row],[Spend category L1 - Override]] &lt;&gt; "", PO[[#This Row],[Spend category L1 - Override]], PO[[#This Row],[Spend category L1]])</f>
        <v>0</v>
      </c>
      <c r="M512" s="31">
        <f>IF(PO[[#This Row],[Spend category L2 - Override]] &lt;&gt; "", PO[[#This Row],[Spend category L2 - Override]], PO[[#This Row],[Spend category L2]])</f>
        <v>0</v>
      </c>
      <c r="N512" s="63">
        <f>Assumptions!$D$15</f>
        <v>0.1</v>
      </c>
      <c r="O512" s="45">
        <f>IF(PO[[#This Row],[GST applies?]] = "Yes", (PO[[#This Row],[Value inc. GST]] / 1 + PO[[#This Row],[GST %]]) * PO[[#This Row],[GST %]], 0)</f>
        <v>0</v>
      </c>
      <c r="P512" s="31">
        <f>_xlfn.XLOOKUP(PO[[#This Row],[Supplier name]], Supplier_master[Supplier name], Supplier_master[EOM or Net], 0)</f>
        <v>0</v>
      </c>
      <c r="Q512" s="31">
        <f>_xlfn.XLOOKUP(PO[[#This Row],[Supplier name]], Supplier_master[Supplier name], Supplier_master[Terms days], 0)</f>
        <v>0</v>
      </c>
      <c r="R5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2" s="4"/>
      <c r="T512" s="46">
        <f>IF(PO[[#This Row],[Payment date - override (dd/mm/yyyy)]] &lt;&gt; "", PO[[#This Row],[Payment date - override (dd/mm/yyyy)]], PO[[#This Row],[Due date (dd/mm/yyyy)]])</f>
        <v>0</v>
      </c>
      <c r="U512" s="46">
        <f t="shared" si="7"/>
        <v>52</v>
      </c>
    </row>
    <row r="513" spans="3:21" x14ac:dyDescent="0.25">
      <c r="C513" s="24"/>
      <c r="D513" s="20"/>
      <c r="E513" s="4"/>
      <c r="F513" s="37"/>
      <c r="G513" s="38"/>
      <c r="H513" s="31">
        <f>_xlfn.XLOOKUP(PO[[#This Row],[Supplier name]], Supplier_master[Supplier name], Supplier_master[Category L1], 0)</f>
        <v>0</v>
      </c>
      <c r="I513" s="31">
        <f>_xlfn.XLOOKUP(PO[[#This Row],[Supplier name]], Supplier_master[Supplier name], Supplier_master[Category L2], 0)</f>
        <v>0</v>
      </c>
      <c r="J513" s="55"/>
      <c r="K513" s="55"/>
      <c r="L513" s="31">
        <f>IF(PO[[#This Row],[Spend category L1 - Override]] &lt;&gt; "", PO[[#This Row],[Spend category L1 - Override]], PO[[#This Row],[Spend category L1]])</f>
        <v>0</v>
      </c>
      <c r="M513" s="31">
        <f>IF(PO[[#This Row],[Spend category L2 - Override]] &lt;&gt; "", PO[[#This Row],[Spend category L2 - Override]], PO[[#This Row],[Spend category L2]])</f>
        <v>0</v>
      </c>
      <c r="N513" s="63">
        <f>Assumptions!$D$15</f>
        <v>0.1</v>
      </c>
      <c r="O513" s="45">
        <f>IF(PO[[#This Row],[GST applies?]] = "Yes", (PO[[#This Row],[Value inc. GST]] / 1 + PO[[#This Row],[GST %]]) * PO[[#This Row],[GST %]], 0)</f>
        <v>0</v>
      </c>
      <c r="P513" s="31">
        <f>_xlfn.XLOOKUP(PO[[#This Row],[Supplier name]], Supplier_master[Supplier name], Supplier_master[EOM or Net], 0)</f>
        <v>0</v>
      </c>
      <c r="Q513" s="31">
        <f>_xlfn.XLOOKUP(PO[[#This Row],[Supplier name]], Supplier_master[Supplier name], Supplier_master[Terms days], 0)</f>
        <v>0</v>
      </c>
      <c r="R5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3" s="4"/>
      <c r="T513" s="46">
        <f>IF(PO[[#This Row],[Payment date - override (dd/mm/yyyy)]] &lt;&gt; "", PO[[#This Row],[Payment date - override (dd/mm/yyyy)]], PO[[#This Row],[Due date (dd/mm/yyyy)]])</f>
        <v>0</v>
      </c>
      <c r="U513" s="46">
        <f t="shared" si="7"/>
        <v>52</v>
      </c>
    </row>
    <row r="514" spans="3:21" x14ac:dyDescent="0.25">
      <c r="C514" s="24"/>
      <c r="D514" s="20"/>
      <c r="E514" s="4"/>
      <c r="F514" s="37"/>
      <c r="G514" s="38"/>
      <c r="H514" s="31">
        <f>_xlfn.XLOOKUP(PO[[#This Row],[Supplier name]], Supplier_master[Supplier name], Supplier_master[Category L1], 0)</f>
        <v>0</v>
      </c>
      <c r="I514" s="31">
        <f>_xlfn.XLOOKUP(PO[[#This Row],[Supplier name]], Supplier_master[Supplier name], Supplier_master[Category L2], 0)</f>
        <v>0</v>
      </c>
      <c r="J514" s="55"/>
      <c r="K514" s="55"/>
      <c r="L514" s="31">
        <f>IF(PO[[#This Row],[Spend category L1 - Override]] &lt;&gt; "", PO[[#This Row],[Spend category L1 - Override]], PO[[#This Row],[Spend category L1]])</f>
        <v>0</v>
      </c>
      <c r="M514" s="31">
        <f>IF(PO[[#This Row],[Spend category L2 - Override]] &lt;&gt; "", PO[[#This Row],[Spend category L2 - Override]], PO[[#This Row],[Spend category L2]])</f>
        <v>0</v>
      </c>
      <c r="N514" s="63">
        <f>Assumptions!$D$15</f>
        <v>0.1</v>
      </c>
      <c r="O514" s="45">
        <f>IF(PO[[#This Row],[GST applies?]] = "Yes", (PO[[#This Row],[Value inc. GST]] / 1 + PO[[#This Row],[GST %]]) * PO[[#This Row],[GST %]], 0)</f>
        <v>0</v>
      </c>
      <c r="P514" s="31">
        <f>_xlfn.XLOOKUP(PO[[#This Row],[Supplier name]], Supplier_master[Supplier name], Supplier_master[EOM or Net], 0)</f>
        <v>0</v>
      </c>
      <c r="Q514" s="31">
        <f>_xlfn.XLOOKUP(PO[[#This Row],[Supplier name]], Supplier_master[Supplier name], Supplier_master[Terms days], 0)</f>
        <v>0</v>
      </c>
      <c r="R5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4" s="4"/>
      <c r="T514" s="46">
        <f>IF(PO[[#This Row],[Payment date - override (dd/mm/yyyy)]] &lt;&gt; "", PO[[#This Row],[Payment date - override (dd/mm/yyyy)]], PO[[#This Row],[Due date (dd/mm/yyyy)]])</f>
        <v>0</v>
      </c>
      <c r="U514" s="46">
        <f t="shared" si="7"/>
        <v>52</v>
      </c>
    </row>
    <row r="515" spans="3:21" x14ac:dyDescent="0.25">
      <c r="C515" s="24"/>
      <c r="D515" s="20"/>
      <c r="E515" s="4"/>
      <c r="F515" s="37"/>
      <c r="G515" s="38"/>
      <c r="H515" s="31">
        <f>_xlfn.XLOOKUP(PO[[#This Row],[Supplier name]], Supplier_master[Supplier name], Supplier_master[Category L1], 0)</f>
        <v>0</v>
      </c>
      <c r="I515" s="31">
        <f>_xlfn.XLOOKUP(PO[[#This Row],[Supplier name]], Supplier_master[Supplier name], Supplier_master[Category L2], 0)</f>
        <v>0</v>
      </c>
      <c r="J515" s="55"/>
      <c r="K515" s="55"/>
      <c r="L515" s="31">
        <f>IF(PO[[#This Row],[Spend category L1 - Override]] &lt;&gt; "", PO[[#This Row],[Spend category L1 - Override]], PO[[#This Row],[Spend category L1]])</f>
        <v>0</v>
      </c>
      <c r="M515" s="31">
        <f>IF(PO[[#This Row],[Spend category L2 - Override]] &lt;&gt; "", PO[[#This Row],[Spend category L2 - Override]], PO[[#This Row],[Spend category L2]])</f>
        <v>0</v>
      </c>
      <c r="N515" s="63">
        <f>Assumptions!$D$15</f>
        <v>0.1</v>
      </c>
      <c r="O515" s="45">
        <f>IF(PO[[#This Row],[GST applies?]] = "Yes", (PO[[#This Row],[Value inc. GST]] / 1 + PO[[#This Row],[GST %]]) * PO[[#This Row],[GST %]], 0)</f>
        <v>0</v>
      </c>
      <c r="P515" s="31">
        <f>_xlfn.XLOOKUP(PO[[#This Row],[Supplier name]], Supplier_master[Supplier name], Supplier_master[EOM or Net], 0)</f>
        <v>0</v>
      </c>
      <c r="Q515" s="31">
        <f>_xlfn.XLOOKUP(PO[[#This Row],[Supplier name]], Supplier_master[Supplier name], Supplier_master[Terms days], 0)</f>
        <v>0</v>
      </c>
      <c r="R5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5" s="4"/>
      <c r="T515" s="46">
        <f>IF(PO[[#This Row],[Payment date - override (dd/mm/yyyy)]] &lt;&gt; "", PO[[#This Row],[Payment date - override (dd/mm/yyyy)]], PO[[#This Row],[Due date (dd/mm/yyyy)]])</f>
        <v>0</v>
      </c>
      <c r="U515" s="46">
        <f t="shared" si="7"/>
        <v>52</v>
      </c>
    </row>
    <row r="516" spans="3:21" x14ac:dyDescent="0.25">
      <c r="C516" s="24"/>
      <c r="D516" s="20"/>
      <c r="E516" s="4"/>
      <c r="F516" s="37"/>
      <c r="G516" s="38"/>
      <c r="H516" s="31">
        <f>_xlfn.XLOOKUP(PO[[#This Row],[Supplier name]], Supplier_master[Supplier name], Supplier_master[Category L1], 0)</f>
        <v>0</v>
      </c>
      <c r="I516" s="31">
        <f>_xlfn.XLOOKUP(PO[[#This Row],[Supplier name]], Supplier_master[Supplier name], Supplier_master[Category L2], 0)</f>
        <v>0</v>
      </c>
      <c r="J516" s="55"/>
      <c r="K516" s="55"/>
      <c r="L516" s="31">
        <f>IF(PO[[#This Row],[Spend category L1 - Override]] &lt;&gt; "", PO[[#This Row],[Spend category L1 - Override]], PO[[#This Row],[Spend category L1]])</f>
        <v>0</v>
      </c>
      <c r="M516" s="31">
        <f>IF(PO[[#This Row],[Spend category L2 - Override]] &lt;&gt; "", PO[[#This Row],[Spend category L2 - Override]], PO[[#This Row],[Spend category L2]])</f>
        <v>0</v>
      </c>
      <c r="N516" s="63">
        <f>Assumptions!$D$15</f>
        <v>0.1</v>
      </c>
      <c r="O516" s="45">
        <f>IF(PO[[#This Row],[GST applies?]] = "Yes", (PO[[#This Row],[Value inc. GST]] / 1 + PO[[#This Row],[GST %]]) * PO[[#This Row],[GST %]], 0)</f>
        <v>0</v>
      </c>
      <c r="P516" s="31">
        <f>_xlfn.XLOOKUP(PO[[#This Row],[Supplier name]], Supplier_master[Supplier name], Supplier_master[EOM or Net], 0)</f>
        <v>0</v>
      </c>
      <c r="Q516" s="31">
        <f>_xlfn.XLOOKUP(PO[[#This Row],[Supplier name]], Supplier_master[Supplier name], Supplier_master[Terms days], 0)</f>
        <v>0</v>
      </c>
      <c r="R5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6" s="4"/>
      <c r="T516" s="46">
        <f>IF(PO[[#This Row],[Payment date - override (dd/mm/yyyy)]] &lt;&gt; "", PO[[#This Row],[Payment date - override (dd/mm/yyyy)]], PO[[#This Row],[Due date (dd/mm/yyyy)]])</f>
        <v>0</v>
      </c>
      <c r="U516" s="46">
        <f t="shared" si="7"/>
        <v>52</v>
      </c>
    </row>
    <row r="517" spans="3:21" x14ac:dyDescent="0.25">
      <c r="C517" s="24"/>
      <c r="D517" s="20"/>
      <c r="E517" s="4"/>
      <c r="F517" s="37"/>
      <c r="G517" s="38"/>
      <c r="H517" s="31">
        <f>_xlfn.XLOOKUP(PO[[#This Row],[Supplier name]], Supplier_master[Supplier name], Supplier_master[Category L1], 0)</f>
        <v>0</v>
      </c>
      <c r="I517" s="31">
        <f>_xlfn.XLOOKUP(PO[[#This Row],[Supplier name]], Supplier_master[Supplier name], Supplier_master[Category L2], 0)</f>
        <v>0</v>
      </c>
      <c r="J517" s="55"/>
      <c r="K517" s="55"/>
      <c r="L517" s="31">
        <f>IF(PO[[#This Row],[Spend category L1 - Override]] &lt;&gt; "", PO[[#This Row],[Spend category L1 - Override]], PO[[#This Row],[Spend category L1]])</f>
        <v>0</v>
      </c>
      <c r="M517" s="31">
        <f>IF(PO[[#This Row],[Spend category L2 - Override]] &lt;&gt; "", PO[[#This Row],[Spend category L2 - Override]], PO[[#This Row],[Spend category L2]])</f>
        <v>0</v>
      </c>
      <c r="N517" s="63">
        <f>Assumptions!$D$15</f>
        <v>0.1</v>
      </c>
      <c r="O517" s="45">
        <f>IF(PO[[#This Row],[GST applies?]] = "Yes", (PO[[#This Row],[Value inc. GST]] / 1 + PO[[#This Row],[GST %]]) * PO[[#This Row],[GST %]], 0)</f>
        <v>0</v>
      </c>
      <c r="P517" s="31">
        <f>_xlfn.XLOOKUP(PO[[#This Row],[Supplier name]], Supplier_master[Supplier name], Supplier_master[EOM or Net], 0)</f>
        <v>0</v>
      </c>
      <c r="Q517" s="31">
        <f>_xlfn.XLOOKUP(PO[[#This Row],[Supplier name]], Supplier_master[Supplier name], Supplier_master[Terms days], 0)</f>
        <v>0</v>
      </c>
      <c r="R5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7" s="4"/>
      <c r="T517" s="46">
        <f>IF(PO[[#This Row],[Payment date - override (dd/mm/yyyy)]] &lt;&gt; "", PO[[#This Row],[Payment date - override (dd/mm/yyyy)]], PO[[#This Row],[Due date (dd/mm/yyyy)]])</f>
        <v>0</v>
      </c>
      <c r="U517" s="46">
        <f t="shared" si="7"/>
        <v>52</v>
      </c>
    </row>
    <row r="518" spans="3:21" x14ac:dyDescent="0.25">
      <c r="C518" s="24"/>
      <c r="D518" s="20"/>
      <c r="E518" s="4"/>
      <c r="F518" s="37"/>
      <c r="G518" s="38"/>
      <c r="H518" s="31">
        <f>_xlfn.XLOOKUP(PO[[#This Row],[Supplier name]], Supplier_master[Supplier name], Supplier_master[Category L1], 0)</f>
        <v>0</v>
      </c>
      <c r="I518" s="31">
        <f>_xlfn.XLOOKUP(PO[[#This Row],[Supplier name]], Supplier_master[Supplier name], Supplier_master[Category L2], 0)</f>
        <v>0</v>
      </c>
      <c r="J518" s="55"/>
      <c r="K518" s="55"/>
      <c r="L518" s="31">
        <f>IF(PO[[#This Row],[Spend category L1 - Override]] &lt;&gt; "", PO[[#This Row],[Spend category L1 - Override]], PO[[#This Row],[Spend category L1]])</f>
        <v>0</v>
      </c>
      <c r="M518" s="31">
        <f>IF(PO[[#This Row],[Spend category L2 - Override]] &lt;&gt; "", PO[[#This Row],[Spend category L2 - Override]], PO[[#This Row],[Spend category L2]])</f>
        <v>0</v>
      </c>
      <c r="N518" s="63">
        <f>Assumptions!$D$15</f>
        <v>0.1</v>
      </c>
      <c r="O518" s="45">
        <f>IF(PO[[#This Row],[GST applies?]] = "Yes", (PO[[#This Row],[Value inc. GST]] / 1 + PO[[#This Row],[GST %]]) * PO[[#This Row],[GST %]], 0)</f>
        <v>0</v>
      </c>
      <c r="P518" s="31">
        <f>_xlfn.XLOOKUP(PO[[#This Row],[Supplier name]], Supplier_master[Supplier name], Supplier_master[EOM or Net], 0)</f>
        <v>0</v>
      </c>
      <c r="Q518" s="31">
        <f>_xlfn.XLOOKUP(PO[[#This Row],[Supplier name]], Supplier_master[Supplier name], Supplier_master[Terms days], 0)</f>
        <v>0</v>
      </c>
      <c r="R5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8" s="4"/>
      <c r="T518" s="46">
        <f>IF(PO[[#This Row],[Payment date - override (dd/mm/yyyy)]] &lt;&gt; "", PO[[#This Row],[Payment date - override (dd/mm/yyyy)]], PO[[#This Row],[Due date (dd/mm/yyyy)]])</f>
        <v>0</v>
      </c>
      <c r="U518" s="46">
        <f t="shared" si="7"/>
        <v>52</v>
      </c>
    </row>
    <row r="519" spans="3:21" x14ac:dyDescent="0.25">
      <c r="C519" s="24"/>
      <c r="D519" s="20"/>
      <c r="E519" s="4"/>
      <c r="F519" s="37"/>
      <c r="G519" s="38"/>
      <c r="H519" s="31">
        <f>_xlfn.XLOOKUP(PO[[#This Row],[Supplier name]], Supplier_master[Supplier name], Supplier_master[Category L1], 0)</f>
        <v>0</v>
      </c>
      <c r="I519" s="31">
        <f>_xlfn.XLOOKUP(PO[[#This Row],[Supplier name]], Supplier_master[Supplier name], Supplier_master[Category L2], 0)</f>
        <v>0</v>
      </c>
      <c r="J519" s="55"/>
      <c r="K519" s="55"/>
      <c r="L519" s="31">
        <f>IF(PO[[#This Row],[Spend category L1 - Override]] &lt;&gt; "", PO[[#This Row],[Spend category L1 - Override]], PO[[#This Row],[Spend category L1]])</f>
        <v>0</v>
      </c>
      <c r="M519" s="31">
        <f>IF(PO[[#This Row],[Spend category L2 - Override]] &lt;&gt; "", PO[[#This Row],[Spend category L2 - Override]], PO[[#This Row],[Spend category L2]])</f>
        <v>0</v>
      </c>
      <c r="N519" s="63">
        <f>Assumptions!$D$15</f>
        <v>0.1</v>
      </c>
      <c r="O519" s="45">
        <f>IF(PO[[#This Row],[GST applies?]] = "Yes", (PO[[#This Row],[Value inc. GST]] / 1 + PO[[#This Row],[GST %]]) * PO[[#This Row],[GST %]], 0)</f>
        <v>0</v>
      </c>
      <c r="P519" s="31">
        <f>_xlfn.XLOOKUP(PO[[#This Row],[Supplier name]], Supplier_master[Supplier name], Supplier_master[EOM or Net], 0)</f>
        <v>0</v>
      </c>
      <c r="Q519" s="31">
        <f>_xlfn.XLOOKUP(PO[[#This Row],[Supplier name]], Supplier_master[Supplier name], Supplier_master[Terms days], 0)</f>
        <v>0</v>
      </c>
      <c r="R5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9" s="4"/>
      <c r="T519" s="46">
        <f>IF(PO[[#This Row],[Payment date - override (dd/mm/yyyy)]] &lt;&gt; "", PO[[#This Row],[Payment date - override (dd/mm/yyyy)]], PO[[#This Row],[Due date (dd/mm/yyyy)]])</f>
        <v>0</v>
      </c>
      <c r="U519" s="46">
        <f t="shared" si="7"/>
        <v>52</v>
      </c>
    </row>
    <row r="520" spans="3:21" x14ac:dyDescent="0.25">
      <c r="C520" s="24"/>
      <c r="D520" s="20"/>
      <c r="E520" s="4"/>
      <c r="F520" s="37"/>
      <c r="G520" s="38"/>
      <c r="H520" s="31">
        <f>_xlfn.XLOOKUP(PO[[#This Row],[Supplier name]], Supplier_master[Supplier name], Supplier_master[Category L1], 0)</f>
        <v>0</v>
      </c>
      <c r="I520" s="31">
        <f>_xlfn.XLOOKUP(PO[[#This Row],[Supplier name]], Supplier_master[Supplier name], Supplier_master[Category L2], 0)</f>
        <v>0</v>
      </c>
      <c r="J520" s="55"/>
      <c r="K520" s="55"/>
      <c r="L520" s="31">
        <f>IF(PO[[#This Row],[Spend category L1 - Override]] &lt;&gt; "", PO[[#This Row],[Spend category L1 - Override]], PO[[#This Row],[Spend category L1]])</f>
        <v>0</v>
      </c>
      <c r="M520" s="31">
        <f>IF(PO[[#This Row],[Spend category L2 - Override]] &lt;&gt; "", PO[[#This Row],[Spend category L2 - Override]], PO[[#This Row],[Spend category L2]])</f>
        <v>0</v>
      </c>
      <c r="N520" s="63">
        <f>Assumptions!$D$15</f>
        <v>0.1</v>
      </c>
      <c r="O520" s="45">
        <f>IF(PO[[#This Row],[GST applies?]] = "Yes", (PO[[#This Row],[Value inc. GST]] / 1 + PO[[#This Row],[GST %]]) * PO[[#This Row],[GST %]], 0)</f>
        <v>0</v>
      </c>
      <c r="P520" s="31">
        <f>_xlfn.XLOOKUP(PO[[#This Row],[Supplier name]], Supplier_master[Supplier name], Supplier_master[EOM or Net], 0)</f>
        <v>0</v>
      </c>
      <c r="Q520" s="31">
        <f>_xlfn.XLOOKUP(PO[[#This Row],[Supplier name]], Supplier_master[Supplier name], Supplier_master[Terms days], 0)</f>
        <v>0</v>
      </c>
      <c r="R5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0" s="4"/>
      <c r="T520" s="46">
        <f>IF(PO[[#This Row],[Payment date - override (dd/mm/yyyy)]] &lt;&gt; "", PO[[#This Row],[Payment date - override (dd/mm/yyyy)]], PO[[#This Row],[Due date (dd/mm/yyyy)]])</f>
        <v>0</v>
      </c>
      <c r="U520" s="46">
        <f t="shared" si="7"/>
        <v>52</v>
      </c>
    </row>
    <row r="521" spans="3:21" x14ac:dyDescent="0.25">
      <c r="C521" s="24"/>
      <c r="D521" s="20"/>
      <c r="E521" s="4"/>
      <c r="F521" s="37"/>
      <c r="G521" s="38"/>
      <c r="H521" s="31">
        <f>_xlfn.XLOOKUP(PO[[#This Row],[Supplier name]], Supplier_master[Supplier name], Supplier_master[Category L1], 0)</f>
        <v>0</v>
      </c>
      <c r="I521" s="31">
        <f>_xlfn.XLOOKUP(PO[[#This Row],[Supplier name]], Supplier_master[Supplier name], Supplier_master[Category L2], 0)</f>
        <v>0</v>
      </c>
      <c r="J521" s="55"/>
      <c r="K521" s="55"/>
      <c r="L521" s="31">
        <f>IF(PO[[#This Row],[Spend category L1 - Override]] &lt;&gt; "", PO[[#This Row],[Spend category L1 - Override]], PO[[#This Row],[Spend category L1]])</f>
        <v>0</v>
      </c>
      <c r="M521" s="31">
        <f>IF(PO[[#This Row],[Spend category L2 - Override]] &lt;&gt; "", PO[[#This Row],[Spend category L2 - Override]], PO[[#This Row],[Spend category L2]])</f>
        <v>0</v>
      </c>
      <c r="N521" s="63">
        <f>Assumptions!$D$15</f>
        <v>0.1</v>
      </c>
      <c r="O521" s="45">
        <f>IF(PO[[#This Row],[GST applies?]] = "Yes", (PO[[#This Row],[Value inc. GST]] / 1 + PO[[#This Row],[GST %]]) * PO[[#This Row],[GST %]], 0)</f>
        <v>0</v>
      </c>
      <c r="P521" s="31">
        <f>_xlfn.XLOOKUP(PO[[#This Row],[Supplier name]], Supplier_master[Supplier name], Supplier_master[EOM or Net], 0)</f>
        <v>0</v>
      </c>
      <c r="Q521" s="31">
        <f>_xlfn.XLOOKUP(PO[[#This Row],[Supplier name]], Supplier_master[Supplier name], Supplier_master[Terms days], 0)</f>
        <v>0</v>
      </c>
      <c r="R5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1" s="4"/>
      <c r="T521" s="46">
        <f>IF(PO[[#This Row],[Payment date - override (dd/mm/yyyy)]] &lt;&gt; "", PO[[#This Row],[Payment date - override (dd/mm/yyyy)]], PO[[#This Row],[Due date (dd/mm/yyyy)]])</f>
        <v>0</v>
      </c>
      <c r="U521" s="46">
        <f t="shared" ref="U521:U584" si="8">IF(GST_Freq="Monthly",
    DATE(YEAR(E521), MONTH(E521) + 1, 21),
    IF(GST_Freq="Quarterly",
        IF(MOD(MONTH(E521) + 2 - MOD(MOD(MONTH(E521) - GST_First_Month, 12), 3), 12) = 0,
            DATE(YEAR(E521), MONTH(E521) + 4 - MOD(MOD(MONTH(E521) - GST_First_Month, 12), 3), 28),
            DATE(YEAR(E521), MONTH(E521) + 3 - MOD(MOD(MONTH(E521) - GST_First_Month, 12), 3), 28)
        ),
        "Invalid frequency"
    )
)</f>
        <v>52</v>
      </c>
    </row>
    <row r="522" spans="3:21" x14ac:dyDescent="0.25">
      <c r="C522" s="24"/>
      <c r="D522" s="20"/>
      <c r="E522" s="4"/>
      <c r="F522" s="37"/>
      <c r="G522" s="38"/>
      <c r="H522" s="31">
        <f>_xlfn.XLOOKUP(PO[[#This Row],[Supplier name]], Supplier_master[Supplier name], Supplier_master[Category L1], 0)</f>
        <v>0</v>
      </c>
      <c r="I522" s="31">
        <f>_xlfn.XLOOKUP(PO[[#This Row],[Supplier name]], Supplier_master[Supplier name], Supplier_master[Category L2], 0)</f>
        <v>0</v>
      </c>
      <c r="J522" s="55"/>
      <c r="K522" s="55"/>
      <c r="L522" s="31">
        <f>IF(PO[[#This Row],[Spend category L1 - Override]] &lt;&gt; "", PO[[#This Row],[Spend category L1 - Override]], PO[[#This Row],[Spend category L1]])</f>
        <v>0</v>
      </c>
      <c r="M522" s="31">
        <f>IF(PO[[#This Row],[Spend category L2 - Override]] &lt;&gt; "", PO[[#This Row],[Spend category L2 - Override]], PO[[#This Row],[Spend category L2]])</f>
        <v>0</v>
      </c>
      <c r="N522" s="63">
        <f>Assumptions!$D$15</f>
        <v>0.1</v>
      </c>
      <c r="O522" s="45">
        <f>IF(PO[[#This Row],[GST applies?]] = "Yes", (PO[[#This Row],[Value inc. GST]] / 1 + PO[[#This Row],[GST %]]) * PO[[#This Row],[GST %]], 0)</f>
        <v>0</v>
      </c>
      <c r="P522" s="31">
        <f>_xlfn.XLOOKUP(PO[[#This Row],[Supplier name]], Supplier_master[Supplier name], Supplier_master[EOM or Net], 0)</f>
        <v>0</v>
      </c>
      <c r="Q522" s="31">
        <f>_xlfn.XLOOKUP(PO[[#This Row],[Supplier name]], Supplier_master[Supplier name], Supplier_master[Terms days], 0)</f>
        <v>0</v>
      </c>
      <c r="R5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2" s="4"/>
      <c r="T522" s="46">
        <f>IF(PO[[#This Row],[Payment date - override (dd/mm/yyyy)]] &lt;&gt; "", PO[[#This Row],[Payment date - override (dd/mm/yyyy)]], PO[[#This Row],[Due date (dd/mm/yyyy)]])</f>
        <v>0</v>
      </c>
      <c r="U522" s="46">
        <f t="shared" si="8"/>
        <v>52</v>
      </c>
    </row>
    <row r="523" spans="3:21" x14ac:dyDescent="0.25">
      <c r="C523" s="24"/>
      <c r="D523" s="20"/>
      <c r="E523" s="4"/>
      <c r="F523" s="37"/>
      <c r="G523" s="38"/>
      <c r="H523" s="31">
        <f>_xlfn.XLOOKUP(PO[[#This Row],[Supplier name]], Supplier_master[Supplier name], Supplier_master[Category L1], 0)</f>
        <v>0</v>
      </c>
      <c r="I523" s="31">
        <f>_xlfn.XLOOKUP(PO[[#This Row],[Supplier name]], Supplier_master[Supplier name], Supplier_master[Category L2], 0)</f>
        <v>0</v>
      </c>
      <c r="J523" s="55"/>
      <c r="K523" s="55"/>
      <c r="L523" s="31">
        <f>IF(PO[[#This Row],[Spend category L1 - Override]] &lt;&gt; "", PO[[#This Row],[Spend category L1 - Override]], PO[[#This Row],[Spend category L1]])</f>
        <v>0</v>
      </c>
      <c r="M523" s="31">
        <f>IF(PO[[#This Row],[Spend category L2 - Override]] &lt;&gt; "", PO[[#This Row],[Spend category L2 - Override]], PO[[#This Row],[Spend category L2]])</f>
        <v>0</v>
      </c>
      <c r="N523" s="63">
        <f>Assumptions!$D$15</f>
        <v>0.1</v>
      </c>
      <c r="O523" s="45">
        <f>IF(PO[[#This Row],[GST applies?]] = "Yes", (PO[[#This Row],[Value inc. GST]] / 1 + PO[[#This Row],[GST %]]) * PO[[#This Row],[GST %]], 0)</f>
        <v>0</v>
      </c>
      <c r="P523" s="31">
        <f>_xlfn.XLOOKUP(PO[[#This Row],[Supplier name]], Supplier_master[Supplier name], Supplier_master[EOM or Net], 0)</f>
        <v>0</v>
      </c>
      <c r="Q523" s="31">
        <f>_xlfn.XLOOKUP(PO[[#This Row],[Supplier name]], Supplier_master[Supplier name], Supplier_master[Terms days], 0)</f>
        <v>0</v>
      </c>
      <c r="R5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3" s="4"/>
      <c r="T523" s="46">
        <f>IF(PO[[#This Row],[Payment date - override (dd/mm/yyyy)]] &lt;&gt; "", PO[[#This Row],[Payment date - override (dd/mm/yyyy)]], PO[[#This Row],[Due date (dd/mm/yyyy)]])</f>
        <v>0</v>
      </c>
      <c r="U523" s="46">
        <f t="shared" si="8"/>
        <v>52</v>
      </c>
    </row>
    <row r="524" spans="3:21" x14ac:dyDescent="0.25">
      <c r="C524" s="24"/>
      <c r="D524" s="20"/>
      <c r="E524" s="4"/>
      <c r="F524" s="37"/>
      <c r="G524" s="38"/>
      <c r="H524" s="31">
        <f>_xlfn.XLOOKUP(PO[[#This Row],[Supplier name]], Supplier_master[Supplier name], Supplier_master[Category L1], 0)</f>
        <v>0</v>
      </c>
      <c r="I524" s="31">
        <f>_xlfn.XLOOKUP(PO[[#This Row],[Supplier name]], Supplier_master[Supplier name], Supplier_master[Category L2], 0)</f>
        <v>0</v>
      </c>
      <c r="J524" s="55"/>
      <c r="K524" s="55"/>
      <c r="L524" s="31">
        <f>IF(PO[[#This Row],[Spend category L1 - Override]] &lt;&gt; "", PO[[#This Row],[Spend category L1 - Override]], PO[[#This Row],[Spend category L1]])</f>
        <v>0</v>
      </c>
      <c r="M524" s="31">
        <f>IF(PO[[#This Row],[Spend category L2 - Override]] &lt;&gt; "", PO[[#This Row],[Spend category L2 - Override]], PO[[#This Row],[Spend category L2]])</f>
        <v>0</v>
      </c>
      <c r="N524" s="63">
        <f>Assumptions!$D$15</f>
        <v>0.1</v>
      </c>
      <c r="O524" s="45">
        <f>IF(PO[[#This Row],[GST applies?]] = "Yes", (PO[[#This Row],[Value inc. GST]] / 1 + PO[[#This Row],[GST %]]) * PO[[#This Row],[GST %]], 0)</f>
        <v>0</v>
      </c>
      <c r="P524" s="31">
        <f>_xlfn.XLOOKUP(PO[[#This Row],[Supplier name]], Supplier_master[Supplier name], Supplier_master[EOM or Net], 0)</f>
        <v>0</v>
      </c>
      <c r="Q524" s="31">
        <f>_xlfn.XLOOKUP(PO[[#This Row],[Supplier name]], Supplier_master[Supplier name], Supplier_master[Terms days], 0)</f>
        <v>0</v>
      </c>
      <c r="R5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4" s="4"/>
      <c r="T524" s="46">
        <f>IF(PO[[#This Row],[Payment date - override (dd/mm/yyyy)]] &lt;&gt; "", PO[[#This Row],[Payment date - override (dd/mm/yyyy)]], PO[[#This Row],[Due date (dd/mm/yyyy)]])</f>
        <v>0</v>
      </c>
      <c r="U524" s="46">
        <f t="shared" si="8"/>
        <v>52</v>
      </c>
    </row>
    <row r="525" spans="3:21" x14ac:dyDescent="0.25">
      <c r="C525" s="24"/>
      <c r="D525" s="20"/>
      <c r="E525" s="4"/>
      <c r="F525" s="37"/>
      <c r="G525" s="38"/>
      <c r="H525" s="31">
        <f>_xlfn.XLOOKUP(PO[[#This Row],[Supplier name]], Supplier_master[Supplier name], Supplier_master[Category L1], 0)</f>
        <v>0</v>
      </c>
      <c r="I525" s="31">
        <f>_xlfn.XLOOKUP(PO[[#This Row],[Supplier name]], Supplier_master[Supplier name], Supplier_master[Category L2], 0)</f>
        <v>0</v>
      </c>
      <c r="J525" s="55"/>
      <c r="K525" s="55"/>
      <c r="L525" s="31">
        <f>IF(PO[[#This Row],[Spend category L1 - Override]] &lt;&gt; "", PO[[#This Row],[Spend category L1 - Override]], PO[[#This Row],[Spend category L1]])</f>
        <v>0</v>
      </c>
      <c r="M525" s="31">
        <f>IF(PO[[#This Row],[Spend category L2 - Override]] &lt;&gt; "", PO[[#This Row],[Spend category L2 - Override]], PO[[#This Row],[Spend category L2]])</f>
        <v>0</v>
      </c>
      <c r="N525" s="63">
        <f>Assumptions!$D$15</f>
        <v>0.1</v>
      </c>
      <c r="O525" s="45">
        <f>IF(PO[[#This Row],[GST applies?]] = "Yes", (PO[[#This Row],[Value inc. GST]] / 1 + PO[[#This Row],[GST %]]) * PO[[#This Row],[GST %]], 0)</f>
        <v>0</v>
      </c>
      <c r="P525" s="31">
        <f>_xlfn.XLOOKUP(PO[[#This Row],[Supplier name]], Supplier_master[Supplier name], Supplier_master[EOM or Net], 0)</f>
        <v>0</v>
      </c>
      <c r="Q525" s="31">
        <f>_xlfn.XLOOKUP(PO[[#This Row],[Supplier name]], Supplier_master[Supplier name], Supplier_master[Terms days], 0)</f>
        <v>0</v>
      </c>
      <c r="R5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5" s="4"/>
      <c r="T525" s="46">
        <f>IF(PO[[#This Row],[Payment date - override (dd/mm/yyyy)]] &lt;&gt; "", PO[[#This Row],[Payment date - override (dd/mm/yyyy)]], PO[[#This Row],[Due date (dd/mm/yyyy)]])</f>
        <v>0</v>
      </c>
      <c r="U525" s="46">
        <f t="shared" si="8"/>
        <v>52</v>
      </c>
    </row>
    <row r="526" spans="3:21" x14ac:dyDescent="0.25">
      <c r="C526" s="24"/>
      <c r="D526" s="20"/>
      <c r="E526" s="4"/>
      <c r="F526" s="37"/>
      <c r="G526" s="38"/>
      <c r="H526" s="31">
        <f>_xlfn.XLOOKUP(PO[[#This Row],[Supplier name]], Supplier_master[Supplier name], Supplier_master[Category L1], 0)</f>
        <v>0</v>
      </c>
      <c r="I526" s="31">
        <f>_xlfn.XLOOKUP(PO[[#This Row],[Supplier name]], Supplier_master[Supplier name], Supplier_master[Category L2], 0)</f>
        <v>0</v>
      </c>
      <c r="J526" s="55"/>
      <c r="K526" s="55"/>
      <c r="L526" s="31">
        <f>IF(PO[[#This Row],[Spend category L1 - Override]] &lt;&gt; "", PO[[#This Row],[Spend category L1 - Override]], PO[[#This Row],[Spend category L1]])</f>
        <v>0</v>
      </c>
      <c r="M526" s="31">
        <f>IF(PO[[#This Row],[Spend category L2 - Override]] &lt;&gt; "", PO[[#This Row],[Spend category L2 - Override]], PO[[#This Row],[Spend category L2]])</f>
        <v>0</v>
      </c>
      <c r="N526" s="63">
        <f>Assumptions!$D$15</f>
        <v>0.1</v>
      </c>
      <c r="O526" s="45">
        <f>IF(PO[[#This Row],[GST applies?]] = "Yes", (PO[[#This Row],[Value inc. GST]] / 1 + PO[[#This Row],[GST %]]) * PO[[#This Row],[GST %]], 0)</f>
        <v>0</v>
      </c>
      <c r="P526" s="31">
        <f>_xlfn.XLOOKUP(PO[[#This Row],[Supplier name]], Supplier_master[Supplier name], Supplier_master[EOM or Net], 0)</f>
        <v>0</v>
      </c>
      <c r="Q526" s="31">
        <f>_xlfn.XLOOKUP(PO[[#This Row],[Supplier name]], Supplier_master[Supplier name], Supplier_master[Terms days], 0)</f>
        <v>0</v>
      </c>
      <c r="R5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6" s="4"/>
      <c r="T526" s="46">
        <f>IF(PO[[#This Row],[Payment date - override (dd/mm/yyyy)]] &lt;&gt; "", PO[[#This Row],[Payment date - override (dd/mm/yyyy)]], PO[[#This Row],[Due date (dd/mm/yyyy)]])</f>
        <v>0</v>
      </c>
      <c r="U526" s="46">
        <f t="shared" si="8"/>
        <v>52</v>
      </c>
    </row>
    <row r="527" spans="3:21" x14ac:dyDescent="0.25">
      <c r="C527" s="24"/>
      <c r="D527" s="20"/>
      <c r="E527" s="4"/>
      <c r="F527" s="37"/>
      <c r="G527" s="38"/>
      <c r="H527" s="31">
        <f>_xlfn.XLOOKUP(PO[[#This Row],[Supplier name]], Supplier_master[Supplier name], Supplier_master[Category L1], 0)</f>
        <v>0</v>
      </c>
      <c r="I527" s="31">
        <f>_xlfn.XLOOKUP(PO[[#This Row],[Supplier name]], Supplier_master[Supplier name], Supplier_master[Category L2], 0)</f>
        <v>0</v>
      </c>
      <c r="J527" s="55"/>
      <c r="K527" s="55"/>
      <c r="L527" s="31">
        <f>IF(PO[[#This Row],[Spend category L1 - Override]] &lt;&gt; "", PO[[#This Row],[Spend category L1 - Override]], PO[[#This Row],[Spend category L1]])</f>
        <v>0</v>
      </c>
      <c r="M527" s="31">
        <f>IF(PO[[#This Row],[Spend category L2 - Override]] &lt;&gt; "", PO[[#This Row],[Spend category L2 - Override]], PO[[#This Row],[Spend category L2]])</f>
        <v>0</v>
      </c>
      <c r="N527" s="63">
        <f>Assumptions!$D$15</f>
        <v>0.1</v>
      </c>
      <c r="O527" s="45">
        <f>IF(PO[[#This Row],[GST applies?]] = "Yes", (PO[[#This Row],[Value inc. GST]] / 1 + PO[[#This Row],[GST %]]) * PO[[#This Row],[GST %]], 0)</f>
        <v>0</v>
      </c>
      <c r="P527" s="31">
        <f>_xlfn.XLOOKUP(PO[[#This Row],[Supplier name]], Supplier_master[Supplier name], Supplier_master[EOM or Net], 0)</f>
        <v>0</v>
      </c>
      <c r="Q527" s="31">
        <f>_xlfn.XLOOKUP(PO[[#This Row],[Supplier name]], Supplier_master[Supplier name], Supplier_master[Terms days], 0)</f>
        <v>0</v>
      </c>
      <c r="R5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7" s="4"/>
      <c r="T527" s="46">
        <f>IF(PO[[#This Row],[Payment date - override (dd/mm/yyyy)]] &lt;&gt; "", PO[[#This Row],[Payment date - override (dd/mm/yyyy)]], PO[[#This Row],[Due date (dd/mm/yyyy)]])</f>
        <v>0</v>
      </c>
      <c r="U527" s="46">
        <f t="shared" si="8"/>
        <v>52</v>
      </c>
    </row>
    <row r="528" spans="3:21" x14ac:dyDescent="0.25">
      <c r="C528" s="24"/>
      <c r="D528" s="20"/>
      <c r="E528" s="4"/>
      <c r="F528" s="37"/>
      <c r="G528" s="38"/>
      <c r="H528" s="31">
        <f>_xlfn.XLOOKUP(PO[[#This Row],[Supplier name]], Supplier_master[Supplier name], Supplier_master[Category L1], 0)</f>
        <v>0</v>
      </c>
      <c r="I528" s="31">
        <f>_xlfn.XLOOKUP(PO[[#This Row],[Supplier name]], Supplier_master[Supplier name], Supplier_master[Category L2], 0)</f>
        <v>0</v>
      </c>
      <c r="J528" s="55"/>
      <c r="K528" s="55"/>
      <c r="L528" s="31">
        <f>IF(PO[[#This Row],[Spend category L1 - Override]] &lt;&gt; "", PO[[#This Row],[Spend category L1 - Override]], PO[[#This Row],[Spend category L1]])</f>
        <v>0</v>
      </c>
      <c r="M528" s="31">
        <f>IF(PO[[#This Row],[Spend category L2 - Override]] &lt;&gt; "", PO[[#This Row],[Spend category L2 - Override]], PO[[#This Row],[Spend category L2]])</f>
        <v>0</v>
      </c>
      <c r="N528" s="63">
        <f>Assumptions!$D$15</f>
        <v>0.1</v>
      </c>
      <c r="O528" s="45">
        <f>IF(PO[[#This Row],[GST applies?]] = "Yes", (PO[[#This Row],[Value inc. GST]] / 1 + PO[[#This Row],[GST %]]) * PO[[#This Row],[GST %]], 0)</f>
        <v>0</v>
      </c>
      <c r="P528" s="31">
        <f>_xlfn.XLOOKUP(PO[[#This Row],[Supplier name]], Supplier_master[Supplier name], Supplier_master[EOM or Net], 0)</f>
        <v>0</v>
      </c>
      <c r="Q528" s="31">
        <f>_xlfn.XLOOKUP(PO[[#This Row],[Supplier name]], Supplier_master[Supplier name], Supplier_master[Terms days], 0)</f>
        <v>0</v>
      </c>
      <c r="R5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8" s="4"/>
      <c r="T528" s="46">
        <f>IF(PO[[#This Row],[Payment date - override (dd/mm/yyyy)]] &lt;&gt; "", PO[[#This Row],[Payment date - override (dd/mm/yyyy)]], PO[[#This Row],[Due date (dd/mm/yyyy)]])</f>
        <v>0</v>
      </c>
      <c r="U528" s="46">
        <f t="shared" si="8"/>
        <v>52</v>
      </c>
    </row>
    <row r="529" spans="3:21" x14ac:dyDescent="0.25">
      <c r="C529" s="24"/>
      <c r="D529" s="20"/>
      <c r="E529" s="4"/>
      <c r="F529" s="37"/>
      <c r="G529" s="38"/>
      <c r="H529" s="31">
        <f>_xlfn.XLOOKUP(PO[[#This Row],[Supplier name]], Supplier_master[Supplier name], Supplier_master[Category L1], 0)</f>
        <v>0</v>
      </c>
      <c r="I529" s="31">
        <f>_xlfn.XLOOKUP(PO[[#This Row],[Supplier name]], Supplier_master[Supplier name], Supplier_master[Category L2], 0)</f>
        <v>0</v>
      </c>
      <c r="J529" s="55"/>
      <c r="K529" s="55"/>
      <c r="L529" s="31">
        <f>IF(PO[[#This Row],[Spend category L1 - Override]] &lt;&gt; "", PO[[#This Row],[Spend category L1 - Override]], PO[[#This Row],[Spend category L1]])</f>
        <v>0</v>
      </c>
      <c r="M529" s="31">
        <f>IF(PO[[#This Row],[Spend category L2 - Override]] &lt;&gt; "", PO[[#This Row],[Spend category L2 - Override]], PO[[#This Row],[Spend category L2]])</f>
        <v>0</v>
      </c>
      <c r="N529" s="63">
        <f>Assumptions!$D$15</f>
        <v>0.1</v>
      </c>
      <c r="O529" s="45">
        <f>IF(PO[[#This Row],[GST applies?]] = "Yes", (PO[[#This Row],[Value inc. GST]] / 1 + PO[[#This Row],[GST %]]) * PO[[#This Row],[GST %]], 0)</f>
        <v>0</v>
      </c>
      <c r="P529" s="31">
        <f>_xlfn.XLOOKUP(PO[[#This Row],[Supplier name]], Supplier_master[Supplier name], Supplier_master[EOM or Net], 0)</f>
        <v>0</v>
      </c>
      <c r="Q529" s="31">
        <f>_xlfn.XLOOKUP(PO[[#This Row],[Supplier name]], Supplier_master[Supplier name], Supplier_master[Terms days], 0)</f>
        <v>0</v>
      </c>
      <c r="R5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9" s="4"/>
      <c r="T529" s="46">
        <f>IF(PO[[#This Row],[Payment date - override (dd/mm/yyyy)]] &lt;&gt; "", PO[[#This Row],[Payment date - override (dd/mm/yyyy)]], PO[[#This Row],[Due date (dd/mm/yyyy)]])</f>
        <v>0</v>
      </c>
      <c r="U529" s="46">
        <f t="shared" si="8"/>
        <v>52</v>
      </c>
    </row>
    <row r="530" spans="3:21" x14ac:dyDescent="0.25">
      <c r="C530" s="24"/>
      <c r="D530" s="20"/>
      <c r="E530" s="4"/>
      <c r="F530" s="37"/>
      <c r="G530" s="38"/>
      <c r="H530" s="31">
        <f>_xlfn.XLOOKUP(PO[[#This Row],[Supplier name]], Supplier_master[Supplier name], Supplier_master[Category L1], 0)</f>
        <v>0</v>
      </c>
      <c r="I530" s="31">
        <f>_xlfn.XLOOKUP(PO[[#This Row],[Supplier name]], Supplier_master[Supplier name], Supplier_master[Category L2], 0)</f>
        <v>0</v>
      </c>
      <c r="J530" s="55"/>
      <c r="K530" s="55"/>
      <c r="L530" s="31">
        <f>IF(PO[[#This Row],[Spend category L1 - Override]] &lt;&gt; "", PO[[#This Row],[Spend category L1 - Override]], PO[[#This Row],[Spend category L1]])</f>
        <v>0</v>
      </c>
      <c r="M530" s="31">
        <f>IF(PO[[#This Row],[Spend category L2 - Override]] &lt;&gt; "", PO[[#This Row],[Spend category L2 - Override]], PO[[#This Row],[Spend category L2]])</f>
        <v>0</v>
      </c>
      <c r="N530" s="63">
        <f>Assumptions!$D$15</f>
        <v>0.1</v>
      </c>
      <c r="O530" s="45">
        <f>IF(PO[[#This Row],[GST applies?]] = "Yes", (PO[[#This Row],[Value inc. GST]] / 1 + PO[[#This Row],[GST %]]) * PO[[#This Row],[GST %]], 0)</f>
        <v>0</v>
      </c>
      <c r="P530" s="31">
        <f>_xlfn.XLOOKUP(PO[[#This Row],[Supplier name]], Supplier_master[Supplier name], Supplier_master[EOM or Net], 0)</f>
        <v>0</v>
      </c>
      <c r="Q530" s="31">
        <f>_xlfn.XLOOKUP(PO[[#This Row],[Supplier name]], Supplier_master[Supplier name], Supplier_master[Terms days], 0)</f>
        <v>0</v>
      </c>
      <c r="R5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0" s="4"/>
      <c r="T530" s="46">
        <f>IF(PO[[#This Row],[Payment date - override (dd/mm/yyyy)]] &lt;&gt; "", PO[[#This Row],[Payment date - override (dd/mm/yyyy)]], PO[[#This Row],[Due date (dd/mm/yyyy)]])</f>
        <v>0</v>
      </c>
      <c r="U530" s="46">
        <f t="shared" si="8"/>
        <v>52</v>
      </c>
    </row>
    <row r="531" spans="3:21" x14ac:dyDescent="0.25">
      <c r="C531" s="24"/>
      <c r="D531" s="20"/>
      <c r="E531" s="4"/>
      <c r="F531" s="37"/>
      <c r="G531" s="38"/>
      <c r="H531" s="31">
        <f>_xlfn.XLOOKUP(PO[[#This Row],[Supplier name]], Supplier_master[Supplier name], Supplier_master[Category L1], 0)</f>
        <v>0</v>
      </c>
      <c r="I531" s="31">
        <f>_xlfn.XLOOKUP(PO[[#This Row],[Supplier name]], Supplier_master[Supplier name], Supplier_master[Category L2], 0)</f>
        <v>0</v>
      </c>
      <c r="J531" s="55"/>
      <c r="K531" s="55"/>
      <c r="L531" s="31">
        <f>IF(PO[[#This Row],[Spend category L1 - Override]] &lt;&gt; "", PO[[#This Row],[Spend category L1 - Override]], PO[[#This Row],[Spend category L1]])</f>
        <v>0</v>
      </c>
      <c r="M531" s="31">
        <f>IF(PO[[#This Row],[Spend category L2 - Override]] &lt;&gt; "", PO[[#This Row],[Spend category L2 - Override]], PO[[#This Row],[Spend category L2]])</f>
        <v>0</v>
      </c>
      <c r="N531" s="63">
        <f>Assumptions!$D$15</f>
        <v>0.1</v>
      </c>
      <c r="O531" s="45">
        <f>IF(PO[[#This Row],[GST applies?]] = "Yes", (PO[[#This Row],[Value inc. GST]] / 1 + PO[[#This Row],[GST %]]) * PO[[#This Row],[GST %]], 0)</f>
        <v>0</v>
      </c>
      <c r="P531" s="31">
        <f>_xlfn.XLOOKUP(PO[[#This Row],[Supplier name]], Supplier_master[Supplier name], Supplier_master[EOM or Net], 0)</f>
        <v>0</v>
      </c>
      <c r="Q531" s="31">
        <f>_xlfn.XLOOKUP(PO[[#This Row],[Supplier name]], Supplier_master[Supplier name], Supplier_master[Terms days], 0)</f>
        <v>0</v>
      </c>
      <c r="R5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1" s="4"/>
      <c r="T531" s="46">
        <f>IF(PO[[#This Row],[Payment date - override (dd/mm/yyyy)]] &lt;&gt; "", PO[[#This Row],[Payment date - override (dd/mm/yyyy)]], PO[[#This Row],[Due date (dd/mm/yyyy)]])</f>
        <v>0</v>
      </c>
      <c r="U531" s="46">
        <f t="shared" si="8"/>
        <v>52</v>
      </c>
    </row>
    <row r="532" spans="3:21" x14ac:dyDescent="0.25">
      <c r="C532" s="24"/>
      <c r="D532" s="20"/>
      <c r="E532" s="4"/>
      <c r="F532" s="37"/>
      <c r="G532" s="38"/>
      <c r="H532" s="31">
        <f>_xlfn.XLOOKUP(PO[[#This Row],[Supplier name]], Supplier_master[Supplier name], Supplier_master[Category L1], 0)</f>
        <v>0</v>
      </c>
      <c r="I532" s="31">
        <f>_xlfn.XLOOKUP(PO[[#This Row],[Supplier name]], Supplier_master[Supplier name], Supplier_master[Category L2], 0)</f>
        <v>0</v>
      </c>
      <c r="J532" s="55"/>
      <c r="K532" s="55"/>
      <c r="L532" s="31">
        <f>IF(PO[[#This Row],[Spend category L1 - Override]] &lt;&gt; "", PO[[#This Row],[Spend category L1 - Override]], PO[[#This Row],[Spend category L1]])</f>
        <v>0</v>
      </c>
      <c r="M532" s="31">
        <f>IF(PO[[#This Row],[Spend category L2 - Override]] &lt;&gt; "", PO[[#This Row],[Spend category L2 - Override]], PO[[#This Row],[Spend category L2]])</f>
        <v>0</v>
      </c>
      <c r="N532" s="63">
        <f>Assumptions!$D$15</f>
        <v>0.1</v>
      </c>
      <c r="O532" s="45">
        <f>IF(PO[[#This Row],[GST applies?]] = "Yes", (PO[[#This Row],[Value inc. GST]] / 1 + PO[[#This Row],[GST %]]) * PO[[#This Row],[GST %]], 0)</f>
        <v>0</v>
      </c>
      <c r="P532" s="31">
        <f>_xlfn.XLOOKUP(PO[[#This Row],[Supplier name]], Supplier_master[Supplier name], Supplier_master[EOM or Net], 0)</f>
        <v>0</v>
      </c>
      <c r="Q532" s="31">
        <f>_xlfn.XLOOKUP(PO[[#This Row],[Supplier name]], Supplier_master[Supplier name], Supplier_master[Terms days], 0)</f>
        <v>0</v>
      </c>
      <c r="R5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2" s="4"/>
      <c r="T532" s="46">
        <f>IF(PO[[#This Row],[Payment date - override (dd/mm/yyyy)]] &lt;&gt; "", PO[[#This Row],[Payment date - override (dd/mm/yyyy)]], PO[[#This Row],[Due date (dd/mm/yyyy)]])</f>
        <v>0</v>
      </c>
      <c r="U532" s="46">
        <f t="shared" si="8"/>
        <v>52</v>
      </c>
    </row>
    <row r="533" spans="3:21" x14ac:dyDescent="0.25">
      <c r="C533" s="24"/>
      <c r="D533" s="20"/>
      <c r="E533" s="4"/>
      <c r="F533" s="37"/>
      <c r="G533" s="38"/>
      <c r="H533" s="31">
        <f>_xlfn.XLOOKUP(PO[[#This Row],[Supplier name]], Supplier_master[Supplier name], Supplier_master[Category L1], 0)</f>
        <v>0</v>
      </c>
      <c r="I533" s="31">
        <f>_xlfn.XLOOKUP(PO[[#This Row],[Supplier name]], Supplier_master[Supplier name], Supplier_master[Category L2], 0)</f>
        <v>0</v>
      </c>
      <c r="J533" s="55"/>
      <c r="K533" s="55"/>
      <c r="L533" s="31">
        <f>IF(PO[[#This Row],[Spend category L1 - Override]] &lt;&gt; "", PO[[#This Row],[Spend category L1 - Override]], PO[[#This Row],[Spend category L1]])</f>
        <v>0</v>
      </c>
      <c r="M533" s="31">
        <f>IF(PO[[#This Row],[Spend category L2 - Override]] &lt;&gt; "", PO[[#This Row],[Spend category L2 - Override]], PO[[#This Row],[Spend category L2]])</f>
        <v>0</v>
      </c>
      <c r="N533" s="63">
        <f>Assumptions!$D$15</f>
        <v>0.1</v>
      </c>
      <c r="O533" s="45">
        <f>IF(PO[[#This Row],[GST applies?]] = "Yes", (PO[[#This Row],[Value inc. GST]] / 1 + PO[[#This Row],[GST %]]) * PO[[#This Row],[GST %]], 0)</f>
        <v>0</v>
      </c>
      <c r="P533" s="31">
        <f>_xlfn.XLOOKUP(PO[[#This Row],[Supplier name]], Supplier_master[Supplier name], Supplier_master[EOM or Net], 0)</f>
        <v>0</v>
      </c>
      <c r="Q533" s="31">
        <f>_xlfn.XLOOKUP(PO[[#This Row],[Supplier name]], Supplier_master[Supplier name], Supplier_master[Terms days], 0)</f>
        <v>0</v>
      </c>
      <c r="R5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3" s="4"/>
      <c r="T533" s="46">
        <f>IF(PO[[#This Row],[Payment date - override (dd/mm/yyyy)]] &lt;&gt; "", PO[[#This Row],[Payment date - override (dd/mm/yyyy)]], PO[[#This Row],[Due date (dd/mm/yyyy)]])</f>
        <v>0</v>
      </c>
      <c r="U533" s="46">
        <f t="shared" si="8"/>
        <v>52</v>
      </c>
    </row>
    <row r="534" spans="3:21" x14ac:dyDescent="0.25">
      <c r="C534" s="24"/>
      <c r="D534" s="20"/>
      <c r="E534" s="4"/>
      <c r="F534" s="37"/>
      <c r="G534" s="38"/>
      <c r="H534" s="31">
        <f>_xlfn.XLOOKUP(PO[[#This Row],[Supplier name]], Supplier_master[Supplier name], Supplier_master[Category L1], 0)</f>
        <v>0</v>
      </c>
      <c r="I534" s="31">
        <f>_xlfn.XLOOKUP(PO[[#This Row],[Supplier name]], Supplier_master[Supplier name], Supplier_master[Category L2], 0)</f>
        <v>0</v>
      </c>
      <c r="J534" s="55"/>
      <c r="K534" s="55"/>
      <c r="L534" s="31">
        <f>IF(PO[[#This Row],[Spend category L1 - Override]] &lt;&gt; "", PO[[#This Row],[Spend category L1 - Override]], PO[[#This Row],[Spend category L1]])</f>
        <v>0</v>
      </c>
      <c r="M534" s="31">
        <f>IF(PO[[#This Row],[Spend category L2 - Override]] &lt;&gt; "", PO[[#This Row],[Spend category L2 - Override]], PO[[#This Row],[Spend category L2]])</f>
        <v>0</v>
      </c>
      <c r="N534" s="63">
        <f>Assumptions!$D$15</f>
        <v>0.1</v>
      </c>
      <c r="O534" s="45">
        <f>IF(PO[[#This Row],[GST applies?]] = "Yes", (PO[[#This Row],[Value inc. GST]] / 1 + PO[[#This Row],[GST %]]) * PO[[#This Row],[GST %]], 0)</f>
        <v>0</v>
      </c>
      <c r="P534" s="31">
        <f>_xlfn.XLOOKUP(PO[[#This Row],[Supplier name]], Supplier_master[Supplier name], Supplier_master[EOM or Net], 0)</f>
        <v>0</v>
      </c>
      <c r="Q534" s="31">
        <f>_xlfn.XLOOKUP(PO[[#This Row],[Supplier name]], Supplier_master[Supplier name], Supplier_master[Terms days], 0)</f>
        <v>0</v>
      </c>
      <c r="R5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4" s="4"/>
      <c r="T534" s="46">
        <f>IF(PO[[#This Row],[Payment date - override (dd/mm/yyyy)]] &lt;&gt; "", PO[[#This Row],[Payment date - override (dd/mm/yyyy)]], PO[[#This Row],[Due date (dd/mm/yyyy)]])</f>
        <v>0</v>
      </c>
      <c r="U534" s="46">
        <f t="shared" si="8"/>
        <v>52</v>
      </c>
    </row>
    <row r="535" spans="3:21" x14ac:dyDescent="0.25">
      <c r="C535" s="24"/>
      <c r="D535" s="20"/>
      <c r="E535" s="4"/>
      <c r="F535" s="37"/>
      <c r="G535" s="38"/>
      <c r="H535" s="31">
        <f>_xlfn.XLOOKUP(PO[[#This Row],[Supplier name]], Supplier_master[Supplier name], Supplier_master[Category L1], 0)</f>
        <v>0</v>
      </c>
      <c r="I535" s="31">
        <f>_xlfn.XLOOKUP(PO[[#This Row],[Supplier name]], Supplier_master[Supplier name], Supplier_master[Category L2], 0)</f>
        <v>0</v>
      </c>
      <c r="J535" s="55"/>
      <c r="K535" s="55"/>
      <c r="L535" s="31">
        <f>IF(PO[[#This Row],[Spend category L1 - Override]] &lt;&gt; "", PO[[#This Row],[Spend category L1 - Override]], PO[[#This Row],[Spend category L1]])</f>
        <v>0</v>
      </c>
      <c r="M535" s="31">
        <f>IF(PO[[#This Row],[Spend category L2 - Override]] &lt;&gt; "", PO[[#This Row],[Spend category L2 - Override]], PO[[#This Row],[Spend category L2]])</f>
        <v>0</v>
      </c>
      <c r="N535" s="63">
        <f>Assumptions!$D$15</f>
        <v>0.1</v>
      </c>
      <c r="O535" s="45">
        <f>IF(PO[[#This Row],[GST applies?]] = "Yes", (PO[[#This Row],[Value inc. GST]] / 1 + PO[[#This Row],[GST %]]) * PO[[#This Row],[GST %]], 0)</f>
        <v>0</v>
      </c>
      <c r="P535" s="31">
        <f>_xlfn.XLOOKUP(PO[[#This Row],[Supplier name]], Supplier_master[Supplier name], Supplier_master[EOM or Net], 0)</f>
        <v>0</v>
      </c>
      <c r="Q535" s="31">
        <f>_xlfn.XLOOKUP(PO[[#This Row],[Supplier name]], Supplier_master[Supplier name], Supplier_master[Terms days], 0)</f>
        <v>0</v>
      </c>
      <c r="R5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5" s="4"/>
      <c r="T535" s="46">
        <f>IF(PO[[#This Row],[Payment date - override (dd/mm/yyyy)]] &lt;&gt; "", PO[[#This Row],[Payment date - override (dd/mm/yyyy)]], PO[[#This Row],[Due date (dd/mm/yyyy)]])</f>
        <v>0</v>
      </c>
      <c r="U535" s="46">
        <f t="shared" si="8"/>
        <v>52</v>
      </c>
    </row>
    <row r="536" spans="3:21" x14ac:dyDescent="0.25">
      <c r="C536" s="24"/>
      <c r="D536" s="20"/>
      <c r="E536" s="4"/>
      <c r="F536" s="37"/>
      <c r="G536" s="38"/>
      <c r="H536" s="31">
        <f>_xlfn.XLOOKUP(PO[[#This Row],[Supplier name]], Supplier_master[Supplier name], Supplier_master[Category L1], 0)</f>
        <v>0</v>
      </c>
      <c r="I536" s="31">
        <f>_xlfn.XLOOKUP(PO[[#This Row],[Supplier name]], Supplier_master[Supplier name], Supplier_master[Category L2], 0)</f>
        <v>0</v>
      </c>
      <c r="J536" s="55"/>
      <c r="K536" s="55"/>
      <c r="L536" s="31">
        <f>IF(PO[[#This Row],[Spend category L1 - Override]] &lt;&gt; "", PO[[#This Row],[Spend category L1 - Override]], PO[[#This Row],[Spend category L1]])</f>
        <v>0</v>
      </c>
      <c r="M536" s="31">
        <f>IF(PO[[#This Row],[Spend category L2 - Override]] &lt;&gt; "", PO[[#This Row],[Spend category L2 - Override]], PO[[#This Row],[Spend category L2]])</f>
        <v>0</v>
      </c>
      <c r="N536" s="63">
        <f>Assumptions!$D$15</f>
        <v>0.1</v>
      </c>
      <c r="O536" s="45">
        <f>IF(PO[[#This Row],[GST applies?]] = "Yes", (PO[[#This Row],[Value inc. GST]] / 1 + PO[[#This Row],[GST %]]) * PO[[#This Row],[GST %]], 0)</f>
        <v>0</v>
      </c>
      <c r="P536" s="31">
        <f>_xlfn.XLOOKUP(PO[[#This Row],[Supplier name]], Supplier_master[Supplier name], Supplier_master[EOM or Net], 0)</f>
        <v>0</v>
      </c>
      <c r="Q536" s="31">
        <f>_xlfn.XLOOKUP(PO[[#This Row],[Supplier name]], Supplier_master[Supplier name], Supplier_master[Terms days], 0)</f>
        <v>0</v>
      </c>
      <c r="R5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6" s="4"/>
      <c r="T536" s="46">
        <f>IF(PO[[#This Row],[Payment date - override (dd/mm/yyyy)]] &lt;&gt; "", PO[[#This Row],[Payment date - override (dd/mm/yyyy)]], PO[[#This Row],[Due date (dd/mm/yyyy)]])</f>
        <v>0</v>
      </c>
      <c r="U536" s="46">
        <f t="shared" si="8"/>
        <v>52</v>
      </c>
    </row>
    <row r="537" spans="3:21" x14ac:dyDescent="0.25">
      <c r="C537" s="24"/>
      <c r="D537" s="20"/>
      <c r="E537" s="4"/>
      <c r="F537" s="37"/>
      <c r="G537" s="38"/>
      <c r="H537" s="31">
        <f>_xlfn.XLOOKUP(PO[[#This Row],[Supplier name]], Supplier_master[Supplier name], Supplier_master[Category L1], 0)</f>
        <v>0</v>
      </c>
      <c r="I537" s="31">
        <f>_xlfn.XLOOKUP(PO[[#This Row],[Supplier name]], Supplier_master[Supplier name], Supplier_master[Category L2], 0)</f>
        <v>0</v>
      </c>
      <c r="J537" s="55"/>
      <c r="K537" s="55"/>
      <c r="L537" s="31">
        <f>IF(PO[[#This Row],[Spend category L1 - Override]] &lt;&gt; "", PO[[#This Row],[Spend category L1 - Override]], PO[[#This Row],[Spend category L1]])</f>
        <v>0</v>
      </c>
      <c r="M537" s="31">
        <f>IF(PO[[#This Row],[Spend category L2 - Override]] &lt;&gt; "", PO[[#This Row],[Spend category L2 - Override]], PO[[#This Row],[Spend category L2]])</f>
        <v>0</v>
      </c>
      <c r="N537" s="63">
        <f>Assumptions!$D$15</f>
        <v>0.1</v>
      </c>
      <c r="O537" s="45">
        <f>IF(PO[[#This Row],[GST applies?]] = "Yes", (PO[[#This Row],[Value inc. GST]] / 1 + PO[[#This Row],[GST %]]) * PO[[#This Row],[GST %]], 0)</f>
        <v>0</v>
      </c>
      <c r="P537" s="31">
        <f>_xlfn.XLOOKUP(PO[[#This Row],[Supplier name]], Supplier_master[Supplier name], Supplier_master[EOM or Net], 0)</f>
        <v>0</v>
      </c>
      <c r="Q537" s="31">
        <f>_xlfn.XLOOKUP(PO[[#This Row],[Supplier name]], Supplier_master[Supplier name], Supplier_master[Terms days], 0)</f>
        <v>0</v>
      </c>
      <c r="R5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7" s="4"/>
      <c r="T537" s="46">
        <f>IF(PO[[#This Row],[Payment date - override (dd/mm/yyyy)]] &lt;&gt; "", PO[[#This Row],[Payment date - override (dd/mm/yyyy)]], PO[[#This Row],[Due date (dd/mm/yyyy)]])</f>
        <v>0</v>
      </c>
      <c r="U537" s="46">
        <f t="shared" si="8"/>
        <v>52</v>
      </c>
    </row>
    <row r="538" spans="3:21" x14ac:dyDescent="0.25">
      <c r="C538" s="24"/>
      <c r="D538" s="20"/>
      <c r="E538" s="4"/>
      <c r="F538" s="37"/>
      <c r="G538" s="38"/>
      <c r="H538" s="31">
        <f>_xlfn.XLOOKUP(PO[[#This Row],[Supplier name]], Supplier_master[Supplier name], Supplier_master[Category L1], 0)</f>
        <v>0</v>
      </c>
      <c r="I538" s="31">
        <f>_xlfn.XLOOKUP(PO[[#This Row],[Supplier name]], Supplier_master[Supplier name], Supplier_master[Category L2], 0)</f>
        <v>0</v>
      </c>
      <c r="J538" s="55"/>
      <c r="K538" s="55"/>
      <c r="L538" s="31">
        <f>IF(PO[[#This Row],[Spend category L1 - Override]] &lt;&gt; "", PO[[#This Row],[Spend category L1 - Override]], PO[[#This Row],[Spend category L1]])</f>
        <v>0</v>
      </c>
      <c r="M538" s="31">
        <f>IF(PO[[#This Row],[Spend category L2 - Override]] &lt;&gt; "", PO[[#This Row],[Spend category L2 - Override]], PO[[#This Row],[Spend category L2]])</f>
        <v>0</v>
      </c>
      <c r="N538" s="63">
        <f>Assumptions!$D$15</f>
        <v>0.1</v>
      </c>
      <c r="O538" s="45">
        <f>IF(PO[[#This Row],[GST applies?]] = "Yes", (PO[[#This Row],[Value inc. GST]] / 1 + PO[[#This Row],[GST %]]) * PO[[#This Row],[GST %]], 0)</f>
        <v>0</v>
      </c>
      <c r="P538" s="31">
        <f>_xlfn.XLOOKUP(PO[[#This Row],[Supplier name]], Supplier_master[Supplier name], Supplier_master[EOM or Net], 0)</f>
        <v>0</v>
      </c>
      <c r="Q538" s="31">
        <f>_xlfn.XLOOKUP(PO[[#This Row],[Supplier name]], Supplier_master[Supplier name], Supplier_master[Terms days], 0)</f>
        <v>0</v>
      </c>
      <c r="R5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8" s="4"/>
      <c r="T538" s="46">
        <f>IF(PO[[#This Row],[Payment date - override (dd/mm/yyyy)]] &lt;&gt; "", PO[[#This Row],[Payment date - override (dd/mm/yyyy)]], PO[[#This Row],[Due date (dd/mm/yyyy)]])</f>
        <v>0</v>
      </c>
      <c r="U538" s="46">
        <f t="shared" si="8"/>
        <v>52</v>
      </c>
    </row>
    <row r="539" spans="3:21" x14ac:dyDescent="0.25">
      <c r="C539" s="24"/>
      <c r="D539" s="20"/>
      <c r="E539" s="4"/>
      <c r="F539" s="37"/>
      <c r="G539" s="38"/>
      <c r="H539" s="31">
        <f>_xlfn.XLOOKUP(PO[[#This Row],[Supplier name]], Supplier_master[Supplier name], Supplier_master[Category L1], 0)</f>
        <v>0</v>
      </c>
      <c r="I539" s="31">
        <f>_xlfn.XLOOKUP(PO[[#This Row],[Supplier name]], Supplier_master[Supplier name], Supplier_master[Category L2], 0)</f>
        <v>0</v>
      </c>
      <c r="J539" s="55"/>
      <c r="K539" s="55"/>
      <c r="L539" s="31">
        <f>IF(PO[[#This Row],[Spend category L1 - Override]] &lt;&gt; "", PO[[#This Row],[Spend category L1 - Override]], PO[[#This Row],[Spend category L1]])</f>
        <v>0</v>
      </c>
      <c r="M539" s="31">
        <f>IF(PO[[#This Row],[Spend category L2 - Override]] &lt;&gt; "", PO[[#This Row],[Spend category L2 - Override]], PO[[#This Row],[Spend category L2]])</f>
        <v>0</v>
      </c>
      <c r="N539" s="63">
        <f>Assumptions!$D$15</f>
        <v>0.1</v>
      </c>
      <c r="O539" s="45">
        <f>IF(PO[[#This Row],[GST applies?]] = "Yes", (PO[[#This Row],[Value inc. GST]] / 1 + PO[[#This Row],[GST %]]) * PO[[#This Row],[GST %]], 0)</f>
        <v>0</v>
      </c>
      <c r="P539" s="31">
        <f>_xlfn.XLOOKUP(PO[[#This Row],[Supplier name]], Supplier_master[Supplier name], Supplier_master[EOM or Net], 0)</f>
        <v>0</v>
      </c>
      <c r="Q539" s="31">
        <f>_xlfn.XLOOKUP(PO[[#This Row],[Supplier name]], Supplier_master[Supplier name], Supplier_master[Terms days], 0)</f>
        <v>0</v>
      </c>
      <c r="R5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9" s="4"/>
      <c r="T539" s="46">
        <f>IF(PO[[#This Row],[Payment date - override (dd/mm/yyyy)]] &lt;&gt; "", PO[[#This Row],[Payment date - override (dd/mm/yyyy)]], PO[[#This Row],[Due date (dd/mm/yyyy)]])</f>
        <v>0</v>
      </c>
      <c r="U539" s="46">
        <f t="shared" si="8"/>
        <v>52</v>
      </c>
    </row>
    <row r="540" spans="3:21" x14ac:dyDescent="0.25">
      <c r="C540" s="24"/>
      <c r="D540" s="20"/>
      <c r="E540" s="4"/>
      <c r="F540" s="37"/>
      <c r="G540" s="38"/>
      <c r="H540" s="31">
        <f>_xlfn.XLOOKUP(PO[[#This Row],[Supplier name]], Supplier_master[Supplier name], Supplier_master[Category L1], 0)</f>
        <v>0</v>
      </c>
      <c r="I540" s="31">
        <f>_xlfn.XLOOKUP(PO[[#This Row],[Supplier name]], Supplier_master[Supplier name], Supplier_master[Category L2], 0)</f>
        <v>0</v>
      </c>
      <c r="J540" s="55"/>
      <c r="K540" s="55"/>
      <c r="L540" s="31">
        <f>IF(PO[[#This Row],[Spend category L1 - Override]] &lt;&gt; "", PO[[#This Row],[Spend category L1 - Override]], PO[[#This Row],[Spend category L1]])</f>
        <v>0</v>
      </c>
      <c r="M540" s="31">
        <f>IF(PO[[#This Row],[Spend category L2 - Override]] &lt;&gt; "", PO[[#This Row],[Spend category L2 - Override]], PO[[#This Row],[Spend category L2]])</f>
        <v>0</v>
      </c>
      <c r="N540" s="63">
        <f>Assumptions!$D$15</f>
        <v>0.1</v>
      </c>
      <c r="O540" s="45">
        <f>IF(PO[[#This Row],[GST applies?]] = "Yes", (PO[[#This Row],[Value inc. GST]] / 1 + PO[[#This Row],[GST %]]) * PO[[#This Row],[GST %]], 0)</f>
        <v>0</v>
      </c>
      <c r="P540" s="31">
        <f>_xlfn.XLOOKUP(PO[[#This Row],[Supplier name]], Supplier_master[Supplier name], Supplier_master[EOM or Net], 0)</f>
        <v>0</v>
      </c>
      <c r="Q540" s="31">
        <f>_xlfn.XLOOKUP(PO[[#This Row],[Supplier name]], Supplier_master[Supplier name], Supplier_master[Terms days], 0)</f>
        <v>0</v>
      </c>
      <c r="R5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0" s="4"/>
      <c r="T540" s="46">
        <f>IF(PO[[#This Row],[Payment date - override (dd/mm/yyyy)]] &lt;&gt; "", PO[[#This Row],[Payment date - override (dd/mm/yyyy)]], PO[[#This Row],[Due date (dd/mm/yyyy)]])</f>
        <v>0</v>
      </c>
      <c r="U540" s="46">
        <f t="shared" si="8"/>
        <v>52</v>
      </c>
    </row>
    <row r="541" spans="3:21" x14ac:dyDescent="0.25">
      <c r="C541" s="24"/>
      <c r="D541" s="20"/>
      <c r="E541" s="4"/>
      <c r="F541" s="37"/>
      <c r="G541" s="38"/>
      <c r="H541" s="31">
        <f>_xlfn.XLOOKUP(PO[[#This Row],[Supplier name]], Supplier_master[Supplier name], Supplier_master[Category L1], 0)</f>
        <v>0</v>
      </c>
      <c r="I541" s="31">
        <f>_xlfn.XLOOKUP(PO[[#This Row],[Supplier name]], Supplier_master[Supplier name], Supplier_master[Category L2], 0)</f>
        <v>0</v>
      </c>
      <c r="J541" s="55"/>
      <c r="K541" s="55"/>
      <c r="L541" s="31">
        <f>IF(PO[[#This Row],[Spend category L1 - Override]] &lt;&gt; "", PO[[#This Row],[Spend category L1 - Override]], PO[[#This Row],[Spend category L1]])</f>
        <v>0</v>
      </c>
      <c r="M541" s="31">
        <f>IF(PO[[#This Row],[Spend category L2 - Override]] &lt;&gt; "", PO[[#This Row],[Spend category L2 - Override]], PO[[#This Row],[Spend category L2]])</f>
        <v>0</v>
      </c>
      <c r="N541" s="63">
        <f>Assumptions!$D$15</f>
        <v>0.1</v>
      </c>
      <c r="O541" s="45">
        <f>IF(PO[[#This Row],[GST applies?]] = "Yes", (PO[[#This Row],[Value inc. GST]] / 1 + PO[[#This Row],[GST %]]) * PO[[#This Row],[GST %]], 0)</f>
        <v>0</v>
      </c>
      <c r="P541" s="31">
        <f>_xlfn.XLOOKUP(PO[[#This Row],[Supplier name]], Supplier_master[Supplier name], Supplier_master[EOM or Net], 0)</f>
        <v>0</v>
      </c>
      <c r="Q541" s="31">
        <f>_xlfn.XLOOKUP(PO[[#This Row],[Supplier name]], Supplier_master[Supplier name], Supplier_master[Terms days], 0)</f>
        <v>0</v>
      </c>
      <c r="R5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1" s="4"/>
      <c r="T541" s="46">
        <f>IF(PO[[#This Row],[Payment date - override (dd/mm/yyyy)]] &lt;&gt; "", PO[[#This Row],[Payment date - override (dd/mm/yyyy)]], PO[[#This Row],[Due date (dd/mm/yyyy)]])</f>
        <v>0</v>
      </c>
      <c r="U541" s="46">
        <f t="shared" si="8"/>
        <v>52</v>
      </c>
    </row>
    <row r="542" spans="3:21" x14ac:dyDescent="0.25">
      <c r="C542" s="24"/>
      <c r="D542" s="20"/>
      <c r="E542" s="4"/>
      <c r="F542" s="37"/>
      <c r="G542" s="38"/>
      <c r="H542" s="31">
        <f>_xlfn.XLOOKUP(PO[[#This Row],[Supplier name]], Supplier_master[Supplier name], Supplier_master[Category L1], 0)</f>
        <v>0</v>
      </c>
      <c r="I542" s="31">
        <f>_xlfn.XLOOKUP(PO[[#This Row],[Supplier name]], Supplier_master[Supplier name], Supplier_master[Category L2], 0)</f>
        <v>0</v>
      </c>
      <c r="J542" s="55"/>
      <c r="K542" s="55"/>
      <c r="L542" s="31">
        <f>IF(PO[[#This Row],[Spend category L1 - Override]] &lt;&gt; "", PO[[#This Row],[Spend category L1 - Override]], PO[[#This Row],[Spend category L1]])</f>
        <v>0</v>
      </c>
      <c r="M542" s="31">
        <f>IF(PO[[#This Row],[Spend category L2 - Override]] &lt;&gt; "", PO[[#This Row],[Spend category L2 - Override]], PO[[#This Row],[Spend category L2]])</f>
        <v>0</v>
      </c>
      <c r="N542" s="63">
        <f>Assumptions!$D$15</f>
        <v>0.1</v>
      </c>
      <c r="O542" s="45">
        <f>IF(PO[[#This Row],[GST applies?]] = "Yes", (PO[[#This Row],[Value inc. GST]] / 1 + PO[[#This Row],[GST %]]) * PO[[#This Row],[GST %]], 0)</f>
        <v>0</v>
      </c>
      <c r="P542" s="31">
        <f>_xlfn.XLOOKUP(PO[[#This Row],[Supplier name]], Supplier_master[Supplier name], Supplier_master[EOM or Net], 0)</f>
        <v>0</v>
      </c>
      <c r="Q542" s="31">
        <f>_xlfn.XLOOKUP(PO[[#This Row],[Supplier name]], Supplier_master[Supplier name], Supplier_master[Terms days], 0)</f>
        <v>0</v>
      </c>
      <c r="R5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2" s="4"/>
      <c r="T542" s="46">
        <f>IF(PO[[#This Row],[Payment date - override (dd/mm/yyyy)]] &lt;&gt; "", PO[[#This Row],[Payment date - override (dd/mm/yyyy)]], PO[[#This Row],[Due date (dd/mm/yyyy)]])</f>
        <v>0</v>
      </c>
      <c r="U542" s="46">
        <f t="shared" si="8"/>
        <v>52</v>
      </c>
    </row>
    <row r="543" spans="3:21" x14ac:dyDescent="0.25">
      <c r="C543" s="24"/>
      <c r="D543" s="20"/>
      <c r="E543" s="4"/>
      <c r="F543" s="37"/>
      <c r="G543" s="38"/>
      <c r="H543" s="31">
        <f>_xlfn.XLOOKUP(PO[[#This Row],[Supplier name]], Supplier_master[Supplier name], Supplier_master[Category L1], 0)</f>
        <v>0</v>
      </c>
      <c r="I543" s="31">
        <f>_xlfn.XLOOKUP(PO[[#This Row],[Supplier name]], Supplier_master[Supplier name], Supplier_master[Category L2], 0)</f>
        <v>0</v>
      </c>
      <c r="J543" s="55"/>
      <c r="K543" s="55"/>
      <c r="L543" s="31">
        <f>IF(PO[[#This Row],[Spend category L1 - Override]] &lt;&gt; "", PO[[#This Row],[Spend category L1 - Override]], PO[[#This Row],[Spend category L1]])</f>
        <v>0</v>
      </c>
      <c r="M543" s="31">
        <f>IF(PO[[#This Row],[Spend category L2 - Override]] &lt;&gt; "", PO[[#This Row],[Spend category L2 - Override]], PO[[#This Row],[Spend category L2]])</f>
        <v>0</v>
      </c>
      <c r="N543" s="63">
        <f>Assumptions!$D$15</f>
        <v>0.1</v>
      </c>
      <c r="O543" s="45">
        <f>IF(PO[[#This Row],[GST applies?]] = "Yes", (PO[[#This Row],[Value inc. GST]] / 1 + PO[[#This Row],[GST %]]) * PO[[#This Row],[GST %]], 0)</f>
        <v>0</v>
      </c>
      <c r="P543" s="31">
        <f>_xlfn.XLOOKUP(PO[[#This Row],[Supplier name]], Supplier_master[Supplier name], Supplier_master[EOM or Net], 0)</f>
        <v>0</v>
      </c>
      <c r="Q543" s="31">
        <f>_xlfn.XLOOKUP(PO[[#This Row],[Supplier name]], Supplier_master[Supplier name], Supplier_master[Terms days], 0)</f>
        <v>0</v>
      </c>
      <c r="R5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3" s="4"/>
      <c r="T543" s="46">
        <f>IF(PO[[#This Row],[Payment date - override (dd/mm/yyyy)]] &lt;&gt; "", PO[[#This Row],[Payment date - override (dd/mm/yyyy)]], PO[[#This Row],[Due date (dd/mm/yyyy)]])</f>
        <v>0</v>
      </c>
      <c r="U543" s="46">
        <f t="shared" si="8"/>
        <v>52</v>
      </c>
    </row>
    <row r="544" spans="3:21" x14ac:dyDescent="0.25">
      <c r="C544" s="24"/>
      <c r="D544" s="20"/>
      <c r="E544" s="4"/>
      <c r="F544" s="37"/>
      <c r="G544" s="38"/>
      <c r="H544" s="31">
        <f>_xlfn.XLOOKUP(PO[[#This Row],[Supplier name]], Supplier_master[Supplier name], Supplier_master[Category L1], 0)</f>
        <v>0</v>
      </c>
      <c r="I544" s="31">
        <f>_xlfn.XLOOKUP(PO[[#This Row],[Supplier name]], Supplier_master[Supplier name], Supplier_master[Category L2], 0)</f>
        <v>0</v>
      </c>
      <c r="J544" s="55"/>
      <c r="K544" s="55"/>
      <c r="L544" s="31">
        <f>IF(PO[[#This Row],[Spend category L1 - Override]] &lt;&gt; "", PO[[#This Row],[Spend category L1 - Override]], PO[[#This Row],[Spend category L1]])</f>
        <v>0</v>
      </c>
      <c r="M544" s="31">
        <f>IF(PO[[#This Row],[Spend category L2 - Override]] &lt;&gt; "", PO[[#This Row],[Spend category L2 - Override]], PO[[#This Row],[Spend category L2]])</f>
        <v>0</v>
      </c>
      <c r="N544" s="63">
        <f>Assumptions!$D$15</f>
        <v>0.1</v>
      </c>
      <c r="O544" s="45">
        <f>IF(PO[[#This Row],[GST applies?]] = "Yes", (PO[[#This Row],[Value inc. GST]] / 1 + PO[[#This Row],[GST %]]) * PO[[#This Row],[GST %]], 0)</f>
        <v>0</v>
      </c>
      <c r="P544" s="31">
        <f>_xlfn.XLOOKUP(PO[[#This Row],[Supplier name]], Supplier_master[Supplier name], Supplier_master[EOM or Net], 0)</f>
        <v>0</v>
      </c>
      <c r="Q544" s="31">
        <f>_xlfn.XLOOKUP(PO[[#This Row],[Supplier name]], Supplier_master[Supplier name], Supplier_master[Terms days], 0)</f>
        <v>0</v>
      </c>
      <c r="R5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4" s="4"/>
      <c r="T544" s="46">
        <f>IF(PO[[#This Row],[Payment date - override (dd/mm/yyyy)]] &lt;&gt; "", PO[[#This Row],[Payment date - override (dd/mm/yyyy)]], PO[[#This Row],[Due date (dd/mm/yyyy)]])</f>
        <v>0</v>
      </c>
      <c r="U544" s="46">
        <f t="shared" si="8"/>
        <v>52</v>
      </c>
    </row>
    <row r="545" spans="3:21" x14ac:dyDescent="0.25">
      <c r="C545" s="24"/>
      <c r="D545" s="20"/>
      <c r="E545" s="4"/>
      <c r="F545" s="37"/>
      <c r="G545" s="38"/>
      <c r="H545" s="31">
        <f>_xlfn.XLOOKUP(PO[[#This Row],[Supplier name]], Supplier_master[Supplier name], Supplier_master[Category L1], 0)</f>
        <v>0</v>
      </c>
      <c r="I545" s="31">
        <f>_xlfn.XLOOKUP(PO[[#This Row],[Supplier name]], Supplier_master[Supplier name], Supplier_master[Category L2], 0)</f>
        <v>0</v>
      </c>
      <c r="J545" s="55"/>
      <c r="K545" s="55"/>
      <c r="L545" s="31">
        <f>IF(PO[[#This Row],[Spend category L1 - Override]] &lt;&gt; "", PO[[#This Row],[Spend category L1 - Override]], PO[[#This Row],[Spend category L1]])</f>
        <v>0</v>
      </c>
      <c r="M545" s="31">
        <f>IF(PO[[#This Row],[Spend category L2 - Override]] &lt;&gt; "", PO[[#This Row],[Spend category L2 - Override]], PO[[#This Row],[Spend category L2]])</f>
        <v>0</v>
      </c>
      <c r="N545" s="63">
        <f>Assumptions!$D$15</f>
        <v>0.1</v>
      </c>
      <c r="O545" s="45">
        <f>IF(PO[[#This Row],[GST applies?]] = "Yes", (PO[[#This Row],[Value inc. GST]] / 1 + PO[[#This Row],[GST %]]) * PO[[#This Row],[GST %]], 0)</f>
        <v>0</v>
      </c>
      <c r="P545" s="31">
        <f>_xlfn.XLOOKUP(PO[[#This Row],[Supplier name]], Supplier_master[Supplier name], Supplier_master[EOM or Net], 0)</f>
        <v>0</v>
      </c>
      <c r="Q545" s="31">
        <f>_xlfn.XLOOKUP(PO[[#This Row],[Supplier name]], Supplier_master[Supplier name], Supplier_master[Terms days], 0)</f>
        <v>0</v>
      </c>
      <c r="R5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5" s="4"/>
      <c r="T545" s="46">
        <f>IF(PO[[#This Row],[Payment date - override (dd/mm/yyyy)]] &lt;&gt; "", PO[[#This Row],[Payment date - override (dd/mm/yyyy)]], PO[[#This Row],[Due date (dd/mm/yyyy)]])</f>
        <v>0</v>
      </c>
      <c r="U545" s="46">
        <f t="shared" si="8"/>
        <v>52</v>
      </c>
    </row>
    <row r="546" spans="3:21" x14ac:dyDescent="0.25">
      <c r="C546" s="24"/>
      <c r="D546" s="20"/>
      <c r="E546" s="4"/>
      <c r="F546" s="37"/>
      <c r="G546" s="38"/>
      <c r="H546" s="31">
        <f>_xlfn.XLOOKUP(PO[[#This Row],[Supplier name]], Supplier_master[Supplier name], Supplier_master[Category L1], 0)</f>
        <v>0</v>
      </c>
      <c r="I546" s="31">
        <f>_xlfn.XLOOKUP(PO[[#This Row],[Supplier name]], Supplier_master[Supplier name], Supplier_master[Category L2], 0)</f>
        <v>0</v>
      </c>
      <c r="J546" s="55"/>
      <c r="K546" s="55"/>
      <c r="L546" s="31">
        <f>IF(PO[[#This Row],[Spend category L1 - Override]] &lt;&gt; "", PO[[#This Row],[Spend category L1 - Override]], PO[[#This Row],[Spend category L1]])</f>
        <v>0</v>
      </c>
      <c r="M546" s="31">
        <f>IF(PO[[#This Row],[Spend category L2 - Override]] &lt;&gt; "", PO[[#This Row],[Spend category L2 - Override]], PO[[#This Row],[Spend category L2]])</f>
        <v>0</v>
      </c>
      <c r="N546" s="63">
        <f>Assumptions!$D$15</f>
        <v>0.1</v>
      </c>
      <c r="O546" s="45">
        <f>IF(PO[[#This Row],[GST applies?]] = "Yes", (PO[[#This Row],[Value inc. GST]] / 1 + PO[[#This Row],[GST %]]) * PO[[#This Row],[GST %]], 0)</f>
        <v>0</v>
      </c>
      <c r="P546" s="31">
        <f>_xlfn.XLOOKUP(PO[[#This Row],[Supplier name]], Supplier_master[Supplier name], Supplier_master[EOM or Net], 0)</f>
        <v>0</v>
      </c>
      <c r="Q546" s="31">
        <f>_xlfn.XLOOKUP(PO[[#This Row],[Supplier name]], Supplier_master[Supplier name], Supplier_master[Terms days], 0)</f>
        <v>0</v>
      </c>
      <c r="R5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6" s="4"/>
      <c r="T546" s="46">
        <f>IF(PO[[#This Row],[Payment date - override (dd/mm/yyyy)]] &lt;&gt; "", PO[[#This Row],[Payment date - override (dd/mm/yyyy)]], PO[[#This Row],[Due date (dd/mm/yyyy)]])</f>
        <v>0</v>
      </c>
      <c r="U546" s="46">
        <f t="shared" si="8"/>
        <v>52</v>
      </c>
    </row>
    <row r="547" spans="3:21" x14ac:dyDescent="0.25">
      <c r="C547" s="24"/>
      <c r="D547" s="20"/>
      <c r="E547" s="4"/>
      <c r="F547" s="37"/>
      <c r="G547" s="38"/>
      <c r="H547" s="31">
        <f>_xlfn.XLOOKUP(PO[[#This Row],[Supplier name]], Supplier_master[Supplier name], Supplier_master[Category L1], 0)</f>
        <v>0</v>
      </c>
      <c r="I547" s="31">
        <f>_xlfn.XLOOKUP(PO[[#This Row],[Supplier name]], Supplier_master[Supplier name], Supplier_master[Category L2], 0)</f>
        <v>0</v>
      </c>
      <c r="J547" s="55"/>
      <c r="K547" s="55"/>
      <c r="L547" s="31">
        <f>IF(PO[[#This Row],[Spend category L1 - Override]] &lt;&gt; "", PO[[#This Row],[Spend category L1 - Override]], PO[[#This Row],[Spend category L1]])</f>
        <v>0</v>
      </c>
      <c r="M547" s="31">
        <f>IF(PO[[#This Row],[Spend category L2 - Override]] &lt;&gt; "", PO[[#This Row],[Spend category L2 - Override]], PO[[#This Row],[Spend category L2]])</f>
        <v>0</v>
      </c>
      <c r="N547" s="63">
        <f>Assumptions!$D$15</f>
        <v>0.1</v>
      </c>
      <c r="O547" s="45">
        <f>IF(PO[[#This Row],[GST applies?]] = "Yes", (PO[[#This Row],[Value inc. GST]] / 1 + PO[[#This Row],[GST %]]) * PO[[#This Row],[GST %]], 0)</f>
        <v>0</v>
      </c>
      <c r="P547" s="31">
        <f>_xlfn.XLOOKUP(PO[[#This Row],[Supplier name]], Supplier_master[Supplier name], Supplier_master[EOM or Net], 0)</f>
        <v>0</v>
      </c>
      <c r="Q547" s="31">
        <f>_xlfn.XLOOKUP(PO[[#This Row],[Supplier name]], Supplier_master[Supplier name], Supplier_master[Terms days], 0)</f>
        <v>0</v>
      </c>
      <c r="R5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7" s="4"/>
      <c r="T547" s="46">
        <f>IF(PO[[#This Row],[Payment date - override (dd/mm/yyyy)]] &lt;&gt; "", PO[[#This Row],[Payment date - override (dd/mm/yyyy)]], PO[[#This Row],[Due date (dd/mm/yyyy)]])</f>
        <v>0</v>
      </c>
      <c r="U547" s="46">
        <f t="shared" si="8"/>
        <v>52</v>
      </c>
    </row>
    <row r="548" spans="3:21" x14ac:dyDescent="0.25">
      <c r="C548" s="24"/>
      <c r="D548" s="20"/>
      <c r="E548" s="4"/>
      <c r="F548" s="37"/>
      <c r="G548" s="38"/>
      <c r="H548" s="31">
        <f>_xlfn.XLOOKUP(PO[[#This Row],[Supplier name]], Supplier_master[Supplier name], Supplier_master[Category L1], 0)</f>
        <v>0</v>
      </c>
      <c r="I548" s="31">
        <f>_xlfn.XLOOKUP(PO[[#This Row],[Supplier name]], Supplier_master[Supplier name], Supplier_master[Category L2], 0)</f>
        <v>0</v>
      </c>
      <c r="J548" s="55"/>
      <c r="K548" s="55"/>
      <c r="L548" s="31">
        <f>IF(PO[[#This Row],[Spend category L1 - Override]] &lt;&gt; "", PO[[#This Row],[Spend category L1 - Override]], PO[[#This Row],[Spend category L1]])</f>
        <v>0</v>
      </c>
      <c r="M548" s="31">
        <f>IF(PO[[#This Row],[Spend category L2 - Override]] &lt;&gt; "", PO[[#This Row],[Spend category L2 - Override]], PO[[#This Row],[Spend category L2]])</f>
        <v>0</v>
      </c>
      <c r="N548" s="63">
        <f>Assumptions!$D$15</f>
        <v>0.1</v>
      </c>
      <c r="O548" s="45">
        <f>IF(PO[[#This Row],[GST applies?]] = "Yes", (PO[[#This Row],[Value inc. GST]] / 1 + PO[[#This Row],[GST %]]) * PO[[#This Row],[GST %]], 0)</f>
        <v>0</v>
      </c>
      <c r="P548" s="31">
        <f>_xlfn.XLOOKUP(PO[[#This Row],[Supplier name]], Supplier_master[Supplier name], Supplier_master[EOM or Net], 0)</f>
        <v>0</v>
      </c>
      <c r="Q548" s="31">
        <f>_xlfn.XLOOKUP(PO[[#This Row],[Supplier name]], Supplier_master[Supplier name], Supplier_master[Terms days], 0)</f>
        <v>0</v>
      </c>
      <c r="R5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8" s="4"/>
      <c r="T548" s="46">
        <f>IF(PO[[#This Row],[Payment date - override (dd/mm/yyyy)]] &lt;&gt; "", PO[[#This Row],[Payment date - override (dd/mm/yyyy)]], PO[[#This Row],[Due date (dd/mm/yyyy)]])</f>
        <v>0</v>
      </c>
      <c r="U548" s="46">
        <f t="shared" si="8"/>
        <v>52</v>
      </c>
    </row>
    <row r="549" spans="3:21" x14ac:dyDescent="0.25">
      <c r="C549" s="24"/>
      <c r="D549" s="20"/>
      <c r="E549" s="4"/>
      <c r="F549" s="37"/>
      <c r="G549" s="38"/>
      <c r="H549" s="31">
        <f>_xlfn.XLOOKUP(PO[[#This Row],[Supplier name]], Supplier_master[Supplier name], Supplier_master[Category L1], 0)</f>
        <v>0</v>
      </c>
      <c r="I549" s="31">
        <f>_xlfn.XLOOKUP(PO[[#This Row],[Supplier name]], Supplier_master[Supplier name], Supplier_master[Category L2], 0)</f>
        <v>0</v>
      </c>
      <c r="J549" s="55"/>
      <c r="K549" s="55"/>
      <c r="L549" s="31">
        <f>IF(PO[[#This Row],[Spend category L1 - Override]] &lt;&gt; "", PO[[#This Row],[Spend category L1 - Override]], PO[[#This Row],[Spend category L1]])</f>
        <v>0</v>
      </c>
      <c r="M549" s="31">
        <f>IF(PO[[#This Row],[Spend category L2 - Override]] &lt;&gt; "", PO[[#This Row],[Spend category L2 - Override]], PO[[#This Row],[Spend category L2]])</f>
        <v>0</v>
      </c>
      <c r="N549" s="63">
        <f>Assumptions!$D$15</f>
        <v>0.1</v>
      </c>
      <c r="O549" s="45">
        <f>IF(PO[[#This Row],[GST applies?]] = "Yes", (PO[[#This Row],[Value inc. GST]] / 1 + PO[[#This Row],[GST %]]) * PO[[#This Row],[GST %]], 0)</f>
        <v>0</v>
      </c>
      <c r="P549" s="31">
        <f>_xlfn.XLOOKUP(PO[[#This Row],[Supplier name]], Supplier_master[Supplier name], Supplier_master[EOM or Net], 0)</f>
        <v>0</v>
      </c>
      <c r="Q549" s="31">
        <f>_xlfn.XLOOKUP(PO[[#This Row],[Supplier name]], Supplier_master[Supplier name], Supplier_master[Terms days], 0)</f>
        <v>0</v>
      </c>
      <c r="R5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9" s="4"/>
      <c r="T549" s="46">
        <f>IF(PO[[#This Row],[Payment date - override (dd/mm/yyyy)]] &lt;&gt; "", PO[[#This Row],[Payment date - override (dd/mm/yyyy)]], PO[[#This Row],[Due date (dd/mm/yyyy)]])</f>
        <v>0</v>
      </c>
      <c r="U549" s="46">
        <f t="shared" si="8"/>
        <v>52</v>
      </c>
    </row>
    <row r="550" spans="3:21" x14ac:dyDescent="0.25">
      <c r="C550" s="24"/>
      <c r="D550" s="20"/>
      <c r="E550" s="4"/>
      <c r="F550" s="37"/>
      <c r="G550" s="38"/>
      <c r="H550" s="31">
        <f>_xlfn.XLOOKUP(PO[[#This Row],[Supplier name]], Supplier_master[Supplier name], Supplier_master[Category L1], 0)</f>
        <v>0</v>
      </c>
      <c r="I550" s="31">
        <f>_xlfn.XLOOKUP(PO[[#This Row],[Supplier name]], Supplier_master[Supplier name], Supplier_master[Category L2], 0)</f>
        <v>0</v>
      </c>
      <c r="J550" s="55"/>
      <c r="K550" s="55"/>
      <c r="L550" s="31">
        <f>IF(PO[[#This Row],[Spend category L1 - Override]] &lt;&gt; "", PO[[#This Row],[Spend category L1 - Override]], PO[[#This Row],[Spend category L1]])</f>
        <v>0</v>
      </c>
      <c r="M550" s="31">
        <f>IF(PO[[#This Row],[Spend category L2 - Override]] &lt;&gt; "", PO[[#This Row],[Spend category L2 - Override]], PO[[#This Row],[Spend category L2]])</f>
        <v>0</v>
      </c>
      <c r="N550" s="63">
        <f>Assumptions!$D$15</f>
        <v>0.1</v>
      </c>
      <c r="O550" s="45">
        <f>IF(PO[[#This Row],[GST applies?]] = "Yes", (PO[[#This Row],[Value inc. GST]] / 1 + PO[[#This Row],[GST %]]) * PO[[#This Row],[GST %]], 0)</f>
        <v>0</v>
      </c>
      <c r="P550" s="31">
        <f>_xlfn.XLOOKUP(PO[[#This Row],[Supplier name]], Supplier_master[Supplier name], Supplier_master[EOM or Net], 0)</f>
        <v>0</v>
      </c>
      <c r="Q550" s="31">
        <f>_xlfn.XLOOKUP(PO[[#This Row],[Supplier name]], Supplier_master[Supplier name], Supplier_master[Terms days], 0)</f>
        <v>0</v>
      </c>
      <c r="R5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0" s="4"/>
      <c r="T550" s="46">
        <f>IF(PO[[#This Row],[Payment date - override (dd/mm/yyyy)]] &lt;&gt; "", PO[[#This Row],[Payment date - override (dd/mm/yyyy)]], PO[[#This Row],[Due date (dd/mm/yyyy)]])</f>
        <v>0</v>
      </c>
      <c r="U550" s="46">
        <f t="shared" si="8"/>
        <v>52</v>
      </c>
    </row>
    <row r="551" spans="3:21" x14ac:dyDescent="0.25">
      <c r="C551" s="24"/>
      <c r="D551" s="20"/>
      <c r="E551" s="4"/>
      <c r="F551" s="37"/>
      <c r="G551" s="38"/>
      <c r="H551" s="31">
        <f>_xlfn.XLOOKUP(PO[[#This Row],[Supplier name]], Supplier_master[Supplier name], Supplier_master[Category L1], 0)</f>
        <v>0</v>
      </c>
      <c r="I551" s="31">
        <f>_xlfn.XLOOKUP(PO[[#This Row],[Supplier name]], Supplier_master[Supplier name], Supplier_master[Category L2], 0)</f>
        <v>0</v>
      </c>
      <c r="J551" s="55"/>
      <c r="K551" s="55"/>
      <c r="L551" s="31">
        <f>IF(PO[[#This Row],[Spend category L1 - Override]] &lt;&gt; "", PO[[#This Row],[Spend category L1 - Override]], PO[[#This Row],[Spend category L1]])</f>
        <v>0</v>
      </c>
      <c r="M551" s="31">
        <f>IF(PO[[#This Row],[Spend category L2 - Override]] &lt;&gt; "", PO[[#This Row],[Spend category L2 - Override]], PO[[#This Row],[Spend category L2]])</f>
        <v>0</v>
      </c>
      <c r="N551" s="63">
        <f>Assumptions!$D$15</f>
        <v>0.1</v>
      </c>
      <c r="O551" s="45">
        <f>IF(PO[[#This Row],[GST applies?]] = "Yes", (PO[[#This Row],[Value inc. GST]] / 1 + PO[[#This Row],[GST %]]) * PO[[#This Row],[GST %]], 0)</f>
        <v>0</v>
      </c>
      <c r="P551" s="31">
        <f>_xlfn.XLOOKUP(PO[[#This Row],[Supplier name]], Supplier_master[Supplier name], Supplier_master[EOM or Net], 0)</f>
        <v>0</v>
      </c>
      <c r="Q551" s="31">
        <f>_xlfn.XLOOKUP(PO[[#This Row],[Supplier name]], Supplier_master[Supplier name], Supplier_master[Terms days], 0)</f>
        <v>0</v>
      </c>
      <c r="R5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1" s="4"/>
      <c r="T551" s="46">
        <f>IF(PO[[#This Row],[Payment date - override (dd/mm/yyyy)]] &lt;&gt; "", PO[[#This Row],[Payment date - override (dd/mm/yyyy)]], PO[[#This Row],[Due date (dd/mm/yyyy)]])</f>
        <v>0</v>
      </c>
      <c r="U551" s="46">
        <f t="shared" si="8"/>
        <v>52</v>
      </c>
    </row>
    <row r="552" spans="3:21" x14ac:dyDescent="0.25">
      <c r="C552" s="24"/>
      <c r="D552" s="20"/>
      <c r="E552" s="4"/>
      <c r="F552" s="37"/>
      <c r="G552" s="38"/>
      <c r="H552" s="31">
        <f>_xlfn.XLOOKUP(PO[[#This Row],[Supplier name]], Supplier_master[Supplier name], Supplier_master[Category L1], 0)</f>
        <v>0</v>
      </c>
      <c r="I552" s="31">
        <f>_xlfn.XLOOKUP(PO[[#This Row],[Supplier name]], Supplier_master[Supplier name], Supplier_master[Category L2], 0)</f>
        <v>0</v>
      </c>
      <c r="J552" s="55"/>
      <c r="K552" s="55"/>
      <c r="L552" s="31">
        <f>IF(PO[[#This Row],[Spend category L1 - Override]] &lt;&gt; "", PO[[#This Row],[Spend category L1 - Override]], PO[[#This Row],[Spend category L1]])</f>
        <v>0</v>
      </c>
      <c r="M552" s="31">
        <f>IF(PO[[#This Row],[Spend category L2 - Override]] &lt;&gt; "", PO[[#This Row],[Spend category L2 - Override]], PO[[#This Row],[Spend category L2]])</f>
        <v>0</v>
      </c>
      <c r="N552" s="63">
        <f>Assumptions!$D$15</f>
        <v>0.1</v>
      </c>
      <c r="O552" s="45">
        <f>IF(PO[[#This Row],[GST applies?]] = "Yes", (PO[[#This Row],[Value inc. GST]] / 1 + PO[[#This Row],[GST %]]) * PO[[#This Row],[GST %]], 0)</f>
        <v>0</v>
      </c>
      <c r="P552" s="31">
        <f>_xlfn.XLOOKUP(PO[[#This Row],[Supplier name]], Supplier_master[Supplier name], Supplier_master[EOM or Net], 0)</f>
        <v>0</v>
      </c>
      <c r="Q552" s="31">
        <f>_xlfn.XLOOKUP(PO[[#This Row],[Supplier name]], Supplier_master[Supplier name], Supplier_master[Terms days], 0)</f>
        <v>0</v>
      </c>
      <c r="R5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2" s="4"/>
      <c r="T552" s="46">
        <f>IF(PO[[#This Row],[Payment date - override (dd/mm/yyyy)]] &lt;&gt; "", PO[[#This Row],[Payment date - override (dd/mm/yyyy)]], PO[[#This Row],[Due date (dd/mm/yyyy)]])</f>
        <v>0</v>
      </c>
      <c r="U552" s="46">
        <f t="shared" si="8"/>
        <v>52</v>
      </c>
    </row>
    <row r="553" spans="3:21" x14ac:dyDescent="0.25">
      <c r="C553" s="24"/>
      <c r="D553" s="20"/>
      <c r="E553" s="4"/>
      <c r="F553" s="37"/>
      <c r="G553" s="38"/>
      <c r="H553" s="31">
        <f>_xlfn.XLOOKUP(PO[[#This Row],[Supplier name]], Supplier_master[Supplier name], Supplier_master[Category L1], 0)</f>
        <v>0</v>
      </c>
      <c r="I553" s="31">
        <f>_xlfn.XLOOKUP(PO[[#This Row],[Supplier name]], Supplier_master[Supplier name], Supplier_master[Category L2], 0)</f>
        <v>0</v>
      </c>
      <c r="J553" s="55"/>
      <c r="K553" s="55"/>
      <c r="L553" s="31">
        <f>IF(PO[[#This Row],[Spend category L1 - Override]] &lt;&gt; "", PO[[#This Row],[Spend category L1 - Override]], PO[[#This Row],[Spend category L1]])</f>
        <v>0</v>
      </c>
      <c r="M553" s="31">
        <f>IF(PO[[#This Row],[Spend category L2 - Override]] &lt;&gt; "", PO[[#This Row],[Spend category L2 - Override]], PO[[#This Row],[Spend category L2]])</f>
        <v>0</v>
      </c>
      <c r="N553" s="63">
        <f>Assumptions!$D$15</f>
        <v>0.1</v>
      </c>
      <c r="O553" s="45">
        <f>IF(PO[[#This Row],[GST applies?]] = "Yes", (PO[[#This Row],[Value inc. GST]] / 1 + PO[[#This Row],[GST %]]) * PO[[#This Row],[GST %]], 0)</f>
        <v>0</v>
      </c>
      <c r="P553" s="31">
        <f>_xlfn.XLOOKUP(PO[[#This Row],[Supplier name]], Supplier_master[Supplier name], Supplier_master[EOM or Net], 0)</f>
        <v>0</v>
      </c>
      <c r="Q553" s="31">
        <f>_xlfn.XLOOKUP(PO[[#This Row],[Supplier name]], Supplier_master[Supplier name], Supplier_master[Terms days], 0)</f>
        <v>0</v>
      </c>
      <c r="R5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3" s="4"/>
      <c r="T553" s="46">
        <f>IF(PO[[#This Row],[Payment date - override (dd/mm/yyyy)]] &lt;&gt; "", PO[[#This Row],[Payment date - override (dd/mm/yyyy)]], PO[[#This Row],[Due date (dd/mm/yyyy)]])</f>
        <v>0</v>
      </c>
      <c r="U553" s="46">
        <f t="shared" si="8"/>
        <v>52</v>
      </c>
    </row>
    <row r="554" spans="3:21" x14ac:dyDescent="0.25">
      <c r="C554" s="24"/>
      <c r="D554" s="20"/>
      <c r="E554" s="4"/>
      <c r="F554" s="37"/>
      <c r="G554" s="38"/>
      <c r="H554" s="31">
        <f>_xlfn.XLOOKUP(PO[[#This Row],[Supplier name]], Supplier_master[Supplier name], Supplier_master[Category L1], 0)</f>
        <v>0</v>
      </c>
      <c r="I554" s="31">
        <f>_xlfn.XLOOKUP(PO[[#This Row],[Supplier name]], Supplier_master[Supplier name], Supplier_master[Category L2], 0)</f>
        <v>0</v>
      </c>
      <c r="J554" s="55"/>
      <c r="K554" s="55"/>
      <c r="L554" s="31">
        <f>IF(PO[[#This Row],[Spend category L1 - Override]] &lt;&gt; "", PO[[#This Row],[Spend category L1 - Override]], PO[[#This Row],[Spend category L1]])</f>
        <v>0</v>
      </c>
      <c r="M554" s="31">
        <f>IF(PO[[#This Row],[Spend category L2 - Override]] &lt;&gt; "", PO[[#This Row],[Spend category L2 - Override]], PO[[#This Row],[Spend category L2]])</f>
        <v>0</v>
      </c>
      <c r="N554" s="63">
        <f>Assumptions!$D$15</f>
        <v>0.1</v>
      </c>
      <c r="O554" s="45">
        <f>IF(PO[[#This Row],[GST applies?]] = "Yes", (PO[[#This Row],[Value inc. GST]] / 1 + PO[[#This Row],[GST %]]) * PO[[#This Row],[GST %]], 0)</f>
        <v>0</v>
      </c>
      <c r="P554" s="31">
        <f>_xlfn.XLOOKUP(PO[[#This Row],[Supplier name]], Supplier_master[Supplier name], Supplier_master[EOM or Net], 0)</f>
        <v>0</v>
      </c>
      <c r="Q554" s="31">
        <f>_xlfn.XLOOKUP(PO[[#This Row],[Supplier name]], Supplier_master[Supplier name], Supplier_master[Terms days], 0)</f>
        <v>0</v>
      </c>
      <c r="R5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4" s="4"/>
      <c r="T554" s="46">
        <f>IF(PO[[#This Row],[Payment date - override (dd/mm/yyyy)]] &lt;&gt; "", PO[[#This Row],[Payment date - override (dd/mm/yyyy)]], PO[[#This Row],[Due date (dd/mm/yyyy)]])</f>
        <v>0</v>
      </c>
      <c r="U554" s="46">
        <f t="shared" si="8"/>
        <v>52</v>
      </c>
    </row>
    <row r="555" spans="3:21" x14ac:dyDescent="0.25">
      <c r="C555" s="24"/>
      <c r="D555" s="20"/>
      <c r="E555" s="4"/>
      <c r="F555" s="37"/>
      <c r="G555" s="38"/>
      <c r="H555" s="31">
        <f>_xlfn.XLOOKUP(PO[[#This Row],[Supplier name]], Supplier_master[Supplier name], Supplier_master[Category L1], 0)</f>
        <v>0</v>
      </c>
      <c r="I555" s="31">
        <f>_xlfn.XLOOKUP(PO[[#This Row],[Supplier name]], Supplier_master[Supplier name], Supplier_master[Category L2], 0)</f>
        <v>0</v>
      </c>
      <c r="J555" s="55"/>
      <c r="K555" s="55"/>
      <c r="L555" s="31">
        <f>IF(PO[[#This Row],[Spend category L1 - Override]] &lt;&gt; "", PO[[#This Row],[Spend category L1 - Override]], PO[[#This Row],[Spend category L1]])</f>
        <v>0</v>
      </c>
      <c r="M555" s="31">
        <f>IF(PO[[#This Row],[Spend category L2 - Override]] &lt;&gt; "", PO[[#This Row],[Spend category L2 - Override]], PO[[#This Row],[Spend category L2]])</f>
        <v>0</v>
      </c>
      <c r="N555" s="63">
        <f>Assumptions!$D$15</f>
        <v>0.1</v>
      </c>
      <c r="O555" s="45">
        <f>IF(PO[[#This Row],[GST applies?]] = "Yes", (PO[[#This Row],[Value inc. GST]] / 1 + PO[[#This Row],[GST %]]) * PO[[#This Row],[GST %]], 0)</f>
        <v>0</v>
      </c>
      <c r="P555" s="31">
        <f>_xlfn.XLOOKUP(PO[[#This Row],[Supplier name]], Supplier_master[Supplier name], Supplier_master[EOM or Net], 0)</f>
        <v>0</v>
      </c>
      <c r="Q555" s="31">
        <f>_xlfn.XLOOKUP(PO[[#This Row],[Supplier name]], Supplier_master[Supplier name], Supplier_master[Terms days], 0)</f>
        <v>0</v>
      </c>
      <c r="R5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5" s="4"/>
      <c r="T555" s="46">
        <f>IF(PO[[#This Row],[Payment date - override (dd/mm/yyyy)]] &lt;&gt; "", PO[[#This Row],[Payment date - override (dd/mm/yyyy)]], PO[[#This Row],[Due date (dd/mm/yyyy)]])</f>
        <v>0</v>
      </c>
      <c r="U555" s="46">
        <f t="shared" si="8"/>
        <v>52</v>
      </c>
    </row>
    <row r="556" spans="3:21" x14ac:dyDescent="0.25">
      <c r="C556" s="24"/>
      <c r="D556" s="20"/>
      <c r="E556" s="4"/>
      <c r="F556" s="37"/>
      <c r="G556" s="38"/>
      <c r="H556" s="31">
        <f>_xlfn.XLOOKUP(PO[[#This Row],[Supplier name]], Supplier_master[Supplier name], Supplier_master[Category L1], 0)</f>
        <v>0</v>
      </c>
      <c r="I556" s="31">
        <f>_xlfn.XLOOKUP(PO[[#This Row],[Supplier name]], Supplier_master[Supplier name], Supplier_master[Category L2], 0)</f>
        <v>0</v>
      </c>
      <c r="J556" s="55"/>
      <c r="K556" s="55"/>
      <c r="L556" s="31">
        <f>IF(PO[[#This Row],[Spend category L1 - Override]] &lt;&gt; "", PO[[#This Row],[Spend category L1 - Override]], PO[[#This Row],[Spend category L1]])</f>
        <v>0</v>
      </c>
      <c r="M556" s="31">
        <f>IF(PO[[#This Row],[Spend category L2 - Override]] &lt;&gt; "", PO[[#This Row],[Spend category L2 - Override]], PO[[#This Row],[Spend category L2]])</f>
        <v>0</v>
      </c>
      <c r="N556" s="63">
        <f>Assumptions!$D$15</f>
        <v>0.1</v>
      </c>
      <c r="O556" s="45">
        <f>IF(PO[[#This Row],[GST applies?]] = "Yes", (PO[[#This Row],[Value inc. GST]] / 1 + PO[[#This Row],[GST %]]) * PO[[#This Row],[GST %]], 0)</f>
        <v>0</v>
      </c>
      <c r="P556" s="31">
        <f>_xlfn.XLOOKUP(PO[[#This Row],[Supplier name]], Supplier_master[Supplier name], Supplier_master[EOM or Net], 0)</f>
        <v>0</v>
      </c>
      <c r="Q556" s="31">
        <f>_xlfn.XLOOKUP(PO[[#This Row],[Supplier name]], Supplier_master[Supplier name], Supplier_master[Terms days], 0)</f>
        <v>0</v>
      </c>
      <c r="R5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6" s="4"/>
      <c r="T556" s="46">
        <f>IF(PO[[#This Row],[Payment date - override (dd/mm/yyyy)]] &lt;&gt; "", PO[[#This Row],[Payment date - override (dd/mm/yyyy)]], PO[[#This Row],[Due date (dd/mm/yyyy)]])</f>
        <v>0</v>
      </c>
      <c r="U556" s="46">
        <f t="shared" si="8"/>
        <v>52</v>
      </c>
    </row>
    <row r="557" spans="3:21" x14ac:dyDescent="0.25">
      <c r="C557" s="24"/>
      <c r="D557" s="20"/>
      <c r="E557" s="4"/>
      <c r="F557" s="37"/>
      <c r="G557" s="38"/>
      <c r="H557" s="31">
        <f>_xlfn.XLOOKUP(PO[[#This Row],[Supplier name]], Supplier_master[Supplier name], Supplier_master[Category L1], 0)</f>
        <v>0</v>
      </c>
      <c r="I557" s="31">
        <f>_xlfn.XLOOKUP(PO[[#This Row],[Supplier name]], Supplier_master[Supplier name], Supplier_master[Category L2], 0)</f>
        <v>0</v>
      </c>
      <c r="J557" s="55"/>
      <c r="K557" s="55"/>
      <c r="L557" s="31">
        <f>IF(PO[[#This Row],[Spend category L1 - Override]] &lt;&gt; "", PO[[#This Row],[Spend category L1 - Override]], PO[[#This Row],[Spend category L1]])</f>
        <v>0</v>
      </c>
      <c r="M557" s="31">
        <f>IF(PO[[#This Row],[Spend category L2 - Override]] &lt;&gt; "", PO[[#This Row],[Spend category L2 - Override]], PO[[#This Row],[Spend category L2]])</f>
        <v>0</v>
      </c>
      <c r="N557" s="63">
        <f>Assumptions!$D$15</f>
        <v>0.1</v>
      </c>
      <c r="O557" s="45">
        <f>IF(PO[[#This Row],[GST applies?]] = "Yes", (PO[[#This Row],[Value inc. GST]] / 1 + PO[[#This Row],[GST %]]) * PO[[#This Row],[GST %]], 0)</f>
        <v>0</v>
      </c>
      <c r="P557" s="31">
        <f>_xlfn.XLOOKUP(PO[[#This Row],[Supplier name]], Supplier_master[Supplier name], Supplier_master[EOM or Net], 0)</f>
        <v>0</v>
      </c>
      <c r="Q557" s="31">
        <f>_xlfn.XLOOKUP(PO[[#This Row],[Supplier name]], Supplier_master[Supplier name], Supplier_master[Terms days], 0)</f>
        <v>0</v>
      </c>
      <c r="R5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7" s="4"/>
      <c r="T557" s="46">
        <f>IF(PO[[#This Row],[Payment date - override (dd/mm/yyyy)]] &lt;&gt; "", PO[[#This Row],[Payment date - override (dd/mm/yyyy)]], PO[[#This Row],[Due date (dd/mm/yyyy)]])</f>
        <v>0</v>
      </c>
      <c r="U557" s="46">
        <f t="shared" si="8"/>
        <v>52</v>
      </c>
    </row>
    <row r="558" spans="3:21" x14ac:dyDescent="0.25">
      <c r="C558" s="24"/>
      <c r="D558" s="20"/>
      <c r="E558" s="4"/>
      <c r="F558" s="37"/>
      <c r="G558" s="38"/>
      <c r="H558" s="31">
        <f>_xlfn.XLOOKUP(PO[[#This Row],[Supplier name]], Supplier_master[Supplier name], Supplier_master[Category L1], 0)</f>
        <v>0</v>
      </c>
      <c r="I558" s="31">
        <f>_xlfn.XLOOKUP(PO[[#This Row],[Supplier name]], Supplier_master[Supplier name], Supplier_master[Category L2], 0)</f>
        <v>0</v>
      </c>
      <c r="J558" s="55"/>
      <c r="K558" s="55"/>
      <c r="L558" s="31">
        <f>IF(PO[[#This Row],[Spend category L1 - Override]] &lt;&gt; "", PO[[#This Row],[Spend category L1 - Override]], PO[[#This Row],[Spend category L1]])</f>
        <v>0</v>
      </c>
      <c r="M558" s="31">
        <f>IF(PO[[#This Row],[Spend category L2 - Override]] &lt;&gt; "", PO[[#This Row],[Spend category L2 - Override]], PO[[#This Row],[Spend category L2]])</f>
        <v>0</v>
      </c>
      <c r="N558" s="63">
        <f>Assumptions!$D$15</f>
        <v>0.1</v>
      </c>
      <c r="O558" s="45">
        <f>IF(PO[[#This Row],[GST applies?]] = "Yes", (PO[[#This Row],[Value inc. GST]] / 1 + PO[[#This Row],[GST %]]) * PO[[#This Row],[GST %]], 0)</f>
        <v>0</v>
      </c>
      <c r="P558" s="31">
        <f>_xlfn.XLOOKUP(PO[[#This Row],[Supplier name]], Supplier_master[Supplier name], Supplier_master[EOM or Net], 0)</f>
        <v>0</v>
      </c>
      <c r="Q558" s="31">
        <f>_xlfn.XLOOKUP(PO[[#This Row],[Supplier name]], Supplier_master[Supplier name], Supplier_master[Terms days], 0)</f>
        <v>0</v>
      </c>
      <c r="R5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8" s="4"/>
      <c r="T558" s="46">
        <f>IF(PO[[#This Row],[Payment date - override (dd/mm/yyyy)]] &lt;&gt; "", PO[[#This Row],[Payment date - override (dd/mm/yyyy)]], PO[[#This Row],[Due date (dd/mm/yyyy)]])</f>
        <v>0</v>
      </c>
      <c r="U558" s="46">
        <f t="shared" si="8"/>
        <v>52</v>
      </c>
    </row>
    <row r="559" spans="3:21" x14ac:dyDescent="0.25">
      <c r="C559" s="24"/>
      <c r="D559" s="20"/>
      <c r="E559" s="4"/>
      <c r="F559" s="37"/>
      <c r="G559" s="38"/>
      <c r="H559" s="31">
        <f>_xlfn.XLOOKUP(PO[[#This Row],[Supplier name]], Supplier_master[Supplier name], Supplier_master[Category L1], 0)</f>
        <v>0</v>
      </c>
      <c r="I559" s="31">
        <f>_xlfn.XLOOKUP(PO[[#This Row],[Supplier name]], Supplier_master[Supplier name], Supplier_master[Category L2], 0)</f>
        <v>0</v>
      </c>
      <c r="J559" s="55"/>
      <c r="K559" s="55"/>
      <c r="L559" s="31">
        <f>IF(PO[[#This Row],[Spend category L1 - Override]] &lt;&gt; "", PO[[#This Row],[Spend category L1 - Override]], PO[[#This Row],[Spend category L1]])</f>
        <v>0</v>
      </c>
      <c r="M559" s="31">
        <f>IF(PO[[#This Row],[Spend category L2 - Override]] &lt;&gt; "", PO[[#This Row],[Spend category L2 - Override]], PO[[#This Row],[Spend category L2]])</f>
        <v>0</v>
      </c>
      <c r="N559" s="63">
        <f>Assumptions!$D$15</f>
        <v>0.1</v>
      </c>
      <c r="O559" s="45">
        <f>IF(PO[[#This Row],[GST applies?]] = "Yes", (PO[[#This Row],[Value inc. GST]] / 1 + PO[[#This Row],[GST %]]) * PO[[#This Row],[GST %]], 0)</f>
        <v>0</v>
      </c>
      <c r="P559" s="31">
        <f>_xlfn.XLOOKUP(PO[[#This Row],[Supplier name]], Supplier_master[Supplier name], Supplier_master[EOM or Net], 0)</f>
        <v>0</v>
      </c>
      <c r="Q559" s="31">
        <f>_xlfn.XLOOKUP(PO[[#This Row],[Supplier name]], Supplier_master[Supplier name], Supplier_master[Terms days], 0)</f>
        <v>0</v>
      </c>
      <c r="R5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9" s="4"/>
      <c r="T559" s="46">
        <f>IF(PO[[#This Row],[Payment date - override (dd/mm/yyyy)]] &lt;&gt; "", PO[[#This Row],[Payment date - override (dd/mm/yyyy)]], PO[[#This Row],[Due date (dd/mm/yyyy)]])</f>
        <v>0</v>
      </c>
      <c r="U559" s="46">
        <f t="shared" si="8"/>
        <v>52</v>
      </c>
    </row>
    <row r="560" spans="3:21" x14ac:dyDescent="0.25">
      <c r="C560" s="24"/>
      <c r="D560" s="20"/>
      <c r="E560" s="4"/>
      <c r="F560" s="37"/>
      <c r="G560" s="38"/>
      <c r="H560" s="31">
        <f>_xlfn.XLOOKUP(PO[[#This Row],[Supplier name]], Supplier_master[Supplier name], Supplier_master[Category L1], 0)</f>
        <v>0</v>
      </c>
      <c r="I560" s="31">
        <f>_xlfn.XLOOKUP(PO[[#This Row],[Supplier name]], Supplier_master[Supplier name], Supplier_master[Category L2], 0)</f>
        <v>0</v>
      </c>
      <c r="J560" s="55"/>
      <c r="K560" s="55"/>
      <c r="L560" s="31">
        <f>IF(PO[[#This Row],[Spend category L1 - Override]] &lt;&gt; "", PO[[#This Row],[Spend category L1 - Override]], PO[[#This Row],[Spend category L1]])</f>
        <v>0</v>
      </c>
      <c r="M560" s="31">
        <f>IF(PO[[#This Row],[Spend category L2 - Override]] &lt;&gt; "", PO[[#This Row],[Spend category L2 - Override]], PO[[#This Row],[Spend category L2]])</f>
        <v>0</v>
      </c>
      <c r="N560" s="63">
        <f>Assumptions!$D$15</f>
        <v>0.1</v>
      </c>
      <c r="O560" s="45">
        <f>IF(PO[[#This Row],[GST applies?]] = "Yes", (PO[[#This Row],[Value inc. GST]] / 1 + PO[[#This Row],[GST %]]) * PO[[#This Row],[GST %]], 0)</f>
        <v>0</v>
      </c>
      <c r="P560" s="31">
        <f>_xlfn.XLOOKUP(PO[[#This Row],[Supplier name]], Supplier_master[Supplier name], Supplier_master[EOM or Net], 0)</f>
        <v>0</v>
      </c>
      <c r="Q560" s="31">
        <f>_xlfn.XLOOKUP(PO[[#This Row],[Supplier name]], Supplier_master[Supplier name], Supplier_master[Terms days], 0)</f>
        <v>0</v>
      </c>
      <c r="R5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0" s="4"/>
      <c r="T560" s="46">
        <f>IF(PO[[#This Row],[Payment date - override (dd/mm/yyyy)]] &lt;&gt; "", PO[[#This Row],[Payment date - override (dd/mm/yyyy)]], PO[[#This Row],[Due date (dd/mm/yyyy)]])</f>
        <v>0</v>
      </c>
      <c r="U560" s="46">
        <f t="shared" si="8"/>
        <v>52</v>
      </c>
    </row>
    <row r="561" spans="3:21" x14ac:dyDescent="0.25">
      <c r="C561" s="24"/>
      <c r="D561" s="20"/>
      <c r="E561" s="4"/>
      <c r="F561" s="37"/>
      <c r="G561" s="38"/>
      <c r="H561" s="31">
        <f>_xlfn.XLOOKUP(PO[[#This Row],[Supplier name]], Supplier_master[Supplier name], Supplier_master[Category L1], 0)</f>
        <v>0</v>
      </c>
      <c r="I561" s="31">
        <f>_xlfn.XLOOKUP(PO[[#This Row],[Supplier name]], Supplier_master[Supplier name], Supplier_master[Category L2], 0)</f>
        <v>0</v>
      </c>
      <c r="J561" s="55"/>
      <c r="K561" s="55"/>
      <c r="L561" s="31">
        <f>IF(PO[[#This Row],[Spend category L1 - Override]] &lt;&gt; "", PO[[#This Row],[Spend category L1 - Override]], PO[[#This Row],[Spend category L1]])</f>
        <v>0</v>
      </c>
      <c r="M561" s="31">
        <f>IF(PO[[#This Row],[Spend category L2 - Override]] &lt;&gt; "", PO[[#This Row],[Spend category L2 - Override]], PO[[#This Row],[Spend category L2]])</f>
        <v>0</v>
      </c>
      <c r="N561" s="63">
        <f>Assumptions!$D$15</f>
        <v>0.1</v>
      </c>
      <c r="O561" s="45">
        <f>IF(PO[[#This Row],[GST applies?]] = "Yes", (PO[[#This Row],[Value inc. GST]] / 1 + PO[[#This Row],[GST %]]) * PO[[#This Row],[GST %]], 0)</f>
        <v>0</v>
      </c>
      <c r="P561" s="31">
        <f>_xlfn.XLOOKUP(PO[[#This Row],[Supplier name]], Supplier_master[Supplier name], Supplier_master[EOM or Net], 0)</f>
        <v>0</v>
      </c>
      <c r="Q561" s="31">
        <f>_xlfn.XLOOKUP(PO[[#This Row],[Supplier name]], Supplier_master[Supplier name], Supplier_master[Terms days], 0)</f>
        <v>0</v>
      </c>
      <c r="R5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1" s="4"/>
      <c r="T561" s="46">
        <f>IF(PO[[#This Row],[Payment date - override (dd/mm/yyyy)]] &lt;&gt; "", PO[[#This Row],[Payment date - override (dd/mm/yyyy)]], PO[[#This Row],[Due date (dd/mm/yyyy)]])</f>
        <v>0</v>
      </c>
      <c r="U561" s="46">
        <f t="shared" si="8"/>
        <v>52</v>
      </c>
    </row>
    <row r="562" spans="3:21" x14ac:dyDescent="0.25">
      <c r="C562" s="24"/>
      <c r="D562" s="20"/>
      <c r="E562" s="4"/>
      <c r="F562" s="37"/>
      <c r="G562" s="38"/>
      <c r="H562" s="31">
        <f>_xlfn.XLOOKUP(PO[[#This Row],[Supplier name]], Supplier_master[Supplier name], Supplier_master[Category L1], 0)</f>
        <v>0</v>
      </c>
      <c r="I562" s="31">
        <f>_xlfn.XLOOKUP(PO[[#This Row],[Supplier name]], Supplier_master[Supplier name], Supplier_master[Category L2], 0)</f>
        <v>0</v>
      </c>
      <c r="J562" s="55"/>
      <c r="K562" s="55"/>
      <c r="L562" s="31">
        <f>IF(PO[[#This Row],[Spend category L1 - Override]] &lt;&gt; "", PO[[#This Row],[Spend category L1 - Override]], PO[[#This Row],[Spend category L1]])</f>
        <v>0</v>
      </c>
      <c r="M562" s="31">
        <f>IF(PO[[#This Row],[Spend category L2 - Override]] &lt;&gt; "", PO[[#This Row],[Spend category L2 - Override]], PO[[#This Row],[Spend category L2]])</f>
        <v>0</v>
      </c>
      <c r="N562" s="63">
        <f>Assumptions!$D$15</f>
        <v>0.1</v>
      </c>
      <c r="O562" s="45">
        <f>IF(PO[[#This Row],[GST applies?]] = "Yes", (PO[[#This Row],[Value inc. GST]] / 1 + PO[[#This Row],[GST %]]) * PO[[#This Row],[GST %]], 0)</f>
        <v>0</v>
      </c>
      <c r="P562" s="31">
        <f>_xlfn.XLOOKUP(PO[[#This Row],[Supplier name]], Supplier_master[Supplier name], Supplier_master[EOM or Net], 0)</f>
        <v>0</v>
      </c>
      <c r="Q562" s="31">
        <f>_xlfn.XLOOKUP(PO[[#This Row],[Supplier name]], Supplier_master[Supplier name], Supplier_master[Terms days], 0)</f>
        <v>0</v>
      </c>
      <c r="R5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2" s="4"/>
      <c r="T562" s="46">
        <f>IF(PO[[#This Row],[Payment date - override (dd/mm/yyyy)]] &lt;&gt; "", PO[[#This Row],[Payment date - override (dd/mm/yyyy)]], PO[[#This Row],[Due date (dd/mm/yyyy)]])</f>
        <v>0</v>
      </c>
      <c r="U562" s="46">
        <f t="shared" si="8"/>
        <v>52</v>
      </c>
    </row>
    <row r="563" spans="3:21" x14ac:dyDescent="0.25">
      <c r="C563" s="24"/>
      <c r="D563" s="20"/>
      <c r="E563" s="4"/>
      <c r="F563" s="37"/>
      <c r="G563" s="38"/>
      <c r="H563" s="31">
        <f>_xlfn.XLOOKUP(PO[[#This Row],[Supplier name]], Supplier_master[Supplier name], Supplier_master[Category L1], 0)</f>
        <v>0</v>
      </c>
      <c r="I563" s="31">
        <f>_xlfn.XLOOKUP(PO[[#This Row],[Supplier name]], Supplier_master[Supplier name], Supplier_master[Category L2], 0)</f>
        <v>0</v>
      </c>
      <c r="J563" s="55"/>
      <c r="K563" s="55"/>
      <c r="L563" s="31">
        <f>IF(PO[[#This Row],[Spend category L1 - Override]] &lt;&gt; "", PO[[#This Row],[Spend category L1 - Override]], PO[[#This Row],[Spend category L1]])</f>
        <v>0</v>
      </c>
      <c r="M563" s="31">
        <f>IF(PO[[#This Row],[Spend category L2 - Override]] &lt;&gt; "", PO[[#This Row],[Spend category L2 - Override]], PO[[#This Row],[Spend category L2]])</f>
        <v>0</v>
      </c>
      <c r="N563" s="63">
        <f>Assumptions!$D$15</f>
        <v>0.1</v>
      </c>
      <c r="O563" s="45">
        <f>IF(PO[[#This Row],[GST applies?]] = "Yes", (PO[[#This Row],[Value inc. GST]] / 1 + PO[[#This Row],[GST %]]) * PO[[#This Row],[GST %]], 0)</f>
        <v>0</v>
      </c>
      <c r="P563" s="31">
        <f>_xlfn.XLOOKUP(PO[[#This Row],[Supplier name]], Supplier_master[Supplier name], Supplier_master[EOM or Net], 0)</f>
        <v>0</v>
      </c>
      <c r="Q563" s="31">
        <f>_xlfn.XLOOKUP(PO[[#This Row],[Supplier name]], Supplier_master[Supplier name], Supplier_master[Terms days], 0)</f>
        <v>0</v>
      </c>
      <c r="R5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3" s="4"/>
      <c r="T563" s="46">
        <f>IF(PO[[#This Row],[Payment date - override (dd/mm/yyyy)]] &lt;&gt; "", PO[[#This Row],[Payment date - override (dd/mm/yyyy)]], PO[[#This Row],[Due date (dd/mm/yyyy)]])</f>
        <v>0</v>
      </c>
      <c r="U563" s="46">
        <f t="shared" si="8"/>
        <v>52</v>
      </c>
    </row>
    <row r="564" spans="3:21" x14ac:dyDescent="0.25">
      <c r="C564" s="24"/>
      <c r="D564" s="20"/>
      <c r="E564" s="4"/>
      <c r="F564" s="37"/>
      <c r="G564" s="38"/>
      <c r="H564" s="31">
        <f>_xlfn.XLOOKUP(PO[[#This Row],[Supplier name]], Supplier_master[Supplier name], Supplier_master[Category L1], 0)</f>
        <v>0</v>
      </c>
      <c r="I564" s="31">
        <f>_xlfn.XLOOKUP(PO[[#This Row],[Supplier name]], Supplier_master[Supplier name], Supplier_master[Category L2], 0)</f>
        <v>0</v>
      </c>
      <c r="J564" s="55"/>
      <c r="K564" s="55"/>
      <c r="L564" s="31">
        <f>IF(PO[[#This Row],[Spend category L1 - Override]] &lt;&gt; "", PO[[#This Row],[Spend category L1 - Override]], PO[[#This Row],[Spend category L1]])</f>
        <v>0</v>
      </c>
      <c r="M564" s="31">
        <f>IF(PO[[#This Row],[Spend category L2 - Override]] &lt;&gt; "", PO[[#This Row],[Spend category L2 - Override]], PO[[#This Row],[Spend category L2]])</f>
        <v>0</v>
      </c>
      <c r="N564" s="63">
        <f>Assumptions!$D$15</f>
        <v>0.1</v>
      </c>
      <c r="O564" s="45">
        <f>IF(PO[[#This Row],[GST applies?]] = "Yes", (PO[[#This Row],[Value inc. GST]] / 1 + PO[[#This Row],[GST %]]) * PO[[#This Row],[GST %]], 0)</f>
        <v>0</v>
      </c>
      <c r="P564" s="31">
        <f>_xlfn.XLOOKUP(PO[[#This Row],[Supplier name]], Supplier_master[Supplier name], Supplier_master[EOM or Net], 0)</f>
        <v>0</v>
      </c>
      <c r="Q564" s="31">
        <f>_xlfn.XLOOKUP(PO[[#This Row],[Supplier name]], Supplier_master[Supplier name], Supplier_master[Terms days], 0)</f>
        <v>0</v>
      </c>
      <c r="R5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4" s="4"/>
      <c r="T564" s="46">
        <f>IF(PO[[#This Row],[Payment date - override (dd/mm/yyyy)]] &lt;&gt; "", PO[[#This Row],[Payment date - override (dd/mm/yyyy)]], PO[[#This Row],[Due date (dd/mm/yyyy)]])</f>
        <v>0</v>
      </c>
      <c r="U564" s="46">
        <f t="shared" si="8"/>
        <v>52</v>
      </c>
    </row>
    <row r="565" spans="3:21" x14ac:dyDescent="0.25">
      <c r="C565" s="24"/>
      <c r="D565" s="20"/>
      <c r="E565" s="4"/>
      <c r="F565" s="37"/>
      <c r="G565" s="38"/>
      <c r="H565" s="31">
        <f>_xlfn.XLOOKUP(PO[[#This Row],[Supplier name]], Supplier_master[Supplier name], Supplier_master[Category L1], 0)</f>
        <v>0</v>
      </c>
      <c r="I565" s="31">
        <f>_xlfn.XLOOKUP(PO[[#This Row],[Supplier name]], Supplier_master[Supplier name], Supplier_master[Category L2], 0)</f>
        <v>0</v>
      </c>
      <c r="J565" s="55"/>
      <c r="K565" s="55"/>
      <c r="L565" s="31">
        <f>IF(PO[[#This Row],[Spend category L1 - Override]] &lt;&gt; "", PO[[#This Row],[Spend category L1 - Override]], PO[[#This Row],[Spend category L1]])</f>
        <v>0</v>
      </c>
      <c r="M565" s="31">
        <f>IF(PO[[#This Row],[Spend category L2 - Override]] &lt;&gt; "", PO[[#This Row],[Spend category L2 - Override]], PO[[#This Row],[Spend category L2]])</f>
        <v>0</v>
      </c>
      <c r="N565" s="63">
        <f>Assumptions!$D$15</f>
        <v>0.1</v>
      </c>
      <c r="O565" s="45">
        <f>IF(PO[[#This Row],[GST applies?]] = "Yes", (PO[[#This Row],[Value inc. GST]] / 1 + PO[[#This Row],[GST %]]) * PO[[#This Row],[GST %]], 0)</f>
        <v>0</v>
      </c>
      <c r="P565" s="31">
        <f>_xlfn.XLOOKUP(PO[[#This Row],[Supplier name]], Supplier_master[Supplier name], Supplier_master[EOM or Net], 0)</f>
        <v>0</v>
      </c>
      <c r="Q565" s="31">
        <f>_xlfn.XLOOKUP(PO[[#This Row],[Supplier name]], Supplier_master[Supplier name], Supplier_master[Terms days], 0)</f>
        <v>0</v>
      </c>
      <c r="R5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5" s="4"/>
      <c r="T565" s="46">
        <f>IF(PO[[#This Row],[Payment date - override (dd/mm/yyyy)]] &lt;&gt; "", PO[[#This Row],[Payment date - override (dd/mm/yyyy)]], PO[[#This Row],[Due date (dd/mm/yyyy)]])</f>
        <v>0</v>
      </c>
      <c r="U565" s="46">
        <f t="shared" si="8"/>
        <v>52</v>
      </c>
    </row>
    <row r="566" spans="3:21" x14ac:dyDescent="0.25">
      <c r="C566" s="24"/>
      <c r="D566" s="20"/>
      <c r="E566" s="4"/>
      <c r="F566" s="37"/>
      <c r="G566" s="38"/>
      <c r="H566" s="31">
        <f>_xlfn.XLOOKUP(PO[[#This Row],[Supplier name]], Supplier_master[Supplier name], Supplier_master[Category L1], 0)</f>
        <v>0</v>
      </c>
      <c r="I566" s="31">
        <f>_xlfn.XLOOKUP(PO[[#This Row],[Supplier name]], Supplier_master[Supplier name], Supplier_master[Category L2], 0)</f>
        <v>0</v>
      </c>
      <c r="J566" s="55"/>
      <c r="K566" s="55"/>
      <c r="L566" s="31">
        <f>IF(PO[[#This Row],[Spend category L1 - Override]] &lt;&gt; "", PO[[#This Row],[Spend category L1 - Override]], PO[[#This Row],[Spend category L1]])</f>
        <v>0</v>
      </c>
      <c r="M566" s="31">
        <f>IF(PO[[#This Row],[Spend category L2 - Override]] &lt;&gt; "", PO[[#This Row],[Spend category L2 - Override]], PO[[#This Row],[Spend category L2]])</f>
        <v>0</v>
      </c>
      <c r="N566" s="63">
        <f>Assumptions!$D$15</f>
        <v>0.1</v>
      </c>
      <c r="O566" s="45">
        <f>IF(PO[[#This Row],[GST applies?]] = "Yes", (PO[[#This Row],[Value inc. GST]] / 1 + PO[[#This Row],[GST %]]) * PO[[#This Row],[GST %]], 0)</f>
        <v>0</v>
      </c>
      <c r="P566" s="31">
        <f>_xlfn.XLOOKUP(PO[[#This Row],[Supplier name]], Supplier_master[Supplier name], Supplier_master[EOM or Net], 0)</f>
        <v>0</v>
      </c>
      <c r="Q566" s="31">
        <f>_xlfn.XLOOKUP(PO[[#This Row],[Supplier name]], Supplier_master[Supplier name], Supplier_master[Terms days], 0)</f>
        <v>0</v>
      </c>
      <c r="R5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6" s="4"/>
      <c r="T566" s="46">
        <f>IF(PO[[#This Row],[Payment date - override (dd/mm/yyyy)]] &lt;&gt; "", PO[[#This Row],[Payment date - override (dd/mm/yyyy)]], PO[[#This Row],[Due date (dd/mm/yyyy)]])</f>
        <v>0</v>
      </c>
      <c r="U566" s="46">
        <f t="shared" si="8"/>
        <v>52</v>
      </c>
    </row>
    <row r="567" spans="3:21" x14ac:dyDescent="0.25">
      <c r="C567" s="24"/>
      <c r="D567" s="20"/>
      <c r="E567" s="4"/>
      <c r="F567" s="37"/>
      <c r="G567" s="38"/>
      <c r="H567" s="31">
        <f>_xlfn.XLOOKUP(PO[[#This Row],[Supplier name]], Supplier_master[Supplier name], Supplier_master[Category L1], 0)</f>
        <v>0</v>
      </c>
      <c r="I567" s="31">
        <f>_xlfn.XLOOKUP(PO[[#This Row],[Supplier name]], Supplier_master[Supplier name], Supplier_master[Category L2], 0)</f>
        <v>0</v>
      </c>
      <c r="J567" s="55"/>
      <c r="K567" s="55"/>
      <c r="L567" s="31">
        <f>IF(PO[[#This Row],[Spend category L1 - Override]] &lt;&gt; "", PO[[#This Row],[Spend category L1 - Override]], PO[[#This Row],[Spend category L1]])</f>
        <v>0</v>
      </c>
      <c r="M567" s="31">
        <f>IF(PO[[#This Row],[Spend category L2 - Override]] &lt;&gt; "", PO[[#This Row],[Spend category L2 - Override]], PO[[#This Row],[Spend category L2]])</f>
        <v>0</v>
      </c>
      <c r="N567" s="63">
        <f>Assumptions!$D$15</f>
        <v>0.1</v>
      </c>
      <c r="O567" s="45">
        <f>IF(PO[[#This Row],[GST applies?]] = "Yes", (PO[[#This Row],[Value inc. GST]] / 1 + PO[[#This Row],[GST %]]) * PO[[#This Row],[GST %]], 0)</f>
        <v>0</v>
      </c>
      <c r="P567" s="31">
        <f>_xlfn.XLOOKUP(PO[[#This Row],[Supplier name]], Supplier_master[Supplier name], Supplier_master[EOM or Net], 0)</f>
        <v>0</v>
      </c>
      <c r="Q567" s="31">
        <f>_xlfn.XLOOKUP(PO[[#This Row],[Supplier name]], Supplier_master[Supplier name], Supplier_master[Terms days], 0)</f>
        <v>0</v>
      </c>
      <c r="R5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7" s="4"/>
      <c r="T567" s="46">
        <f>IF(PO[[#This Row],[Payment date - override (dd/mm/yyyy)]] &lt;&gt; "", PO[[#This Row],[Payment date - override (dd/mm/yyyy)]], PO[[#This Row],[Due date (dd/mm/yyyy)]])</f>
        <v>0</v>
      </c>
      <c r="U567" s="46">
        <f t="shared" si="8"/>
        <v>52</v>
      </c>
    </row>
    <row r="568" spans="3:21" x14ac:dyDescent="0.25">
      <c r="C568" s="24"/>
      <c r="D568" s="20"/>
      <c r="E568" s="4"/>
      <c r="F568" s="37"/>
      <c r="G568" s="38"/>
      <c r="H568" s="31">
        <f>_xlfn.XLOOKUP(PO[[#This Row],[Supplier name]], Supplier_master[Supplier name], Supplier_master[Category L1], 0)</f>
        <v>0</v>
      </c>
      <c r="I568" s="31">
        <f>_xlfn.XLOOKUP(PO[[#This Row],[Supplier name]], Supplier_master[Supplier name], Supplier_master[Category L2], 0)</f>
        <v>0</v>
      </c>
      <c r="J568" s="55"/>
      <c r="K568" s="55"/>
      <c r="L568" s="31">
        <f>IF(PO[[#This Row],[Spend category L1 - Override]] &lt;&gt; "", PO[[#This Row],[Spend category L1 - Override]], PO[[#This Row],[Spend category L1]])</f>
        <v>0</v>
      </c>
      <c r="M568" s="31">
        <f>IF(PO[[#This Row],[Spend category L2 - Override]] &lt;&gt; "", PO[[#This Row],[Spend category L2 - Override]], PO[[#This Row],[Spend category L2]])</f>
        <v>0</v>
      </c>
      <c r="N568" s="63">
        <f>Assumptions!$D$15</f>
        <v>0.1</v>
      </c>
      <c r="O568" s="45">
        <f>IF(PO[[#This Row],[GST applies?]] = "Yes", (PO[[#This Row],[Value inc. GST]] / 1 + PO[[#This Row],[GST %]]) * PO[[#This Row],[GST %]], 0)</f>
        <v>0</v>
      </c>
      <c r="P568" s="31">
        <f>_xlfn.XLOOKUP(PO[[#This Row],[Supplier name]], Supplier_master[Supplier name], Supplier_master[EOM or Net], 0)</f>
        <v>0</v>
      </c>
      <c r="Q568" s="31">
        <f>_xlfn.XLOOKUP(PO[[#This Row],[Supplier name]], Supplier_master[Supplier name], Supplier_master[Terms days], 0)</f>
        <v>0</v>
      </c>
      <c r="R5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8" s="4"/>
      <c r="T568" s="46">
        <f>IF(PO[[#This Row],[Payment date - override (dd/mm/yyyy)]] &lt;&gt; "", PO[[#This Row],[Payment date - override (dd/mm/yyyy)]], PO[[#This Row],[Due date (dd/mm/yyyy)]])</f>
        <v>0</v>
      </c>
      <c r="U568" s="46">
        <f t="shared" si="8"/>
        <v>52</v>
      </c>
    </row>
    <row r="569" spans="3:21" x14ac:dyDescent="0.25">
      <c r="C569" s="24"/>
      <c r="D569" s="20"/>
      <c r="E569" s="4"/>
      <c r="F569" s="37"/>
      <c r="G569" s="38"/>
      <c r="H569" s="31">
        <f>_xlfn.XLOOKUP(PO[[#This Row],[Supplier name]], Supplier_master[Supplier name], Supplier_master[Category L1], 0)</f>
        <v>0</v>
      </c>
      <c r="I569" s="31">
        <f>_xlfn.XLOOKUP(PO[[#This Row],[Supplier name]], Supplier_master[Supplier name], Supplier_master[Category L2], 0)</f>
        <v>0</v>
      </c>
      <c r="J569" s="55"/>
      <c r="K569" s="55"/>
      <c r="L569" s="31">
        <f>IF(PO[[#This Row],[Spend category L1 - Override]] &lt;&gt; "", PO[[#This Row],[Spend category L1 - Override]], PO[[#This Row],[Spend category L1]])</f>
        <v>0</v>
      </c>
      <c r="M569" s="31">
        <f>IF(PO[[#This Row],[Spend category L2 - Override]] &lt;&gt; "", PO[[#This Row],[Spend category L2 - Override]], PO[[#This Row],[Spend category L2]])</f>
        <v>0</v>
      </c>
      <c r="N569" s="63">
        <f>Assumptions!$D$15</f>
        <v>0.1</v>
      </c>
      <c r="O569" s="45">
        <f>IF(PO[[#This Row],[GST applies?]] = "Yes", (PO[[#This Row],[Value inc. GST]] / 1 + PO[[#This Row],[GST %]]) * PO[[#This Row],[GST %]], 0)</f>
        <v>0</v>
      </c>
      <c r="P569" s="31">
        <f>_xlfn.XLOOKUP(PO[[#This Row],[Supplier name]], Supplier_master[Supplier name], Supplier_master[EOM or Net], 0)</f>
        <v>0</v>
      </c>
      <c r="Q569" s="31">
        <f>_xlfn.XLOOKUP(PO[[#This Row],[Supplier name]], Supplier_master[Supplier name], Supplier_master[Terms days], 0)</f>
        <v>0</v>
      </c>
      <c r="R5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9" s="4"/>
      <c r="T569" s="46">
        <f>IF(PO[[#This Row],[Payment date - override (dd/mm/yyyy)]] &lt;&gt; "", PO[[#This Row],[Payment date - override (dd/mm/yyyy)]], PO[[#This Row],[Due date (dd/mm/yyyy)]])</f>
        <v>0</v>
      </c>
      <c r="U569" s="46">
        <f t="shared" si="8"/>
        <v>52</v>
      </c>
    </row>
    <row r="570" spans="3:21" x14ac:dyDescent="0.25">
      <c r="C570" s="24"/>
      <c r="D570" s="20"/>
      <c r="E570" s="4"/>
      <c r="F570" s="37"/>
      <c r="G570" s="38"/>
      <c r="H570" s="31">
        <f>_xlfn.XLOOKUP(PO[[#This Row],[Supplier name]], Supplier_master[Supplier name], Supplier_master[Category L1], 0)</f>
        <v>0</v>
      </c>
      <c r="I570" s="31">
        <f>_xlfn.XLOOKUP(PO[[#This Row],[Supplier name]], Supplier_master[Supplier name], Supplier_master[Category L2], 0)</f>
        <v>0</v>
      </c>
      <c r="J570" s="55"/>
      <c r="K570" s="55"/>
      <c r="L570" s="31">
        <f>IF(PO[[#This Row],[Spend category L1 - Override]] &lt;&gt; "", PO[[#This Row],[Spend category L1 - Override]], PO[[#This Row],[Spend category L1]])</f>
        <v>0</v>
      </c>
      <c r="M570" s="31">
        <f>IF(PO[[#This Row],[Spend category L2 - Override]] &lt;&gt; "", PO[[#This Row],[Spend category L2 - Override]], PO[[#This Row],[Spend category L2]])</f>
        <v>0</v>
      </c>
      <c r="N570" s="63">
        <f>Assumptions!$D$15</f>
        <v>0.1</v>
      </c>
      <c r="O570" s="45">
        <f>IF(PO[[#This Row],[GST applies?]] = "Yes", (PO[[#This Row],[Value inc. GST]] / 1 + PO[[#This Row],[GST %]]) * PO[[#This Row],[GST %]], 0)</f>
        <v>0</v>
      </c>
      <c r="P570" s="31">
        <f>_xlfn.XLOOKUP(PO[[#This Row],[Supplier name]], Supplier_master[Supplier name], Supplier_master[EOM or Net], 0)</f>
        <v>0</v>
      </c>
      <c r="Q570" s="31">
        <f>_xlfn.XLOOKUP(PO[[#This Row],[Supplier name]], Supplier_master[Supplier name], Supplier_master[Terms days], 0)</f>
        <v>0</v>
      </c>
      <c r="R5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0" s="4"/>
      <c r="T570" s="46">
        <f>IF(PO[[#This Row],[Payment date - override (dd/mm/yyyy)]] &lt;&gt; "", PO[[#This Row],[Payment date - override (dd/mm/yyyy)]], PO[[#This Row],[Due date (dd/mm/yyyy)]])</f>
        <v>0</v>
      </c>
      <c r="U570" s="46">
        <f t="shared" si="8"/>
        <v>52</v>
      </c>
    </row>
    <row r="571" spans="3:21" x14ac:dyDescent="0.25">
      <c r="C571" s="24"/>
      <c r="D571" s="20"/>
      <c r="E571" s="4"/>
      <c r="F571" s="37"/>
      <c r="G571" s="38"/>
      <c r="H571" s="31">
        <f>_xlfn.XLOOKUP(PO[[#This Row],[Supplier name]], Supplier_master[Supplier name], Supplier_master[Category L1], 0)</f>
        <v>0</v>
      </c>
      <c r="I571" s="31">
        <f>_xlfn.XLOOKUP(PO[[#This Row],[Supplier name]], Supplier_master[Supplier name], Supplier_master[Category L2], 0)</f>
        <v>0</v>
      </c>
      <c r="J571" s="55"/>
      <c r="K571" s="55"/>
      <c r="L571" s="31">
        <f>IF(PO[[#This Row],[Spend category L1 - Override]] &lt;&gt; "", PO[[#This Row],[Spend category L1 - Override]], PO[[#This Row],[Spend category L1]])</f>
        <v>0</v>
      </c>
      <c r="M571" s="31">
        <f>IF(PO[[#This Row],[Spend category L2 - Override]] &lt;&gt; "", PO[[#This Row],[Spend category L2 - Override]], PO[[#This Row],[Spend category L2]])</f>
        <v>0</v>
      </c>
      <c r="N571" s="63">
        <f>Assumptions!$D$15</f>
        <v>0.1</v>
      </c>
      <c r="O571" s="45">
        <f>IF(PO[[#This Row],[GST applies?]] = "Yes", (PO[[#This Row],[Value inc. GST]] / 1 + PO[[#This Row],[GST %]]) * PO[[#This Row],[GST %]], 0)</f>
        <v>0</v>
      </c>
      <c r="P571" s="31">
        <f>_xlfn.XLOOKUP(PO[[#This Row],[Supplier name]], Supplier_master[Supplier name], Supplier_master[EOM or Net], 0)</f>
        <v>0</v>
      </c>
      <c r="Q571" s="31">
        <f>_xlfn.XLOOKUP(PO[[#This Row],[Supplier name]], Supplier_master[Supplier name], Supplier_master[Terms days], 0)</f>
        <v>0</v>
      </c>
      <c r="R5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1" s="4"/>
      <c r="T571" s="46">
        <f>IF(PO[[#This Row],[Payment date - override (dd/mm/yyyy)]] &lt;&gt; "", PO[[#This Row],[Payment date - override (dd/mm/yyyy)]], PO[[#This Row],[Due date (dd/mm/yyyy)]])</f>
        <v>0</v>
      </c>
      <c r="U571" s="46">
        <f t="shared" si="8"/>
        <v>52</v>
      </c>
    </row>
    <row r="572" spans="3:21" x14ac:dyDescent="0.25">
      <c r="C572" s="24"/>
      <c r="D572" s="20"/>
      <c r="E572" s="4"/>
      <c r="F572" s="37"/>
      <c r="G572" s="38"/>
      <c r="H572" s="31">
        <f>_xlfn.XLOOKUP(PO[[#This Row],[Supplier name]], Supplier_master[Supplier name], Supplier_master[Category L1], 0)</f>
        <v>0</v>
      </c>
      <c r="I572" s="31">
        <f>_xlfn.XLOOKUP(PO[[#This Row],[Supplier name]], Supplier_master[Supplier name], Supplier_master[Category L2], 0)</f>
        <v>0</v>
      </c>
      <c r="J572" s="55"/>
      <c r="K572" s="55"/>
      <c r="L572" s="31">
        <f>IF(PO[[#This Row],[Spend category L1 - Override]] &lt;&gt; "", PO[[#This Row],[Spend category L1 - Override]], PO[[#This Row],[Spend category L1]])</f>
        <v>0</v>
      </c>
      <c r="M572" s="31">
        <f>IF(PO[[#This Row],[Spend category L2 - Override]] &lt;&gt; "", PO[[#This Row],[Spend category L2 - Override]], PO[[#This Row],[Spend category L2]])</f>
        <v>0</v>
      </c>
      <c r="N572" s="63">
        <f>Assumptions!$D$15</f>
        <v>0.1</v>
      </c>
      <c r="O572" s="45">
        <f>IF(PO[[#This Row],[GST applies?]] = "Yes", (PO[[#This Row],[Value inc. GST]] / 1 + PO[[#This Row],[GST %]]) * PO[[#This Row],[GST %]], 0)</f>
        <v>0</v>
      </c>
      <c r="P572" s="31">
        <f>_xlfn.XLOOKUP(PO[[#This Row],[Supplier name]], Supplier_master[Supplier name], Supplier_master[EOM or Net], 0)</f>
        <v>0</v>
      </c>
      <c r="Q572" s="31">
        <f>_xlfn.XLOOKUP(PO[[#This Row],[Supplier name]], Supplier_master[Supplier name], Supplier_master[Terms days], 0)</f>
        <v>0</v>
      </c>
      <c r="R5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2" s="4"/>
      <c r="T572" s="46">
        <f>IF(PO[[#This Row],[Payment date - override (dd/mm/yyyy)]] &lt;&gt; "", PO[[#This Row],[Payment date - override (dd/mm/yyyy)]], PO[[#This Row],[Due date (dd/mm/yyyy)]])</f>
        <v>0</v>
      </c>
      <c r="U572" s="46">
        <f t="shared" si="8"/>
        <v>52</v>
      </c>
    </row>
    <row r="573" spans="3:21" x14ac:dyDescent="0.25">
      <c r="C573" s="24"/>
      <c r="D573" s="20"/>
      <c r="E573" s="4"/>
      <c r="F573" s="37"/>
      <c r="G573" s="38"/>
      <c r="H573" s="31">
        <f>_xlfn.XLOOKUP(PO[[#This Row],[Supplier name]], Supplier_master[Supplier name], Supplier_master[Category L1], 0)</f>
        <v>0</v>
      </c>
      <c r="I573" s="31">
        <f>_xlfn.XLOOKUP(PO[[#This Row],[Supplier name]], Supplier_master[Supplier name], Supplier_master[Category L2], 0)</f>
        <v>0</v>
      </c>
      <c r="J573" s="55"/>
      <c r="K573" s="55"/>
      <c r="L573" s="31">
        <f>IF(PO[[#This Row],[Spend category L1 - Override]] &lt;&gt; "", PO[[#This Row],[Spend category L1 - Override]], PO[[#This Row],[Spend category L1]])</f>
        <v>0</v>
      </c>
      <c r="M573" s="31">
        <f>IF(PO[[#This Row],[Spend category L2 - Override]] &lt;&gt; "", PO[[#This Row],[Spend category L2 - Override]], PO[[#This Row],[Spend category L2]])</f>
        <v>0</v>
      </c>
      <c r="N573" s="63">
        <f>Assumptions!$D$15</f>
        <v>0.1</v>
      </c>
      <c r="O573" s="45">
        <f>IF(PO[[#This Row],[GST applies?]] = "Yes", (PO[[#This Row],[Value inc. GST]] / 1 + PO[[#This Row],[GST %]]) * PO[[#This Row],[GST %]], 0)</f>
        <v>0</v>
      </c>
      <c r="P573" s="31">
        <f>_xlfn.XLOOKUP(PO[[#This Row],[Supplier name]], Supplier_master[Supplier name], Supplier_master[EOM or Net], 0)</f>
        <v>0</v>
      </c>
      <c r="Q573" s="31">
        <f>_xlfn.XLOOKUP(PO[[#This Row],[Supplier name]], Supplier_master[Supplier name], Supplier_master[Terms days], 0)</f>
        <v>0</v>
      </c>
      <c r="R5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3" s="4"/>
      <c r="T573" s="46">
        <f>IF(PO[[#This Row],[Payment date - override (dd/mm/yyyy)]] &lt;&gt; "", PO[[#This Row],[Payment date - override (dd/mm/yyyy)]], PO[[#This Row],[Due date (dd/mm/yyyy)]])</f>
        <v>0</v>
      </c>
      <c r="U573" s="46">
        <f t="shared" si="8"/>
        <v>52</v>
      </c>
    </row>
    <row r="574" spans="3:21" x14ac:dyDescent="0.25">
      <c r="C574" s="24"/>
      <c r="D574" s="20"/>
      <c r="E574" s="4"/>
      <c r="F574" s="37"/>
      <c r="G574" s="38"/>
      <c r="H574" s="31">
        <f>_xlfn.XLOOKUP(PO[[#This Row],[Supplier name]], Supplier_master[Supplier name], Supplier_master[Category L1], 0)</f>
        <v>0</v>
      </c>
      <c r="I574" s="31">
        <f>_xlfn.XLOOKUP(PO[[#This Row],[Supplier name]], Supplier_master[Supplier name], Supplier_master[Category L2], 0)</f>
        <v>0</v>
      </c>
      <c r="J574" s="55"/>
      <c r="K574" s="55"/>
      <c r="L574" s="31">
        <f>IF(PO[[#This Row],[Spend category L1 - Override]] &lt;&gt; "", PO[[#This Row],[Spend category L1 - Override]], PO[[#This Row],[Spend category L1]])</f>
        <v>0</v>
      </c>
      <c r="M574" s="31">
        <f>IF(PO[[#This Row],[Spend category L2 - Override]] &lt;&gt; "", PO[[#This Row],[Spend category L2 - Override]], PO[[#This Row],[Spend category L2]])</f>
        <v>0</v>
      </c>
      <c r="N574" s="63">
        <f>Assumptions!$D$15</f>
        <v>0.1</v>
      </c>
      <c r="O574" s="45">
        <f>IF(PO[[#This Row],[GST applies?]] = "Yes", (PO[[#This Row],[Value inc. GST]] / 1 + PO[[#This Row],[GST %]]) * PO[[#This Row],[GST %]], 0)</f>
        <v>0</v>
      </c>
      <c r="P574" s="31">
        <f>_xlfn.XLOOKUP(PO[[#This Row],[Supplier name]], Supplier_master[Supplier name], Supplier_master[EOM or Net], 0)</f>
        <v>0</v>
      </c>
      <c r="Q574" s="31">
        <f>_xlfn.XLOOKUP(PO[[#This Row],[Supplier name]], Supplier_master[Supplier name], Supplier_master[Terms days], 0)</f>
        <v>0</v>
      </c>
      <c r="R5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4" s="4"/>
      <c r="T574" s="46">
        <f>IF(PO[[#This Row],[Payment date - override (dd/mm/yyyy)]] &lt;&gt; "", PO[[#This Row],[Payment date - override (dd/mm/yyyy)]], PO[[#This Row],[Due date (dd/mm/yyyy)]])</f>
        <v>0</v>
      </c>
      <c r="U574" s="46">
        <f t="shared" si="8"/>
        <v>52</v>
      </c>
    </row>
    <row r="575" spans="3:21" x14ac:dyDescent="0.25">
      <c r="C575" s="24"/>
      <c r="D575" s="20"/>
      <c r="E575" s="4"/>
      <c r="F575" s="37"/>
      <c r="G575" s="38"/>
      <c r="H575" s="31">
        <f>_xlfn.XLOOKUP(PO[[#This Row],[Supplier name]], Supplier_master[Supplier name], Supplier_master[Category L1], 0)</f>
        <v>0</v>
      </c>
      <c r="I575" s="31">
        <f>_xlfn.XLOOKUP(PO[[#This Row],[Supplier name]], Supplier_master[Supplier name], Supplier_master[Category L2], 0)</f>
        <v>0</v>
      </c>
      <c r="J575" s="55"/>
      <c r="K575" s="55"/>
      <c r="L575" s="31">
        <f>IF(PO[[#This Row],[Spend category L1 - Override]] &lt;&gt; "", PO[[#This Row],[Spend category L1 - Override]], PO[[#This Row],[Spend category L1]])</f>
        <v>0</v>
      </c>
      <c r="M575" s="31">
        <f>IF(PO[[#This Row],[Spend category L2 - Override]] &lt;&gt; "", PO[[#This Row],[Spend category L2 - Override]], PO[[#This Row],[Spend category L2]])</f>
        <v>0</v>
      </c>
      <c r="N575" s="63">
        <f>Assumptions!$D$15</f>
        <v>0.1</v>
      </c>
      <c r="O575" s="45">
        <f>IF(PO[[#This Row],[GST applies?]] = "Yes", (PO[[#This Row],[Value inc. GST]] / 1 + PO[[#This Row],[GST %]]) * PO[[#This Row],[GST %]], 0)</f>
        <v>0</v>
      </c>
      <c r="P575" s="31">
        <f>_xlfn.XLOOKUP(PO[[#This Row],[Supplier name]], Supplier_master[Supplier name], Supplier_master[EOM or Net], 0)</f>
        <v>0</v>
      </c>
      <c r="Q575" s="31">
        <f>_xlfn.XLOOKUP(PO[[#This Row],[Supplier name]], Supplier_master[Supplier name], Supplier_master[Terms days], 0)</f>
        <v>0</v>
      </c>
      <c r="R5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5" s="4"/>
      <c r="T575" s="46">
        <f>IF(PO[[#This Row],[Payment date - override (dd/mm/yyyy)]] &lt;&gt; "", PO[[#This Row],[Payment date - override (dd/mm/yyyy)]], PO[[#This Row],[Due date (dd/mm/yyyy)]])</f>
        <v>0</v>
      </c>
      <c r="U575" s="46">
        <f t="shared" si="8"/>
        <v>52</v>
      </c>
    </row>
    <row r="576" spans="3:21" x14ac:dyDescent="0.25">
      <c r="C576" s="24"/>
      <c r="D576" s="20"/>
      <c r="E576" s="4"/>
      <c r="F576" s="37"/>
      <c r="G576" s="38"/>
      <c r="H576" s="31">
        <f>_xlfn.XLOOKUP(PO[[#This Row],[Supplier name]], Supplier_master[Supplier name], Supplier_master[Category L1], 0)</f>
        <v>0</v>
      </c>
      <c r="I576" s="31">
        <f>_xlfn.XLOOKUP(PO[[#This Row],[Supplier name]], Supplier_master[Supplier name], Supplier_master[Category L2], 0)</f>
        <v>0</v>
      </c>
      <c r="J576" s="55"/>
      <c r="K576" s="55"/>
      <c r="L576" s="31">
        <f>IF(PO[[#This Row],[Spend category L1 - Override]] &lt;&gt; "", PO[[#This Row],[Spend category L1 - Override]], PO[[#This Row],[Spend category L1]])</f>
        <v>0</v>
      </c>
      <c r="M576" s="31">
        <f>IF(PO[[#This Row],[Spend category L2 - Override]] &lt;&gt; "", PO[[#This Row],[Spend category L2 - Override]], PO[[#This Row],[Spend category L2]])</f>
        <v>0</v>
      </c>
      <c r="N576" s="63">
        <f>Assumptions!$D$15</f>
        <v>0.1</v>
      </c>
      <c r="O576" s="45">
        <f>IF(PO[[#This Row],[GST applies?]] = "Yes", (PO[[#This Row],[Value inc. GST]] / 1 + PO[[#This Row],[GST %]]) * PO[[#This Row],[GST %]], 0)</f>
        <v>0</v>
      </c>
      <c r="P576" s="31">
        <f>_xlfn.XLOOKUP(PO[[#This Row],[Supplier name]], Supplier_master[Supplier name], Supplier_master[EOM or Net], 0)</f>
        <v>0</v>
      </c>
      <c r="Q576" s="31">
        <f>_xlfn.XLOOKUP(PO[[#This Row],[Supplier name]], Supplier_master[Supplier name], Supplier_master[Terms days], 0)</f>
        <v>0</v>
      </c>
      <c r="R5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6" s="4"/>
      <c r="T576" s="46">
        <f>IF(PO[[#This Row],[Payment date - override (dd/mm/yyyy)]] &lt;&gt; "", PO[[#This Row],[Payment date - override (dd/mm/yyyy)]], PO[[#This Row],[Due date (dd/mm/yyyy)]])</f>
        <v>0</v>
      </c>
      <c r="U576" s="46">
        <f t="shared" si="8"/>
        <v>52</v>
      </c>
    </row>
    <row r="577" spans="3:21" x14ac:dyDescent="0.25">
      <c r="C577" s="24"/>
      <c r="D577" s="20"/>
      <c r="E577" s="4"/>
      <c r="F577" s="37"/>
      <c r="G577" s="38"/>
      <c r="H577" s="31">
        <f>_xlfn.XLOOKUP(PO[[#This Row],[Supplier name]], Supplier_master[Supplier name], Supplier_master[Category L1], 0)</f>
        <v>0</v>
      </c>
      <c r="I577" s="31">
        <f>_xlfn.XLOOKUP(PO[[#This Row],[Supplier name]], Supplier_master[Supplier name], Supplier_master[Category L2], 0)</f>
        <v>0</v>
      </c>
      <c r="J577" s="55"/>
      <c r="K577" s="55"/>
      <c r="L577" s="31">
        <f>IF(PO[[#This Row],[Spend category L1 - Override]] &lt;&gt; "", PO[[#This Row],[Spend category L1 - Override]], PO[[#This Row],[Spend category L1]])</f>
        <v>0</v>
      </c>
      <c r="M577" s="31">
        <f>IF(PO[[#This Row],[Spend category L2 - Override]] &lt;&gt; "", PO[[#This Row],[Spend category L2 - Override]], PO[[#This Row],[Spend category L2]])</f>
        <v>0</v>
      </c>
      <c r="N577" s="63">
        <f>Assumptions!$D$15</f>
        <v>0.1</v>
      </c>
      <c r="O577" s="45">
        <f>IF(PO[[#This Row],[GST applies?]] = "Yes", (PO[[#This Row],[Value inc. GST]] / 1 + PO[[#This Row],[GST %]]) * PO[[#This Row],[GST %]], 0)</f>
        <v>0</v>
      </c>
      <c r="P577" s="31">
        <f>_xlfn.XLOOKUP(PO[[#This Row],[Supplier name]], Supplier_master[Supplier name], Supplier_master[EOM or Net], 0)</f>
        <v>0</v>
      </c>
      <c r="Q577" s="31">
        <f>_xlfn.XLOOKUP(PO[[#This Row],[Supplier name]], Supplier_master[Supplier name], Supplier_master[Terms days], 0)</f>
        <v>0</v>
      </c>
      <c r="R5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7" s="4"/>
      <c r="T577" s="46">
        <f>IF(PO[[#This Row],[Payment date - override (dd/mm/yyyy)]] &lt;&gt; "", PO[[#This Row],[Payment date - override (dd/mm/yyyy)]], PO[[#This Row],[Due date (dd/mm/yyyy)]])</f>
        <v>0</v>
      </c>
      <c r="U577" s="46">
        <f t="shared" si="8"/>
        <v>52</v>
      </c>
    </row>
    <row r="578" spans="3:21" x14ac:dyDescent="0.25">
      <c r="C578" s="24"/>
      <c r="D578" s="20"/>
      <c r="E578" s="4"/>
      <c r="F578" s="37"/>
      <c r="G578" s="38"/>
      <c r="H578" s="31">
        <f>_xlfn.XLOOKUP(PO[[#This Row],[Supplier name]], Supplier_master[Supplier name], Supplier_master[Category L1], 0)</f>
        <v>0</v>
      </c>
      <c r="I578" s="31">
        <f>_xlfn.XLOOKUP(PO[[#This Row],[Supplier name]], Supplier_master[Supplier name], Supplier_master[Category L2], 0)</f>
        <v>0</v>
      </c>
      <c r="J578" s="55"/>
      <c r="K578" s="55"/>
      <c r="L578" s="31">
        <f>IF(PO[[#This Row],[Spend category L1 - Override]] &lt;&gt; "", PO[[#This Row],[Spend category L1 - Override]], PO[[#This Row],[Spend category L1]])</f>
        <v>0</v>
      </c>
      <c r="M578" s="31">
        <f>IF(PO[[#This Row],[Spend category L2 - Override]] &lt;&gt; "", PO[[#This Row],[Spend category L2 - Override]], PO[[#This Row],[Spend category L2]])</f>
        <v>0</v>
      </c>
      <c r="N578" s="63">
        <f>Assumptions!$D$15</f>
        <v>0.1</v>
      </c>
      <c r="O578" s="45">
        <f>IF(PO[[#This Row],[GST applies?]] = "Yes", (PO[[#This Row],[Value inc. GST]] / 1 + PO[[#This Row],[GST %]]) * PO[[#This Row],[GST %]], 0)</f>
        <v>0</v>
      </c>
      <c r="P578" s="31">
        <f>_xlfn.XLOOKUP(PO[[#This Row],[Supplier name]], Supplier_master[Supplier name], Supplier_master[EOM or Net], 0)</f>
        <v>0</v>
      </c>
      <c r="Q578" s="31">
        <f>_xlfn.XLOOKUP(PO[[#This Row],[Supplier name]], Supplier_master[Supplier name], Supplier_master[Terms days], 0)</f>
        <v>0</v>
      </c>
      <c r="R5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8" s="4"/>
      <c r="T578" s="46">
        <f>IF(PO[[#This Row],[Payment date - override (dd/mm/yyyy)]] &lt;&gt; "", PO[[#This Row],[Payment date - override (dd/mm/yyyy)]], PO[[#This Row],[Due date (dd/mm/yyyy)]])</f>
        <v>0</v>
      </c>
      <c r="U578" s="46">
        <f t="shared" si="8"/>
        <v>52</v>
      </c>
    </row>
    <row r="579" spans="3:21" x14ac:dyDescent="0.25">
      <c r="C579" s="24"/>
      <c r="D579" s="20"/>
      <c r="E579" s="4"/>
      <c r="F579" s="37"/>
      <c r="G579" s="38"/>
      <c r="H579" s="31">
        <f>_xlfn.XLOOKUP(PO[[#This Row],[Supplier name]], Supplier_master[Supplier name], Supplier_master[Category L1], 0)</f>
        <v>0</v>
      </c>
      <c r="I579" s="31">
        <f>_xlfn.XLOOKUP(PO[[#This Row],[Supplier name]], Supplier_master[Supplier name], Supplier_master[Category L2], 0)</f>
        <v>0</v>
      </c>
      <c r="J579" s="55"/>
      <c r="K579" s="55"/>
      <c r="L579" s="31">
        <f>IF(PO[[#This Row],[Spend category L1 - Override]] &lt;&gt; "", PO[[#This Row],[Spend category L1 - Override]], PO[[#This Row],[Spend category L1]])</f>
        <v>0</v>
      </c>
      <c r="M579" s="31">
        <f>IF(PO[[#This Row],[Spend category L2 - Override]] &lt;&gt; "", PO[[#This Row],[Spend category L2 - Override]], PO[[#This Row],[Spend category L2]])</f>
        <v>0</v>
      </c>
      <c r="N579" s="63">
        <f>Assumptions!$D$15</f>
        <v>0.1</v>
      </c>
      <c r="O579" s="45">
        <f>IF(PO[[#This Row],[GST applies?]] = "Yes", (PO[[#This Row],[Value inc. GST]] / 1 + PO[[#This Row],[GST %]]) * PO[[#This Row],[GST %]], 0)</f>
        <v>0</v>
      </c>
      <c r="P579" s="31">
        <f>_xlfn.XLOOKUP(PO[[#This Row],[Supplier name]], Supplier_master[Supplier name], Supplier_master[EOM or Net], 0)</f>
        <v>0</v>
      </c>
      <c r="Q579" s="31">
        <f>_xlfn.XLOOKUP(PO[[#This Row],[Supplier name]], Supplier_master[Supplier name], Supplier_master[Terms days], 0)</f>
        <v>0</v>
      </c>
      <c r="R5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9" s="4"/>
      <c r="T579" s="46">
        <f>IF(PO[[#This Row],[Payment date - override (dd/mm/yyyy)]] &lt;&gt; "", PO[[#This Row],[Payment date - override (dd/mm/yyyy)]], PO[[#This Row],[Due date (dd/mm/yyyy)]])</f>
        <v>0</v>
      </c>
      <c r="U579" s="46">
        <f t="shared" si="8"/>
        <v>52</v>
      </c>
    </row>
    <row r="580" spans="3:21" x14ac:dyDescent="0.25">
      <c r="C580" s="24"/>
      <c r="D580" s="20"/>
      <c r="E580" s="4"/>
      <c r="F580" s="37"/>
      <c r="G580" s="38"/>
      <c r="H580" s="31">
        <f>_xlfn.XLOOKUP(PO[[#This Row],[Supplier name]], Supplier_master[Supplier name], Supplier_master[Category L1], 0)</f>
        <v>0</v>
      </c>
      <c r="I580" s="31">
        <f>_xlfn.XLOOKUP(PO[[#This Row],[Supplier name]], Supplier_master[Supplier name], Supplier_master[Category L2], 0)</f>
        <v>0</v>
      </c>
      <c r="J580" s="55"/>
      <c r="K580" s="55"/>
      <c r="L580" s="31">
        <f>IF(PO[[#This Row],[Spend category L1 - Override]] &lt;&gt; "", PO[[#This Row],[Spend category L1 - Override]], PO[[#This Row],[Spend category L1]])</f>
        <v>0</v>
      </c>
      <c r="M580" s="31">
        <f>IF(PO[[#This Row],[Spend category L2 - Override]] &lt;&gt; "", PO[[#This Row],[Spend category L2 - Override]], PO[[#This Row],[Spend category L2]])</f>
        <v>0</v>
      </c>
      <c r="N580" s="63">
        <f>Assumptions!$D$15</f>
        <v>0.1</v>
      </c>
      <c r="O580" s="45">
        <f>IF(PO[[#This Row],[GST applies?]] = "Yes", (PO[[#This Row],[Value inc. GST]] / 1 + PO[[#This Row],[GST %]]) * PO[[#This Row],[GST %]], 0)</f>
        <v>0</v>
      </c>
      <c r="P580" s="31">
        <f>_xlfn.XLOOKUP(PO[[#This Row],[Supplier name]], Supplier_master[Supplier name], Supplier_master[EOM or Net], 0)</f>
        <v>0</v>
      </c>
      <c r="Q580" s="31">
        <f>_xlfn.XLOOKUP(PO[[#This Row],[Supplier name]], Supplier_master[Supplier name], Supplier_master[Terms days], 0)</f>
        <v>0</v>
      </c>
      <c r="R5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0" s="4"/>
      <c r="T580" s="46">
        <f>IF(PO[[#This Row],[Payment date - override (dd/mm/yyyy)]] &lt;&gt; "", PO[[#This Row],[Payment date - override (dd/mm/yyyy)]], PO[[#This Row],[Due date (dd/mm/yyyy)]])</f>
        <v>0</v>
      </c>
      <c r="U580" s="46">
        <f t="shared" si="8"/>
        <v>52</v>
      </c>
    </row>
    <row r="581" spans="3:21" x14ac:dyDescent="0.25">
      <c r="C581" s="24"/>
      <c r="D581" s="20"/>
      <c r="E581" s="4"/>
      <c r="F581" s="37"/>
      <c r="G581" s="38"/>
      <c r="H581" s="31">
        <f>_xlfn.XLOOKUP(PO[[#This Row],[Supplier name]], Supplier_master[Supplier name], Supplier_master[Category L1], 0)</f>
        <v>0</v>
      </c>
      <c r="I581" s="31">
        <f>_xlfn.XLOOKUP(PO[[#This Row],[Supplier name]], Supplier_master[Supplier name], Supplier_master[Category L2], 0)</f>
        <v>0</v>
      </c>
      <c r="J581" s="55"/>
      <c r="K581" s="55"/>
      <c r="L581" s="31">
        <f>IF(PO[[#This Row],[Spend category L1 - Override]] &lt;&gt; "", PO[[#This Row],[Spend category L1 - Override]], PO[[#This Row],[Spend category L1]])</f>
        <v>0</v>
      </c>
      <c r="M581" s="31">
        <f>IF(PO[[#This Row],[Spend category L2 - Override]] &lt;&gt; "", PO[[#This Row],[Spend category L2 - Override]], PO[[#This Row],[Spend category L2]])</f>
        <v>0</v>
      </c>
      <c r="N581" s="63">
        <f>Assumptions!$D$15</f>
        <v>0.1</v>
      </c>
      <c r="O581" s="45">
        <f>IF(PO[[#This Row],[GST applies?]] = "Yes", (PO[[#This Row],[Value inc. GST]] / 1 + PO[[#This Row],[GST %]]) * PO[[#This Row],[GST %]], 0)</f>
        <v>0</v>
      </c>
      <c r="P581" s="31">
        <f>_xlfn.XLOOKUP(PO[[#This Row],[Supplier name]], Supplier_master[Supplier name], Supplier_master[EOM or Net], 0)</f>
        <v>0</v>
      </c>
      <c r="Q581" s="31">
        <f>_xlfn.XLOOKUP(PO[[#This Row],[Supplier name]], Supplier_master[Supplier name], Supplier_master[Terms days], 0)</f>
        <v>0</v>
      </c>
      <c r="R5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1" s="4"/>
      <c r="T581" s="46">
        <f>IF(PO[[#This Row],[Payment date - override (dd/mm/yyyy)]] &lt;&gt; "", PO[[#This Row],[Payment date - override (dd/mm/yyyy)]], PO[[#This Row],[Due date (dd/mm/yyyy)]])</f>
        <v>0</v>
      </c>
      <c r="U581" s="46">
        <f t="shared" si="8"/>
        <v>52</v>
      </c>
    </row>
    <row r="582" spans="3:21" x14ac:dyDescent="0.25">
      <c r="C582" s="24"/>
      <c r="D582" s="20"/>
      <c r="E582" s="4"/>
      <c r="F582" s="37"/>
      <c r="G582" s="38"/>
      <c r="H582" s="31">
        <f>_xlfn.XLOOKUP(PO[[#This Row],[Supplier name]], Supplier_master[Supplier name], Supplier_master[Category L1], 0)</f>
        <v>0</v>
      </c>
      <c r="I582" s="31">
        <f>_xlfn.XLOOKUP(PO[[#This Row],[Supplier name]], Supplier_master[Supplier name], Supplier_master[Category L2], 0)</f>
        <v>0</v>
      </c>
      <c r="J582" s="55"/>
      <c r="K582" s="55"/>
      <c r="L582" s="31">
        <f>IF(PO[[#This Row],[Spend category L1 - Override]] &lt;&gt; "", PO[[#This Row],[Spend category L1 - Override]], PO[[#This Row],[Spend category L1]])</f>
        <v>0</v>
      </c>
      <c r="M582" s="31">
        <f>IF(PO[[#This Row],[Spend category L2 - Override]] &lt;&gt; "", PO[[#This Row],[Spend category L2 - Override]], PO[[#This Row],[Spend category L2]])</f>
        <v>0</v>
      </c>
      <c r="N582" s="63">
        <f>Assumptions!$D$15</f>
        <v>0.1</v>
      </c>
      <c r="O582" s="45">
        <f>IF(PO[[#This Row],[GST applies?]] = "Yes", (PO[[#This Row],[Value inc. GST]] / 1 + PO[[#This Row],[GST %]]) * PO[[#This Row],[GST %]], 0)</f>
        <v>0</v>
      </c>
      <c r="P582" s="31">
        <f>_xlfn.XLOOKUP(PO[[#This Row],[Supplier name]], Supplier_master[Supplier name], Supplier_master[EOM or Net], 0)</f>
        <v>0</v>
      </c>
      <c r="Q582" s="31">
        <f>_xlfn.XLOOKUP(PO[[#This Row],[Supplier name]], Supplier_master[Supplier name], Supplier_master[Terms days], 0)</f>
        <v>0</v>
      </c>
      <c r="R5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2" s="4"/>
      <c r="T582" s="46">
        <f>IF(PO[[#This Row],[Payment date - override (dd/mm/yyyy)]] &lt;&gt; "", PO[[#This Row],[Payment date - override (dd/mm/yyyy)]], PO[[#This Row],[Due date (dd/mm/yyyy)]])</f>
        <v>0</v>
      </c>
      <c r="U582" s="46">
        <f t="shared" si="8"/>
        <v>52</v>
      </c>
    </row>
    <row r="583" spans="3:21" x14ac:dyDescent="0.25">
      <c r="C583" s="24"/>
      <c r="D583" s="20"/>
      <c r="E583" s="4"/>
      <c r="F583" s="37"/>
      <c r="G583" s="38"/>
      <c r="H583" s="31">
        <f>_xlfn.XLOOKUP(PO[[#This Row],[Supplier name]], Supplier_master[Supplier name], Supplier_master[Category L1], 0)</f>
        <v>0</v>
      </c>
      <c r="I583" s="31">
        <f>_xlfn.XLOOKUP(PO[[#This Row],[Supplier name]], Supplier_master[Supplier name], Supplier_master[Category L2], 0)</f>
        <v>0</v>
      </c>
      <c r="J583" s="55"/>
      <c r="K583" s="55"/>
      <c r="L583" s="31">
        <f>IF(PO[[#This Row],[Spend category L1 - Override]] &lt;&gt; "", PO[[#This Row],[Spend category L1 - Override]], PO[[#This Row],[Spend category L1]])</f>
        <v>0</v>
      </c>
      <c r="M583" s="31">
        <f>IF(PO[[#This Row],[Spend category L2 - Override]] &lt;&gt; "", PO[[#This Row],[Spend category L2 - Override]], PO[[#This Row],[Spend category L2]])</f>
        <v>0</v>
      </c>
      <c r="N583" s="63">
        <f>Assumptions!$D$15</f>
        <v>0.1</v>
      </c>
      <c r="O583" s="45">
        <f>IF(PO[[#This Row],[GST applies?]] = "Yes", (PO[[#This Row],[Value inc. GST]] / 1 + PO[[#This Row],[GST %]]) * PO[[#This Row],[GST %]], 0)</f>
        <v>0</v>
      </c>
      <c r="P583" s="31">
        <f>_xlfn.XLOOKUP(PO[[#This Row],[Supplier name]], Supplier_master[Supplier name], Supplier_master[EOM or Net], 0)</f>
        <v>0</v>
      </c>
      <c r="Q583" s="31">
        <f>_xlfn.XLOOKUP(PO[[#This Row],[Supplier name]], Supplier_master[Supplier name], Supplier_master[Terms days], 0)</f>
        <v>0</v>
      </c>
      <c r="R5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3" s="4"/>
      <c r="T583" s="46">
        <f>IF(PO[[#This Row],[Payment date - override (dd/mm/yyyy)]] &lt;&gt; "", PO[[#This Row],[Payment date - override (dd/mm/yyyy)]], PO[[#This Row],[Due date (dd/mm/yyyy)]])</f>
        <v>0</v>
      </c>
      <c r="U583" s="46">
        <f t="shared" si="8"/>
        <v>52</v>
      </c>
    </row>
    <row r="584" spans="3:21" x14ac:dyDescent="0.25">
      <c r="C584" s="24"/>
      <c r="D584" s="20"/>
      <c r="E584" s="4"/>
      <c r="F584" s="37"/>
      <c r="G584" s="38"/>
      <c r="H584" s="31">
        <f>_xlfn.XLOOKUP(PO[[#This Row],[Supplier name]], Supplier_master[Supplier name], Supplier_master[Category L1], 0)</f>
        <v>0</v>
      </c>
      <c r="I584" s="31">
        <f>_xlfn.XLOOKUP(PO[[#This Row],[Supplier name]], Supplier_master[Supplier name], Supplier_master[Category L2], 0)</f>
        <v>0</v>
      </c>
      <c r="J584" s="55"/>
      <c r="K584" s="55"/>
      <c r="L584" s="31">
        <f>IF(PO[[#This Row],[Spend category L1 - Override]] &lt;&gt; "", PO[[#This Row],[Spend category L1 - Override]], PO[[#This Row],[Spend category L1]])</f>
        <v>0</v>
      </c>
      <c r="M584" s="31">
        <f>IF(PO[[#This Row],[Spend category L2 - Override]] &lt;&gt; "", PO[[#This Row],[Spend category L2 - Override]], PO[[#This Row],[Spend category L2]])</f>
        <v>0</v>
      </c>
      <c r="N584" s="63">
        <f>Assumptions!$D$15</f>
        <v>0.1</v>
      </c>
      <c r="O584" s="45">
        <f>IF(PO[[#This Row],[GST applies?]] = "Yes", (PO[[#This Row],[Value inc. GST]] / 1 + PO[[#This Row],[GST %]]) * PO[[#This Row],[GST %]], 0)</f>
        <v>0</v>
      </c>
      <c r="P584" s="31">
        <f>_xlfn.XLOOKUP(PO[[#This Row],[Supplier name]], Supplier_master[Supplier name], Supplier_master[EOM or Net], 0)</f>
        <v>0</v>
      </c>
      <c r="Q584" s="31">
        <f>_xlfn.XLOOKUP(PO[[#This Row],[Supplier name]], Supplier_master[Supplier name], Supplier_master[Terms days], 0)</f>
        <v>0</v>
      </c>
      <c r="R5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4" s="4"/>
      <c r="T584" s="46">
        <f>IF(PO[[#This Row],[Payment date - override (dd/mm/yyyy)]] &lt;&gt; "", PO[[#This Row],[Payment date - override (dd/mm/yyyy)]], PO[[#This Row],[Due date (dd/mm/yyyy)]])</f>
        <v>0</v>
      </c>
      <c r="U584" s="46">
        <f t="shared" si="8"/>
        <v>52</v>
      </c>
    </row>
    <row r="585" spans="3:21" x14ac:dyDescent="0.25">
      <c r="C585" s="24"/>
      <c r="D585" s="20"/>
      <c r="E585" s="4"/>
      <c r="F585" s="37"/>
      <c r="G585" s="38"/>
      <c r="H585" s="31">
        <f>_xlfn.XLOOKUP(PO[[#This Row],[Supplier name]], Supplier_master[Supplier name], Supplier_master[Category L1], 0)</f>
        <v>0</v>
      </c>
      <c r="I585" s="31">
        <f>_xlfn.XLOOKUP(PO[[#This Row],[Supplier name]], Supplier_master[Supplier name], Supplier_master[Category L2], 0)</f>
        <v>0</v>
      </c>
      <c r="J585" s="55"/>
      <c r="K585" s="55"/>
      <c r="L585" s="31">
        <f>IF(PO[[#This Row],[Spend category L1 - Override]] &lt;&gt; "", PO[[#This Row],[Spend category L1 - Override]], PO[[#This Row],[Spend category L1]])</f>
        <v>0</v>
      </c>
      <c r="M585" s="31">
        <f>IF(PO[[#This Row],[Spend category L2 - Override]] &lt;&gt; "", PO[[#This Row],[Spend category L2 - Override]], PO[[#This Row],[Spend category L2]])</f>
        <v>0</v>
      </c>
      <c r="N585" s="63">
        <f>Assumptions!$D$15</f>
        <v>0.1</v>
      </c>
      <c r="O585" s="45">
        <f>IF(PO[[#This Row],[GST applies?]] = "Yes", (PO[[#This Row],[Value inc. GST]] / 1 + PO[[#This Row],[GST %]]) * PO[[#This Row],[GST %]], 0)</f>
        <v>0</v>
      </c>
      <c r="P585" s="31">
        <f>_xlfn.XLOOKUP(PO[[#This Row],[Supplier name]], Supplier_master[Supplier name], Supplier_master[EOM or Net], 0)</f>
        <v>0</v>
      </c>
      <c r="Q585" s="31">
        <f>_xlfn.XLOOKUP(PO[[#This Row],[Supplier name]], Supplier_master[Supplier name], Supplier_master[Terms days], 0)</f>
        <v>0</v>
      </c>
      <c r="R5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5" s="4"/>
      <c r="T585" s="46">
        <f>IF(PO[[#This Row],[Payment date - override (dd/mm/yyyy)]] &lt;&gt; "", PO[[#This Row],[Payment date - override (dd/mm/yyyy)]], PO[[#This Row],[Due date (dd/mm/yyyy)]])</f>
        <v>0</v>
      </c>
      <c r="U585" s="46">
        <f t="shared" ref="U585:U648" si="9">IF(GST_Freq="Monthly",
    DATE(YEAR(E585), MONTH(E585) + 1, 21),
    IF(GST_Freq="Quarterly",
        IF(MOD(MONTH(E585) + 2 - MOD(MOD(MONTH(E585) - GST_First_Month, 12), 3), 12) = 0,
            DATE(YEAR(E585), MONTH(E585) + 4 - MOD(MOD(MONTH(E585) - GST_First_Month, 12), 3), 28),
            DATE(YEAR(E585), MONTH(E585) + 3 - MOD(MOD(MONTH(E585) - GST_First_Month, 12), 3), 28)
        ),
        "Invalid frequency"
    )
)</f>
        <v>52</v>
      </c>
    </row>
    <row r="586" spans="3:21" x14ac:dyDescent="0.25">
      <c r="C586" s="24"/>
      <c r="D586" s="20"/>
      <c r="E586" s="4"/>
      <c r="F586" s="37"/>
      <c r="G586" s="38"/>
      <c r="H586" s="31">
        <f>_xlfn.XLOOKUP(PO[[#This Row],[Supplier name]], Supplier_master[Supplier name], Supplier_master[Category L1], 0)</f>
        <v>0</v>
      </c>
      <c r="I586" s="31">
        <f>_xlfn.XLOOKUP(PO[[#This Row],[Supplier name]], Supplier_master[Supplier name], Supplier_master[Category L2], 0)</f>
        <v>0</v>
      </c>
      <c r="J586" s="55"/>
      <c r="K586" s="55"/>
      <c r="L586" s="31">
        <f>IF(PO[[#This Row],[Spend category L1 - Override]] &lt;&gt; "", PO[[#This Row],[Spend category L1 - Override]], PO[[#This Row],[Spend category L1]])</f>
        <v>0</v>
      </c>
      <c r="M586" s="31">
        <f>IF(PO[[#This Row],[Spend category L2 - Override]] &lt;&gt; "", PO[[#This Row],[Spend category L2 - Override]], PO[[#This Row],[Spend category L2]])</f>
        <v>0</v>
      </c>
      <c r="N586" s="63">
        <f>Assumptions!$D$15</f>
        <v>0.1</v>
      </c>
      <c r="O586" s="45">
        <f>IF(PO[[#This Row],[GST applies?]] = "Yes", (PO[[#This Row],[Value inc. GST]] / 1 + PO[[#This Row],[GST %]]) * PO[[#This Row],[GST %]], 0)</f>
        <v>0</v>
      </c>
      <c r="P586" s="31">
        <f>_xlfn.XLOOKUP(PO[[#This Row],[Supplier name]], Supplier_master[Supplier name], Supplier_master[EOM or Net], 0)</f>
        <v>0</v>
      </c>
      <c r="Q586" s="31">
        <f>_xlfn.XLOOKUP(PO[[#This Row],[Supplier name]], Supplier_master[Supplier name], Supplier_master[Terms days], 0)</f>
        <v>0</v>
      </c>
      <c r="R5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6" s="4"/>
      <c r="T586" s="46">
        <f>IF(PO[[#This Row],[Payment date - override (dd/mm/yyyy)]] &lt;&gt; "", PO[[#This Row],[Payment date - override (dd/mm/yyyy)]], PO[[#This Row],[Due date (dd/mm/yyyy)]])</f>
        <v>0</v>
      </c>
      <c r="U586" s="46">
        <f t="shared" si="9"/>
        <v>52</v>
      </c>
    </row>
    <row r="587" spans="3:21" x14ac:dyDescent="0.25">
      <c r="C587" s="24"/>
      <c r="D587" s="20"/>
      <c r="E587" s="4"/>
      <c r="F587" s="37"/>
      <c r="G587" s="38"/>
      <c r="H587" s="31">
        <f>_xlfn.XLOOKUP(PO[[#This Row],[Supplier name]], Supplier_master[Supplier name], Supplier_master[Category L1], 0)</f>
        <v>0</v>
      </c>
      <c r="I587" s="31">
        <f>_xlfn.XLOOKUP(PO[[#This Row],[Supplier name]], Supplier_master[Supplier name], Supplier_master[Category L2], 0)</f>
        <v>0</v>
      </c>
      <c r="J587" s="55"/>
      <c r="K587" s="55"/>
      <c r="L587" s="31">
        <f>IF(PO[[#This Row],[Spend category L1 - Override]] &lt;&gt; "", PO[[#This Row],[Spend category L1 - Override]], PO[[#This Row],[Spend category L1]])</f>
        <v>0</v>
      </c>
      <c r="M587" s="31">
        <f>IF(PO[[#This Row],[Spend category L2 - Override]] &lt;&gt; "", PO[[#This Row],[Spend category L2 - Override]], PO[[#This Row],[Spend category L2]])</f>
        <v>0</v>
      </c>
      <c r="N587" s="63">
        <f>Assumptions!$D$15</f>
        <v>0.1</v>
      </c>
      <c r="O587" s="45">
        <f>IF(PO[[#This Row],[GST applies?]] = "Yes", (PO[[#This Row],[Value inc. GST]] / 1 + PO[[#This Row],[GST %]]) * PO[[#This Row],[GST %]], 0)</f>
        <v>0</v>
      </c>
      <c r="P587" s="31">
        <f>_xlfn.XLOOKUP(PO[[#This Row],[Supplier name]], Supplier_master[Supplier name], Supplier_master[EOM or Net], 0)</f>
        <v>0</v>
      </c>
      <c r="Q587" s="31">
        <f>_xlfn.XLOOKUP(PO[[#This Row],[Supplier name]], Supplier_master[Supplier name], Supplier_master[Terms days], 0)</f>
        <v>0</v>
      </c>
      <c r="R5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7" s="4"/>
      <c r="T587" s="46">
        <f>IF(PO[[#This Row],[Payment date - override (dd/mm/yyyy)]] &lt;&gt; "", PO[[#This Row],[Payment date - override (dd/mm/yyyy)]], PO[[#This Row],[Due date (dd/mm/yyyy)]])</f>
        <v>0</v>
      </c>
      <c r="U587" s="46">
        <f t="shared" si="9"/>
        <v>52</v>
      </c>
    </row>
    <row r="588" spans="3:21" x14ac:dyDescent="0.25">
      <c r="C588" s="24"/>
      <c r="D588" s="20"/>
      <c r="E588" s="4"/>
      <c r="F588" s="37"/>
      <c r="G588" s="38"/>
      <c r="H588" s="31">
        <f>_xlfn.XLOOKUP(PO[[#This Row],[Supplier name]], Supplier_master[Supplier name], Supplier_master[Category L1], 0)</f>
        <v>0</v>
      </c>
      <c r="I588" s="31">
        <f>_xlfn.XLOOKUP(PO[[#This Row],[Supplier name]], Supplier_master[Supplier name], Supplier_master[Category L2], 0)</f>
        <v>0</v>
      </c>
      <c r="J588" s="55"/>
      <c r="K588" s="55"/>
      <c r="L588" s="31">
        <f>IF(PO[[#This Row],[Spend category L1 - Override]] &lt;&gt; "", PO[[#This Row],[Spend category L1 - Override]], PO[[#This Row],[Spend category L1]])</f>
        <v>0</v>
      </c>
      <c r="M588" s="31">
        <f>IF(PO[[#This Row],[Spend category L2 - Override]] &lt;&gt; "", PO[[#This Row],[Spend category L2 - Override]], PO[[#This Row],[Spend category L2]])</f>
        <v>0</v>
      </c>
      <c r="N588" s="63">
        <f>Assumptions!$D$15</f>
        <v>0.1</v>
      </c>
      <c r="O588" s="45">
        <f>IF(PO[[#This Row],[GST applies?]] = "Yes", (PO[[#This Row],[Value inc. GST]] / 1 + PO[[#This Row],[GST %]]) * PO[[#This Row],[GST %]], 0)</f>
        <v>0</v>
      </c>
      <c r="P588" s="31">
        <f>_xlfn.XLOOKUP(PO[[#This Row],[Supplier name]], Supplier_master[Supplier name], Supplier_master[EOM or Net], 0)</f>
        <v>0</v>
      </c>
      <c r="Q588" s="31">
        <f>_xlfn.XLOOKUP(PO[[#This Row],[Supplier name]], Supplier_master[Supplier name], Supplier_master[Terms days], 0)</f>
        <v>0</v>
      </c>
      <c r="R5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8" s="4"/>
      <c r="T588" s="46">
        <f>IF(PO[[#This Row],[Payment date - override (dd/mm/yyyy)]] &lt;&gt; "", PO[[#This Row],[Payment date - override (dd/mm/yyyy)]], PO[[#This Row],[Due date (dd/mm/yyyy)]])</f>
        <v>0</v>
      </c>
      <c r="U588" s="46">
        <f t="shared" si="9"/>
        <v>52</v>
      </c>
    </row>
    <row r="589" spans="3:21" x14ac:dyDescent="0.25">
      <c r="C589" s="24"/>
      <c r="D589" s="20"/>
      <c r="E589" s="4"/>
      <c r="F589" s="37"/>
      <c r="G589" s="38"/>
      <c r="H589" s="31">
        <f>_xlfn.XLOOKUP(PO[[#This Row],[Supplier name]], Supplier_master[Supplier name], Supplier_master[Category L1], 0)</f>
        <v>0</v>
      </c>
      <c r="I589" s="31">
        <f>_xlfn.XLOOKUP(PO[[#This Row],[Supplier name]], Supplier_master[Supplier name], Supplier_master[Category L2], 0)</f>
        <v>0</v>
      </c>
      <c r="J589" s="55"/>
      <c r="K589" s="55"/>
      <c r="L589" s="31">
        <f>IF(PO[[#This Row],[Spend category L1 - Override]] &lt;&gt; "", PO[[#This Row],[Spend category L1 - Override]], PO[[#This Row],[Spend category L1]])</f>
        <v>0</v>
      </c>
      <c r="M589" s="31">
        <f>IF(PO[[#This Row],[Spend category L2 - Override]] &lt;&gt; "", PO[[#This Row],[Spend category L2 - Override]], PO[[#This Row],[Spend category L2]])</f>
        <v>0</v>
      </c>
      <c r="N589" s="63">
        <f>Assumptions!$D$15</f>
        <v>0.1</v>
      </c>
      <c r="O589" s="45">
        <f>IF(PO[[#This Row],[GST applies?]] = "Yes", (PO[[#This Row],[Value inc. GST]] / 1 + PO[[#This Row],[GST %]]) * PO[[#This Row],[GST %]], 0)</f>
        <v>0</v>
      </c>
      <c r="P589" s="31">
        <f>_xlfn.XLOOKUP(PO[[#This Row],[Supplier name]], Supplier_master[Supplier name], Supplier_master[EOM or Net], 0)</f>
        <v>0</v>
      </c>
      <c r="Q589" s="31">
        <f>_xlfn.XLOOKUP(PO[[#This Row],[Supplier name]], Supplier_master[Supplier name], Supplier_master[Terms days], 0)</f>
        <v>0</v>
      </c>
      <c r="R5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9" s="4"/>
      <c r="T589" s="46">
        <f>IF(PO[[#This Row],[Payment date - override (dd/mm/yyyy)]] &lt;&gt; "", PO[[#This Row],[Payment date - override (dd/mm/yyyy)]], PO[[#This Row],[Due date (dd/mm/yyyy)]])</f>
        <v>0</v>
      </c>
      <c r="U589" s="46">
        <f t="shared" si="9"/>
        <v>52</v>
      </c>
    </row>
    <row r="590" spans="3:21" x14ac:dyDescent="0.25">
      <c r="C590" s="24"/>
      <c r="D590" s="20"/>
      <c r="E590" s="4"/>
      <c r="F590" s="37"/>
      <c r="G590" s="38"/>
      <c r="H590" s="31">
        <f>_xlfn.XLOOKUP(PO[[#This Row],[Supplier name]], Supplier_master[Supplier name], Supplier_master[Category L1], 0)</f>
        <v>0</v>
      </c>
      <c r="I590" s="31">
        <f>_xlfn.XLOOKUP(PO[[#This Row],[Supplier name]], Supplier_master[Supplier name], Supplier_master[Category L2], 0)</f>
        <v>0</v>
      </c>
      <c r="J590" s="55"/>
      <c r="K590" s="55"/>
      <c r="L590" s="31">
        <f>IF(PO[[#This Row],[Spend category L1 - Override]] &lt;&gt; "", PO[[#This Row],[Spend category L1 - Override]], PO[[#This Row],[Spend category L1]])</f>
        <v>0</v>
      </c>
      <c r="M590" s="31">
        <f>IF(PO[[#This Row],[Spend category L2 - Override]] &lt;&gt; "", PO[[#This Row],[Spend category L2 - Override]], PO[[#This Row],[Spend category L2]])</f>
        <v>0</v>
      </c>
      <c r="N590" s="63">
        <f>Assumptions!$D$15</f>
        <v>0.1</v>
      </c>
      <c r="O590" s="45">
        <f>IF(PO[[#This Row],[GST applies?]] = "Yes", (PO[[#This Row],[Value inc. GST]] / 1 + PO[[#This Row],[GST %]]) * PO[[#This Row],[GST %]], 0)</f>
        <v>0</v>
      </c>
      <c r="P590" s="31">
        <f>_xlfn.XLOOKUP(PO[[#This Row],[Supplier name]], Supplier_master[Supplier name], Supplier_master[EOM or Net], 0)</f>
        <v>0</v>
      </c>
      <c r="Q590" s="31">
        <f>_xlfn.XLOOKUP(PO[[#This Row],[Supplier name]], Supplier_master[Supplier name], Supplier_master[Terms days], 0)</f>
        <v>0</v>
      </c>
      <c r="R5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0" s="4"/>
      <c r="T590" s="46">
        <f>IF(PO[[#This Row],[Payment date - override (dd/mm/yyyy)]] &lt;&gt; "", PO[[#This Row],[Payment date - override (dd/mm/yyyy)]], PO[[#This Row],[Due date (dd/mm/yyyy)]])</f>
        <v>0</v>
      </c>
      <c r="U590" s="46">
        <f t="shared" si="9"/>
        <v>52</v>
      </c>
    </row>
    <row r="591" spans="3:21" x14ac:dyDescent="0.25">
      <c r="C591" s="24"/>
      <c r="D591" s="20"/>
      <c r="E591" s="4"/>
      <c r="F591" s="37"/>
      <c r="G591" s="38"/>
      <c r="H591" s="31">
        <f>_xlfn.XLOOKUP(PO[[#This Row],[Supplier name]], Supplier_master[Supplier name], Supplier_master[Category L1], 0)</f>
        <v>0</v>
      </c>
      <c r="I591" s="31">
        <f>_xlfn.XLOOKUP(PO[[#This Row],[Supplier name]], Supplier_master[Supplier name], Supplier_master[Category L2], 0)</f>
        <v>0</v>
      </c>
      <c r="J591" s="55"/>
      <c r="K591" s="55"/>
      <c r="L591" s="31">
        <f>IF(PO[[#This Row],[Spend category L1 - Override]] &lt;&gt; "", PO[[#This Row],[Spend category L1 - Override]], PO[[#This Row],[Spend category L1]])</f>
        <v>0</v>
      </c>
      <c r="M591" s="31">
        <f>IF(PO[[#This Row],[Spend category L2 - Override]] &lt;&gt; "", PO[[#This Row],[Spend category L2 - Override]], PO[[#This Row],[Spend category L2]])</f>
        <v>0</v>
      </c>
      <c r="N591" s="63">
        <f>Assumptions!$D$15</f>
        <v>0.1</v>
      </c>
      <c r="O591" s="45">
        <f>IF(PO[[#This Row],[GST applies?]] = "Yes", (PO[[#This Row],[Value inc. GST]] / 1 + PO[[#This Row],[GST %]]) * PO[[#This Row],[GST %]], 0)</f>
        <v>0</v>
      </c>
      <c r="P591" s="31">
        <f>_xlfn.XLOOKUP(PO[[#This Row],[Supplier name]], Supplier_master[Supplier name], Supplier_master[EOM or Net], 0)</f>
        <v>0</v>
      </c>
      <c r="Q591" s="31">
        <f>_xlfn.XLOOKUP(PO[[#This Row],[Supplier name]], Supplier_master[Supplier name], Supplier_master[Terms days], 0)</f>
        <v>0</v>
      </c>
      <c r="R5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1" s="4"/>
      <c r="T591" s="46">
        <f>IF(PO[[#This Row],[Payment date - override (dd/mm/yyyy)]] &lt;&gt; "", PO[[#This Row],[Payment date - override (dd/mm/yyyy)]], PO[[#This Row],[Due date (dd/mm/yyyy)]])</f>
        <v>0</v>
      </c>
      <c r="U591" s="46">
        <f t="shared" si="9"/>
        <v>52</v>
      </c>
    </row>
    <row r="592" spans="3:21" x14ac:dyDescent="0.25">
      <c r="C592" s="24"/>
      <c r="D592" s="20"/>
      <c r="E592" s="4"/>
      <c r="F592" s="37"/>
      <c r="G592" s="38"/>
      <c r="H592" s="31">
        <f>_xlfn.XLOOKUP(PO[[#This Row],[Supplier name]], Supplier_master[Supplier name], Supplier_master[Category L1], 0)</f>
        <v>0</v>
      </c>
      <c r="I592" s="31">
        <f>_xlfn.XLOOKUP(PO[[#This Row],[Supplier name]], Supplier_master[Supplier name], Supplier_master[Category L2], 0)</f>
        <v>0</v>
      </c>
      <c r="J592" s="55"/>
      <c r="K592" s="55"/>
      <c r="L592" s="31">
        <f>IF(PO[[#This Row],[Spend category L1 - Override]] &lt;&gt; "", PO[[#This Row],[Spend category L1 - Override]], PO[[#This Row],[Spend category L1]])</f>
        <v>0</v>
      </c>
      <c r="M592" s="31">
        <f>IF(PO[[#This Row],[Spend category L2 - Override]] &lt;&gt; "", PO[[#This Row],[Spend category L2 - Override]], PO[[#This Row],[Spend category L2]])</f>
        <v>0</v>
      </c>
      <c r="N592" s="63">
        <f>Assumptions!$D$15</f>
        <v>0.1</v>
      </c>
      <c r="O592" s="45">
        <f>IF(PO[[#This Row],[GST applies?]] = "Yes", (PO[[#This Row],[Value inc. GST]] / 1 + PO[[#This Row],[GST %]]) * PO[[#This Row],[GST %]], 0)</f>
        <v>0</v>
      </c>
      <c r="P592" s="31">
        <f>_xlfn.XLOOKUP(PO[[#This Row],[Supplier name]], Supplier_master[Supplier name], Supplier_master[EOM or Net], 0)</f>
        <v>0</v>
      </c>
      <c r="Q592" s="31">
        <f>_xlfn.XLOOKUP(PO[[#This Row],[Supplier name]], Supplier_master[Supplier name], Supplier_master[Terms days], 0)</f>
        <v>0</v>
      </c>
      <c r="R5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2" s="4"/>
      <c r="T592" s="46">
        <f>IF(PO[[#This Row],[Payment date - override (dd/mm/yyyy)]] &lt;&gt; "", PO[[#This Row],[Payment date - override (dd/mm/yyyy)]], PO[[#This Row],[Due date (dd/mm/yyyy)]])</f>
        <v>0</v>
      </c>
      <c r="U592" s="46">
        <f t="shared" si="9"/>
        <v>52</v>
      </c>
    </row>
    <row r="593" spans="3:21" x14ac:dyDescent="0.25">
      <c r="C593" s="24"/>
      <c r="D593" s="20"/>
      <c r="E593" s="4"/>
      <c r="F593" s="37"/>
      <c r="G593" s="38"/>
      <c r="H593" s="31">
        <f>_xlfn.XLOOKUP(PO[[#This Row],[Supplier name]], Supplier_master[Supplier name], Supplier_master[Category L1], 0)</f>
        <v>0</v>
      </c>
      <c r="I593" s="31">
        <f>_xlfn.XLOOKUP(PO[[#This Row],[Supplier name]], Supplier_master[Supplier name], Supplier_master[Category L2], 0)</f>
        <v>0</v>
      </c>
      <c r="J593" s="55"/>
      <c r="K593" s="55"/>
      <c r="L593" s="31">
        <f>IF(PO[[#This Row],[Spend category L1 - Override]] &lt;&gt; "", PO[[#This Row],[Spend category L1 - Override]], PO[[#This Row],[Spend category L1]])</f>
        <v>0</v>
      </c>
      <c r="M593" s="31">
        <f>IF(PO[[#This Row],[Spend category L2 - Override]] &lt;&gt; "", PO[[#This Row],[Spend category L2 - Override]], PO[[#This Row],[Spend category L2]])</f>
        <v>0</v>
      </c>
      <c r="N593" s="63">
        <f>Assumptions!$D$15</f>
        <v>0.1</v>
      </c>
      <c r="O593" s="45">
        <f>IF(PO[[#This Row],[GST applies?]] = "Yes", (PO[[#This Row],[Value inc. GST]] / 1 + PO[[#This Row],[GST %]]) * PO[[#This Row],[GST %]], 0)</f>
        <v>0</v>
      </c>
      <c r="P593" s="31">
        <f>_xlfn.XLOOKUP(PO[[#This Row],[Supplier name]], Supplier_master[Supplier name], Supplier_master[EOM or Net], 0)</f>
        <v>0</v>
      </c>
      <c r="Q593" s="31">
        <f>_xlfn.XLOOKUP(PO[[#This Row],[Supplier name]], Supplier_master[Supplier name], Supplier_master[Terms days], 0)</f>
        <v>0</v>
      </c>
      <c r="R5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3" s="4"/>
      <c r="T593" s="46">
        <f>IF(PO[[#This Row],[Payment date - override (dd/mm/yyyy)]] &lt;&gt; "", PO[[#This Row],[Payment date - override (dd/mm/yyyy)]], PO[[#This Row],[Due date (dd/mm/yyyy)]])</f>
        <v>0</v>
      </c>
      <c r="U593" s="46">
        <f t="shared" si="9"/>
        <v>52</v>
      </c>
    </row>
    <row r="594" spans="3:21" x14ac:dyDescent="0.25">
      <c r="C594" s="24"/>
      <c r="D594" s="20"/>
      <c r="E594" s="4"/>
      <c r="F594" s="37"/>
      <c r="G594" s="38"/>
      <c r="H594" s="31">
        <f>_xlfn.XLOOKUP(PO[[#This Row],[Supplier name]], Supplier_master[Supplier name], Supplier_master[Category L1], 0)</f>
        <v>0</v>
      </c>
      <c r="I594" s="31">
        <f>_xlfn.XLOOKUP(PO[[#This Row],[Supplier name]], Supplier_master[Supplier name], Supplier_master[Category L2], 0)</f>
        <v>0</v>
      </c>
      <c r="J594" s="55"/>
      <c r="K594" s="55"/>
      <c r="L594" s="31">
        <f>IF(PO[[#This Row],[Spend category L1 - Override]] &lt;&gt; "", PO[[#This Row],[Spend category L1 - Override]], PO[[#This Row],[Spend category L1]])</f>
        <v>0</v>
      </c>
      <c r="M594" s="31">
        <f>IF(PO[[#This Row],[Spend category L2 - Override]] &lt;&gt; "", PO[[#This Row],[Spend category L2 - Override]], PO[[#This Row],[Spend category L2]])</f>
        <v>0</v>
      </c>
      <c r="N594" s="63">
        <f>Assumptions!$D$15</f>
        <v>0.1</v>
      </c>
      <c r="O594" s="45">
        <f>IF(PO[[#This Row],[GST applies?]] = "Yes", (PO[[#This Row],[Value inc. GST]] / 1 + PO[[#This Row],[GST %]]) * PO[[#This Row],[GST %]], 0)</f>
        <v>0</v>
      </c>
      <c r="P594" s="31">
        <f>_xlfn.XLOOKUP(PO[[#This Row],[Supplier name]], Supplier_master[Supplier name], Supplier_master[EOM or Net], 0)</f>
        <v>0</v>
      </c>
      <c r="Q594" s="31">
        <f>_xlfn.XLOOKUP(PO[[#This Row],[Supplier name]], Supplier_master[Supplier name], Supplier_master[Terms days], 0)</f>
        <v>0</v>
      </c>
      <c r="R5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4" s="4"/>
      <c r="T594" s="46">
        <f>IF(PO[[#This Row],[Payment date - override (dd/mm/yyyy)]] &lt;&gt; "", PO[[#This Row],[Payment date - override (dd/mm/yyyy)]], PO[[#This Row],[Due date (dd/mm/yyyy)]])</f>
        <v>0</v>
      </c>
      <c r="U594" s="46">
        <f t="shared" si="9"/>
        <v>52</v>
      </c>
    </row>
    <row r="595" spans="3:21" x14ac:dyDescent="0.25">
      <c r="C595" s="24"/>
      <c r="D595" s="20"/>
      <c r="E595" s="4"/>
      <c r="F595" s="37"/>
      <c r="G595" s="38"/>
      <c r="H595" s="31">
        <f>_xlfn.XLOOKUP(PO[[#This Row],[Supplier name]], Supplier_master[Supplier name], Supplier_master[Category L1], 0)</f>
        <v>0</v>
      </c>
      <c r="I595" s="31">
        <f>_xlfn.XLOOKUP(PO[[#This Row],[Supplier name]], Supplier_master[Supplier name], Supplier_master[Category L2], 0)</f>
        <v>0</v>
      </c>
      <c r="J595" s="55"/>
      <c r="K595" s="55"/>
      <c r="L595" s="31">
        <f>IF(PO[[#This Row],[Spend category L1 - Override]] &lt;&gt; "", PO[[#This Row],[Spend category L1 - Override]], PO[[#This Row],[Spend category L1]])</f>
        <v>0</v>
      </c>
      <c r="M595" s="31">
        <f>IF(PO[[#This Row],[Spend category L2 - Override]] &lt;&gt; "", PO[[#This Row],[Spend category L2 - Override]], PO[[#This Row],[Spend category L2]])</f>
        <v>0</v>
      </c>
      <c r="N595" s="63">
        <f>Assumptions!$D$15</f>
        <v>0.1</v>
      </c>
      <c r="O595" s="45">
        <f>IF(PO[[#This Row],[GST applies?]] = "Yes", (PO[[#This Row],[Value inc. GST]] / 1 + PO[[#This Row],[GST %]]) * PO[[#This Row],[GST %]], 0)</f>
        <v>0</v>
      </c>
      <c r="P595" s="31">
        <f>_xlfn.XLOOKUP(PO[[#This Row],[Supplier name]], Supplier_master[Supplier name], Supplier_master[EOM or Net], 0)</f>
        <v>0</v>
      </c>
      <c r="Q595" s="31">
        <f>_xlfn.XLOOKUP(PO[[#This Row],[Supplier name]], Supplier_master[Supplier name], Supplier_master[Terms days], 0)</f>
        <v>0</v>
      </c>
      <c r="R5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5" s="4"/>
      <c r="T595" s="46">
        <f>IF(PO[[#This Row],[Payment date - override (dd/mm/yyyy)]] &lt;&gt; "", PO[[#This Row],[Payment date - override (dd/mm/yyyy)]], PO[[#This Row],[Due date (dd/mm/yyyy)]])</f>
        <v>0</v>
      </c>
      <c r="U595" s="46">
        <f t="shared" si="9"/>
        <v>52</v>
      </c>
    </row>
    <row r="596" spans="3:21" x14ac:dyDescent="0.25">
      <c r="C596" s="24"/>
      <c r="D596" s="20"/>
      <c r="E596" s="4"/>
      <c r="F596" s="37"/>
      <c r="G596" s="38"/>
      <c r="H596" s="31">
        <f>_xlfn.XLOOKUP(PO[[#This Row],[Supplier name]], Supplier_master[Supplier name], Supplier_master[Category L1], 0)</f>
        <v>0</v>
      </c>
      <c r="I596" s="31">
        <f>_xlfn.XLOOKUP(PO[[#This Row],[Supplier name]], Supplier_master[Supplier name], Supplier_master[Category L2], 0)</f>
        <v>0</v>
      </c>
      <c r="J596" s="55"/>
      <c r="K596" s="55"/>
      <c r="L596" s="31">
        <f>IF(PO[[#This Row],[Spend category L1 - Override]] &lt;&gt; "", PO[[#This Row],[Spend category L1 - Override]], PO[[#This Row],[Spend category L1]])</f>
        <v>0</v>
      </c>
      <c r="M596" s="31">
        <f>IF(PO[[#This Row],[Spend category L2 - Override]] &lt;&gt; "", PO[[#This Row],[Spend category L2 - Override]], PO[[#This Row],[Spend category L2]])</f>
        <v>0</v>
      </c>
      <c r="N596" s="63">
        <f>Assumptions!$D$15</f>
        <v>0.1</v>
      </c>
      <c r="O596" s="45">
        <f>IF(PO[[#This Row],[GST applies?]] = "Yes", (PO[[#This Row],[Value inc. GST]] / 1 + PO[[#This Row],[GST %]]) * PO[[#This Row],[GST %]], 0)</f>
        <v>0</v>
      </c>
      <c r="P596" s="31">
        <f>_xlfn.XLOOKUP(PO[[#This Row],[Supplier name]], Supplier_master[Supplier name], Supplier_master[EOM or Net], 0)</f>
        <v>0</v>
      </c>
      <c r="Q596" s="31">
        <f>_xlfn.XLOOKUP(PO[[#This Row],[Supplier name]], Supplier_master[Supplier name], Supplier_master[Terms days], 0)</f>
        <v>0</v>
      </c>
      <c r="R5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6" s="4"/>
      <c r="T596" s="46">
        <f>IF(PO[[#This Row],[Payment date - override (dd/mm/yyyy)]] &lt;&gt; "", PO[[#This Row],[Payment date - override (dd/mm/yyyy)]], PO[[#This Row],[Due date (dd/mm/yyyy)]])</f>
        <v>0</v>
      </c>
      <c r="U596" s="46">
        <f t="shared" si="9"/>
        <v>52</v>
      </c>
    </row>
    <row r="597" spans="3:21" x14ac:dyDescent="0.25">
      <c r="C597" s="24"/>
      <c r="D597" s="20"/>
      <c r="E597" s="4"/>
      <c r="F597" s="37"/>
      <c r="G597" s="38"/>
      <c r="H597" s="31">
        <f>_xlfn.XLOOKUP(PO[[#This Row],[Supplier name]], Supplier_master[Supplier name], Supplier_master[Category L1], 0)</f>
        <v>0</v>
      </c>
      <c r="I597" s="31">
        <f>_xlfn.XLOOKUP(PO[[#This Row],[Supplier name]], Supplier_master[Supplier name], Supplier_master[Category L2], 0)</f>
        <v>0</v>
      </c>
      <c r="J597" s="55"/>
      <c r="K597" s="55"/>
      <c r="L597" s="31">
        <f>IF(PO[[#This Row],[Spend category L1 - Override]] &lt;&gt; "", PO[[#This Row],[Spend category L1 - Override]], PO[[#This Row],[Spend category L1]])</f>
        <v>0</v>
      </c>
      <c r="M597" s="31">
        <f>IF(PO[[#This Row],[Spend category L2 - Override]] &lt;&gt; "", PO[[#This Row],[Spend category L2 - Override]], PO[[#This Row],[Spend category L2]])</f>
        <v>0</v>
      </c>
      <c r="N597" s="63">
        <f>Assumptions!$D$15</f>
        <v>0.1</v>
      </c>
      <c r="O597" s="45">
        <f>IF(PO[[#This Row],[GST applies?]] = "Yes", (PO[[#This Row],[Value inc. GST]] / 1 + PO[[#This Row],[GST %]]) * PO[[#This Row],[GST %]], 0)</f>
        <v>0</v>
      </c>
      <c r="P597" s="31">
        <f>_xlfn.XLOOKUP(PO[[#This Row],[Supplier name]], Supplier_master[Supplier name], Supplier_master[EOM or Net], 0)</f>
        <v>0</v>
      </c>
      <c r="Q597" s="31">
        <f>_xlfn.XLOOKUP(PO[[#This Row],[Supplier name]], Supplier_master[Supplier name], Supplier_master[Terms days], 0)</f>
        <v>0</v>
      </c>
      <c r="R5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7" s="4"/>
      <c r="T597" s="46">
        <f>IF(PO[[#This Row],[Payment date - override (dd/mm/yyyy)]] &lt;&gt; "", PO[[#This Row],[Payment date - override (dd/mm/yyyy)]], PO[[#This Row],[Due date (dd/mm/yyyy)]])</f>
        <v>0</v>
      </c>
      <c r="U597" s="46">
        <f t="shared" si="9"/>
        <v>52</v>
      </c>
    </row>
    <row r="598" spans="3:21" x14ac:dyDescent="0.25">
      <c r="C598" s="24"/>
      <c r="D598" s="20"/>
      <c r="E598" s="4"/>
      <c r="F598" s="37"/>
      <c r="G598" s="38"/>
      <c r="H598" s="31">
        <f>_xlfn.XLOOKUP(PO[[#This Row],[Supplier name]], Supplier_master[Supplier name], Supplier_master[Category L1], 0)</f>
        <v>0</v>
      </c>
      <c r="I598" s="31">
        <f>_xlfn.XLOOKUP(PO[[#This Row],[Supplier name]], Supplier_master[Supplier name], Supplier_master[Category L2], 0)</f>
        <v>0</v>
      </c>
      <c r="J598" s="55"/>
      <c r="K598" s="55"/>
      <c r="L598" s="31">
        <f>IF(PO[[#This Row],[Spend category L1 - Override]] &lt;&gt; "", PO[[#This Row],[Spend category L1 - Override]], PO[[#This Row],[Spend category L1]])</f>
        <v>0</v>
      </c>
      <c r="M598" s="31">
        <f>IF(PO[[#This Row],[Spend category L2 - Override]] &lt;&gt; "", PO[[#This Row],[Spend category L2 - Override]], PO[[#This Row],[Spend category L2]])</f>
        <v>0</v>
      </c>
      <c r="N598" s="63">
        <f>Assumptions!$D$15</f>
        <v>0.1</v>
      </c>
      <c r="O598" s="45">
        <f>IF(PO[[#This Row],[GST applies?]] = "Yes", (PO[[#This Row],[Value inc. GST]] / 1 + PO[[#This Row],[GST %]]) * PO[[#This Row],[GST %]], 0)</f>
        <v>0</v>
      </c>
      <c r="P598" s="31">
        <f>_xlfn.XLOOKUP(PO[[#This Row],[Supplier name]], Supplier_master[Supplier name], Supplier_master[EOM or Net], 0)</f>
        <v>0</v>
      </c>
      <c r="Q598" s="31">
        <f>_xlfn.XLOOKUP(PO[[#This Row],[Supplier name]], Supplier_master[Supplier name], Supplier_master[Terms days], 0)</f>
        <v>0</v>
      </c>
      <c r="R5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8" s="4"/>
      <c r="T598" s="46">
        <f>IF(PO[[#This Row],[Payment date - override (dd/mm/yyyy)]] &lt;&gt; "", PO[[#This Row],[Payment date - override (dd/mm/yyyy)]], PO[[#This Row],[Due date (dd/mm/yyyy)]])</f>
        <v>0</v>
      </c>
      <c r="U598" s="46">
        <f t="shared" si="9"/>
        <v>52</v>
      </c>
    </row>
    <row r="599" spans="3:21" x14ac:dyDescent="0.25">
      <c r="C599" s="24"/>
      <c r="D599" s="20"/>
      <c r="E599" s="4"/>
      <c r="F599" s="37"/>
      <c r="G599" s="38"/>
      <c r="H599" s="31">
        <f>_xlfn.XLOOKUP(PO[[#This Row],[Supplier name]], Supplier_master[Supplier name], Supplier_master[Category L1], 0)</f>
        <v>0</v>
      </c>
      <c r="I599" s="31">
        <f>_xlfn.XLOOKUP(PO[[#This Row],[Supplier name]], Supplier_master[Supplier name], Supplier_master[Category L2], 0)</f>
        <v>0</v>
      </c>
      <c r="J599" s="55"/>
      <c r="K599" s="55"/>
      <c r="L599" s="31">
        <f>IF(PO[[#This Row],[Spend category L1 - Override]] &lt;&gt; "", PO[[#This Row],[Spend category L1 - Override]], PO[[#This Row],[Spend category L1]])</f>
        <v>0</v>
      </c>
      <c r="M599" s="31">
        <f>IF(PO[[#This Row],[Spend category L2 - Override]] &lt;&gt; "", PO[[#This Row],[Spend category L2 - Override]], PO[[#This Row],[Spend category L2]])</f>
        <v>0</v>
      </c>
      <c r="N599" s="63">
        <f>Assumptions!$D$15</f>
        <v>0.1</v>
      </c>
      <c r="O599" s="45">
        <f>IF(PO[[#This Row],[GST applies?]] = "Yes", (PO[[#This Row],[Value inc. GST]] / 1 + PO[[#This Row],[GST %]]) * PO[[#This Row],[GST %]], 0)</f>
        <v>0</v>
      </c>
      <c r="P599" s="31">
        <f>_xlfn.XLOOKUP(PO[[#This Row],[Supplier name]], Supplier_master[Supplier name], Supplier_master[EOM or Net], 0)</f>
        <v>0</v>
      </c>
      <c r="Q599" s="31">
        <f>_xlfn.XLOOKUP(PO[[#This Row],[Supplier name]], Supplier_master[Supplier name], Supplier_master[Terms days], 0)</f>
        <v>0</v>
      </c>
      <c r="R5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9" s="4"/>
      <c r="T599" s="46">
        <f>IF(PO[[#This Row],[Payment date - override (dd/mm/yyyy)]] &lt;&gt; "", PO[[#This Row],[Payment date - override (dd/mm/yyyy)]], PO[[#This Row],[Due date (dd/mm/yyyy)]])</f>
        <v>0</v>
      </c>
      <c r="U599" s="46">
        <f t="shared" si="9"/>
        <v>52</v>
      </c>
    </row>
    <row r="600" spans="3:21" x14ac:dyDescent="0.25">
      <c r="C600" s="24"/>
      <c r="D600" s="20"/>
      <c r="E600" s="4"/>
      <c r="F600" s="37"/>
      <c r="G600" s="38"/>
      <c r="H600" s="31">
        <f>_xlfn.XLOOKUP(PO[[#This Row],[Supplier name]], Supplier_master[Supplier name], Supplier_master[Category L1], 0)</f>
        <v>0</v>
      </c>
      <c r="I600" s="31">
        <f>_xlfn.XLOOKUP(PO[[#This Row],[Supplier name]], Supplier_master[Supplier name], Supplier_master[Category L2], 0)</f>
        <v>0</v>
      </c>
      <c r="J600" s="55"/>
      <c r="K600" s="55"/>
      <c r="L600" s="31">
        <f>IF(PO[[#This Row],[Spend category L1 - Override]] &lt;&gt; "", PO[[#This Row],[Spend category L1 - Override]], PO[[#This Row],[Spend category L1]])</f>
        <v>0</v>
      </c>
      <c r="M600" s="31">
        <f>IF(PO[[#This Row],[Spend category L2 - Override]] &lt;&gt; "", PO[[#This Row],[Spend category L2 - Override]], PO[[#This Row],[Spend category L2]])</f>
        <v>0</v>
      </c>
      <c r="N600" s="63">
        <f>Assumptions!$D$15</f>
        <v>0.1</v>
      </c>
      <c r="O600" s="45">
        <f>IF(PO[[#This Row],[GST applies?]] = "Yes", (PO[[#This Row],[Value inc. GST]] / 1 + PO[[#This Row],[GST %]]) * PO[[#This Row],[GST %]], 0)</f>
        <v>0</v>
      </c>
      <c r="P600" s="31">
        <f>_xlfn.XLOOKUP(PO[[#This Row],[Supplier name]], Supplier_master[Supplier name], Supplier_master[EOM or Net], 0)</f>
        <v>0</v>
      </c>
      <c r="Q600" s="31">
        <f>_xlfn.XLOOKUP(PO[[#This Row],[Supplier name]], Supplier_master[Supplier name], Supplier_master[Terms days], 0)</f>
        <v>0</v>
      </c>
      <c r="R6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0" s="4"/>
      <c r="T600" s="46">
        <f>IF(PO[[#This Row],[Payment date - override (dd/mm/yyyy)]] &lt;&gt; "", PO[[#This Row],[Payment date - override (dd/mm/yyyy)]], PO[[#This Row],[Due date (dd/mm/yyyy)]])</f>
        <v>0</v>
      </c>
      <c r="U600" s="46">
        <f t="shared" si="9"/>
        <v>52</v>
      </c>
    </row>
    <row r="601" spans="3:21" x14ac:dyDescent="0.25">
      <c r="C601" s="24"/>
      <c r="D601" s="20"/>
      <c r="E601" s="4"/>
      <c r="F601" s="37"/>
      <c r="G601" s="38"/>
      <c r="H601" s="31">
        <f>_xlfn.XLOOKUP(PO[[#This Row],[Supplier name]], Supplier_master[Supplier name], Supplier_master[Category L1], 0)</f>
        <v>0</v>
      </c>
      <c r="I601" s="31">
        <f>_xlfn.XLOOKUP(PO[[#This Row],[Supplier name]], Supplier_master[Supplier name], Supplier_master[Category L2], 0)</f>
        <v>0</v>
      </c>
      <c r="J601" s="55"/>
      <c r="K601" s="55"/>
      <c r="L601" s="31">
        <f>IF(PO[[#This Row],[Spend category L1 - Override]] &lt;&gt; "", PO[[#This Row],[Spend category L1 - Override]], PO[[#This Row],[Spend category L1]])</f>
        <v>0</v>
      </c>
      <c r="M601" s="31">
        <f>IF(PO[[#This Row],[Spend category L2 - Override]] &lt;&gt; "", PO[[#This Row],[Spend category L2 - Override]], PO[[#This Row],[Spend category L2]])</f>
        <v>0</v>
      </c>
      <c r="N601" s="63">
        <f>Assumptions!$D$15</f>
        <v>0.1</v>
      </c>
      <c r="O601" s="45">
        <f>IF(PO[[#This Row],[GST applies?]] = "Yes", (PO[[#This Row],[Value inc. GST]] / 1 + PO[[#This Row],[GST %]]) * PO[[#This Row],[GST %]], 0)</f>
        <v>0</v>
      </c>
      <c r="P601" s="31">
        <f>_xlfn.XLOOKUP(PO[[#This Row],[Supplier name]], Supplier_master[Supplier name], Supplier_master[EOM or Net], 0)</f>
        <v>0</v>
      </c>
      <c r="Q601" s="31">
        <f>_xlfn.XLOOKUP(PO[[#This Row],[Supplier name]], Supplier_master[Supplier name], Supplier_master[Terms days], 0)</f>
        <v>0</v>
      </c>
      <c r="R6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1" s="4"/>
      <c r="T601" s="46">
        <f>IF(PO[[#This Row],[Payment date - override (dd/mm/yyyy)]] &lt;&gt; "", PO[[#This Row],[Payment date - override (dd/mm/yyyy)]], PO[[#This Row],[Due date (dd/mm/yyyy)]])</f>
        <v>0</v>
      </c>
      <c r="U601" s="46">
        <f t="shared" si="9"/>
        <v>52</v>
      </c>
    </row>
    <row r="602" spans="3:21" x14ac:dyDescent="0.25">
      <c r="C602" s="24"/>
      <c r="D602" s="20"/>
      <c r="E602" s="4"/>
      <c r="F602" s="37"/>
      <c r="G602" s="38"/>
      <c r="H602" s="31">
        <f>_xlfn.XLOOKUP(PO[[#This Row],[Supplier name]], Supplier_master[Supplier name], Supplier_master[Category L1], 0)</f>
        <v>0</v>
      </c>
      <c r="I602" s="31">
        <f>_xlfn.XLOOKUP(PO[[#This Row],[Supplier name]], Supplier_master[Supplier name], Supplier_master[Category L2], 0)</f>
        <v>0</v>
      </c>
      <c r="J602" s="55"/>
      <c r="K602" s="55"/>
      <c r="L602" s="31">
        <f>IF(PO[[#This Row],[Spend category L1 - Override]] &lt;&gt; "", PO[[#This Row],[Spend category L1 - Override]], PO[[#This Row],[Spend category L1]])</f>
        <v>0</v>
      </c>
      <c r="M602" s="31">
        <f>IF(PO[[#This Row],[Spend category L2 - Override]] &lt;&gt; "", PO[[#This Row],[Spend category L2 - Override]], PO[[#This Row],[Spend category L2]])</f>
        <v>0</v>
      </c>
      <c r="N602" s="63">
        <f>Assumptions!$D$15</f>
        <v>0.1</v>
      </c>
      <c r="O602" s="45">
        <f>IF(PO[[#This Row],[GST applies?]] = "Yes", (PO[[#This Row],[Value inc. GST]] / 1 + PO[[#This Row],[GST %]]) * PO[[#This Row],[GST %]], 0)</f>
        <v>0</v>
      </c>
      <c r="P602" s="31">
        <f>_xlfn.XLOOKUP(PO[[#This Row],[Supplier name]], Supplier_master[Supplier name], Supplier_master[EOM or Net], 0)</f>
        <v>0</v>
      </c>
      <c r="Q602" s="31">
        <f>_xlfn.XLOOKUP(PO[[#This Row],[Supplier name]], Supplier_master[Supplier name], Supplier_master[Terms days], 0)</f>
        <v>0</v>
      </c>
      <c r="R6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2" s="4"/>
      <c r="T602" s="46">
        <f>IF(PO[[#This Row],[Payment date - override (dd/mm/yyyy)]] &lt;&gt; "", PO[[#This Row],[Payment date - override (dd/mm/yyyy)]], PO[[#This Row],[Due date (dd/mm/yyyy)]])</f>
        <v>0</v>
      </c>
      <c r="U602" s="46">
        <f t="shared" si="9"/>
        <v>52</v>
      </c>
    </row>
    <row r="603" spans="3:21" x14ac:dyDescent="0.25">
      <c r="C603" s="24"/>
      <c r="D603" s="20"/>
      <c r="E603" s="4"/>
      <c r="F603" s="37"/>
      <c r="G603" s="38"/>
      <c r="H603" s="31">
        <f>_xlfn.XLOOKUP(PO[[#This Row],[Supplier name]], Supplier_master[Supplier name], Supplier_master[Category L1], 0)</f>
        <v>0</v>
      </c>
      <c r="I603" s="31">
        <f>_xlfn.XLOOKUP(PO[[#This Row],[Supplier name]], Supplier_master[Supplier name], Supplier_master[Category L2], 0)</f>
        <v>0</v>
      </c>
      <c r="J603" s="55"/>
      <c r="K603" s="55"/>
      <c r="L603" s="31">
        <f>IF(PO[[#This Row],[Spend category L1 - Override]] &lt;&gt; "", PO[[#This Row],[Spend category L1 - Override]], PO[[#This Row],[Spend category L1]])</f>
        <v>0</v>
      </c>
      <c r="M603" s="31">
        <f>IF(PO[[#This Row],[Spend category L2 - Override]] &lt;&gt; "", PO[[#This Row],[Spend category L2 - Override]], PO[[#This Row],[Spend category L2]])</f>
        <v>0</v>
      </c>
      <c r="N603" s="63">
        <f>Assumptions!$D$15</f>
        <v>0.1</v>
      </c>
      <c r="O603" s="45">
        <f>IF(PO[[#This Row],[GST applies?]] = "Yes", (PO[[#This Row],[Value inc. GST]] / 1 + PO[[#This Row],[GST %]]) * PO[[#This Row],[GST %]], 0)</f>
        <v>0</v>
      </c>
      <c r="P603" s="31">
        <f>_xlfn.XLOOKUP(PO[[#This Row],[Supplier name]], Supplier_master[Supplier name], Supplier_master[EOM or Net], 0)</f>
        <v>0</v>
      </c>
      <c r="Q603" s="31">
        <f>_xlfn.XLOOKUP(PO[[#This Row],[Supplier name]], Supplier_master[Supplier name], Supplier_master[Terms days], 0)</f>
        <v>0</v>
      </c>
      <c r="R6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3" s="4"/>
      <c r="T603" s="46">
        <f>IF(PO[[#This Row],[Payment date - override (dd/mm/yyyy)]] &lt;&gt; "", PO[[#This Row],[Payment date - override (dd/mm/yyyy)]], PO[[#This Row],[Due date (dd/mm/yyyy)]])</f>
        <v>0</v>
      </c>
      <c r="U603" s="46">
        <f t="shared" si="9"/>
        <v>52</v>
      </c>
    </row>
    <row r="604" spans="3:21" x14ac:dyDescent="0.25">
      <c r="C604" s="24"/>
      <c r="D604" s="20"/>
      <c r="E604" s="4"/>
      <c r="F604" s="37"/>
      <c r="G604" s="38"/>
      <c r="H604" s="31">
        <f>_xlfn.XLOOKUP(PO[[#This Row],[Supplier name]], Supplier_master[Supplier name], Supplier_master[Category L1], 0)</f>
        <v>0</v>
      </c>
      <c r="I604" s="31">
        <f>_xlfn.XLOOKUP(PO[[#This Row],[Supplier name]], Supplier_master[Supplier name], Supplier_master[Category L2], 0)</f>
        <v>0</v>
      </c>
      <c r="J604" s="55"/>
      <c r="K604" s="55"/>
      <c r="L604" s="31">
        <f>IF(PO[[#This Row],[Spend category L1 - Override]] &lt;&gt; "", PO[[#This Row],[Spend category L1 - Override]], PO[[#This Row],[Spend category L1]])</f>
        <v>0</v>
      </c>
      <c r="M604" s="31">
        <f>IF(PO[[#This Row],[Spend category L2 - Override]] &lt;&gt; "", PO[[#This Row],[Spend category L2 - Override]], PO[[#This Row],[Spend category L2]])</f>
        <v>0</v>
      </c>
      <c r="N604" s="63">
        <f>Assumptions!$D$15</f>
        <v>0.1</v>
      </c>
      <c r="O604" s="45">
        <f>IF(PO[[#This Row],[GST applies?]] = "Yes", (PO[[#This Row],[Value inc. GST]] / 1 + PO[[#This Row],[GST %]]) * PO[[#This Row],[GST %]], 0)</f>
        <v>0</v>
      </c>
      <c r="P604" s="31">
        <f>_xlfn.XLOOKUP(PO[[#This Row],[Supplier name]], Supplier_master[Supplier name], Supplier_master[EOM or Net], 0)</f>
        <v>0</v>
      </c>
      <c r="Q604" s="31">
        <f>_xlfn.XLOOKUP(PO[[#This Row],[Supplier name]], Supplier_master[Supplier name], Supplier_master[Terms days], 0)</f>
        <v>0</v>
      </c>
      <c r="R6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4" s="4"/>
      <c r="T604" s="46">
        <f>IF(PO[[#This Row],[Payment date - override (dd/mm/yyyy)]] &lt;&gt; "", PO[[#This Row],[Payment date - override (dd/mm/yyyy)]], PO[[#This Row],[Due date (dd/mm/yyyy)]])</f>
        <v>0</v>
      </c>
      <c r="U604" s="46">
        <f t="shared" si="9"/>
        <v>52</v>
      </c>
    </row>
    <row r="605" spans="3:21" x14ac:dyDescent="0.25">
      <c r="C605" s="24"/>
      <c r="D605" s="20"/>
      <c r="E605" s="4"/>
      <c r="F605" s="37"/>
      <c r="G605" s="38"/>
      <c r="H605" s="31">
        <f>_xlfn.XLOOKUP(PO[[#This Row],[Supplier name]], Supplier_master[Supplier name], Supplier_master[Category L1], 0)</f>
        <v>0</v>
      </c>
      <c r="I605" s="31">
        <f>_xlfn.XLOOKUP(PO[[#This Row],[Supplier name]], Supplier_master[Supplier name], Supplier_master[Category L2], 0)</f>
        <v>0</v>
      </c>
      <c r="J605" s="55"/>
      <c r="K605" s="55"/>
      <c r="L605" s="31">
        <f>IF(PO[[#This Row],[Spend category L1 - Override]] &lt;&gt; "", PO[[#This Row],[Spend category L1 - Override]], PO[[#This Row],[Spend category L1]])</f>
        <v>0</v>
      </c>
      <c r="M605" s="31">
        <f>IF(PO[[#This Row],[Spend category L2 - Override]] &lt;&gt; "", PO[[#This Row],[Spend category L2 - Override]], PO[[#This Row],[Spend category L2]])</f>
        <v>0</v>
      </c>
      <c r="N605" s="63">
        <f>Assumptions!$D$15</f>
        <v>0.1</v>
      </c>
      <c r="O605" s="45">
        <f>IF(PO[[#This Row],[GST applies?]] = "Yes", (PO[[#This Row],[Value inc. GST]] / 1 + PO[[#This Row],[GST %]]) * PO[[#This Row],[GST %]], 0)</f>
        <v>0</v>
      </c>
      <c r="P605" s="31">
        <f>_xlfn.XLOOKUP(PO[[#This Row],[Supplier name]], Supplier_master[Supplier name], Supplier_master[EOM or Net], 0)</f>
        <v>0</v>
      </c>
      <c r="Q605" s="31">
        <f>_xlfn.XLOOKUP(PO[[#This Row],[Supplier name]], Supplier_master[Supplier name], Supplier_master[Terms days], 0)</f>
        <v>0</v>
      </c>
      <c r="R6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5" s="4"/>
      <c r="T605" s="46">
        <f>IF(PO[[#This Row],[Payment date - override (dd/mm/yyyy)]] &lt;&gt; "", PO[[#This Row],[Payment date - override (dd/mm/yyyy)]], PO[[#This Row],[Due date (dd/mm/yyyy)]])</f>
        <v>0</v>
      </c>
      <c r="U605" s="46">
        <f t="shared" si="9"/>
        <v>52</v>
      </c>
    </row>
    <row r="606" spans="3:21" x14ac:dyDescent="0.25">
      <c r="C606" s="24"/>
      <c r="D606" s="20"/>
      <c r="E606" s="4"/>
      <c r="F606" s="37"/>
      <c r="G606" s="38"/>
      <c r="H606" s="31">
        <f>_xlfn.XLOOKUP(PO[[#This Row],[Supplier name]], Supplier_master[Supplier name], Supplier_master[Category L1], 0)</f>
        <v>0</v>
      </c>
      <c r="I606" s="31">
        <f>_xlfn.XLOOKUP(PO[[#This Row],[Supplier name]], Supplier_master[Supplier name], Supplier_master[Category L2], 0)</f>
        <v>0</v>
      </c>
      <c r="J606" s="55"/>
      <c r="K606" s="55"/>
      <c r="L606" s="31">
        <f>IF(PO[[#This Row],[Spend category L1 - Override]] &lt;&gt; "", PO[[#This Row],[Spend category L1 - Override]], PO[[#This Row],[Spend category L1]])</f>
        <v>0</v>
      </c>
      <c r="M606" s="31">
        <f>IF(PO[[#This Row],[Spend category L2 - Override]] &lt;&gt; "", PO[[#This Row],[Spend category L2 - Override]], PO[[#This Row],[Spend category L2]])</f>
        <v>0</v>
      </c>
      <c r="N606" s="63">
        <f>Assumptions!$D$15</f>
        <v>0.1</v>
      </c>
      <c r="O606" s="45">
        <f>IF(PO[[#This Row],[GST applies?]] = "Yes", (PO[[#This Row],[Value inc. GST]] / 1 + PO[[#This Row],[GST %]]) * PO[[#This Row],[GST %]], 0)</f>
        <v>0</v>
      </c>
      <c r="P606" s="31">
        <f>_xlfn.XLOOKUP(PO[[#This Row],[Supplier name]], Supplier_master[Supplier name], Supplier_master[EOM or Net], 0)</f>
        <v>0</v>
      </c>
      <c r="Q606" s="31">
        <f>_xlfn.XLOOKUP(PO[[#This Row],[Supplier name]], Supplier_master[Supplier name], Supplier_master[Terms days], 0)</f>
        <v>0</v>
      </c>
      <c r="R6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6" s="4"/>
      <c r="T606" s="46">
        <f>IF(PO[[#This Row],[Payment date - override (dd/mm/yyyy)]] &lt;&gt; "", PO[[#This Row],[Payment date - override (dd/mm/yyyy)]], PO[[#This Row],[Due date (dd/mm/yyyy)]])</f>
        <v>0</v>
      </c>
      <c r="U606" s="46">
        <f t="shared" si="9"/>
        <v>52</v>
      </c>
    </row>
    <row r="607" spans="3:21" x14ac:dyDescent="0.25">
      <c r="C607" s="24"/>
      <c r="D607" s="20"/>
      <c r="E607" s="4"/>
      <c r="F607" s="37"/>
      <c r="G607" s="38"/>
      <c r="H607" s="31">
        <f>_xlfn.XLOOKUP(PO[[#This Row],[Supplier name]], Supplier_master[Supplier name], Supplier_master[Category L1], 0)</f>
        <v>0</v>
      </c>
      <c r="I607" s="31">
        <f>_xlfn.XLOOKUP(PO[[#This Row],[Supplier name]], Supplier_master[Supplier name], Supplier_master[Category L2], 0)</f>
        <v>0</v>
      </c>
      <c r="J607" s="55"/>
      <c r="K607" s="55"/>
      <c r="L607" s="31">
        <f>IF(PO[[#This Row],[Spend category L1 - Override]] &lt;&gt; "", PO[[#This Row],[Spend category L1 - Override]], PO[[#This Row],[Spend category L1]])</f>
        <v>0</v>
      </c>
      <c r="M607" s="31">
        <f>IF(PO[[#This Row],[Spend category L2 - Override]] &lt;&gt; "", PO[[#This Row],[Spend category L2 - Override]], PO[[#This Row],[Spend category L2]])</f>
        <v>0</v>
      </c>
      <c r="N607" s="63">
        <f>Assumptions!$D$15</f>
        <v>0.1</v>
      </c>
      <c r="O607" s="45">
        <f>IF(PO[[#This Row],[GST applies?]] = "Yes", (PO[[#This Row],[Value inc. GST]] / 1 + PO[[#This Row],[GST %]]) * PO[[#This Row],[GST %]], 0)</f>
        <v>0</v>
      </c>
      <c r="P607" s="31">
        <f>_xlfn.XLOOKUP(PO[[#This Row],[Supplier name]], Supplier_master[Supplier name], Supplier_master[EOM or Net], 0)</f>
        <v>0</v>
      </c>
      <c r="Q607" s="31">
        <f>_xlfn.XLOOKUP(PO[[#This Row],[Supplier name]], Supplier_master[Supplier name], Supplier_master[Terms days], 0)</f>
        <v>0</v>
      </c>
      <c r="R6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7" s="4"/>
      <c r="T607" s="46">
        <f>IF(PO[[#This Row],[Payment date - override (dd/mm/yyyy)]] &lt;&gt; "", PO[[#This Row],[Payment date - override (dd/mm/yyyy)]], PO[[#This Row],[Due date (dd/mm/yyyy)]])</f>
        <v>0</v>
      </c>
      <c r="U607" s="46">
        <f t="shared" si="9"/>
        <v>52</v>
      </c>
    </row>
    <row r="608" spans="3:21" x14ac:dyDescent="0.25">
      <c r="C608" s="24"/>
      <c r="D608" s="20"/>
      <c r="E608" s="4"/>
      <c r="F608" s="37"/>
      <c r="G608" s="38"/>
      <c r="H608" s="31">
        <f>_xlfn.XLOOKUP(PO[[#This Row],[Supplier name]], Supplier_master[Supplier name], Supplier_master[Category L1], 0)</f>
        <v>0</v>
      </c>
      <c r="I608" s="31">
        <f>_xlfn.XLOOKUP(PO[[#This Row],[Supplier name]], Supplier_master[Supplier name], Supplier_master[Category L2], 0)</f>
        <v>0</v>
      </c>
      <c r="J608" s="55"/>
      <c r="K608" s="55"/>
      <c r="L608" s="31">
        <f>IF(PO[[#This Row],[Spend category L1 - Override]] &lt;&gt; "", PO[[#This Row],[Spend category L1 - Override]], PO[[#This Row],[Spend category L1]])</f>
        <v>0</v>
      </c>
      <c r="M608" s="31">
        <f>IF(PO[[#This Row],[Spend category L2 - Override]] &lt;&gt; "", PO[[#This Row],[Spend category L2 - Override]], PO[[#This Row],[Spend category L2]])</f>
        <v>0</v>
      </c>
      <c r="N608" s="63">
        <f>Assumptions!$D$15</f>
        <v>0.1</v>
      </c>
      <c r="O608" s="45">
        <f>IF(PO[[#This Row],[GST applies?]] = "Yes", (PO[[#This Row],[Value inc. GST]] / 1 + PO[[#This Row],[GST %]]) * PO[[#This Row],[GST %]], 0)</f>
        <v>0</v>
      </c>
      <c r="P608" s="31">
        <f>_xlfn.XLOOKUP(PO[[#This Row],[Supplier name]], Supplier_master[Supplier name], Supplier_master[EOM or Net], 0)</f>
        <v>0</v>
      </c>
      <c r="Q608" s="31">
        <f>_xlfn.XLOOKUP(PO[[#This Row],[Supplier name]], Supplier_master[Supplier name], Supplier_master[Terms days], 0)</f>
        <v>0</v>
      </c>
      <c r="R6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8" s="4"/>
      <c r="T608" s="46">
        <f>IF(PO[[#This Row],[Payment date - override (dd/mm/yyyy)]] &lt;&gt; "", PO[[#This Row],[Payment date - override (dd/mm/yyyy)]], PO[[#This Row],[Due date (dd/mm/yyyy)]])</f>
        <v>0</v>
      </c>
      <c r="U608" s="46">
        <f t="shared" si="9"/>
        <v>52</v>
      </c>
    </row>
    <row r="609" spans="3:21" x14ac:dyDescent="0.25">
      <c r="C609" s="24"/>
      <c r="D609" s="20"/>
      <c r="E609" s="4"/>
      <c r="F609" s="37"/>
      <c r="G609" s="38"/>
      <c r="H609" s="31">
        <f>_xlfn.XLOOKUP(PO[[#This Row],[Supplier name]], Supplier_master[Supplier name], Supplier_master[Category L1], 0)</f>
        <v>0</v>
      </c>
      <c r="I609" s="31">
        <f>_xlfn.XLOOKUP(PO[[#This Row],[Supplier name]], Supplier_master[Supplier name], Supplier_master[Category L2], 0)</f>
        <v>0</v>
      </c>
      <c r="J609" s="55"/>
      <c r="K609" s="55"/>
      <c r="L609" s="31">
        <f>IF(PO[[#This Row],[Spend category L1 - Override]] &lt;&gt; "", PO[[#This Row],[Spend category L1 - Override]], PO[[#This Row],[Spend category L1]])</f>
        <v>0</v>
      </c>
      <c r="M609" s="31">
        <f>IF(PO[[#This Row],[Spend category L2 - Override]] &lt;&gt; "", PO[[#This Row],[Spend category L2 - Override]], PO[[#This Row],[Spend category L2]])</f>
        <v>0</v>
      </c>
      <c r="N609" s="63">
        <f>Assumptions!$D$15</f>
        <v>0.1</v>
      </c>
      <c r="O609" s="45">
        <f>IF(PO[[#This Row],[GST applies?]] = "Yes", (PO[[#This Row],[Value inc. GST]] / 1 + PO[[#This Row],[GST %]]) * PO[[#This Row],[GST %]], 0)</f>
        <v>0</v>
      </c>
      <c r="P609" s="31">
        <f>_xlfn.XLOOKUP(PO[[#This Row],[Supplier name]], Supplier_master[Supplier name], Supplier_master[EOM or Net], 0)</f>
        <v>0</v>
      </c>
      <c r="Q609" s="31">
        <f>_xlfn.XLOOKUP(PO[[#This Row],[Supplier name]], Supplier_master[Supplier name], Supplier_master[Terms days], 0)</f>
        <v>0</v>
      </c>
      <c r="R6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9" s="4"/>
      <c r="T609" s="46">
        <f>IF(PO[[#This Row],[Payment date - override (dd/mm/yyyy)]] &lt;&gt; "", PO[[#This Row],[Payment date - override (dd/mm/yyyy)]], PO[[#This Row],[Due date (dd/mm/yyyy)]])</f>
        <v>0</v>
      </c>
      <c r="U609" s="46">
        <f t="shared" si="9"/>
        <v>52</v>
      </c>
    </row>
    <row r="610" spans="3:21" x14ac:dyDescent="0.25">
      <c r="C610" s="24"/>
      <c r="D610" s="20"/>
      <c r="E610" s="4"/>
      <c r="F610" s="37"/>
      <c r="G610" s="38"/>
      <c r="H610" s="31">
        <f>_xlfn.XLOOKUP(PO[[#This Row],[Supplier name]], Supplier_master[Supplier name], Supplier_master[Category L1], 0)</f>
        <v>0</v>
      </c>
      <c r="I610" s="31">
        <f>_xlfn.XLOOKUP(PO[[#This Row],[Supplier name]], Supplier_master[Supplier name], Supplier_master[Category L2], 0)</f>
        <v>0</v>
      </c>
      <c r="J610" s="55"/>
      <c r="K610" s="55"/>
      <c r="L610" s="31">
        <f>IF(PO[[#This Row],[Spend category L1 - Override]] &lt;&gt; "", PO[[#This Row],[Spend category L1 - Override]], PO[[#This Row],[Spend category L1]])</f>
        <v>0</v>
      </c>
      <c r="M610" s="31">
        <f>IF(PO[[#This Row],[Spend category L2 - Override]] &lt;&gt; "", PO[[#This Row],[Spend category L2 - Override]], PO[[#This Row],[Spend category L2]])</f>
        <v>0</v>
      </c>
      <c r="N610" s="63">
        <f>Assumptions!$D$15</f>
        <v>0.1</v>
      </c>
      <c r="O610" s="45">
        <f>IF(PO[[#This Row],[GST applies?]] = "Yes", (PO[[#This Row],[Value inc. GST]] / 1 + PO[[#This Row],[GST %]]) * PO[[#This Row],[GST %]], 0)</f>
        <v>0</v>
      </c>
      <c r="P610" s="31">
        <f>_xlfn.XLOOKUP(PO[[#This Row],[Supplier name]], Supplier_master[Supplier name], Supplier_master[EOM or Net], 0)</f>
        <v>0</v>
      </c>
      <c r="Q610" s="31">
        <f>_xlfn.XLOOKUP(PO[[#This Row],[Supplier name]], Supplier_master[Supplier name], Supplier_master[Terms days], 0)</f>
        <v>0</v>
      </c>
      <c r="R6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0" s="4"/>
      <c r="T610" s="46">
        <f>IF(PO[[#This Row],[Payment date - override (dd/mm/yyyy)]] &lt;&gt; "", PO[[#This Row],[Payment date - override (dd/mm/yyyy)]], PO[[#This Row],[Due date (dd/mm/yyyy)]])</f>
        <v>0</v>
      </c>
      <c r="U610" s="46">
        <f t="shared" si="9"/>
        <v>52</v>
      </c>
    </row>
    <row r="611" spans="3:21" x14ac:dyDescent="0.25">
      <c r="C611" s="24"/>
      <c r="D611" s="20"/>
      <c r="E611" s="4"/>
      <c r="F611" s="37"/>
      <c r="G611" s="38"/>
      <c r="H611" s="31">
        <f>_xlfn.XLOOKUP(PO[[#This Row],[Supplier name]], Supplier_master[Supplier name], Supplier_master[Category L1], 0)</f>
        <v>0</v>
      </c>
      <c r="I611" s="31">
        <f>_xlfn.XLOOKUP(PO[[#This Row],[Supplier name]], Supplier_master[Supplier name], Supplier_master[Category L2], 0)</f>
        <v>0</v>
      </c>
      <c r="J611" s="55"/>
      <c r="K611" s="55"/>
      <c r="L611" s="31">
        <f>IF(PO[[#This Row],[Spend category L1 - Override]] &lt;&gt; "", PO[[#This Row],[Spend category L1 - Override]], PO[[#This Row],[Spend category L1]])</f>
        <v>0</v>
      </c>
      <c r="M611" s="31">
        <f>IF(PO[[#This Row],[Spend category L2 - Override]] &lt;&gt; "", PO[[#This Row],[Spend category L2 - Override]], PO[[#This Row],[Spend category L2]])</f>
        <v>0</v>
      </c>
      <c r="N611" s="63">
        <f>Assumptions!$D$15</f>
        <v>0.1</v>
      </c>
      <c r="O611" s="45">
        <f>IF(PO[[#This Row],[GST applies?]] = "Yes", (PO[[#This Row],[Value inc. GST]] / 1 + PO[[#This Row],[GST %]]) * PO[[#This Row],[GST %]], 0)</f>
        <v>0</v>
      </c>
      <c r="P611" s="31">
        <f>_xlfn.XLOOKUP(PO[[#This Row],[Supplier name]], Supplier_master[Supplier name], Supplier_master[EOM or Net], 0)</f>
        <v>0</v>
      </c>
      <c r="Q611" s="31">
        <f>_xlfn.XLOOKUP(PO[[#This Row],[Supplier name]], Supplier_master[Supplier name], Supplier_master[Terms days], 0)</f>
        <v>0</v>
      </c>
      <c r="R6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1" s="4"/>
      <c r="T611" s="46">
        <f>IF(PO[[#This Row],[Payment date - override (dd/mm/yyyy)]] &lt;&gt; "", PO[[#This Row],[Payment date - override (dd/mm/yyyy)]], PO[[#This Row],[Due date (dd/mm/yyyy)]])</f>
        <v>0</v>
      </c>
      <c r="U611" s="46">
        <f t="shared" si="9"/>
        <v>52</v>
      </c>
    </row>
    <row r="612" spans="3:21" x14ac:dyDescent="0.25">
      <c r="C612" s="24"/>
      <c r="D612" s="20"/>
      <c r="E612" s="4"/>
      <c r="F612" s="37"/>
      <c r="G612" s="38"/>
      <c r="H612" s="31">
        <f>_xlfn.XLOOKUP(PO[[#This Row],[Supplier name]], Supplier_master[Supplier name], Supplier_master[Category L1], 0)</f>
        <v>0</v>
      </c>
      <c r="I612" s="31">
        <f>_xlfn.XLOOKUP(PO[[#This Row],[Supplier name]], Supplier_master[Supplier name], Supplier_master[Category L2], 0)</f>
        <v>0</v>
      </c>
      <c r="J612" s="55"/>
      <c r="K612" s="55"/>
      <c r="L612" s="31">
        <f>IF(PO[[#This Row],[Spend category L1 - Override]] &lt;&gt; "", PO[[#This Row],[Spend category L1 - Override]], PO[[#This Row],[Spend category L1]])</f>
        <v>0</v>
      </c>
      <c r="M612" s="31">
        <f>IF(PO[[#This Row],[Spend category L2 - Override]] &lt;&gt; "", PO[[#This Row],[Spend category L2 - Override]], PO[[#This Row],[Spend category L2]])</f>
        <v>0</v>
      </c>
      <c r="N612" s="63">
        <f>Assumptions!$D$15</f>
        <v>0.1</v>
      </c>
      <c r="O612" s="45">
        <f>IF(PO[[#This Row],[GST applies?]] = "Yes", (PO[[#This Row],[Value inc. GST]] / 1 + PO[[#This Row],[GST %]]) * PO[[#This Row],[GST %]], 0)</f>
        <v>0</v>
      </c>
      <c r="P612" s="31">
        <f>_xlfn.XLOOKUP(PO[[#This Row],[Supplier name]], Supplier_master[Supplier name], Supplier_master[EOM or Net], 0)</f>
        <v>0</v>
      </c>
      <c r="Q612" s="31">
        <f>_xlfn.XLOOKUP(PO[[#This Row],[Supplier name]], Supplier_master[Supplier name], Supplier_master[Terms days], 0)</f>
        <v>0</v>
      </c>
      <c r="R6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2" s="4"/>
      <c r="T612" s="46">
        <f>IF(PO[[#This Row],[Payment date - override (dd/mm/yyyy)]] &lt;&gt; "", PO[[#This Row],[Payment date - override (dd/mm/yyyy)]], PO[[#This Row],[Due date (dd/mm/yyyy)]])</f>
        <v>0</v>
      </c>
      <c r="U612" s="46">
        <f t="shared" si="9"/>
        <v>52</v>
      </c>
    </row>
    <row r="613" spans="3:21" x14ac:dyDescent="0.25">
      <c r="C613" s="24"/>
      <c r="D613" s="20"/>
      <c r="E613" s="4"/>
      <c r="F613" s="37"/>
      <c r="G613" s="38"/>
      <c r="H613" s="31">
        <f>_xlfn.XLOOKUP(PO[[#This Row],[Supplier name]], Supplier_master[Supplier name], Supplier_master[Category L1], 0)</f>
        <v>0</v>
      </c>
      <c r="I613" s="31">
        <f>_xlfn.XLOOKUP(PO[[#This Row],[Supplier name]], Supplier_master[Supplier name], Supplier_master[Category L2], 0)</f>
        <v>0</v>
      </c>
      <c r="J613" s="55"/>
      <c r="K613" s="55"/>
      <c r="L613" s="31">
        <f>IF(PO[[#This Row],[Spend category L1 - Override]] &lt;&gt; "", PO[[#This Row],[Spend category L1 - Override]], PO[[#This Row],[Spend category L1]])</f>
        <v>0</v>
      </c>
      <c r="M613" s="31">
        <f>IF(PO[[#This Row],[Spend category L2 - Override]] &lt;&gt; "", PO[[#This Row],[Spend category L2 - Override]], PO[[#This Row],[Spend category L2]])</f>
        <v>0</v>
      </c>
      <c r="N613" s="63">
        <f>Assumptions!$D$15</f>
        <v>0.1</v>
      </c>
      <c r="O613" s="45">
        <f>IF(PO[[#This Row],[GST applies?]] = "Yes", (PO[[#This Row],[Value inc. GST]] / 1 + PO[[#This Row],[GST %]]) * PO[[#This Row],[GST %]], 0)</f>
        <v>0</v>
      </c>
      <c r="P613" s="31">
        <f>_xlfn.XLOOKUP(PO[[#This Row],[Supplier name]], Supplier_master[Supplier name], Supplier_master[EOM or Net], 0)</f>
        <v>0</v>
      </c>
      <c r="Q613" s="31">
        <f>_xlfn.XLOOKUP(PO[[#This Row],[Supplier name]], Supplier_master[Supplier name], Supplier_master[Terms days], 0)</f>
        <v>0</v>
      </c>
      <c r="R6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3" s="4"/>
      <c r="T613" s="46">
        <f>IF(PO[[#This Row],[Payment date - override (dd/mm/yyyy)]] &lt;&gt; "", PO[[#This Row],[Payment date - override (dd/mm/yyyy)]], PO[[#This Row],[Due date (dd/mm/yyyy)]])</f>
        <v>0</v>
      </c>
      <c r="U613" s="46">
        <f t="shared" si="9"/>
        <v>52</v>
      </c>
    </row>
    <row r="614" spans="3:21" x14ac:dyDescent="0.25">
      <c r="C614" s="24"/>
      <c r="D614" s="20"/>
      <c r="E614" s="4"/>
      <c r="F614" s="37"/>
      <c r="G614" s="38"/>
      <c r="H614" s="31">
        <f>_xlfn.XLOOKUP(PO[[#This Row],[Supplier name]], Supplier_master[Supplier name], Supplier_master[Category L1], 0)</f>
        <v>0</v>
      </c>
      <c r="I614" s="31">
        <f>_xlfn.XLOOKUP(PO[[#This Row],[Supplier name]], Supplier_master[Supplier name], Supplier_master[Category L2], 0)</f>
        <v>0</v>
      </c>
      <c r="J614" s="55"/>
      <c r="K614" s="55"/>
      <c r="L614" s="31">
        <f>IF(PO[[#This Row],[Spend category L1 - Override]] &lt;&gt; "", PO[[#This Row],[Spend category L1 - Override]], PO[[#This Row],[Spend category L1]])</f>
        <v>0</v>
      </c>
      <c r="M614" s="31">
        <f>IF(PO[[#This Row],[Spend category L2 - Override]] &lt;&gt; "", PO[[#This Row],[Spend category L2 - Override]], PO[[#This Row],[Spend category L2]])</f>
        <v>0</v>
      </c>
      <c r="N614" s="63">
        <f>Assumptions!$D$15</f>
        <v>0.1</v>
      </c>
      <c r="O614" s="45">
        <f>IF(PO[[#This Row],[GST applies?]] = "Yes", (PO[[#This Row],[Value inc. GST]] / 1 + PO[[#This Row],[GST %]]) * PO[[#This Row],[GST %]], 0)</f>
        <v>0</v>
      </c>
      <c r="P614" s="31">
        <f>_xlfn.XLOOKUP(PO[[#This Row],[Supplier name]], Supplier_master[Supplier name], Supplier_master[EOM or Net], 0)</f>
        <v>0</v>
      </c>
      <c r="Q614" s="31">
        <f>_xlfn.XLOOKUP(PO[[#This Row],[Supplier name]], Supplier_master[Supplier name], Supplier_master[Terms days], 0)</f>
        <v>0</v>
      </c>
      <c r="R6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4" s="4"/>
      <c r="T614" s="46">
        <f>IF(PO[[#This Row],[Payment date - override (dd/mm/yyyy)]] &lt;&gt; "", PO[[#This Row],[Payment date - override (dd/mm/yyyy)]], PO[[#This Row],[Due date (dd/mm/yyyy)]])</f>
        <v>0</v>
      </c>
      <c r="U614" s="46">
        <f t="shared" si="9"/>
        <v>52</v>
      </c>
    </row>
    <row r="615" spans="3:21" x14ac:dyDescent="0.25">
      <c r="C615" s="24"/>
      <c r="D615" s="20"/>
      <c r="E615" s="4"/>
      <c r="F615" s="37"/>
      <c r="G615" s="38"/>
      <c r="H615" s="31">
        <f>_xlfn.XLOOKUP(PO[[#This Row],[Supplier name]], Supplier_master[Supplier name], Supplier_master[Category L1], 0)</f>
        <v>0</v>
      </c>
      <c r="I615" s="31">
        <f>_xlfn.XLOOKUP(PO[[#This Row],[Supplier name]], Supplier_master[Supplier name], Supplier_master[Category L2], 0)</f>
        <v>0</v>
      </c>
      <c r="J615" s="55"/>
      <c r="K615" s="55"/>
      <c r="L615" s="31">
        <f>IF(PO[[#This Row],[Spend category L1 - Override]] &lt;&gt; "", PO[[#This Row],[Spend category L1 - Override]], PO[[#This Row],[Spend category L1]])</f>
        <v>0</v>
      </c>
      <c r="M615" s="31">
        <f>IF(PO[[#This Row],[Spend category L2 - Override]] &lt;&gt; "", PO[[#This Row],[Spend category L2 - Override]], PO[[#This Row],[Spend category L2]])</f>
        <v>0</v>
      </c>
      <c r="N615" s="63">
        <f>Assumptions!$D$15</f>
        <v>0.1</v>
      </c>
      <c r="O615" s="45">
        <f>IF(PO[[#This Row],[GST applies?]] = "Yes", (PO[[#This Row],[Value inc. GST]] / 1 + PO[[#This Row],[GST %]]) * PO[[#This Row],[GST %]], 0)</f>
        <v>0</v>
      </c>
      <c r="P615" s="31">
        <f>_xlfn.XLOOKUP(PO[[#This Row],[Supplier name]], Supplier_master[Supplier name], Supplier_master[EOM or Net], 0)</f>
        <v>0</v>
      </c>
      <c r="Q615" s="31">
        <f>_xlfn.XLOOKUP(PO[[#This Row],[Supplier name]], Supplier_master[Supplier name], Supplier_master[Terms days], 0)</f>
        <v>0</v>
      </c>
      <c r="R6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5" s="4"/>
      <c r="T615" s="46">
        <f>IF(PO[[#This Row],[Payment date - override (dd/mm/yyyy)]] &lt;&gt; "", PO[[#This Row],[Payment date - override (dd/mm/yyyy)]], PO[[#This Row],[Due date (dd/mm/yyyy)]])</f>
        <v>0</v>
      </c>
      <c r="U615" s="46">
        <f t="shared" si="9"/>
        <v>52</v>
      </c>
    </row>
    <row r="616" spans="3:21" x14ac:dyDescent="0.25">
      <c r="C616" s="24"/>
      <c r="D616" s="20"/>
      <c r="E616" s="4"/>
      <c r="F616" s="37"/>
      <c r="G616" s="38"/>
      <c r="H616" s="31">
        <f>_xlfn.XLOOKUP(PO[[#This Row],[Supplier name]], Supplier_master[Supplier name], Supplier_master[Category L1], 0)</f>
        <v>0</v>
      </c>
      <c r="I616" s="31">
        <f>_xlfn.XLOOKUP(PO[[#This Row],[Supplier name]], Supplier_master[Supplier name], Supplier_master[Category L2], 0)</f>
        <v>0</v>
      </c>
      <c r="J616" s="55"/>
      <c r="K616" s="55"/>
      <c r="L616" s="31">
        <f>IF(PO[[#This Row],[Spend category L1 - Override]] &lt;&gt; "", PO[[#This Row],[Spend category L1 - Override]], PO[[#This Row],[Spend category L1]])</f>
        <v>0</v>
      </c>
      <c r="M616" s="31">
        <f>IF(PO[[#This Row],[Spend category L2 - Override]] &lt;&gt; "", PO[[#This Row],[Spend category L2 - Override]], PO[[#This Row],[Spend category L2]])</f>
        <v>0</v>
      </c>
      <c r="N616" s="63">
        <f>Assumptions!$D$15</f>
        <v>0.1</v>
      </c>
      <c r="O616" s="45">
        <f>IF(PO[[#This Row],[GST applies?]] = "Yes", (PO[[#This Row],[Value inc. GST]] / 1 + PO[[#This Row],[GST %]]) * PO[[#This Row],[GST %]], 0)</f>
        <v>0</v>
      </c>
      <c r="P616" s="31">
        <f>_xlfn.XLOOKUP(PO[[#This Row],[Supplier name]], Supplier_master[Supplier name], Supplier_master[EOM or Net], 0)</f>
        <v>0</v>
      </c>
      <c r="Q616" s="31">
        <f>_xlfn.XLOOKUP(PO[[#This Row],[Supplier name]], Supplier_master[Supplier name], Supplier_master[Terms days], 0)</f>
        <v>0</v>
      </c>
      <c r="R6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6" s="4"/>
      <c r="T616" s="46">
        <f>IF(PO[[#This Row],[Payment date - override (dd/mm/yyyy)]] &lt;&gt; "", PO[[#This Row],[Payment date - override (dd/mm/yyyy)]], PO[[#This Row],[Due date (dd/mm/yyyy)]])</f>
        <v>0</v>
      </c>
      <c r="U616" s="46">
        <f t="shared" si="9"/>
        <v>52</v>
      </c>
    </row>
    <row r="617" spans="3:21" x14ac:dyDescent="0.25">
      <c r="C617" s="24"/>
      <c r="D617" s="20"/>
      <c r="E617" s="4"/>
      <c r="F617" s="37"/>
      <c r="G617" s="38"/>
      <c r="H617" s="31">
        <f>_xlfn.XLOOKUP(PO[[#This Row],[Supplier name]], Supplier_master[Supplier name], Supplier_master[Category L1], 0)</f>
        <v>0</v>
      </c>
      <c r="I617" s="31">
        <f>_xlfn.XLOOKUP(PO[[#This Row],[Supplier name]], Supplier_master[Supplier name], Supplier_master[Category L2], 0)</f>
        <v>0</v>
      </c>
      <c r="J617" s="55"/>
      <c r="K617" s="55"/>
      <c r="L617" s="31">
        <f>IF(PO[[#This Row],[Spend category L1 - Override]] &lt;&gt; "", PO[[#This Row],[Spend category L1 - Override]], PO[[#This Row],[Spend category L1]])</f>
        <v>0</v>
      </c>
      <c r="M617" s="31">
        <f>IF(PO[[#This Row],[Spend category L2 - Override]] &lt;&gt; "", PO[[#This Row],[Spend category L2 - Override]], PO[[#This Row],[Spend category L2]])</f>
        <v>0</v>
      </c>
      <c r="N617" s="63">
        <f>Assumptions!$D$15</f>
        <v>0.1</v>
      </c>
      <c r="O617" s="45">
        <f>IF(PO[[#This Row],[GST applies?]] = "Yes", (PO[[#This Row],[Value inc. GST]] / 1 + PO[[#This Row],[GST %]]) * PO[[#This Row],[GST %]], 0)</f>
        <v>0</v>
      </c>
      <c r="P617" s="31">
        <f>_xlfn.XLOOKUP(PO[[#This Row],[Supplier name]], Supplier_master[Supplier name], Supplier_master[EOM or Net], 0)</f>
        <v>0</v>
      </c>
      <c r="Q617" s="31">
        <f>_xlfn.XLOOKUP(PO[[#This Row],[Supplier name]], Supplier_master[Supplier name], Supplier_master[Terms days], 0)</f>
        <v>0</v>
      </c>
      <c r="R6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7" s="4"/>
      <c r="T617" s="46">
        <f>IF(PO[[#This Row],[Payment date - override (dd/mm/yyyy)]] &lt;&gt; "", PO[[#This Row],[Payment date - override (dd/mm/yyyy)]], PO[[#This Row],[Due date (dd/mm/yyyy)]])</f>
        <v>0</v>
      </c>
      <c r="U617" s="46">
        <f t="shared" si="9"/>
        <v>52</v>
      </c>
    </row>
    <row r="618" spans="3:21" x14ac:dyDescent="0.25">
      <c r="C618" s="24"/>
      <c r="D618" s="20"/>
      <c r="E618" s="4"/>
      <c r="F618" s="37"/>
      <c r="G618" s="38"/>
      <c r="H618" s="31">
        <f>_xlfn.XLOOKUP(PO[[#This Row],[Supplier name]], Supplier_master[Supplier name], Supplier_master[Category L1], 0)</f>
        <v>0</v>
      </c>
      <c r="I618" s="31">
        <f>_xlfn.XLOOKUP(PO[[#This Row],[Supplier name]], Supplier_master[Supplier name], Supplier_master[Category L2], 0)</f>
        <v>0</v>
      </c>
      <c r="J618" s="55"/>
      <c r="K618" s="55"/>
      <c r="L618" s="31">
        <f>IF(PO[[#This Row],[Spend category L1 - Override]] &lt;&gt; "", PO[[#This Row],[Spend category L1 - Override]], PO[[#This Row],[Spend category L1]])</f>
        <v>0</v>
      </c>
      <c r="M618" s="31">
        <f>IF(PO[[#This Row],[Spend category L2 - Override]] &lt;&gt; "", PO[[#This Row],[Spend category L2 - Override]], PO[[#This Row],[Spend category L2]])</f>
        <v>0</v>
      </c>
      <c r="N618" s="63">
        <f>Assumptions!$D$15</f>
        <v>0.1</v>
      </c>
      <c r="O618" s="45">
        <f>IF(PO[[#This Row],[GST applies?]] = "Yes", (PO[[#This Row],[Value inc. GST]] / 1 + PO[[#This Row],[GST %]]) * PO[[#This Row],[GST %]], 0)</f>
        <v>0</v>
      </c>
      <c r="P618" s="31">
        <f>_xlfn.XLOOKUP(PO[[#This Row],[Supplier name]], Supplier_master[Supplier name], Supplier_master[EOM or Net], 0)</f>
        <v>0</v>
      </c>
      <c r="Q618" s="31">
        <f>_xlfn.XLOOKUP(PO[[#This Row],[Supplier name]], Supplier_master[Supplier name], Supplier_master[Terms days], 0)</f>
        <v>0</v>
      </c>
      <c r="R6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8" s="4"/>
      <c r="T618" s="46">
        <f>IF(PO[[#This Row],[Payment date - override (dd/mm/yyyy)]] &lt;&gt; "", PO[[#This Row],[Payment date - override (dd/mm/yyyy)]], PO[[#This Row],[Due date (dd/mm/yyyy)]])</f>
        <v>0</v>
      </c>
      <c r="U618" s="46">
        <f t="shared" si="9"/>
        <v>52</v>
      </c>
    </row>
    <row r="619" spans="3:21" x14ac:dyDescent="0.25">
      <c r="C619" s="24"/>
      <c r="D619" s="20"/>
      <c r="E619" s="4"/>
      <c r="F619" s="37"/>
      <c r="G619" s="38"/>
      <c r="H619" s="31">
        <f>_xlfn.XLOOKUP(PO[[#This Row],[Supplier name]], Supplier_master[Supplier name], Supplier_master[Category L1], 0)</f>
        <v>0</v>
      </c>
      <c r="I619" s="31">
        <f>_xlfn.XLOOKUP(PO[[#This Row],[Supplier name]], Supplier_master[Supplier name], Supplier_master[Category L2], 0)</f>
        <v>0</v>
      </c>
      <c r="J619" s="55"/>
      <c r="K619" s="55"/>
      <c r="L619" s="31">
        <f>IF(PO[[#This Row],[Spend category L1 - Override]] &lt;&gt; "", PO[[#This Row],[Spend category L1 - Override]], PO[[#This Row],[Spend category L1]])</f>
        <v>0</v>
      </c>
      <c r="M619" s="31">
        <f>IF(PO[[#This Row],[Spend category L2 - Override]] &lt;&gt; "", PO[[#This Row],[Spend category L2 - Override]], PO[[#This Row],[Spend category L2]])</f>
        <v>0</v>
      </c>
      <c r="N619" s="63">
        <f>Assumptions!$D$15</f>
        <v>0.1</v>
      </c>
      <c r="O619" s="45">
        <f>IF(PO[[#This Row],[GST applies?]] = "Yes", (PO[[#This Row],[Value inc. GST]] / 1 + PO[[#This Row],[GST %]]) * PO[[#This Row],[GST %]], 0)</f>
        <v>0</v>
      </c>
      <c r="P619" s="31">
        <f>_xlfn.XLOOKUP(PO[[#This Row],[Supplier name]], Supplier_master[Supplier name], Supplier_master[EOM or Net], 0)</f>
        <v>0</v>
      </c>
      <c r="Q619" s="31">
        <f>_xlfn.XLOOKUP(PO[[#This Row],[Supplier name]], Supplier_master[Supplier name], Supplier_master[Terms days], 0)</f>
        <v>0</v>
      </c>
      <c r="R6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9" s="4"/>
      <c r="T619" s="46">
        <f>IF(PO[[#This Row],[Payment date - override (dd/mm/yyyy)]] &lt;&gt; "", PO[[#This Row],[Payment date - override (dd/mm/yyyy)]], PO[[#This Row],[Due date (dd/mm/yyyy)]])</f>
        <v>0</v>
      </c>
      <c r="U619" s="46">
        <f t="shared" si="9"/>
        <v>52</v>
      </c>
    </row>
    <row r="620" spans="3:21" x14ac:dyDescent="0.25">
      <c r="C620" s="24"/>
      <c r="D620" s="20"/>
      <c r="E620" s="4"/>
      <c r="F620" s="37"/>
      <c r="G620" s="38"/>
      <c r="H620" s="31">
        <f>_xlfn.XLOOKUP(PO[[#This Row],[Supplier name]], Supplier_master[Supplier name], Supplier_master[Category L1], 0)</f>
        <v>0</v>
      </c>
      <c r="I620" s="31">
        <f>_xlfn.XLOOKUP(PO[[#This Row],[Supplier name]], Supplier_master[Supplier name], Supplier_master[Category L2], 0)</f>
        <v>0</v>
      </c>
      <c r="J620" s="55"/>
      <c r="K620" s="55"/>
      <c r="L620" s="31">
        <f>IF(PO[[#This Row],[Spend category L1 - Override]] &lt;&gt; "", PO[[#This Row],[Spend category L1 - Override]], PO[[#This Row],[Spend category L1]])</f>
        <v>0</v>
      </c>
      <c r="M620" s="31">
        <f>IF(PO[[#This Row],[Spend category L2 - Override]] &lt;&gt; "", PO[[#This Row],[Spend category L2 - Override]], PO[[#This Row],[Spend category L2]])</f>
        <v>0</v>
      </c>
      <c r="N620" s="63">
        <f>Assumptions!$D$15</f>
        <v>0.1</v>
      </c>
      <c r="O620" s="45">
        <f>IF(PO[[#This Row],[GST applies?]] = "Yes", (PO[[#This Row],[Value inc. GST]] / 1 + PO[[#This Row],[GST %]]) * PO[[#This Row],[GST %]], 0)</f>
        <v>0</v>
      </c>
      <c r="P620" s="31">
        <f>_xlfn.XLOOKUP(PO[[#This Row],[Supplier name]], Supplier_master[Supplier name], Supplier_master[EOM or Net], 0)</f>
        <v>0</v>
      </c>
      <c r="Q620" s="31">
        <f>_xlfn.XLOOKUP(PO[[#This Row],[Supplier name]], Supplier_master[Supplier name], Supplier_master[Terms days], 0)</f>
        <v>0</v>
      </c>
      <c r="R6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0" s="4"/>
      <c r="T620" s="46">
        <f>IF(PO[[#This Row],[Payment date - override (dd/mm/yyyy)]] &lt;&gt; "", PO[[#This Row],[Payment date - override (dd/mm/yyyy)]], PO[[#This Row],[Due date (dd/mm/yyyy)]])</f>
        <v>0</v>
      </c>
      <c r="U620" s="46">
        <f t="shared" si="9"/>
        <v>52</v>
      </c>
    </row>
    <row r="621" spans="3:21" x14ac:dyDescent="0.25">
      <c r="C621" s="24"/>
      <c r="D621" s="20"/>
      <c r="E621" s="4"/>
      <c r="F621" s="37"/>
      <c r="G621" s="38"/>
      <c r="H621" s="31">
        <f>_xlfn.XLOOKUP(PO[[#This Row],[Supplier name]], Supplier_master[Supplier name], Supplier_master[Category L1], 0)</f>
        <v>0</v>
      </c>
      <c r="I621" s="31">
        <f>_xlfn.XLOOKUP(PO[[#This Row],[Supplier name]], Supplier_master[Supplier name], Supplier_master[Category L2], 0)</f>
        <v>0</v>
      </c>
      <c r="J621" s="55"/>
      <c r="K621" s="55"/>
      <c r="L621" s="31">
        <f>IF(PO[[#This Row],[Spend category L1 - Override]] &lt;&gt; "", PO[[#This Row],[Spend category L1 - Override]], PO[[#This Row],[Spend category L1]])</f>
        <v>0</v>
      </c>
      <c r="M621" s="31">
        <f>IF(PO[[#This Row],[Spend category L2 - Override]] &lt;&gt; "", PO[[#This Row],[Spend category L2 - Override]], PO[[#This Row],[Spend category L2]])</f>
        <v>0</v>
      </c>
      <c r="N621" s="63">
        <f>Assumptions!$D$15</f>
        <v>0.1</v>
      </c>
      <c r="O621" s="45">
        <f>IF(PO[[#This Row],[GST applies?]] = "Yes", (PO[[#This Row],[Value inc. GST]] / 1 + PO[[#This Row],[GST %]]) * PO[[#This Row],[GST %]], 0)</f>
        <v>0</v>
      </c>
      <c r="P621" s="31">
        <f>_xlfn.XLOOKUP(PO[[#This Row],[Supplier name]], Supplier_master[Supplier name], Supplier_master[EOM or Net], 0)</f>
        <v>0</v>
      </c>
      <c r="Q621" s="31">
        <f>_xlfn.XLOOKUP(PO[[#This Row],[Supplier name]], Supplier_master[Supplier name], Supplier_master[Terms days], 0)</f>
        <v>0</v>
      </c>
      <c r="R6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1" s="4"/>
      <c r="T621" s="46">
        <f>IF(PO[[#This Row],[Payment date - override (dd/mm/yyyy)]] &lt;&gt; "", PO[[#This Row],[Payment date - override (dd/mm/yyyy)]], PO[[#This Row],[Due date (dd/mm/yyyy)]])</f>
        <v>0</v>
      </c>
      <c r="U621" s="46">
        <f t="shared" si="9"/>
        <v>52</v>
      </c>
    </row>
    <row r="622" spans="3:21" x14ac:dyDescent="0.25">
      <c r="C622" s="24"/>
      <c r="D622" s="20"/>
      <c r="E622" s="4"/>
      <c r="F622" s="37"/>
      <c r="G622" s="38"/>
      <c r="H622" s="31">
        <f>_xlfn.XLOOKUP(PO[[#This Row],[Supplier name]], Supplier_master[Supplier name], Supplier_master[Category L1], 0)</f>
        <v>0</v>
      </c>
      <c r="I622" s="31">
        <f>_xlfn.XLOOKUP(PO[[#This Row],[Supplier name]], Supplier_master[Supplier name], Supplier_master[Category L2], 0)</f>
        <v>0</v>
      </c>
      <c r="J622" s="55"/>
      <c r="K622" s="55"/>
      <c r="L622" s="31">
        <f>IF(PO[[#This Row],[Spend category L1 - Override]] &lt;&gt; "", PO[[#This Row],[Spend category L1 - Override]], PO[[#This Row],[Spend category L1]])</f>
        <v>0</v>
      </c>
      <c r="M622" s="31">
        <f>IF(PO[[#This Row],[Spend category L2 - Override]] &lt;&gt; "", PO[[#This Row],[Spend category L2 - Override]], PO[[#This Row],[Spend category L2]])</f>
        <v>0</v>
      </c>
      <c r="N622" s="63">
        <f>Assumptions!$D$15</f>
        <v>0.1</v>
      </c>
      <c r="O622" s="45">
        <f>IF(PO[[#This Row],[GST applies?]] = "Yes", (PO[[#This Row],[Value inc. GST]] / 1 + PO[[#This Row],[GST %]]) * PO[[#This Row],[GST %]], 0)</f>
        <v>0</v>
      </c>
      <c r="P622" s="31">
        <f>_xlfn.XLOOKUP(PO[[#This Row],[Supplier name]], Supplier_master[Supplier name], Supplier_master[EOM or Net], 0)</f>
        <v>0</v>
      </c>
      <c r="Q622" s="31">
        <f>_xlfn.XLOOKUP(PO[[#This Row],[Supplier name]], Supplier_master[Supplier name], Supplier_master[Terms days], 0)</f>
        <v>0</v>
      </c>
      <c r="R6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2" s="4"/>
      <c r="T622" s="46">
        <f>IF(PO[[#This Row],[Payment date - override (dd/mm/yyyy)]] &lt;&gt; "", PO[[#This Row],[Payment date - override (dd/mm/yyyy)]], PO[[#This Row],[Due date (dd/mm/yyyy)]])</f>
        <v>0</v>
      </c>
      <c r="U622" s="46">
        <f t="shared" si="9"/>
        <v>52</v>
      </c>
    </row>
    <row r="623" spans="3:21" x14ac:dyDescent="0.25">
      <c r="C623" s="24"/>
      <c r="D623" s="20"/>
      <c r="E623" s="4"/>
      <c r="F623" s="37"/>
      <c r="G623" s="38"/>
      <c r="H623" s="31">
        <f>_xlfn.XLOOKUP(PO[[#This Row],[Supplier name]], Supplier_master[Supplier name], Supplier_master[Category L1], 0)</f>
        <v>0</v>
      </c>
      <c r="I623" s="31">
        <f>_xlfn.XLOOKUP(PO[[#This Row],[Supplier name]], Supplier_master[Supplier name], Supplier_master[Category L2], 0)</f>
        <v>0</v>
      </c>
      <c r="J623" s="55"/>
      <c r="K623" s="55"/>
      <c r="L623" s="31">
        <f>IF(PO[[#This Row],[Spend category L1 - Override]] &lt;&gt; "", PO[[#This Row],[Spend category L1 - Override]], PO[[#This Row],[Spend category L1]])</f>
        <v>0</v>
      </c>
      <c r="M623" s="31">
        <f>IF(PO[[#This Row],[Spend category L2 - Override]] &lt;&gt; "", PO[[#This Row],[Spend category L2 - Override]], PO[[#This Row],[Spend category L2]])</f>
        <v>0</v>
      </c>
      <c r="N623" s="63">
        <f>Assumptions!$D$15</f>
        <v>0.1</v>
      </c>
      <c r="O623" s="45">
        <f>IF(PO[[#This Row],[GST applies?]] = "Yes", (PO[[#This Row],[Value inc. GST]] / 1 + PO[[#This Row],[GST %]]) * PO[[#This Row],[GST %]], 0)</f>
        <v>0</v>
      </c>
      <c r="P623" s="31">
        <f>_xlfn.XLOOKUP(PO[[#This Row],[Supplier name]], Supplier_master[Supplier name], Supplier_master[EOM or Net], 0)</f>
        <v>0</v>
      </c>
      <c r="Q623" s="31">
        <f>_xlfn.XLOOKUP(PO[[#This Row],[Supplier name]], Supplier_master[Supplier name], Supplier_master[Terms days], 0)</f>
        <v>0</v>
      </c>
      <c r="R6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3" s="4"/>
      <c r="T623" s="46">
        <f>IF(PO[[#This Row],[Payment date - override (dd/mm/yyyy)]] &lt;&gt; "", PO[[#This Row],[Payment date - override (dd/mm/yyyy)]], PO[[#This Row],[Due date (dd/mm/yyyy)]])</f>
        <v>0</v>
      </c>
      <c r="U623" s="46">
        <f t="shared" si="9"/>
        <v>52</v>
      </c>
    </row>
    <row r="624" spans="3:21" x14ac:dyDescent="0.25">
      <c r="C624" s="24"/>
      <c r="D624" s="20"/>
      <c r="E624" s="4"/>
      <c r="F624" s="37"/>
      <c r="G624" s="38"/>
      <c r="H624" s="31">
        <f>_xlfn.XLOOKUP(PO[[#This Row],[Supplier name]], Supplier_master[Supplier name], Supplier_master[Category L1], 0)</f>
        <v>0</v>
      </c>
      <c r="I624" s="31">
        <f>_xlfn.XLOOKUP(PO[[#This Row],[Supplier name]], Supplier_master[Supplier name], Supplier_master[Category L2], 0)</f>
        <v>0</v>
      </c>
      <c r="J624" s="55"/>
      <c r="K624" s="55"/>
      <c r="L624" s="31">
        <f>IF(PO[[#This Row],[Spend category L1 - Override]] &lt;&gt; "", PO[[#This Row],[Spend category L1 - Override]], PO[[#This Row],[Spend category L1]])</f>
        <v>0</v>
      </c>
      <c r="M624" s="31">
        <f>IF(PO[[#This Row],[Spend category L2 - Override]] &lt;&gt; "", PO[[#This Row],[Spend category L2 - Override]], PO[[#This Row],[Spend category L2]])</f>
        <v>0</v>
      </c>
      <c r="N624" s="63">
        <f>Assumptions!$D$15</f>
        <v>0.1</v>
      </c>
      <c r="O624" s="45">
        <f>IF(PO[[#This Row],[GST applies?]] = "Yes", (PO[[#This Row],[Value inc. GST]] / 1 + PO[[#This Row],[GST %]]) * PO[[#This Row],[GST %]], 0)</f>
        <v>0</v>
      </c>
      <c r="P624" s="31">
        <f>_xlfn.XLOOKUP(PO[[#This Row],[Supplier name]], Supplier_master[Supplier name], Supplier_master[EOM or Net], 0)</f>
        <v>0</v>
      </c>
      <c r="Q624" s="31">
        <f>_xlfn.XLOOKUP(PO[[#This Row],[Supplier name]], Supplier_master[Supplier name], Supplier_master[Terms days], 0)</f>
        <v>0</v>
      </c>
      <c r="R6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4" s="4"/>
      <c r="T624" s="46">
        <f>IF(PO[[#This Row],[Payment date - override (dd/mm/yyyy)]] &lt;&gt; "", PO[[#This Row],[Payment date - override (dd/mm/yyyy)]], PO[[#This Row],[Due date (dd/mm/yyyy)]])</f>
        <v>0</v>
      </c>
      <c r="U624" s="46">
        <f t="shared" si="9"/>
        <v>52</v>
      </c>
    </row>
    <row r="625" spans="3:21" x14ac:dyDescent="0.25">
      <c r="C625" s="24"/>
      <c r="D625" s="20"/>
      <c r="E625" s="4"/>
      <c r="F625" s="37"/>
      <c r="G625" s="38"/>
      <c r="H625" s="31">
        <f>_xlfn.XLOOKUP(PO[[#This Row],[Supplier name]], Supplier_master[Supplier name], Supplier_master[Category L1], 0)</f>
        <v>0</v>
      </c>
      <c r="I625" s="31">
        <f>_xlfn.XLOOKUP(PO[[#This Row],[Supplier name]], Supplier_master[Supplier name], Supplier_master[Category L2], 0)</f>
        <v>0</v>
      </c>
      <c r="J625" s="55"/>
      <c r="K625" s="55"/>
      <c r="L625" s="31">
        <f>IF(PO[[#This Row],[Spend category L1 - Override]] &lt;&gt; "", PO[[#This Row],[Spend category L1 - Override]], PO[[#This Row],[Spend category L1]])</f>
        <v>0</v>
      </c>
      <c r="M625" s="31">
        <f>IF(PO[[#This Row],[Spend category L2 - Override]] &lt;&gt; "", PO[[#This Row],[Spend category L2 - Override]], PO[[#This Row],[Spend category L2]])</f>
        <v>0</v>
      </c>
      <c r="N625" s="63">
        <f>Assumptions!$D$15</f>
        <v>0.1</v>
      </c>
      <c r="O625" s="45">
        <f>IF(PO[[#This Row],[GST applies?]] = "Yes", (PO[[#This Row],[Value inc. GST]] / 1 + PO[[#This Row],[GST %]]) * PO[[#This Row],[GST %]], 0)</f>
        <v>0</v>
      </c>
      <c r="P625" s="31">
        <f>_xlfn.XLOOKUP(PO[[#This Row],[Supplier name]], Supplier_master[Supplier name], Supplier_master[EOM or Net], 0)</f>
        <v>0</v>
      </c>
      <c r="Q625" s="31">
        <f>_xlfn.XLOOKUP(PO[[#This Row],[Supplier name]], Supplier_master[Supplier name], Supplier_master[Terms days], 0)</f>
        <v>0</v>
      </c>
      <c r="R6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5" s="4"/>
      <c r="T625" s="46">
        <f>IF(PO[[#This Row],[Payment date - override (dd/mm/yyyy)]] &lt;&gt; "", PO[[#This Row],[Payment date - override (dd/mm/yyyy)]], PO[[#This Row],[Due date (dd/mm/yyyy)]])</f>
        <v>0</v>
      </c>
      <c r="U625" s="46">
        <f t="shared" si="9"/>
        <v>52</v>
      </c>
    </row>
    <row r="626" spans="3:21" x14ac:dyDescent="0.25">
      <c r="C626" s="24"/>
      <c r="D626" s="20"/>
      <c r="E626" s="4"/>
      <c r="F626" s="37"/>
      <c r="G626" s="38"/>
      <c r="H626" s="31">
        <f>_xlfn.XLOOKUP(PO[[#This Row],[Supplier name]], Supplier_master[Supplier name], Supplier_master[Category L1], 0)</f>
        <v>0</v>
      </c>
      <c r="I626" s="31">
        <f>_xlfn.XLOOKUP(PO[[#This Row],[Supplier name]], Supplier_master[Supplier name], Supplier_master[Category L2], 0)</f>
        <v>0</v>
      </c>
      <c r="J626" s="55"/>
      <c r="K626" s="55"/>
      <c r="L626" s="31">
        <f>IF(PO[[#This Row],[Spend category L1 - Override]] &lt;&gt; "", PO[[#This Row],[Spend category L1 - Override]], PO[[#This Row],[Spend category L1]])</f>
        <v>0</v>
      </c>
      <c r="M626" s="31">
        <f>IF(PO[[#This Row],[Spend category L2 - Override]] &lt;&gt; "", PO[[#This Row],[Spend category L2 - Override]], PO[[#This Row],[Spend category L2]])</f>
        <v>0</v>
      </c>
      <c r="N626" s="63">
        <f>Assumptions!$D$15</f>
        <v>0.1</v>
      </c>
      <c r="O626" s="45">
        <f>IF(PO[[#This Row],[GST applies?]] = "Yes", (PO[[#This Row],[Value inc. GST]] / 1 + PO[[#This Row],[GST %]]) * PO[[#This Row],[GST %]], 0)</f>
        <v>0</v>
      </c>
      <c r="P626" s="31">
        <f>_xlfn.XLOOKUP(PO[[#This Row],[Supplier name]], Supplier_master[Supplier name], Supplier_master[EOM or Net], 0)</f>
        <v>0</v>
      </c>
      <c r="Q626" s="31">
        <f>_xlfn.XLOOKUP(PO[[#This Row],[Supplier name]], Supplier_master[Supplier name], Supplier_master[Terms days], 0)</f>
        <v>0</v>
      </c>
      <c r="R6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6" s="4"/>
      <c r="T626" s="46">
        <f>IF(PO[[#This Row],[Payment date - override (dd/mm/yyyy)]] &lt;&gt; "", PO[[#This Row],[Payment date - override (dd/mm/yyyy)]], PO[[#This Row],[Due date (dd/mm/yyyy)]])</f>
        <v>0</v>
      </c>
      <c r="U626" s="46">
        <f t="shared" si="9"/>
        <v>52</v>
      </c>
    </row>
    <row r="627" spans="3:21" x14ac:dyDescent="0.25">
      <c r="C627" s="24"/>
      <c r="D627" s="20"/>
      <c r="E627" s="4"/>
      <c r="F627" s="37"/>
      <c r="G627" s="38"/>
      <c r="H627" s="31">
        <f>_xlfn.XLOOKUP(PO[[#This Row],[Supplier name]], Supplier_master[Supplier name], Supplier_master[Category L1], 0)</f>
        <v>0</v>
      </c>
      <c r="I627" s="31">
        <f>_xlfn.XLOOKUP(PO[[#This Row],[Supplier name]], Supplier_master[Supplier name], Supplier_master[Category L2], 0)</f>
        <v>0</v>
      </c>
      <c r="J627" s="55"/>
      <c r="K627" s="55"/>
      <c r="L627" s="31">
        <f>IF(PO[[#This Row],[Spend category L1 - Override]] &lt;&gt; "", PO[[#This Row],[Spend category L1 - Override]], PO[[#This Row],[Spend category L1]])</f>
        <v>0</v>
      </c>
      <c r="M627" s="31">
        <f>IF(PO[[#This Row],[Spend category L2 - Override]] &lt;&gt; "", PO[[#This Row],[Spend category L2 - Override]], PO[[#This Row],[Spend category L2]])</f>
        <v>0</v>
      </c>
      <c r="N627" s="63">
        <f>Assumptions!$D$15</f>
        <v>0.1</v>
      </c>
      <c r="O627" s="45">
        <f>IF(PO[[#This Row],[GST applies?]] = "Yes", (PO[[#This Row],[Value inc. GST]] / 1 + PO[[#This Row],[GST %]]) * PO[[#This Row],[GST %]], 0)</f>
        <v>0</v>
      </c>
      <c r="P627" s="31">
        <f>_xlfn.XLOOKUP(PO[[#This Row],[Supplier name]], Supplier_master[Supplier name], Supplier_master[EOM or Net], 0)</f>
        <v>0</v>
      </c>
      <c r="Q627" s="31">
        <f>_xlfn.XLOOKUP(PO[[#This Row],[Supplier name]], Supplier_master[Supplier name], Supplier_master[Terms days], 0)</f>
        <v>0</v>
      </c>
      <c r="R6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7" s="4"/>
      <c r="T627" s="46">
        <f>IF(PO[[#This Row],[Payment date - override (dd/mm/yyyy)]] &lt;&gt; "", PO[[#This Row],[Payment date - override (dd/mm/yyyy)]], PO[[#This Row],[Due date (dd/mm/yyyy)]])</f>
        <v>0</v>
      </c>
      <c r="U627" s="46">
        <f t="shared" si="9"/>
        <v>52</v>
      </c>
    </row>
    <row r="628" spans="3:21" x14ac:dyDescent="0.25">
      <c r="C628" s="24"/>
      <c r="D628" s="20"/>
      <c r="E628" s="4"/>
      <c r="F628" s="37"/>
      <c r="G628" s="38"/>
      <c r="H628" s="31">
        <f>_xlfn.XLOOKUP(PO[[#This Row],[Supplier name]], Supplier_master[Supplier name], Supplier_master[Category L1], 0)</f>
        <v>0</v>
      </c>
      <c r="I628" s="31">
        <f>_xlfn.XLOOKUP(PO[[#This Row],[Supplier name]], Supplier_master[Supplier name], Supplier_master[Category L2], 0)</f>
        <v>0</v>
      </c>
      <c r="J628" s="55"/>
      <c r="K628" s="55"/>
      <c r="L628" s="31">
        <f>IF(PO[[#This Row],[Spend category L1 - Override]] &lt;&gt; "", PO[[#This Row],[Spend category L1 - Override]], PO[[#This Row],[Spend category L1]])</f>
        <v>0</v>
      </c>
      <c r="M628" s="31">
        <f>IF(PO[[#This Row],[Spend category L2 - Override]] &lt;&gt; "", PO[[#This Row],[Spend category L2 - Override]], PO[[#This Row],[Spend category L2]])</f>
        <v>0</v>
      </c>
      <c r="N628" s="63">
        <f>Assumptions!$D$15</f>
        <v>0.1</v>
      </c>
      <c r="O628" s="45">
        <f>IF(PO[[#This Row],[GST applies?]] = "Yes", (PO[[#This Row],[Value inc. GST]] / 1 + PO[[#This Row],[GST %]]) * PO[[#This Row],[GST %]], 0)</f>
        <v>0</v>
      </c>
      <c r="P628" s="31">
        <f>_xlfn.XLOOKUP(PO[[#This Row],[Supplier name]], Supplier_master[Supplier name], Supplier_master[EOM or Net], 0)</f>
        <v>0</v>
      </c>
      <c r="Q628" s="31">
        <f>_xlfn.XLOOKUP(PO[[#This Row],[Supplier name]], Supplier_master[Supplier name], Supplier_master[Terms days], 0)</f>
        <v>0</v>
      </c>
      <c r="R6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8" s="4"/>
      <c r="T628" s="46">
        <f>IF(PO[[#This Row],[Payment date - override (dd/mm/yyyy)]] &lt;&gt; "", PO[[#This Row],[Payment date - override (dd/mm/yyyy)]], PO[[#This Row],[Due date (dd/mm/yyyy)]])</f>
        <v>0</v>
      </c>
      <c r="U628" s="46">
        <f t="shared" si="9"/>
        <v>52</v>
      </c>
    </row>
    <row r="629" spans="3:21" x14ac:dyDescent="0.25">
      <c r="C629" s="24"/>
      <c r="D629" s="20"/>
      <c r="E629" s="4"/>
      <c r="F629" s="37"/>
      <c r="G629" s="38"/>
      <c r="H629" s="31">
        <f>_xlfn.XLOOKUP(PO[[#This Row],[Supplier name]], Supplier_master[Supplier name], Supplier_master[Category L1], 0)</f>
        <v>0</v>
      </c>
      <c r="I629" s="31">
        <f>_xlfn.XLOOKUP(PO[[#This Row],[Supplier name]], Supplier_master[Supplier name], Supplier_master[Category L2], 0)</f>
        <v>0</v>
      </c>
      <c r="J629" s="55"/>
      <c r="K629" s="55"/>
      <c r="L629" s="31">
        <f>IF(PO[[#This Row],[Spend category L1 - Override]] &lt;&gt; "", PO[[#This Row],[Spend category L1 - Override]], PO[[#This Row],[Spend category L1]])</f>
        <v>0</v>
      </c>
      <c r="M629" s="31">
        <f>IF(PO[[#This Row],[Spend category L2 - Override]] &lt;&gt; "", PO[[#This Row],[Spend category L2 - Override]], PO[[#This Row],[Spend category L2]])</f>
        <v>0</v>
      </c>
      <c r="N629" s="63">
        <f>Assumptions!$D$15</f>
        <v>0.1</v>
      </c>
      <c r="O629" s="45">
        <f>IF(PO[[#This Row],[GST applies?]] = "Yes", (PO[[#This Row],[Value inc. GST]] / 1 + PO[[#This Row],[GST %]]) * PO[[#This Row],[GST %]], 0)</f>
        <v>0</v>
      </c>
      <c r="P629" s="31">
        <f>_xlfn.XLOOKUP(PO[[#This Row],[Supplier name]], Supplier_master[Supplier name], Supplier_master[EOM or Net], 0)</f>
        <v>0</v>
      </c>
      <c r="Q629" s="31">
        <f>_xlfn.XLOOKUP(PO[[#This Row],[Supplier name]], Supplier_master[Supplier name], Supplier_master[Terms days], 0)</f>
        <v>0</v>
      </c>
      <c r="R6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9" s="4"/>
      <c r="T629" s="46">
        <f>IF(PO[[#This Row],[Payment date - override (dd/mm/yyyy)]] &lt;&gt; "", PO[[#This Row],[Payment date - override (dd/mm/yyyy)]], PO[[#This Row],[Due date (dd/mm/yyyy)]])</f>
        <v>0</v>
      </c>
      <c r="U629" s="46">
        <f t="shared" si="9"/>
        <v>52</v>
      </c>
    </row>
    <row r="630" spans="3:21" x14ac:dyDescent="0.25">
      <c r="C630" s="24"/>
      <c r="D630" s="20"/>
      <c r="E630" s="4"/>
      <c r="F630" s="37"/>
      <c r="G630" s="38"/>
      <c r="H630" s="31">
        <f>_xlfn.XLOOKUP(PO[[#This Row],[Supplier name]], Supplier_master[Supplier name], Supplier_master[Category L1], 0)</f>
        <v>0</v>
      </c>
      <c r="I630" s="31">
        <f>_xlfn.XLOOKUP(PO[[#This Row],[Supplier name]], Supplier_master[Supplier name], Supplier_master[Category L2], 0)</f>
        <v>0</v>
      </c>
      <c r="J630" s="55"/>
      <c r="K630" s="55"/>
      <c r="L630" s="31">
        <f>IF(PO[[#This Row],[Spend category L1 - Override]] &lt;&gt; "", PO[[#This Row],[Spend category L1 - Override]], PO[[#This Row],[Spend category L1]])</f>
        <v>0</v>
      </c>
      <c r="M630" s="31">
        <f>IF(PO[[#This Row],[Spend category L2 - Override]] &lt;&gt; "", PO[[#This Row],[Spend category L2 - Override]], PO[[#This Row],[Spend category L2]])</f>
        <v>0</v>
      </c>
      <c r="N630" s="63">
        <f>Assumptions!$D$15</f>
        <v>0.1</v>
      </c>
      <c r="O630" s="45">
        <f>IF(PO[[#This Row],[GST applies?]] = "Yes", (PO[[#This Row],[Value inc. GST]] / 1 + PO[[#This Row],[GST %]]) * PO[[#This Row],[GST %]], 0)</f>
        <v>0</v>
      </c>
      <c r="P630" s="31">
        <f>_xlfn.XLOOKUP(PO[[#This Row],[Supplier name]], Supplier_master[Supplier name], Supplier_master[EOM or Net], 0)</f>
        <v>0</v>
      </c>
      <c r="Q630" s="31">
        <f>_xlfn.XLOOKUP(PO[[#This Row],[Supplier name]], Supplier_master[Supplier name], Supplier_master[Terms days], 0)</f>
        <v>0</v>
      </c>
      <c r="R6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0" s="4"/>
      <c r="T630" s="46">
        <f>IF(PO[[#This Row],[Payment date - override (dd/mm/yyyy)]] &lt;&gt; "", PO[[#This Row],[Payment date - override (dd/mm/yyyy)]], PO[[#This Row],[Due date (dd/mm/yyyy)]])</f>
        <v>0</v>
      </c>
      <c r="U630" s="46">
        <f t="shared" si="9"/>
        <v>52</v>
      </c>
    </row>
    <row r="631" spans="3:21" x14ac:dyDescent="0.25">
      <c r="C631" s="24"/>
      <c r="D631" s="20"/>
      <c r="E631" s="4"/>
      <c r="F631" s="37"/>
      <c r="G631" s="38"/>
      <c r="H631" s="31">
        <f>_xlfn.XLOOKUP(PO[[#This Row],[Supplier name]], Supplier_master[Supplier name], Supplier_master[Category L1], 0)</f>
        <v>0</v>
      </c>
      <c r="I631" s="31">
        <f>_xlfn.XLOOKUP(PO[[#This Row],[Supplier name]], Supplier_master[Supplier name], Supplier_master[Category L2], 0)</f>
        <v>0</v>
      </c>
      <c r="J631" s="55"/>
      <c r="K631" s="55"/>
      <c r="L631" s="31">
        <f>IF(PO[[#This Row],[Spend category L1 - Override]] &lt;&gt; "", PO[[#This Row],[Spend category L1 - Override]], PO[[#This Row],[Spend category L1]])</f>
        <v>0</v>
      </c>
      <c r="M631" s="31">
        <f>IF(PO[[#This Row],[Spend category L2 - Override]] &lt;&gt; "", PO[[#This Row],[Spend category L2 - Override]], PO[[#This Row],[Spend category L2]])</f>
        <v>0</v>
      </c>
      <c r="N631" s="63">
        <f>Assumptions!$D$15</f>
        <v>0.1</v>
      </c>
      <c r="O631" s="45">
        <f>IF(PO[[#This Row],[GST applies?]] = "Yes", (PO[[#This Row],[Value inc. GST]] / 1 + PO[[#This Row],[GST %]]) * PO[[#This Row],[GST %]], 0)</f>
        <v>0</v>
      </c>
      <c r="P631" s="31">
        <f>_xlfn.XLOOKUP(PO[[#This Row],[Supplier name]], Supplier_master[Supplier name], Supplier_master[EOM or Net], 0)</f>
        <v>0</v>
      </c>
      <c r="Q631" s="31">
        <f>_xlfn.XLOOKUP(PO[[#This Row],[Supplier name]], Supplier_master[Supplier name], Supplier_master[Terms days], 0)</f>
        <v>0</v>
      </c>
      <c r="R6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1" s="4"/>
      <c r="T631" s="46">
        <f>IF(PO[[#This Row],[Payment date - override (dd/mm/yyyy)]] &lt;&gt; "", PO[[#This Row],[Payment date - override (dd/mm/yyyy)]], PO[[#This Row],[Due date (dd/mm/yyyy)]])</f>
        <v>0</v>
      </c>
      <c r="U631" s="46">
        <f t="shared" si="9"/>
        <v>52</v>
      </c>
    </row>
    <row r="632" spans="3:21" x14ac:dyDescent="0.25">
      <c r="C632" s="24"/>
      <c r="D632" s="20"/>
      <c r="E632" s="4"/>
      <c r="F632" s="37"/>
      <c r="G632" s="38"/>
      <c r="H632" s="31">
        <f>_xlfn.XLOOKUP(PO[[#This Row],[Supplier name]], Supplier_master[Supplier name], Supplier_master[Category L1], 0)</f>
        <v>0</v>
      </c>
      <c r="I632" s="31">
        <f>_xlfn.XLOOKUP(PO[[#This Row],[Supplier name]], Supplier_master[Supplier name], Supplier_master[Category L2], 0)</f>
        <v>0</v>
      </c>
      <c r="J632" s="55"/>
      <c r="K632" s="55"/>
      <c r="L632" s="31">
        <f>IF(PO[[#This Row],[Spend category L1 - Override]] &lt;&gt; "", PO[[#This Row],[Spend category L1 - Override]], PO[[#This Row],[Spend category L1]])</f>
        <v>0</v>
      </c>
      <c r="M632" s="31">
        <f>IF(PO[[#This Row],[Spend category L2 - Override]] &lt;&gt; "", PO[[#This Row],[Spend category L2 - Override]], PO[[#This Row],[Spend category L2]])</f>
        <v>0</v>
      </c>
      <c r="N632" s="63">
        <f>Assumptions!$D$15</f>
        <v>0.1</v>
      </c>
      <c r="O632" s="45">
        <f>IF(PO[[#This Row],[GST applies?]] = "Yes", (PO[[#This Row],[Value inc. GST]] / 1 + PO[[#This Row],[GST %]]) * PO[[#This Row],[GST %]], 0)</f>
        <v>0</v>
      </c>
      <c r="P632" s="31">
        <f>_xlfn.XLOOKUP(PO[[#This Row],[Supplier name]], Supplier_master[Supplier name], Supplier_master[EOM or Net], 0)</f>
        <v>0</v>
      </c>
      <c r="Q632" s="31">
        <f>_xlfn.XLOOKUP(PO[[#This Row],[Supplier name]], Supplier_master[Supplier name], Supplier_master[Terms days], 0)</f>
        <v>0</v>
      </c>
      <c r="R6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2" s="4"/>
      <c r="T632" s="46">
        <f>IF(PO[[#This Row],[Payment date - override (dd/mm/yyyy)]] &lt;&gt; "", PO[[#This Row],[Payment date - override (dd/mm/yyyy)]], PO[[#This Row],[Due date (dd/mm/yyyy)]])</f>
        <v>0</v>
      </c>
      <c r="U632" s="46">
        <f t="shared" si="9"/>
        <v>52</v>
      </c>
    </row>
    <row r="633" spans="3:21" x14ac:dyDescent="0.25">
      <c r="C633" s="24"/>
      <c r="D633" s="20"/>
      <c r="E633" s="4"/>
      <c r="F633" s="37"/>
      <c r="G633" s="38"/>
      <c r="H633" s="31">
        <f>_xlfn.XLOOKUP(PO[[#This Row],[Supplier name]], Supplier_master[Supplier name], Supplier_master[Category L1], 0)</f>
        <v>0</v>
      </c>
      <c r="I633" s="31">
        <f>_xlfn.XLOOKUP(PO[[#This Row],[Supplier name]], Supplier_master[Supplier name], Supplier_master[Category L2], 0)</f>
        <v>0</v>
      </c>
      <c r="J633" s="55"/>
      <c r="K633" s="55"/>
      <c r="L633" s="31">
        <f>IF(PO[[#This Row],[Spend category L1 - Override]] &lt;&gt; "", PO[[#This Row],[Spend category L1 - Override]], PO[[#This Row],[Spend category L1]])</f>
        <v>0</v>
      </c>
      <c r="M633" s="31">
        <f>IF(PO[[#This Row],[Spend category L2 - Override]] &lt;&gt; "", PO[[#This Row],[Spend category L2 - Override]], PO[[#This Row],[Spend category L2]])</f>
        <v>0</v>
      </c>
      <c r="N633" s="63">
        <f>Assumptions!$D$15</f>
        <v>0.1</v>
      </c>
      <c r="O633" s="45">
        <f>IF(PO[[#This Row],[GST applies?]] = "Yes", (PO[[#This Row],[Value inc. GST]] / 1 + PO[[#This Row],[GST %]]) * PO[[#This Row],[GST %]], 0)</f>
        <v>0</v>
      </c>
      <c r="P633" s="31">
        <f>_xlfn.XLOOKUP(PO[[#This Row],[Supplier name]], Supplier_master[Supplier name], Supplier_master[EOM or Net], 0)</f>
        <v>0</v>
      </c>
      <c r="Q633" s="31">
        <f>_xlfn.XLOOKUP(PO[[#This Row],[Supplier name]], Supplier_master[Supplier name], Supplier_master[Terms days], 0)</f>
        <v>0</v>
      </c>
      <c r="R6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3" s="4"/>
      <c r="T633" s="46">
        <f>IF(PO[[#This Row],[Payment date - override (dd/mm/yyyy)]] &lt;&gt; "", PO[[#This Row],[Payment date - override (dd/mm/yyyy)]], PO[[#This Row],[Due date (dd/mm/yyyy)]])</f>
        <v>0</v>
      </c>
      <c r="U633" s="46">
        <f t="shared" si="9"/>
        <v>52</v>
      </c>
    </row>
    <row r="634" spans="3:21" x14ac:dyDescent="0.25">
      <c r="C634" s="24"/>
      <c r="D634" s="20"/>
      <c r="E634" s="4"/>
      <c r="F634" s="37"/>
      <c r="G634" s="38"/>
      <c r="H634" s="31">
        <f>_xlfn.XLOOKUP(PO[[#This Row],[Supplier name]], Supplier_master[Supplier name], Supplier_master[Category L1], 0)</f>
        <v>0</v>
      </c>
      <c r="I634" s="31">
        <f>_xlfn.XLOOKUP(PO[[#This Row],[Supplier name]], Supplier_master[Supplier name], Supplier_master[Category L2], 0)</f>
        <v>0</v>
      </c>
      <c r="J634" s="55"/>
      <c r="K634" s="55"/>
      <c r="L634" s="31">
        <f>IF(PO[[#This Row],[Spend category L1 - Override]] &lt;&gt; "", PO[[#This Row],[Spend category L1 - Override]], PO[[#This Row],[Spend category L1]])</f>
        <v>0</v>
      </c>
      <c r="M634" s="31">
        <f>IF(PO[[#This Row],[Spend category L2 - Override]] &lt;&gt; "", PO[[#This Row],[Spend category L2 - Override]], PO[[#This Row],[Spend category L2]])</f>
        <v>0</v>
      </c>
      <c r="N634" s="63">
        <f>Assumptions!$D$15</f>
        <v>0.1</v>
      </c>
      <c r="O634" s="45">
        <f>IF(PO[[#This Row],[GST applies?]] = "Yes", (PO[[#This Row],[Value inc. GST]] / 1 + PO[[#This Row],[GST %]]) * PO[[#This Row],[GST %]], 0)</f>
        <v>0</v>
      </c>
      <c r="P634" s="31">
        <f>_xlfn.XLOOKUP(PO[[#This Row],[Supplier name]], Supplier_master[Supplier name], Supplier_master[EOM or Net], 0)</f>
        <v>0</v>
      </c>
      <c r="Q634" s="31">
        <f>_xlfn.XLOOKUP(PO[[#This Row],[Supplier name]], Supplier_master[Supplier name], Supplier_master[Terms days], 0)</f>
        <v>0</v>
      </c>
      <c r="R6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4" s="4"/>
      <c r="T634" s="46">
        <f>IF(PO[[#This Row],[Payment date - override (dd/mm/yyyy)]] &lt;&gt; "", PO[[#This Row],[Payment date - override (dd/mm/yyyy)]], PO[[#This Row],[Due date (dd/mm/yyyy)]])</f>
        <v>0</v>
      </c>
      <c r="U634" s="46">
        <f t="shared" si="9"/>
        <v>52</v>
      </c>
    </row>
    <row r="635" spans="3:21" x14ac:dyDescent="0.25">
      <c r="C635" s="24"/>
      <c r="D635" s="20"/>
      <c r="E635" s="4"/>
      <c r="F635" s="37"/>
      <c r="G635" s="38"/>
      <c r="H635" s="31">
        <f>_xlfn.XLOOKUP(PO[[#This Row],[Supplier name]], Supplier_master[Supplier name], Supplier_master[Category L1], 0)</f>
        <v>0</v>
      </c>
      <c r="I635" s="31">
        <f>_xlfn.XLOOKUP(PO[[#This Row],[Supplier name]], Supplier_master[Supplier name], Supplier_master[Category L2], 0)</f>
        <v>0</v>
      </c>
      <c r="J635" s="55"/>
      <c r="K635" s="55"/>
      <c r="L635" s="31">
        <f>IF(PO[[#This Row],[Spend category L1 - Override]] &lt;&gt; "", PO[[#This Row],[Spend category L1 - Override]], PO[[#This Row],[Spend category L1]])</f>
        <v>0</v>
      </c>
      <c r="M635" s="31">
        <f>IF(PO[[#This Row],[Spend category L2 - Override]] &lt;&gt; "", PO[[#This Row],[Spend category L2 - Override]], PO[[#This Row],[Spend category L2]])</f>
        <v>0</v>
      </c>
      <c r="N635" s="63">
        <f>Assumptions!$D$15</f>
        <v>0.1</v>
      </c>
      <c r="O635" s="45">
        <f>IF(PO[[#This Row],[GST applies?]] = "Yes", (PO[[#This Row],[Value inc. GST]] / 1 + PO[[#This Row],[GST %]]) * PO[[#This Row],[GST %]], 0)</f>
        <v>0</v>
      </c>
      <c r="P635" s="31">
        <f>_xlfn.XLOOKUP(PO[[#This Row],[Supplier name]], Supplier_master[Supplier name], Supplier_master[EOM or Net], 0)</f>
        <v>0</v>
      </c>
      <c r="Q635" s="31">
        <f>_xlfn.XLOOKUP(PO[[#This Row],[Supplier name]], Supplier_master[Supplier name], Supplier_master[Terms days], 0)</f>
        <v>0</v>
      </c>
      <c r="R6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5" s="4"/>
      <c r="T635" s="46">
        <f>IF(PO[[#This Row],[Payment date - override (dd/mm/yyyy)]] &lt;&gt; "", PO[[#This Row],[Payment date - override (dd/mm/yyyy)]], PO[[#This Row],[Due date (dd/mm/yyyy)]])</f>
        <v>0</v>
      </c>
      <c r="U635" s="46">
        <f t="shared" si="9"/>
        <v>52</v>
      </c>
    </row>
    <row r="636" spans="3:21" x14ac:dyDescent="0.25">
      <c r="C636" s="24"/>
      <c r="D636" s="20"/>
      <c r="E636" s="4"/>
      <c r="F636" s="37"/>
      <c r="G636" s="38"/>
      <c r="H636" s="31">
        <f>_xlfn.XLOOKUP(PO[[#This Row],[Supplier name]], Supplier_master[Supplier name], Supplier_master[Category L1], 0)</f>
        <v>0</v>
      </c>
      <c r="I636" s="31">
        <f>_xlfn.XLOOKUP(PO[[#This Row],[Supplier name]], Supplier_master[Supplier name], Supplier_master[Category L2], 0)</f>
        <v>0</v>
      </c>
      <c r="J636" s="55"/>
      <c r="K636" s="55"/>
      <c r="L636" s="31">
        <f>IF(PO[[#This Row],[Spend category L1 - Override]] &lt;&gt; "", PO[[#This Row],[Spend category L1 - Override]], PO[[#This Row],[Spend category L1]])</f>
        <v>0</v>
      </c>
      <c r="M636" s="31">
        <f>IF(PO[[#This Row],[Spend category L2 - Override]] &lt;&gt; "", PO[[#This Row],[Spend category L2 - Override]], PO[[#This Row],[Spend category L2]])</f>
        <v>0</v>
      </c>
      <c r="N636" s="63">
        <f>Assumptions!$D$15</f>
        <v>0.1</v>
      </c>
      <c r="O636" s="45">
        <f>IF(PO[[#This Row],[GST applies?]] = "Yes", (PO[[#This Row],[Value inc. GST]] / 1 + PO[[#This Row],[GST %]]) * PO[[#This Row],[GST %]], 0)</f>
        <v>0</v>
      </c>
      <c r="P636" s="31">
        <f>_xlfn.XLOOKUP(PO[[#This Row],[Supplier name]], Supplier_master[Supplier name], Supplier_master[EOM or Net], 0)</f>
        <v>0</v>
      </c>
      <c r="Q636" s="31">
        <f>_xlfn.XLOOKUP(PO[[#This Row],[Supplier name]], Supplier_master[Supplier name], Supplier_master[Terms days], 0)</f>
        <v>0</v>
      </c>
      <c r="R6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6" s="4"/>
      <c r="T636" s="46">
        <f>IF(PO[[#This Row],[Payment date - override (dd/mm/yyyy)]] &lt;&gt; "", PO[[#This Row],[Payment date - override (dd/mm/yyyy)]], PO[[#This Row],[Due date (dd/mm/yyyy)]])</f>
        <v>0</v>
      </c>
      <c r="U636" s="46">
        <f t="shared" si="9"/>
        <v>52</v>
      </c>
    </row>
    <row r="637" spans="3:21" x14ac:dyDescent="0.25">
      <c r="C637" s="24"/>
      <c r="D637" s="20"/>
      <c r="E637" s="4"/>
      <c r="F637" s="37"/>
      <c r="G637" s="38"/>
      <c r="H637" s="31">
        <f>_xlfn.XLOOKUP(PO[[#This Row],[Supplier name]], Supplier_master[Supplier name], Supplier_master[Category L1], 0)</f>
        <v>0</v>
      </c>
      <c r="I637" s="31">
        <f>_xlfn.XLOOKUP(PO[[#This Row],[Supplier name]], Supplier_master[Supplier name], Supplier_master[Category L2], 0)</f>
        <v>0</v>
      </c>
      <c r="J637" s="55"/>
      <c r="K637" s="55"/>
      <c r="L637" s="31">
        <f>IF(PO[[#This Row],[Spend category L1 - Override]] &lt;&gt; "", PO[[#This Row],[Spend category L1 - Override]], PO[[#This Row],[Spend category L1]])</f>
        <v>0</v>
      </c>
      <c r="M637" s="31">
        <f>IF(PO[[#This Row],[Spend category L2 - Override]] &lt;&gt; "", PO[[#This Row],[Spend category L2 - Override]], PO[[#This Row],[Spend category L2]])</f>
        <v>0</v>
      </c>
      <c r="N637" s="63">
        <f>Assumptions!$D$15</f>
        <v>0.1</v>
      </c>
      <c r="O637" s="45">
        <f>IF(PO[[#This Row],[GST applies?]] = "Yes", (PO[[#This Row],[Value inc. GST]] / 1 + PO[[#This Row],[GST %]]) * PO[[#This Row],[GST %]], 0)</f>
        <v>0</v>
      </c>
      <c r="P637" s="31">
        <f>_xlfn.XLOOKUP(PO[[#This Row],[Supplier name]], Supplier_master[Supplier name], Supplier_master[EOM or Net], 0)</f>
        <v>0</v>
      </c>
      <c r="Q637" s="31">
        <f>_xlfn.XLOOKUP(PO[[#This Row],[Supplier name]], Supplier_master[Supplier name], Supplier_master[Terms days], 0)</f>
        <v>0</v>
      </c>
      <c r="R6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7" s="4"/>
      <c r="T637" s="46">
        <f>IF(PO[[#This Row],[Payment date - override (dd/mm/yyyy)]] &lt;&gt; "", PO[[#This Row],[Payment date - override (dd/mm/yyyy)]], PO[[#This Row],[Due date (dd/mm/yyyy)]])</f>
        <v>0</v>
      </c>
      <c r="U637" s="46">
        <f t="shared" si="9"/>
        <v>52</v>
      </c>
    </row>
    <row r="638" spans="3:21" x14ac:dyDescent="0.25">
      <c r="C638" s="24"/>
      <c r="D638" s="20"/>
      <c r="E638" s="4"/>
      <c r="F638" s="37"/>
      <c r="G638" s="38"/>
      <c r="H638" s="31">
        <f>_xlfn.XLOOKUP(PO[[#This Row],[Supplier name]], Supplier_master[Supplier name], Supplier_master[Category L1], 0)</f>
        <v>0</v>
      </c>
      <c r="I638" s="31">
        <f>_xlfn.XLOOKUP(PO[[#This Row],[Supplier name]], Supplier_master[Supplier name], Supplier_master[Category L2], 0)</f>
        <v>0</v>
      </c>
      <c r="J638" s="55"/>
      <c r="K638" s="55"/>
      <c r="L638" s="31">
        <f>IF(PO[[#This Row],[Spend category L1 - Override]] &lt;&gt; "", PO[[#This Row],[Spend category L1 - Override]], PO[[#This Row],[Spend category L1]])</f>
        <v>0</v>
      </c>
      <c r="M638" s="31">
        <f>IF(PO[[#This Row],[Spend category L2 - Override]] &lt;&gt; "", PO[[#This Row],[Spend category L2 - Override]], PO[[#This Row],[Spend category L2]])</f>
        <v>0</v>
      </c>
      <c r="N638" s="63">
        <f>Assumptions!$D$15</f>
        <v>0.1</v>
      </c>
      <c r="O638" s="45">
        <f>IF(PO[[#This Row],[GST applies?]] = "Yes", (PO[[#This Row],[Value inc. GST]] / 1 + PO[[#This Row],[GST %]]) * PO[[#This Row],[GST %]], 0)</f>
        <v>0</v>
      </c>
      <c r="P638" s="31">
        <f>_xlfn.XLOOKUP(PO[[#This Row],[Supplier name]], Supplier_master[Supplier name], Supplier_master[EOM or Net], 0)</f>
        <v>0</v>
      </c>
      <c r="Q638" s="31">
        <f>_xlfn.XLOOKUP(PO[[#This Row],[Supplier name]], Supplier_master[Supplier name], Supplier_master[Terms days], 0)</f>
        <v>0</v>
      </c>
      <c r="R6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8" s="4"/>
      <c r="T638" s="46">
        <f>IF(PO[[#This Row],[Payment date - override (dd/mm/yyyy)]] &lt;&gt; "", PO[[#This Row],[Payment date - override (dd/mm/yyyy)]], PO[[#This Row],[Due date (dd/mm/yyyy)]])</f>
        <v>0</v>
      </c>
      <c r="U638" s="46">
        <f t="shared" si="9"/>
        <v>52</v>
      </c>
    </row>
    <row r="639" spans="3:21" x14ac:dyDescent="0.25">
      <c r="C639" s="24"/>
      <c r="D639" s="20"/>
      <c r="E639" s="4"/>
      <c r="F639" s="37"/>
      <c r="G639" s="38"/>
      <c r="H639" s="31">
        <f>_xlfn.XLOOKUP(PO[[#This Row],[Supplier name]], Supplier_master[Supplier name], Supplier_master[Category L1], 0)</f>
        <v>0</v>
      </c>
      <c r="I639" s="31">
        <f>_xlfn.XLOOKUP(PO[[#This Row],[Supplier name]], Supplier_master[Supplier name], Supplier_master[Category L2], 0)</f>
        <v>0</v>
      </c>
      <c r="J639" s="55"/>
      <c r="K639" s="55"/>
      <c r="L639" s="31">
        <f>IF(PO[[#This Row],[Spend category L1 - Override]] &lt;&gt; "", PO[[#This Row],[Spend category L1 - Override]], PO[[#This Row],[Spend category L1]])</f>
        <v>0</v>
      </c>
      <c r="M639" s="31">
        <f>IF(PO[[#This Row],[Spend category L2 - Override]] &lt;&gt; "", PO[[#This Row],[Spend category L2 - Override]], PO[[#This Row],[Spend category L2]])</f>
        <v>0</v>
      </c>
      <c r="N639" s="63">
        <f>Assumptions!$D$15</f>
        <v>0.1</v>
      </c>
      <c r="O639" s="45">
        <f>IF(PO[[#This Row],[GST applies?]] = "Yes", (PO[[#This Row],[Value inc. GST]] / 1 + PO[[#This Row],[GST %]]) * PO[[#This Row],[GST %]], 0)</f>
        <v>0</v>
      </c>
      <c r="P639" s="31">
        <f>_xlfn.XLOOKUP(PO[[#This Row],[Supplier name]], Supplier_master[Supplier name], Supplier_master[EOM or Net], 0)</f>
        <v>0</v>
      </c>
      <c r="Q639" s="31">
        <f>_xlfn.XLOOKUP(PO[[#This Row],[Supplier name]], Supplier_master[Supplier name], Supplier_master[Terms days], 0)</f>
        <v>0</v>
      </c>
      <c r="R6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9" s="4"/>
      <c r="T639" s="46">
        <f>IF(PO[[#This Row],[Payment date - override (dd/mm/yyyy)]] &lt;&gt; "", PO[[#This Row],[Payment date - override (dd/mm/yyyy)]], PO[[#This Row],[Due date (dd/mm/yyyy)]])</f>
        <v>0</v>
      </c>
      <c r="U639" s="46">
        <f t="shared" si="9"/>
        <v>52</v>
      </c>
    </row>
    <row r="640" spans="3:21" x14ac:dyDescent="0.25">
      <c r="C640" s="24"/>
      <c r="D640" s="20"/>
      <c r="E640" s="4"/>
      <c r="F640" s="37"/>
      <c r="G640" s="38"/>
      <c r="H640" s="31">
        <f>_xlfn.XLOOKUP(PO[[#This Row],[Supplier name]], Supplier_master[Supplier name], Supplier_master[Category L1], 0)</f>
        <v>0</v>
      </c>
      <c r="I640" s="31">
        <f>_xlfn.XLOOKUP(PO[[#This Row],[Supplier name]], Supplier_master[Supplier name], Supplier_master[Category L2], 0)</f>
        <v>0</v>
      </c>
      <c r="J640" s="55"/>
      <c r="K640" s="55"/>
      <c r="L640" s="31">
        <f>IF(PO[[#This Row],[Spend category L1 - Override]] &lt;&gt; "", PO[[#This Row],[Spend category L1 - Override]], PO[[#This Row],[Spend category L1]])</f>
        <v>0</v>
      </c>
      <c r="M640" s="31">
        <f>IF(PO[[#This Row],[Spend category L2 - Override]] &lt;&gt; "", PO[[#This Row],[Spend category L2 - Override]], PO[[#This Row],[Spend category L2]])</f>
        <v>0</v>
      </c>
      <c r="N640" s="63">
        <f>Assumptions!$D$15</f>
        <v>0.1</v>
      </c>
      <c r="O640" s="45">
        <f>IF(PO[[#This Row],[GST applies?]] = "Yes", (PO[[#This Row],[Value inc. GST]] / 1 + PO[[#This Row],[GST %]]) * PO[[#This Row],[GST %]], 0)</f>
        <v>0</v>
      </c>
      <c r="P640" s="31">
        <f>_xlfn.XLOOKUP(PO[[#This Row],[Supplier name]], Supplier_master[Supplier name], Supplier_master[EOM or Net], 0)</f>
        <v>0</v>
      </c>
      <c r="Q640" s="31">
        <f>_xlfn.XLOOKUP(PO[[#This Row],[Supplier name]], Supplier_master[Supplier name], Supplier_master[Terms days], 0)</f>
        <v>0</v>
      </c>
      <c r="R6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0" s="4"/>
      <c r="T640" s="46">
        <f>IF(PO[[#This Row],[Payment date - override (dd/mm/yyyy)]] &lt;&gt; "", PO[[#This Row],[Payment date - override (dd/mm/yyyy)]], PO[[#This Row],[Due date (dd/mm/yyyy)]])</f>
        <v>0</v>
      </c>
      <c r="U640" s="46">
        <f t="shared" si="9"/>
        <v>52</v>
      </c>
    </row>
    <row r="641" spans="3:21" x14ac:dyDescent="0.25">
      <c r="C641" s="24"/>
      <c r="D641" s="20"/>
      <c r="E641" s="4"/>
      <c r="F641" s="37"/>
      <c r="G641" s="38"/>
      <c r="H641" s="31">
        <f>_xlfn.XLOOKUP(PO[[#This Row],[Supplier name]], Supplier_master[Supplier name], Supplier_master[Category L1], 0)</f>
        <v>0</v>
      </c>
      <c r="I641" s="31">
        <f>_xlfn.XLOOKUP(PO[[#This Row],[Supplier name]], Supplier_master[Supplier name], Supplier_master[Category L2], 0)</f>
        <v>0</v>
      </c>
      <c r="J641" s="55"/>
      <c r="K641" s="55"/>
      <c r="L641" s="31">
        <f>IF(PO[[#This Row],[Spend category L1 - Override]] &lt;&gt; "", PO[[#This Row],[Spend category L1 - Override]], PO[[#This Row],[Spend category L1]])</f>
        <v>0</v>
      </c>
      <c r="M641" s="31">
        <f>IF(PO[[#This Row],[Spend category L2 - Override]] &lt;&gt; "", PO[[#This Row],[Spend category L2 - Override]], PO[[#This Row],[Spend category L2]])</f>
        <v>0</v>
      </c>
      <c r="N641" s="63">
        <f>Assumptions!$D$15</f>
        <v>0.1</v>
      </c>
      <c r="O641" s="45">
        <f>IF(PO[[#This Row],[GST applies?]] = "Yes", (PO[[#This Row],[Value inc. GST]] / 1 + PO[[#This Row],[GST %]]) * PO[[#This Row],[GST %]], 0)</f>
        <v>0</v>
      </c>
      <c r="P641" s="31">
        <f>_xlfn.XLOOKUP(PO[[#This Row],[Supplier name]], Supplier_master[Supplier name], Supplier_master[EOM or Net], 0)</f>
        <v>0</v>
      </c>
      <c r="Q641" s="31">
        <f>_xlfn.XLOOKUP(PO[[#This Row],[Supplier name]], Supplier_master[Supplier name], Supplier_master[Terms days], 0)</f>
        <v>0</v>
      </c>
      <c r="R6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1" s="4"/>
      <c r="T641" s="46">
        <f>IF(PO[[#This Row],[Payment date - override (dd/mm/yyyy)]] &lt;&gt; "", PO[[#This Row],[Payment date - override (dd/mm/yyyy)]], PO[[#This Row],[Due date (dd/mm/yyyy)]])</f>
        <v>0</v>
      </c>
      <c r="U641" s="46">
        <f t="shared" si="9"/>
        <v>52</v>
      </c>
    </row>
    <row r="642" spans="3:21" x14ac:dyDescent="0.25">
      <c r="C642" s="24"/>
      <c r="D642" s="20"/>
      <c r="E642" s="4"/>
      <c r="F642" s="37"/>
      <c r="G642" s="38"/>
      <c r="H642" s="31">
        <f>_xlfn.XLOOKUP(PO[[#This Row],[Supplier name]], Supplier_master[Supplier name], Supplier_master[Category L1], 0)</f>
        <v>0</v>
      </c>
      <c r="I642" s="31">
        <f>_xlfn.XLOOKUP(PO[[#This Row],[Supplier name]], Supplier_master[Supplier name], Supplier_master[Category L2], 0)</f>
        <v>0</v>
      </c>
      <c r="J642" s="55"/>
      <c r="K642" s="55"/>
      <c r="L642" s="31">
        <f>IF(PO[[#This Row],[Spend category L1 - Override]] &lt;&gt; "", PO[[#This Row],[Spend category L1 - Override]], PO[[#This Row],[Spend category L1]])</f>
        <v>0</v>
      </c>
      <c r="M642" s="31">
        <f>IF(PO[[#This Row],[Spend category L2 - Override]] &lt;&gt; "", PO[[#This Row],[Spend category L2 - Override]], PO[[#This Row],[Spend category L2]])</f>
        <v>0</v>
      </c>
      <c r="N642" s="63">
        <f>Assumptions!$D$15</f>
        <v>0.1</v>
      </c>
      <c r="O642" s="45">
        <f>IF(PO[[#This Row],[GST applies?]] = "Yes", (PO[[#This Row],[Value inc. GST]] / 1 + PO[[#This Row],[GST %]]) * PO[[#This Row],[GST %]], 0)</f>
        <v>0</v>
      </c>
      <c r="P642" s="31">
        <f>_xlfn.XLOOKUP(PO[[#This Row],[Supplier name]], Supplier_master[Supplier name], Supplier_master[EOM or Net], 0)</f>
        <v>0</v>
      </c>
      <c r="Q642" s="31">
        <f>_xlfn.XLOOKUP(PO[[#This Row],[Supplier name]], Supplier_master[Supplier name], Supplier_master[Terms days], 0)</f>
        <v>0</v>
      </c>
      <c r="R6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2" s="4"/>
      <c r="T642" s="46">
        <f>IF(PO[[#This Row],[Payment date - override (dd/mm/yyyy)]] &lt;&gt; "", PO[[#This Row],[Payment date - override (dd/mm/yyyy)]], PO[[#This Row],[Due date (dd/mm/yyyy)]])</f>
        <v>0</v>
      </c>
      <c r="U642" s="46">
        <f t="shared" si="9"/>
        <v>52</v>
      </c>
    </row>
    <row r="643" spans="3:21" x14ac:dyDescent="0.25">
      <c r="C643" s="24"/>
      <c r="D643" s="20"/>
      <c r="E643" s="4"/>
      <c r="F643" s="37"/>
      <c r="G643" s="38"/>
      <c r="H643" s="31">
        <f>_xlfn.XLOOKUP(PO[[#This Row],[Supplier name]], Supplier_master[Supplier name], Supplier_master[Category L1], 0)</f>
        <v>0</v>
      </c>
      <c r="I643" s="31">
        <f>_xlfn.XLOOKUP(PO[[#This Row],[Supplier name]], Supplier_master[Supplier name], Supplier_master[Category L2], 0)</f>
        <v>0</v>
      </c>
      <c r="J643" s="55"/>
      <c r="K643" s="55"/>
      <c r="L643" s="31">
        <f>IF(PO[[#This Row],[Spend category L1 - Override]] &lt;&gt; "", PO[[#This Row],[Spend category L1 - Override]], PO[[#This Row],[Spend category L1]])</f>
        <v>0</v>
      </c>
      <c r="M643" s="31">
        <f>IF(PO[[#This Row],[Spend category L2 - Override]] &lt;&gt; "", PO[[#This Row],[Spend category L2 - Override]], PO[[#This Row],[Spend category L2]])</f>
        <v>0</v>
      </c>
      <c r="N643" s="63">
        <f>Assumptions!$D$15</f>
        <v>0.1</v>
      </c>
      <c r="O643" s="45">
        <f>IF(PO[[#This Row],[GST applies?]] = "Yes", (PO[[#This Row],[Value inc. GST]] / 1 + PO[[#This Row],[GST %]]) * PO[[#This Row],[GST %]], 0)</f>
        <v>0</v>
      </c>
      <c r="P643" s="31">
        <f>_xlfn.XLOOKUP(PO[[#This Row],[Supplier name]], Supplier_master[Supplier name], Supplier_master[EOM or Net], 0)</f>
        <v>0</v>
      </c>
      <c r="Q643" s="31">
        <f>_xlfn.XLOOKUP(PO[[#This Row],[Supplier name]], Supplier_master[Supplier name], Supplier_master[Terms days], 0)</f>
        <v>0</v>
      </c>
      <c r="R6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3" s="4"/>
      <c r="T643" s="46">
        <f>IF(PO[[#This Row],[Payment date - override (dd/mm/yyyy)]] &lt;&gt; "", PO[[#This Row],[Payment date - override (dd/mm/yyyy)]], PO[[#This Row],[Due date (dd/mm/yyyy)]])</f>
        <v>0</v>
      </c>
      <c r="U643" s="46">
        <f t="shared" si="9"/>
        <v>52</v>
      </c>
    </row>
    <row r="644" spans="3:21" x14ac:dyDescent="0.25">
      <c r="C644" s="24"/>
      <c r="D644" s="20"/>
      <c r="E644" s="4"/>
      <c r="F644" s="37"/>
      <c r="G644" s="38"/>
      <c r="H644" s="31">
        <f>_xlfn.XLOOKUP(PO[[#This Row],[Supplier name]], Supplier_master[Supplier name], Supplier_master[Category L1], 0)</f>
        <v>0</v>
      </c>
      <c r="I644" s="31">
        <f>_xlfn.XLOOKUP(PO[[#This Row],[Supplier name]], Supplier_master[Supplier name], Supplier_master[Category L2], 0)</f>
        <v>0</v>
      </c>
      <c r="J644" s="55"/>
      <c r="K644" s="55"/>
      <c r="L644" s="31">
        <f>IF(PO[[#This Row],[Spend category L1 - Override]] &lt;&gt; "", PO[[#This Row],[Spend category L1 - Override]], PO[[#This Row],[Spend category L1]])</f>
        <v>0</v>
      </c>
      <c r="M644" s="31">
        <f>IF(PO[[#This Row],[Spend category L2 - Override]] &lt;&gt; "", PO[[#This Row],[Spend category L2 - Override]], PO[[#This Row],[Spend category L2]])</f>
        <v>0</v>
      </c>
      <c r="N644" s="63">
        <f>Assumptions!$D$15</f>
        <v>0.1</v>
      </c>
      <c r="O644" s="45">
        <f>IF(PO[[#This Row],[GST applies?]] = "Yes", (PO[[#This Row],[Value inc. GST]] / 1 + PO[[#This Row],[GST %]]) * PO[[#This Row],[GST %]], 0)</f>
        <v>0</v>
      </c>
      <c r="P644" s="31">
        <f>_xlfn.XLOOKUP(PO[[#This Row],[Supplier name]], Supplier_master[Supplier name], Supplier_master[EOM or Net], 0)</f>
        <v>0</v>
      </c>
      <c r="Q644" s="31">
        <f>_xlfn.XLOOKUP(PO[[#This Row],[Supplier name]], Supplier_master[Supplier name], Supplier_master[Terms days], 0)</f>
        <v>0</v>
      </c>
      <c r="R6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4" s="4"/>
      <c r="T644" s="46">
        <f>IF(PO[[#This Row],[Payment date - override (dd/mm/yyyy)]] &lt;&gt; "", PO[[#This Row],[Payment date - override (dd/mm/yyyy)]], PO[[#This Row],[Due date (dd/mm/yyyy)]])</f>
        <v>0</v>
      </c>
      <c r="U644" s="46">
        <f t="shared" si="9"/>
        <v>52</v>
      </c>
    </row>
    <row r="645" spans="3:21" x14ac:dyDescent="0.25">
      <c r="C645" s="24"/>
      <c r="D645" s="20"/>
      <c r="E645" s="4"/>
      <c r="F645" s="37"/>
      <c r="G645" s="38"/>
      <c r="H645" s="31">
        <f>_xlfn.XLOOKUP(PO[[#This Row],[Supplier name]], Supplier_master[Supplier name], Supplier_master[Category L1], 0)</f>
        <v>0</v>
      </c>
      <c r="I645" s="31">
        <f>_xlfn.XLOOKUP(PO[[#This Row],[Supplier name]], Supplier_master[Supplier name], Supplier_master[Category L2], 0)</f>
        <v>0</v>
      </c>
      <c r="J645" s="55"/>
      <c r="K645" s="55"/>
      <c r="L645" s="31">
        <f>IF(PO[[#This Row],[Spend category L1 - Override]] &lt;&gt; "", PO[[#This Row],[Spend category L1 - Override]], PO[[#This Row],[Spend category L1]])</f>
        <v>0</v>
      </c>
      <c r="M645" s="31">
        <f>IF(PO[[#This Row],[Spend category L2 - Override]] &lt;&gt; "", PO[[#This Row],[Spend category L2 - Override]], PO[[#This Row],[Spend category L2]])</f>
        <v>0</v>
      </c>
      <c r="N645" s="63">
        <f>Assumptions!$D$15</f>
        <v>0.1</v>
      </c>
      <c r="O645" s="45">
        <f>IF(PO[[#This Row],[GST applies?]] = "Yes", (PO[[#This Row],[Value inc. GST]] / 1 + PO[[#This Row],[GST %]]) * PO[[#This Row],[GST %]], 0)</f>
        <v>0</v>
      </c>
      <c r="P645" s="31">
        <f>_xlfn.XLOOKUP(PO[[#This Row],[Supplier name]], Supplier_master[Supplier name], Supplier_master[EOM or Net], 0)</f>
        <v>0</v>
      </c>
      <c r="Q645" s="31">
        <f>_xlfn.XLOOKUP(PO[[#This Row],[Supplier name]], Supplier_master[Supplier name], Supplier_master[Terms days], 0)</f>
        <v>0</v>
      </c>
      <c r="R6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5" s="4"/>
      <c r="T645" s="46">
        <f>IF(PO[[#This Row],[Payment date - override (dd/mm/yyyy)]] &lt;&gt; "", PO[[#This Row],[Payment date - override (dd/mm/yyyy)]], PO[[#This Row],[Due date (dd/mm/yyyy)]])</f>
        <v>0</v>
      </c>
      <c r="U645" s="46">
        <f t="shared" si="9"/>
        <v>52</v>
      </c>
    </row>
    <row r="646" spans="3:21" x14ac:dyDescent="0.25">
      <c r="C646" s="24"/>
      <c r="D646" s="20"/>
      <c r="E646" s="4"/>
      <c r="F646" s="37"/>
      <c r="G646" s="38"/>
      <c r="H646" s="31">
        <f>_xlfn.XLOOKUP(PO[[#This Row],[Supplier name]], Supplier_master[Supplier name], Supplier_master[Category L1], 0)</f>
        <v>0</v>
      </c>
      <c r="I646" s="31">
        <f>_xlfn.XLOOKUP(PO[[#This Row],[Supplier name]], Supplier_master[Supplier name], Supplier_master[Category L2], 0)</f>
        <v>0</v>
      </c>
      <c r="J646" s="55"/>
      <c r="K646" s="55"/>
      <c r="L646" s="31">
        <f>IF(PO[[#This Row],[Spend category L1 - Override]] &lt;&gt; "", PO[[#This Row],[Spend category L1 - Override]], PO[[#This Row],[Spend category L1]])</f>
        <v>0</v>
      </c>
      <c r="M646" s="31">
        <f>IF(PO[[#This Row],[Spend category L2 - Override]] &lt;&gt; "", PO[[#This Row],[Spend category L2 - Override]], PO[[#This Row],[Spend category L2]])</f>
        <v>0</v>
      </c>
      <c r="N646" s="63">
        <f>Assumptions!$D$15</f>
        <v>0.1</v>
      </c>
      <c r="O646" s="45">
        <f>IF(PO[[#This Row],[GST applies?]] = "Yes", (PO[[#This Row],[Value inc. GST]] / 1 + PO[[#This Row],[GST %]]) * PO[[#This Row],[GST %]], 0)</f>
        <v>0</v>
      </c>
      <c r="P646" s="31">
        <f>_xlfn.XLOOKUP(PO[[#This Row],[Supplier name]], Supplier_master[Supplier name], Supplier_master[EOM or Net], 0)</f>
        <v>0</v>
      </c>
      <c r="Q646" s="31">
        <f>_xlfn.XLOOKUP(PO[[#This Row],[Supplier name]], Supplier_master[Supplier name], Supplier_master[Terms days], 0)</f>
        <v>0</v>
      </c>
      <c r="R6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6" s="4"/>
      <c r="T646" s="46">
        <f>IF(PO[[#This Row],[Payment date - override (dd/mm/yyyy)]] &lt;&gt; "", PO[[#This Row],[Payment date - override (dd/mm/yyyy)]], PO[[#This Row],[Due date (dd/mm/yyyy)]])</f>
        <v>0</v>
      </c>
      <c r="U646" s="46">
        <f t="shared" si="9"/>
        <v>52</v>
      </c>
    </row>
    <row r="647" spans="3:21" x14ac:dyDescent="0.25">
      <c r="C647" s="24"/>
      <c r="D647" s="20"/>
      <c r="E647" s="4"/>
      <c r="F647" s="37"/>
      <c r="G647" s="38"/>
      <c r="H647" s="31">
        <f>_xlfn.XLOOKUP(PO[[#This Row],[Supplier name]], Supplier_master[Supplier name], Supplier_master[Category L1], 0)</f>
        <v>0</v>
      </c>
      <c r="I647" s="31">
        <f>_xlfn.XLOOKUP(PO[[#This Row],[Supplier name]], Supplier_master[Supplier name], Supplier_master[Category L2], 0)</f>
        <v>0</v>
      </c>
      <c r="J647" s="55"/>
      <c r="K647" s="55"/>
      <c r="L647" s="31">
        <f>IF(PO[[#This Row],[Spend category L1 - Override]] &lt;&gt; "", PO[[#This Row],[Spend category L1 - Override]], PO[[#This Row],[Spend category L1]])</f>
        <v>0</v>
      </c>
      <c r="M647" s="31">
        <f>IF(PO[[#This Row],[Spend category L2 - Override]] &lt;&gt; "", PO[[#This Row],[Spend category L2 - Override]], PO[[#This Row],[Spend category L2]])</f>
        <v>0</v>
      </c>
      <c r="N647" s="63">
        <f>Assumptions!$D$15</f>
        <v>0.1</v>
      </c>
      <c r="O647" s="45">
        <f>IF(PO[[#This Row],[GST applies?]] = "Yes", (PO[[#This Row],[Value inc. GST]] / 1 + PO[[#This Row],[GST %]]) * PO[[#This Row],[GST %]], 0)</f>
        <v>0</v>
      </c>
      <c r="P647" s="31">
        <f>_xlfn.XLOOKUP(PO[[#This Row],[Supplier name]], Supplier_master[Supplier name], Supplier_master[EOM or Net], 0)</f>
        <v>0</v>
      </c>
      <c r="Q647" s="31">
        <f>_xlfn.XLOOKUP(PO[[#This Row],[Supplier name]], Supplier_master[Supplier name], Supplier_master[Terms days], 0)</f>
        <v>0</v>
      </c>
      <c r="R6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7" s="4"/>
      <c r="T647" s="46">
        <f>IF(PO[[#This Row],[Payment date - override (dd/mm/yyyy)]] &lt;&gt; "", PO[[#This Row],[Payment date - override (dd/mm/yyyy)]], PO[[#This Row],[Due date (dd/mm/yyyy)]])</f>
        <v>0</v>
      </c>
      <c r="U647" s="46">
        <f t="shared" si="9"/>
        <v>52</v>
      </c>
    </row>
    <row r="648" spans="3:21" x14ac:dyDescent="0.25">
      <c r="C648" s="24"/>
      <c r="D648" s="20"/>
      <c r="E648" s="4"/>
      <c r="F648" s="37"/>
      <c r="G648" s="38"/>
      <c r="H648" s="31">
        <f>_xlfn.XLOOKUP(PO[[#This Row],[Supplier name]], Supplier_master[Supplier name], Supplier_master[Category L1], 0)</f>
        <v>0</v>
      </c>
      <c r="I648" s="31">
        <f>_xlfn.XLOOKUP(PO[[#This Row],[Supplier name]], Supplier_master[Supplier name], Supplier_master[Category L2], 0)</f>
        <v>0</v>
      </c>
      <c r="J648" s="55"/>
      <c r="K648" s="55"/>
      <c r="L648" s="31">
        <f>IF(PO[[#This Row],[Spend category L1 - Override]] &lt;&gt; "", PO[[#This Row],[Spend category L1 - Override]], PO[[#This Row],[Spend category L1]])</f>
        <v>0</v>
      </c>
      <c r="M648" s="31">
        <f>IF(PO[[#This Row],[Spend category L2 - Override]] &lt;&gt; "", PO[[#This Row],[Spend category L2 - Override]], PO[[#This Row],[Spend category L2]])</f>
        <v>0</v>
      </c>
      <c r="N648" s="63">
        <f>Assumptions!$D$15</f>
        <v>0.1</v>
      </c>
      <c r="O648" s="45">
        <f>IF(PO[[#This Row],[GST applies?]] = "Yes", (PO[[#This Row],[Value inc. GST]] / 1 + PO[[#This Row],[GST %]]) * PO[[#This Row],[GST %]], 0)</f>
        <v>0</v>
      </c>
      <c r="P648" s="31">
        <f>_xlfn.XLOOKUP(PO[[#This Row],[Supplier name]], Supplier_master[Supplier name], Supplier_master[EOM or Net], 0)</f>
        <v>0</v>
      </c>
      <c r="Q648" s="31">
        <f>_xlfn.XLOOKUP(PO[[#This Row],[Supplier name]], Supplier_master[Supplier name], Supplier_master[Terms days], 0)</f>
        <v>0</v>
      </c>
      <c r="R6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8" s="4"/>
      <c r="T648" s="46">
        <f>IF(PO[[#This Row],[Payment date - override (dd/mm/yyyy)]] &lt;&gt; "", PO[[#This Row],[Payment date - override (dd/mm/yyyy)]], PO[[#This Row],[Due date (dd/mm/yyyy)]])</f>
        <v>0</v>
      </c>
      <c r="U648" s="46">
        <f t="shared" si="9"/>
        <v>52</v>
      </c>
    </row>
    <row r="649" spans="3:21" x14ac:dyDescent="0.25">
      <c r="C649" s="24"/>
      <c r="D649" s="20"/>
      <c r="E649" s="4"/>
      <c r="F649" s="37"/>
      <c r="G649" s="38"/>
      <c r="H649" s="31">
        <f>_xlfn.XLOOKUP(PO[[#This Row],[Supplier name]], Supplier_master[Supplier name], Supplier_master[Category L1], 0)</f>
        <v>0</v>
      </c>
      <c r="I649" s="31">
        <f>_xlfn.XLOOKUP(PO[[#This Row],[Supplier name]], Supplier_master[Supplier name], Supplier_master[Category L2], 0)</f>
        <v>0</v>
      </c>
      <c r="J649" s="55"/>
      <c r="K649" s="55"/>
      <c r="L649" s="31">
        <f>IF(PO[[#This Row],[Spend category L1 - Override]] &lt;&gt; "", PO[[#This Row],[Spend category L1 - Override]], PO[[#This Row],[Spend category L1]])</f>
        <v>0</v>
      </c>
      <c r="M649" s="31">
        <f>IF(PO[[#This Row],[Spend category L2 - Override]] &lt;&gt; "", PO[[#This Row],[Spend category L2 - Override]], PO[[#This Row],[Spend category L2]])</f>
        <v>0</v>
      </c>
      <c r="N649" s="63">
        <f>Assumptions!$D$15</f>
        <v>0.1</v>
      </c>
      <c r="O649" s="45">
        <f>IF(PO[[#This Row],[GST applies?]] = "Yes", (PO[[#This Row],[Value inc. GST]] / 1 + PO[[#This Row],[GST %]]) * PO[[#This Row],[GST %]], 0)</f>
        <v>0</v>
      </c>
      <c r="P649" s="31">
        <f>_xlfn.XLOOKUP(PO[[#This Row],[Supplier name]], Supplier_master[Supplier name], Supplier_master[EOM or Net], 0)</f>
        <v>0</v>
      </c>
      <c r="Q649" s="31">
        <f>_xlfn.XLOOKUP(PO[[#This Row],[Supplier name]], Supplier_master[Supplier name], Supplier_master[Terms days], 0)</f>
        <v>0</v>
      </c>
      <c r="R6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9" s="4"/>
      <c r="T649" s="46">
        <f>IF(PO[[#This Row],[Payment date - override (dd/mm/yyyy)]] &lt;&gt; "", PO[[#This Row],[Payment date - override (dd/mm/yyyy)]], PO[[#This Row],[Due date (dd/mm/yyyy)]])</f>
        <v>0</v>
      </c>
      <c r="U649" s="46">
        <f t="shared" ref="U649:U712" si="10">IF(GST_Freq="Monthly",
    DATE(YEAR(E649), MONTH(E649) + 1, 21),
    IF(GST_Freq="Quarterly",
        IF(MOD(MONTH(E649) + 2 - MOD(MOD(MONTH(E649) - GST_First_Month, 12), 3), 12) = 0,
            DATE(YEAR(E649), MONTH(E649) + 4 - MOD(MOD(MONTH(E649) - GST_First_Month, 12), 3), 28),
            DATE(YEAR(E649), MONTH(E649) + 3 - MOD(MOD(MONTH(E649) - GST_First_Month, 12), 3), 28)
        ),
        "Invalid frequency"
    )
)</f>
        <v>52</v>
      </c>
    </row>
    <row r="650" spans="3:21" x14ac:dyDescent="0.25">
      <c r="C650" s="24"/>
      <c r="D650" s="20"/>
      <c r="E650" s="4"/>
      <c r="F650" s="37"/>
      <c r="G650" s="38"/>
      <c r="H650" s="31">
        <f>_xlfn.XLOOKUP(PO[[#This Row],[Supplier name]], Supplier_master[Supplier name], Supplier_master[Category L1], 0)</f>
        <v>0</v>
      </c>
      <c r="I650" s="31">
        <f>_xlfn.XLOOKUP(PO[[#This Row],[Supplier name]], Supplier_master[Supplier name], Supplier_master[Category L2], 0)</f>
        <v>0</v>
      </c>
      <c r="J650" s="55"/>
      <c r="K650" s="55"/>
      <c r="L650" s="31">
        <f>IF(PO[[#This Row],[Spend category L1 - Override]] &lt;&gt; "", PO[[#This Row],[Spend category L1 - Override]], PO[[#This Row],[Spend category L1]])</f>
        <v>0</v>
      </c>
      <c r="M650" s="31">
        <f>IF(PO[[#This Row],[Spend category L2 - Override]] &lt;&gt; "", PO[[#This Row],[Spend category L2 - Override]], PO[[#This Row],[Spend category L2]])</f>
        <v>0</v>
      </c>
      <c r="N650" s="63">
        <f>Assumptions!$D$15</f>
        <v>0.1</v>
      </c>
      <c r="O650" s="45">
        <f>IF(PO[[#This Row],[GST applies?]] = "Yes", (PO[[#This Row],[Value inc. GST]] / 1 + PO[[#This Row],[GST %]]) * PO[[#This Row],[GST %]], 0)</f>
        <v>0</v>
      </c>
      <c r="P650" s="31">
        <f>_xlfn.XLOOKUP(PO[[#This Row],[Supplier name]], Supplier_master[Supplier name], Supplier_master[EOM or Net], 0)</f>
        <v>0</v>
      </c>
      <c r="Q650" s="31">
        <f>_xlfn.XLOOKUP(PO[[#This Row],[Supplier name]], Supplier_master[Supplier name], Supplier_master[Terms days], 0)</f>
        <v>0</v>
      </c>
      <c r="R6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0" s="4"/>
      <c r="T650" s="46">
        <f>IF(PO[[#This Row],[Payment date - override (dd/mm/yyyy)]] &lt;&gt; "", PO[[#This Row],[Payment date - override (dd/mm/yyyy)]], PO[[#This Row],[Due date (dd/mm/yyyy)]])</f>
        <v>0</v>
      </c>
      <c r="U650" s="46">
        <f t="shared" si="10"/>
        <v>52</v>
      </c>
    </row>
    <row r="651" spans="3:21" x14ac:dyDescent="0.25">
      <c r="C651" s="24"/>
      <c r="D651" s="20"/>
      <c r="E651" s="4"/>
      <c r="F651" s="37"/>
      <c r="G651" s="38"/>
      <c r="H651" s="31">
        <f>_xlfn.XLOOKUP(PO[[#This Row],[Supplier name]], Supplier_master[Supplier name], Supplier_master[Category L1], 0)</f>
        <v>0</v>
      </c>
      <c r="I651" s="31">
        <f>_xlfn.XLOOKUP(PO[[#This Row],[Supplier name]], Supplier_master[Supplier name], Supplier_master[Category L2], 0)</f>
        <v>0</v>
      </c>
      <c r="J651" s="55"/>
      <c r="K651" s="55"/>
      <c r="L651" s="31">
        <f>IF(PO[[#This Row],[Spend category L1 - Override]] &lt;&gt; "", PO[[#This Row],[Spend category L1 - Override]], PO[[#This Row],[Spend category L1]])</f>
        <v>0</v>
      </c>
      <c r="M651" s="31">
        <f>IF(PO[[#This Row],[Spend category L2 - Override]] &lt;&gt; "", PO[[#This Row],[Spend category L2 - Override]], PO[[#This Row],[Spend category L2]])</f>
        <v>0</v>
      </c>
      <c r="N651" s="63">
        <f>Assumptions!$D$15</f>
        <v>0.1</v>
      </c>
      <c r="O651" s="45">
        <f>IF(PO[[#This Row],[GST applies?]] = "Yes", (PO[[#This Row],[Value inc. GST]] / 1 + PO[[#This Row],[GST %]]) * PO[[#This Row],[GST %]], 0)</f>
        <v>0</v>
      </c>
      <c r="P651" s="31">
        <f>_xlfn.XLOOKUP(PO[[#This Row],[Supplier name]], Supplier_master[Supplier name], Supplier_master[EOM or Net], 0)</f>
        <v>0</v>
      </c>
      <c r="Q651" s="31">
        <f>_xlfn.XLOOKUP(PO[[#This Row],[Supplier name]], Supplier_master[Supplier name], Supplier_master[Terms days], 0)</f>
        <v>0</v>
      </c>
      <c r="R6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1" s="4"/>
      <c r="T651" s="46">
        <f>IF(PO[[#This Row],[Payment date - override (dd/mm/yyyy)]] &lt;&gt; "", PO[[#This Row],[Payment date - override (dd/mm/yyyy)]], PO[[#This Row],[Due date (dd/mm/yyyy)]])</f>
        <v>0</v>
      </c>
      <c r="U651" s="46">
        <f t="shared" si="10"/>
        <v>52</v>
      </c>
    </row>
    <row r="652" spans="3:21" x14ac:dyDescent="0.25">
      <c r="C652" s="24"/>
      <c r="D652" s="20"/>
      <c r="E652" s="4"/>
      <c r="F652" s="37"/>
      <c r="G652" s="38"/>
      <c r="H652" s="31">
        <f>_xlfn.XLOOKUP(PO[[#This Row],[Supplier name]], Supplier_master[Supplier name], Supplier_master[Category L1], 0)</f>
        <v>0</v>
      </c>
      <c r="I652" s="31">
        <f>_xlfn.XLOOKUP(PO[[#This Row],[Supplier name]], Supplier_master[Supplier name], Supplier_master[Category L2], 0)</f>
        <v>0</v>
      </c>
      <c r="J652" s="55"/>
      <c r="K652" s="55"/>
      <c r="L652" s="31">
        <f>IF(PO[[#This Row],[Spend category L1 - Override]] &lt;&gt; "", PO[[#This Row],[Spend category L1 - Override]], PO[[#This Row],[Spend category L1]])</f>
        <v>0</v>
      </c>
      <c r="M652" s="31">
        <f>IF(PO[[#This Row],[Spend category L2 - Override]] &lt;&gt; "", PO[[#This Row],[Spend category L2 - Override]], PO[[#This Row],[Spend category L2]])</f>
        <v>0</v>
      </c>
      <c r="N652" s="63">
        <f>Assumptions!$D$15</f>
        <v>0.1</v>
      </c>
      <c r="O652" s="45">
        <f>IF(PO[[#This Row],[GST applies?]] = "Yes", (PO[[#This Row],[Value inc. GST]] / 1 + PO[[#This Row],[GST %]]) * PO[[#This Row],[GST %]], 0)</f>
        <v>0</v>
      </c>
      <c r="P652" s="31">
        <f>_xlfn.XLOOKUP(PO[[#This Row],[Supplier name]], Supplier_master[Supplier name], Supplier_master[EOM or Net], 0)</f>
        <v>0</v>
      </c>
      <c r="Q652" s="31">
        <f>_xlfn.XLOOKUP(PO[[#This Row],[Supplier name]], Supplier_master[Supplier name], Supplier_master[Terms days], 0)</f>
        <v>0</v>
      </c>
      <c r="R6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2" s="4"/>
      <c r="T652" s="46">
        <f>IF(PO[[#This Row],[Payment date - override (dd/mm/yyyy)]] &lt;&gt; "", PO[[#This Row],[Payment date - override (dd/mm/yyyy)]], PO[[#This Row],[Due date (dd/mm/yyyy)]])</f>
        <v>0</v>
      </c>
      <c r="U652" s="46">
        <f t="shared" si="10"/>
        <v>52</v>
      </c>
    </row>
    <row r="653" spans="3:21" x14ac:dyDescent="0.25">
      <c r="C653" s="24"/>
      <c r="D653" s="20"/>
      <c r="E653" s="4"/>
      <c r="F653" s="37"/>
      <c r="G653" s="38"/>
      <c r="H653" s="31">
        <f>_xlfn.XLOOKUP(PO[[#This Row],[Supplier name]], Supplier_master[Supplier name], Supplier_master[Category L1], 0)</f>
        <v>0</v>
      </c>
      <c r="I653" s="31">
        <f>_xlfn.XLOOKUP(PO[[#This Row],[Supplier name]], Supplier_master[Supplier name], Supplier_master[Category L2], 0)</f>
        <v>0</v>
      </c>
      <c r="J653" s="55"/>
      <c r="K653" s="55"/>
      <c r="L653" s="31">
        <f>IF(PO[[#This Row],[Spend category L1 - Override]] &lt;&gt; "", PO[[#This Row],[Spend category L1 - Override]], PO[[#This Row],[Spend category L1]])</f>
        <v>0</v>
      </c>
      <c r="M653" s="31">
        <f>IF(PO[[#This Row],[Spend category L2 - Override]] &lt;&gt; "", PO[[#This Row],[Spend category L2 - Override]], PO[[#This Row],[Spend category L2]])</f>
        <v>0</v>
      </c>
      <c r="N653" s="63">
        <f>Assumptions!$D$15</f>
        <v>0.1</v>
      </c>
      <c r="O653" s="45">
        <f>IF(PO[[#This Row],[GST applies?]] = "Yes", (PO[[#This Row],[Value inc. GST]] / 1 + PO[[#This Row],[GST %]]) * PO[[#This Row],[GST %]], 0)</f>
        <v>0</v>
      </c>
      <c r="P653" s="31">
        <f>_xlfn.XLOOKUP(PO[[#This Row],[Supplier name]], Supplier_master[Supplier name], Supplier_master[EOM or Net], 0)</f>
        <v>0</v>
      </c>
      <c r="Q653" s="31">
        <f>_xlfn.XLOOKUP(PO[[#This Row],[Supplier name]], Supplier_master[Supplier name], Supplier_master[Terms days], 0)</f>
        <v>0</v>
      </c>
      <c r="R6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3" s="4"/>
      <c r="T653" s="46">
        <f>IF(PO[[#This Row],[Payment date - override (dd/mm/yyyy)]] &lt;&gt; "", PO[[#This Row],[Payment date - override (dd/mm/yyyy)]], PO[[#This Row],[Due date (dd/mm/yyyy)]])</f>
        <v>0</v>
      </c>
      <c r="U653" s="46">
        <f t="shared" si="10"/>
        <v>52</v>
      </c>
    </row>
    <row r="654" spans="3:21" x14ac:dyDescent="0.25">
      <c r="C654" s="24"/>
      <c r="D654" s="20"/>
      <c r="E654" s="4"/>
      <c r="F654" s="37"/>
      <c r="G654" s="38"/>
      <c r="H654" s="31">
        <f>_xlfn.XLOOKUP(PO[[#This Row],[Supplier name]], Supplier_master[Supplier name], Supplier_master[Category L1], 0)</f>
        <v>0</v>
      </c>
      <c r="I654" s="31">
        <f>_xlfn.XLOOKUP(PO[[#This Row],[Supplier name]], Supplier_master[Supplier name], Supplier_master[Category L2], 0)</f>
        <v>0</v>
      </c>
      <c r="J654" s="55"/>
      <c r="K654" s="55"/>
      <c r="L654" s="31">
        <f>IF(PO[[#This Row],[Spend category L1 - Override]] &lt;&gt; "", PO[[#This Row],[Spend category L1 - Override]], PO[[#This Row],[Spend category L1]])</f>
        <v>0</v>
      </c>
      <c r="M654" s="31">
        <f>IF(PO[[#This Row],[Spend category L2 - Override]] &lt;&gt; "", PO[[#This Row],[Spend category L2 - Override]], PO[[#This Row],[Spend category L2]])</f>
        <v>0</v>
      </c>
      <c r="N654" s="63">
        <f>Assumptions!$D$15</f>
        <v>0.1</v>
      </c>
      <c r="O654" s="45">
        <f>IF(PO[[#This Row],[GST applies?]] = "Yes", (PO[[#This Row],[Value inc. GST]] / 1 + PO[[#This Row],[GST %]]) * PO[[#This Row],[GST %]], 0)</f>
        <v>0</v>
      </c>
      <c r="P654" s="31">
        <f>_xlfn.XLOOKUP(PO[[#This Row],[Supplier name]], Supplier_master[Supplier name], Supplier_master[EOM or Net], 0)</f>
        <v>0</v>
      </c>
      <c r="Q654" s="31">
        <f>_xlfn.XLOOKUP(PO[[#This Row],[Supplier name]], Supplier_master[Supplier name], Supplier_master[Terms days], 0)</f>
        <v>0</v>
      </c>
      <c r="R6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4" s="4"/>
      <c r="T654" s="46">
        <f>IF(PO[[#This Row],[Payment date - override (dd/mm/yyyy)]] &lt;&gt; "", PO[[#This Row],[Payment date - override (dd/mm/yyyy)]], PO[[#This Row],[Due date (dd/mm/yyyy)]])</f>
        <v>0</v>
      </c>
      <c r="U654" s="46">
        <f t="shared" si="10"/>
        <v>52</v>
      </c>
    </row>
    <row r="655" spans="3:21" x14ac:dyDescent="0.25">
      <c r="C655" s="24"/>
      <c r="D655" s="20"/>
      <c r="E655" s="4"/>
      <c r="F655" s="37"/>
      <c r="G655" s="38"/>
      <c r="H655" s="31">
        <f>_xlfn.XLOOKUP(PO[[#This Row],[Supplier name]], Supplier_master[Supplier name], Supplier_master[Category L1], 0)</f>
        <v>0</v>
      </c>
      <c r="I655" s="31">
        <f>_xlfn.XLOOKUP(PO[[#This Row],[Supplier name]], Supplier_master[Supplier name], Supplier_master[Category L2], 0)</f>
        <v>0</v>
      </c>
      <c r="J655" s="55"/>
      <c r="K655" s="55"/>
      <c r="L655" s="31">
        <f>IF(PO[[#This Row],[Spend category L1 - Override]] &lt;&gt; "", PO[[#This Row],[Spend category L1 - Override]], PO[[#This Row],[Spend category L1]])</f>
        <v>0</v>
      </c>
      <c r="M655" s="31">
        <f>IF(PO[[#This Row],[Spend category L2 - Override]] &lt;&gt; "", PO[[#This Row],[Spend category L2 - Override]], PO[[#This Row],[Spend category L2]])</f>
        <v>0</v>
      </c>
      <c r="N655" s="63">
        <f>Assumptions!$D$15</f>
        <v>0.1</v>
      </c>
      <c r="O655" s="45">
        <f>IF(PO[[#This Row],[GST applies?]] = "Yes", (PO[[#This Row],[Value inc. GST]] / 1 + PO[[#This Row],[GST %]]) * PO[[#This Row],[GST %]], 0)</f>
        <v>0</v>
      </c>
      <c r="P655" s="31">
        <f>_xlfn.XLOOKUP(PO[[#This Row],[Supplier name]], Supplier_master[Supplier name], Supplier_master[EOM or Net], 0)</f>
        <v>0</v>
      </c>
      <c r="Q655" s="31">
        <f>_xlfn.XLOOKUP(PO[[#This Row],[Supplier name]], Supplier_master[Supplier name], Supplier_master[Terms days], 0)</f>
        <v>0</v>
      </c>
      <c r="R6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5" s="4"/>
      <c r="T655" s="46">
        <f>IF(PO[[#This Row],[Payment date - override (dd/mm/yyyy)]] &lt;&gt; "", PO[[#This Row],[Payment date - override (dd/mm/yyyy)]], PO[[#This Row],[Due date (dd/mm/yyyy)]])</f>
        <v>0</v>
      </c>
      <c r="U655" s="46">
        <f t="shared" si="10"/>
        <v>52</v>
      </c>
    </row>
    <row r="656" spans="3:21" x14ac:dyDescent="0.25">
      <c r="C656" s="24"/>
      <c r="D656" s="20"/>
      <c r="E656" s="4"/>
      <c r="F656" s="37"/>
      <c r="G656" s="38"/>
      <c r="H656" s="31">
        <f>_xlfn.XLOOKUP(PO[[#This Row],[Supplier name]], Supplier_master[Supplier name], Supplier_master[Category L1], 0)</f>
        <v>0</v>
      </c>
      <c r="I656" s="31">
        <f>_xlfn.XLOOKUP(PO[[#This Row],[Supplier name]], Supplier_master[Supplier name], Supplier_master[Category L2], 0)</f>
        <v>0</v>
      </c>
      <c r="J656" s="55"/>
      <c r="K656" s="55"/>
      <c r="L656" s="31">
        <f>IF(PO[[#This Row],[Spend category L1 - Override]] &lt;&gt; "", PO[[#This Row],[Spend category L1 - Override]], PO[[#This Row],[Spend category L1]])</f>
        <v>0</v>
      </c>
      <c r="M656" s="31">
        <f>IF(PO[[#This Row],[Spend category L2 - Override]] &lt;&gt; "", PO[[#This Row],[Spend category L2 - Override]], PO[[#This Row],[Spend category L2]])</f>
        <v>0</v>
      </c>
      <c r="N656" s="63">
        <f>Assumptions!$D$15</f>
        <v>0.1</v>
      </c>
      <c r="O656" s="45">
        <f>IF(PO[[#This Row],[GST applies?]] = "Yes", (PO[[#This Row],[Value inc. GST]] / 1 + PO[[#This Row],[GST %]]) * PO[[#This Row],[GST %]], 0)</f>
        <v>0</v>
      </c>
      <c r="P656" s="31">
        <f>_xlfn.XLOOKUP(PO[[#This Row],[Supplier name]], Supplier_master[Supplier name], Supplier_master[EOM or Net], 0)</f>
        <v>0</v>
      </c>
      <c r="Q656" s="31">
        <f>_xlfn.XLOOKUP(PO[[#This Row],[Supplier name]], Supplier_master[Supplier name], Supplier_master[Terms days], 0)</f>
        <v>0</v>
      </c>
      <c r="R6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6" s="4"/>
      <c r="T656" s="46">
        <f>IF(PO[[#This Row],[Payment date - override (dd/mm/yyyy)]] &lt;&gt; "", PO[[#This Row],[Payment date - override (dd/mm/yyyy)]], PO[[#This Row],[Due date (dd/mm/yyyy)]])</f>
        <v>0</v>
      </c>
      <c r="U656" s="46">
        <f t="shared" si="10"/>
        <v>52</v>
      </c>
    </row>
    <row r="657" spans="3:21" x14ac:dyDescent="0.25">
      <c r="C657" s="24"/>
      <c r="D657" s="20"/>
      <c r="E657" s="4"/>
      <c r="F657" s="37"/>
      <c r="G657" s="38"/>
      <c r="H657" s="31">
        <f>_xlfn.XLOOKUP(PO[[#This Row],[Supplier name]], Supplier_master[Supplier name], Supplier_master[Category L1], 0)</f>
        <v>0</v>
      </c>
      <c r="I657" s="31">
        <f>_xlfn.XLOOKUP(PO[[#This Row],[Supplier name]], Supplier_master[Supplier name], Supplier_master[Category L2], 0)</f>
        <v>0</v>
      </c>
      <c r="J657" s="55"/>
      <c r="K657" s="55"/>
      <c r="L657" s="31">
        <f>IF(PO[[#This Row],[Spend category L1 - Override]] &lt;&gt; "", PO[[#This Row],[Spend category L1 - Override]], PO[[#This Row],[Spend category L1]])</f>
        <v>0</v>
      </c>
      <c r="M657" s="31">
        <f>IF(PO[[#This Row],[Spend category L2 - Override]] &lt;&gt; "", PO[[#This Row],[Spend category L2 - Override]], PO[[#This Row],[Spend category L2]])</f>
        <v>0</v>
      </c>
      <c r="N657" s="63">
        <f>Assumptions!$D$15</f>
        <v>0.1</v>
      </c>
      <c r="O657" s="45">
        <f>IF(PO[[#This Row],[GST applies?]] = "Yes", (PO[[#This Row],[Value inc. GST]] / 1 + PO[[#This Row],[GST %]]) * PO[[#This Row],[GST %]], 0)</f>
        <v>0</v>
      </c>
      <c r="P657" s="31">
        <f>_xlfn.XLOOKUP(PO[[#This Row],[Supplier name]], Supplier_master[Supplier name], Supplier_master[EOM or Net], 0)</f>
        <v>0</v>
      </c>
      <c r="Q657" s="31">
        <f>_xlfn.XLOOKUP(PO[[#This Row],[Supplier name]], Supplier_master[Supplier name], Supplier_master[Terms days], 0)</f>
        <v>0</v>
      </c>
      <c r="R6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7" s="4"/>
      <c r="T657" s="46">
        <f>IF(PO[[#This Row],[Payment date - override (dd/mm/yyyy)]] &lt;&gt; "", PO[[#This Row],[Payment date - override (dd/mm/yyyy)]], PO[[#This Row],[Due date (dd/mm/yyyy)]])</f>
        <v>0</v>
      </c>
      <c r="U657" s="46">
        <f t="shared" si="10"/>
        <v>52</v>
      </c>
    </row>
    <row r="658" spans="3:21" x14ac:dyDescent="0.25">
      <c r="C658" s="24"/>
      <c r="D658" s="20"/>
      <c r="E658" s="4"/>
      <c r="F658" s="37"/>
      <c r="G658" s="38"/>
      <c r="H658" s="31">
        <f>_xlfn.XLOOKUP(PO[[#This Row],[Supplier name]], Supplier_master[Supplier name], Supplier_master[Category L1], 0)</f>
        <v>0</v>
      </c>
      <c r="I658" s="31">
        <f>_xlfn.XLOOKUP(PO[[#This Row],[Supplier name]], Supplier_master[Supplier name], Supplier_master[Category L2], 0)</f>
        <v>0</v>
      </c>
      <c r="J658" s="55"/>
      <c r="K658" s="55"/>
      <c r="L658" s="31">
        <f>IF(PO[[#This Row],[Spend category L1 - Override]] &lt;&gt; "", PO[[#This Row],[Spend category L1 - Override]], PO[[#This Row],[Spend category L1]])</f>
        <v>0</v>
      </c>
      <c r="M658" s="31">
        <f>IF(PO[[#This Row],[Spend category L2 - Override]] &lt;&gt; "", PO[[#This Row],[Spend category L2 - Override]], PO[[#This Row],[Spend category L2]])</f>
        <v>0</v>
      </c>
      <c r="N658" s="63">
        <f>Assumptions!$D$15</f>
        <v>0.1</v>
      </c>
      <c r="O658" s="45">
        <f>IF(PO[[#This Row],[GST applies?]] = "Yes", (PO[[#This Row],[Value inc. GST]] / 1 + PO[[#This Row],[GST %]]) * PO[[#This Row],[GST %]], 0)</f>
        <v>0</v>
      </c>
      <c r="P658" s="31">
        <f>_xlfn.XLOOKUP(PO[[#This Row],[Supplier name]], Supplier_master[Supplier name], Supplier_master[EOM or Net], 0)</f>
        <v>0</v>
      </c>
      <c r="Q658" s="31">
        <f>_xlfn.XLOOKUP(PO[[#This Row],[Supplier name]], Supplier_master[Supplier name], Supplier_master[Terms days], 0)</f>
        <v>0</v>
      </c>
      <c r="R6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8" s="4"/>
      <c r="T658" s="46">
        <f>IF(PO[[#This Row],[Payment date - override (dd/mm/yyyy)]] &lt;&gt; "", PO[[#This Row],[Payment date - override (dd/mm/yyyy)]], PO[[#This Row],[Due date (dd/mm/yyyy)]])</f>
        <v>0</v>
      </c>
      <c r="U658" s="46">
        <f t="shared" si="10"/>
        <v>52</v>
      </c>
    </row>
    <row r="659" spans="3:21" x14ac:dyDescent="0.25">
      <c r="C659" s="24"/>
      <c r="D659" s="20"/>
      <c r="E659" s="4"/>
      <c r="F659" s="37"/>
      <c r="G659" s="38"/>
      <c r="H659" s="31">
        <f>_xlfn.XLOOKUP(PO[[#This Row],[Supplier name]], Supplier_master[Supplier name], Supplier_master[Category L1], 0)</f>
        <v>0</v>
      </c>
      <c r="I659" s="31">
        <f>_xlfn.XLOOKUP(PO[[#This Row],[Supplier name]], Supplier_master[Supplier name], Supplier_master[Category L2], 0)</f>
        <v>0</v>
      </c>
      <c r="J659" s="55"/>
      <c r="K659" s="55"/>
      <c r="L659" s="31">
        <f>IF(PO[[#This Row],[Spend category L1 - Override]] &lt;&gt; "", PO[[#This Row],[Spend category L1 - Override]], PO[[#This Row],[Spend category L1]])</f>
        <v>0</v>
      </c>
      <c r="M659" s="31">
        <f>IF(PO[[#This Row],[Spend category L2 - Override]] &lt;&gt; "", PO[[#This Row],[Spend category L2 - Override]], PO[[#This Row],[Spend category L2]])</f>
        <v>0</v>
      </c>
      <c r="N659" s="63">
        <f>Assumptions!$D$15</f>
        <v>0.1</v>
      </c>
      <c r="O659" s="45">
        <f>IF(PO[[#This Row],[GST applies?]] = "Yes", (PO[[#This Row],[Value inc. GST]] / 1 + PO[[#This Row],[GST %]]) * PO[[#This Row],[GST %]], 0)</f>
        <v>0</v>
      </c>
      <c r="P659" s="31">
        <f>_xlfn.XLOOKUP(PO[[#This Row],[Supplier name]], Supplier_master[Supplier name], Supplier_master[EOM or Net], 0)</f>
        <v>0</v>
      </c>
      <c r="Q659" s="31">
        <f>_xlfn.XLOOKUP(PO[[#This Row],[Supplier name]], Supplier_master[Supplier name], Supplier_master[Terms days], 0)</f>
        <v>0</v>
      </c>
      <c r="R6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9" s="4"/>
      <c r="T659" s="46">
        <f>IF(PO[[#This Row],[Payment date - override (dd/mm/yyyy)]] &lt;&gt; "", PO[[#This Row],[Payment date - override (dd/mm/yyyy)]], PO[[#This Row],[Due date (dd/mm/yyyy)]])</f>
        <v>0</v>
      </c>
      <c r="U659" s="46">
        <f t="shared" si="10"/>
        <v>52</v>
      </c>
    </row>
    <row r="660" spans="3:21" x14ac:dyDescent="0.25">
      <c r="C660" s="24"/>
      <c r="D660" s="20"/>
      <c r="E660" s="4"/>
      <c r="F660" s="37"/>
      <c r="G660" s="38"/>
      <c r="H660" s="31">
        <f>_xlfn.XLOOKUP(PO[[#This Row],[Supplier name]], Supplier_master[Supplier name], Supplier_master[Category L1], 0)</f>
        <v>0</v>
      </c>
      <c r="I660" s="31">
        <f>_xlfn.XLOOKUP(PO[[#This Row],[Supplier name]], Supplier_master[Supplier name], Supplier_master[Category L2], 0)</f>
        <v>0</v>
      </c>
      <c r="J660" s="55"/>
      <c r="K660" s="55"/>
      <c r="L660" s="31">
        <f>IF(PO[[#This Row],[Spend category L1 - Override]] &lt;&gt; "", PO[[#This Row],[Spend category L1 - Override]], PO[[#This Row],[Spend category L1]])</f>
        <v>0</v>
      </c>
      <c r="M660" s="31">
        <f>IF(PO[[#This Row],[Spend category L2 - Override]] &lt;&gt; "", PO[[#This Row],[Spend category L2 - Override]], PO[[#This Row],[Spend category L2]])</f>
        <v>0</v>
      </c>
      <c r="N660" s="63">
        <f>Assumptions!$D$15</f>
        <v>0.1</v>
      </c>
      <c r="O660" s="45">
        <f>IF(PO[[#This Row],[GST applies?]] = "Yes", (PO[[#This Row],[Value inc. GST]] / 1 + PO[[#This Row],[GST %]]) * PO[[#This Row],[GST %]], 0)</f>
        <v>0</v>
      </c>
      <c r="P660" s="31">
        <f>_xlfn.XLOOKUP(PO[[#This Row],[Supplier name]], Supplier_master[Supplier name], Supplier_master[EOM or Net], 0)</f>
        <v>0</v>
      </c>
      <c r="Q660" s="31">
        <f>_xlfn.XLOOKUP(PO[[#This Row],[Supplier name]], Supplier_master[Supplier name], Supplier_master[Terms days], 0)</f>
        <v>0</v>
      </c>
      <c r="R6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0" s="4"/>
      <c r="T660" s="46">
        <f>IF(PO[[#This Row],[Payment date - override (dd/mm/yyyy)]] &lt;&gt; "", PO[[#This Row],[Payment date - override (dd/mm/yyyy)]], PO[[#This Row],[Due date (dd/mm/yyyy)]])</f>
        <v>0</v>
      </c>
      <c r="U660" s="46">
        <f t="shared" si="10"/>
        <v>52</v>
      </c>
    </row>
    <row r="661" spans="3:21" x14ac:dyDescent="0.25">
      <c r="C661" s="24"/>
      <c r="D661" s="20"/>
      <c r="E661" s="4"/>
      <c r="F661" s="37"/>
      <c r="G661" s="38"/>
      <c r="H661" s="31">
        <f>_xlfn.XLOOKUP(PO[[#This Row],[Supplier name]], Supplier_master[Supplier name], Supplier_master[Category L1], 0)</f>
        <v>0</v>
      </c>
      <c r="I661" s="31">
        <f>_xlfn.XLOOKUP(PO[[#This Row],[Supplier name]], Supplier_master[Supplier name], Supplier_master[Category L2], 0)</f>
        <v>0</v>
      </c>
      <c r="J661" s="55"/>
      <c r="K661" s="55"/>
      <c r="L661" s="31">
        <f>IF(PO[[#This Row],[Spend category L1 - Override]] &lt;&gt; "", PO[[#This Row],[Spend category L1 - Override]], PO[[#This Row],[Spend category L1]])</f>
        <v>0</v>
      </c>
      <c r="M661" s="31">
        <f>IF(PO[[#This Row],[Spend category L2 - Override]] &lt;&gt; "", PO[[#This Row],[Spend category L2 - Override]], PO[[#This Row],[Spend category L2]])</f>
        <v>0</v>
      </c>
      <c r="N661" s="63">
        <f>Assumptions!$D$15</f>
        <v>0.1</v>
      </c>
      <c r="O661" s="45">
        <f>IF(PO[[#This Row],[GST applies?]] = "Yes", (PO[[#This Row],[Value inc. GST]] / 1 + PO[[#This Row],[GST %]]) * PO[[#This Row],[GST %]], 0)</f>
        <v>0</v>
      </c>
      <c r="P661" s="31">
        <f>_xlfn.XLOOKUP(PO[[#This Row],[Supplier name]], Supplier_master[Supplier name], Supplier_master[EOM or Net], 0)</f>
        <v>0</v>
      </c>
      <c r="Q661" s="31">
        <f>_xlfn.XLOOKUP(PO[[#This Row],[Supplier name]], Supplier_master[Supplier name], Supplier_master[Terms days], 0)</f>
        <v>0</v>
      </c>
      <c r="R6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1" s="4"/>
      <c r="T661" s="46">
        <f>IF(PO[[#This Row],[Payment date - override (dd/mm/yyyy)]] &lt;&gt; "", PO[[#This Row],[Payment date - override (dd/mm/yyyy)]], PO[[#This Row],[Due date (dd/mm/yyyy)]])</f>
        <v>0</v>
      </c>
      <c r="U661" s="46">
        <f t="shared" si="10"/>
        <v>52</v>
      </c>
    </row>
    <row r="662" spans="3:21" x14ac:dyDescent="0.25">
      <c r="C662" s="24"/>
      <c r="D662" s="20"/>
      <c r="E662" s="4"/>
      <c r="F662" s="37"/>
      <c r="G662" s="38"/>
      <c r="H662" s="31">
        <f>_xlfn.XLOOKUP(PO[[#This Row],[Supplier name]], Supplier_master[Supplier name], Supplier_master[Category L1], 0)</f>
        <v>0</v>
      </c>
      <c r="I662" s="31">
        <f>_xlfn.XLOOKUP(PO[[#This Row],[Supplier name]], Supplier_master[Supplier name], Supplier_master[Category L2], 0)</f>
        <v>0</v>
      </c>
      <c r="J662" s="55"/>
      <c r="K662" s="55"/>
      <c r="L662" s="31">
        <f>IF(PO[[#This Row],[Spend category L1 - Override]] &lt;&gt; "", PO[[#This Row],[Spend category L1 - Override]], PO[[#This Row],[Spend category L1]])</f>
        <v>0</v>
      </c>
      <c r="M662" s="31">
        <f>IF(PO[[#This Row],[Spend category L2 - Override]] &lt;&gt; "", PO[[#This Row],[Spend category L2 - Override]], PO[[#This Row],[Spend category L2]])</f>
        <v>0</v>
      </c>
      <c r="N662" s="63">
        <f>Assumptions!$D$15</f>
        <v>0.1</v>
      </c>
      <c r="O662" s="45">
        <f>IF(PO[[#This Row],[GST applies?]] = "Yes", (PO[[#This Row],[Value inc. GST]] / 1 + PO[[#This Row],[GST %]]) * PO[[#This Row],[GST %]], 0)</f>
        <v>0</v>
      </c>
      <c r="P662" s="31">
        <f>_xlfn.XLOOKUP(PO[[#This Row],[Supplier name]], Supplier_master[Supplier name], Supplier_master[EOM or Net], 0)</f>
        <v>0</v>
      </c>
      <c r="Q662" s="31">
        <f>_xlfn.XLOOKUP(PO[[#This Row],[Supplier name]], Supplier_master[Supplier name], Supplier_master[Terms days], 0)</f>
        <v>0</v>
      </c>
      <c r="R6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2" s="4"/>
      <c r="T662" s="46">
        <f>IF(PO[[#This Row],[Payment date - override (dd/mm/yyyy)]] &lt;&gt; "", PO[[#This Row],[Payment date - override (dd/mm/yyyy)]], PO[[#This Row],[Due date (dd/mm/yyyy)]])</f>
        <v>0</v>
      </c>
      <c r="U662" s="46">
        <f t="shared" si="10"/>
        <v>52</v>
      </c>
    </row>
    <row r="663" spans="3:21" x14ac:dyDescent="0.25">
      <c r="C663" s="24"/>
      <c r="D663" s="20"/>
      <c r="E663" s="4"/>
      <c r="F663" s="37"/>
      <c r="G663" s="38"/>
      <c r="H663" s="31">
        <f>_xlfn.XLOOKUP(PO[[#This Row],[Supplier name]], Supplier_master[Supplier name], Supplier_master[Category L1], 0)</f>
        <v>0</v>
      </c>
      <c r="I663" s="31">
        <f>_xlfn.XLOOKUP(PO[[#This Row],[Supplier name]], Supplier_master[Supplier name], Supplier_master[Category L2], 0)</f>
        <v>0</v>
      </c>
      <c r="J663" s="55"/>
      <c r="K663" s="55"/>
      <c r="L663" s="31">
        <f>IF(PO[[#This Row],[Spend category L1 - Override]] &lt;&gt; "", PO[[#This Row],[Spend category L1 - Override]], PO[[#This Row],[Spend category L1]])</f>
        <v>0</v>
      </c>
      <c r="M663" s="31">
        <f>IF(PO[[#This Row],[Spend category L2 - Override]] &lt;&gt; "", PO[[#This Row],[Spend category L2 - Override]], PO[[#This Row],[Spend category L2]])</f>
        <v>0</v>
      </c>
      <c r="N663" s="63">
        <f>Assumptions!$D$15</f>
        <v>0.1</v>
      </c>
      <c r="O663" s="45">
        <f>IF(PO[[#This Row],[GST applies?]] = "Yes", (PO[[#This Row],[Value inc. GST]] / 1 + PO[[#This Row],[GST %]]) * PO[[#This Row],[GST %]], 0)</f>
        <v>0</v>
      </c>
      <c r="P663" s="31">
        <f>_xlfn.XLOOKUP(PO[[#This Row],[Supplier name]], Supplier_master[Supplier name], Supplier_master[EOM or Net], 0)</f>
        <v>0</v>
      </c>
      <c r="Q663" s="31">
        <f>_xlfn.XLOOKUP(PO[[#This Row],[Supplier name]], Supplier_master[Supplier name], Supplier_master[Terms days], 0)</f>
        <v>0</v>
      </c>
      <c r="R6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3" s="4"/>
      <c r="T663" s="46">
        <f>IF(PO[[#This Row],[Payment date - override (dd/mm/yyyy)]] &lt;&gt; "", PO[[#This Row],[Payment date - override (dd/mm/yyyy)]], PO[[#This Row],[Due date (dd/mm/yyyy)]])</f>
        <v>0</v>
      </c>
      <c r="U663" s="46">
        <f t="shared" si="10"/>
        <v>52</v>
      </c>
    </row>
    <row r="664" spans="3:21" x14ac:dyDescent="0.25">
      <c r="C664" s="24"/>
      <c r="D664" s="20"/>
      <c r="E664" s="4"/>
      <c r="F664" s="37"/>
      <c r="G664" s="38"/>
      <c r="H664" s="31">
        <f>_xlfn.XLOOKUP(PO[[#This Row],[Supplier name]], Supplier_master[Supplier name], Supplier_master[Category L1], 0)</f>
        <v>0</v>
      </c>
      <c r="I664" s="31">
        <f>_xlfn.XLOOKUP(PO[[#This Row],[Supplier name]], Supplier_master[Supplier name], Supplier_master[Category L2], 0)</f>
        <v>0</v>
      </c>
      <c r="J664" s="55"/>
      <c r="K664" s="55"/>
      <c r="L664" s="31">
        <f>IF(PO[[#This Row],[Spend category L1 - Override]] &lt;&gt; "", PO[[#This Row],[Spend category L1 - Override]], PO[[#This Row],[Spend category L1]])</f>
        <v>0</v>
      </c>
      <c r="M664" s="31">
        <f>IF(PO[[#This Row],[Spend category L2 - Override]] &lt;&gt; "", PO[[#This Row],[Spend category L2 - Override]], PO[[#This Row],[Spend category L2]])</f>
        <v>0</v>
      </c>
      <c r="N664" s="63">
        <f>Assumptions!$D$15</f>
        <v>0.1</v>
      </c>
      <c r="O664" s="45">
        <f>IF(PO[[#This Row],[GST applies?]] = "Yes", (PO[[#This Row],[Value inc. GST]] / 1 + PO[[#This Row],[GST %]]) * PO[[#This Row],[GST %]], 0)</f>
        <v>0</v>
      </c>
      <c r="P664" s="31">
        <f>_xlfn.XLOOKUP(PO[[#This Row],[Supplier name]], Supplier_master[Supplier name], Supplier_master[EOM or Net], 0)</f>
        <v>0</v>
      </c>
      <c r="Q664" s="31">
        <f>_xlfn.XLOOKUP(PO[[#This Row],[Supplier name]], Supplier_master[Supplier name], Supplier_master[Terms days], 0)</f>
        <v>0</v>
      </c>
      <c r="R6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4" s="4"/>
      <c r="T664" s="46">
        <f>IF(PO[[#This Row],[Payment date - override (dd/mm/yyyy)]] &lt;&gt; "", PO[[#This Row],[Payment date - override (dd/mm/yyyy)]], PO[[#This Row],[Due date (dd/mm/yyyy)]])</f>
        <v>0</v>
      </c>
      <c r="U664" s="46">
        <f t="shared" si="10"/>
        <v>52</v>
      </c>
    </row>
    <row r="665" spans="3:21" x14ac:dyDescent="0.25">
      <c r="C665" s="24"/>
      <c r="D665" s="20"/>
      <c r="E665" s="4"/>
      <c r="F665" s="37"/>
      <c r="G665" s="38"/>
      <c r="H665" s="31">
        <f>_xlfn.XLOOKUP(PO[[#This Row],[Supplier name]], Supplier_master[Supplier name], Supplier_master[Category L1], 0)</f>
        <v>0</v>
      </c>
      <c r="I665" s="31">
        <f>_xlfn.XLOOKUP(PO[[#This Row],[Supplier name]], Supplier_master[Supplier name], Supplier_master[Category L2], 0)</f>
        <v>0</v>
      </c>
      <c r="J665" s="55"/>
      <c r="K665" s="55"/>
      <c r="L665" s="31">
        <f>IF(PO[[#This Row],[Spend category L1 - Override]] &lt;&gt; "", PO[[#This Row],[Spend category L1 - Override]], PO[[#This Row],[Spend category L1]])</f>
        <v>0</v>
      </c>
      <c r="M665" s="31">
        <f>IF(PO[[#This Row],[Spend category L2 - Override]] &lt;&gt; "", PO[[#This Row],[Spend category L2 - Override]], PO[[#This Row],[Spend category L2]])</f>
        <v>0</v>
      </c>
      <c r="N665" s="63">
        <f>Assumptions!$D$15</f>
        <v>0.1</v>
      </c>
      <c r="O665" s="45">
        <f>IF(PO[[#This Row],[GST applies?]] = "Yes", (PO[[#This Row],[Value inc. GST]] / 1 + PO[[#This Row],[GST %]]) * PO[[#This Row],[GST %]], 0)</f>
        <v>0</v>
      </c>
      <c r="P665" s="31">
        <f>_xlfn.XLOOKUP(PO[[#This Row],[Supplier name]], Supplier_master[Supplier name], Supplier_master[EOM or Net], 0)</f>
        <v>0</v>
      </c>
      <c r="Q665" s="31">
        <f>_xlfn.XLOOKUP(PO[[#This Row],[Supplier name]], Supplier_master[Supplier name], Supplier_master[Terms days], 0)</f>
        <v>0</v>
      </c>
      <c r="R6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5" s="4"/>
      <c r="T665" s="46">
        <f>IF(PO[[#This Row],[Payment date - override (dd/mm/yyyy)]] &lt;&gt; "", PO[[#This Row],[Payment date - override (dd/mm/yyyy)]], PO[[#This Row],[Due date (dd/mm/yyyy)]])</f>
        <v>0</v>
      </c>
      <c r="U665" s="46">
        <f t="shared" si="10"/>
        <v>52</v>
      </c>
    </row>
    <row r="666" spans="3:21" x14ac:dyDescent="0.25">
      <c r="C666" s="24"/>
      <c r="D666" s="20"/>
      <c r="E666" s="4"/>
      <c r="F666" s="37"/>
      <c r="G666" s="38"/>
      <c r="H666" s="31">
        <f>_xlfn.XLOOKUP(PO[[#This Row],[Supplier name]], Supplier_master[Supplier name], Supplier_master[Category L1], 0)</f>
        <v>0</v>
      </c>
      <c r="I666" s="31">
        <f>_xlfn.XLOOKUP(PO[[#This Row],[Supplier name]], Supplier_master[Supplier name], Supplier_master[Category L2], 0)</f>
        <v>0</v>
      </c>
      <c r="J666" s="55"/>
      <c r="K666" s="55"/>
      <c r="L666" s="31">
        <f>IF(PO[[#This Row],[Spend category L1 - Override]] &lt;&gt; "", PO[[#This Row],[Spend category L1 - Override]], PO[[#This Row],[Spend category L1]])</f>
        <v>0</v>
      </c>
      <c r="M666" s="31">
        <f>IF(PO[[#This Row],[Spend category L2 - Override]] &lt;&gt; "", PO[[#This Row],[Spend category L2 - Override]], PO[[#This Row],[Spend category L2]])</f>
        <v>0</v>
      </c>
      <c r="N666" s="63">
        <f>Assumptions!$D$15</f>
        <v>0.1</v>
      </c>
      <c r="O666" s="45">
        <f>IF(PO[[#This Row],[GST applies?]] = "Yes", (PO[[#This Row],[Value inc. GST]] / 1 + PO[[#This Row],[GST %]]) * PO[[#This Row],[GST %]], 0)</f>
        <v>0</v>
      </c>
      <c r="P666" s="31">
        <f>_xlfn.XLOOKUP(PO[[#This Row],[Supplier name]], Supplier_master[Supplier name], Supplier_master[EOM or Net], 0)</f>
        <v>0</v>
      </c>
      <c r="Q666" s="31">
        <f>_xlfn.XLOOKUP(PO[[#This Row],[Supplier name]], Supplier_master[Supplier name], Supplier_master[Terms days], 0)</f>
        <v>0</v>
      </c>
      <c r="R6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6" s="4"/>
      <c r="T666" s="46">
        <f>IF(PO[[#This Row],[Payment date - override (dd/mm/yyyy)]] &lt;&gt; "", PO[[#This Row],[Payment date - override (dd/mm/yyyy)]], PO[[#This Row],[Due date (dd/mm/yyyy)]])</f>
        <v>0</v>
      </c>
      <c r="U666" s="46">
        <f t="shared" si="10"/>
        <v>52</v>
      </c>
    </row>
    <row r="667" spans="3:21" x14ac:dyDescent="0.25">
      <c r="C667" s="24"/>
      <c r="D667" s="20"/>
      <c r="E667" s="4"/>
      <c r="F667" s="37"/>
      <c r="G667" s="38"/>
      <c r="H667" s="31">
        <f>_xlfn.XLOOKUP(PO[[#This Row],[Supplier name]], Supplier_master[Supplier name], Supplier_master[Category L1], 0)</f>
        <v>0</v>
      </c>
      <c r="I667" s="31">
        <f>_xlfn.XLOOKUP(PO[[#This Row],[Supplier name]], Supplier_master[Supplier name], Supplier_master[Category L2], 0)</f>
        <v>0</v>
      </c>
      <c r="J667" s="55"/>
      <c r="K667" s="55"/>
      <c r="L667" s="31">
        <f>IF(PO[[#This Row],[Spend category L1 - Override]] &lt;&gt; "", PO[[#This Row],[Spend category L1 - Override]], PO[[#This Row],[Spend category L1]])</f>
        <v>0</v>
      </c>
      <c r="M667" s="31">
        <f>IF(PO[[#This Row],[Spend category L2 - Override]] &lt;&gt; "", PO[[#This Row],[Spend category L2 - Override]], PO[[#This Row],[Spend category L2]])</f>
        <v>0</v>
      </c>
      <c r="N667" s="63">
        <f>Assumptions!$D$15</f>
        <v>0.1</v>
      </c>
      <c r="O667" s="45">
        <f>IF(PO[[#This Row],[GST applies?]] = "Yes", (PO[[#This Row],[Value inc. GST]] / 1 + PO[[#This Row],[GST %]]) * PO[[#This Row],[GST %]], 0)</f>
        <v>0</v>
      </c>
      <c r="P667" s="31">
        <f>_xlfn.XLOOKUP(PO[[#This Row],[Supplier name]], Supplier_master[Supplier name], Supplier_master[EOM or Net], 0)</f>
        <v>0</v>
      </c>
      <c r="Q667" s="31">
        <f>_xlfn.XLOOKUP(PO[[#This Row],[Supplier name]], Supplier_master[Supplier name], Supplier_master[Terms days], 0)</f>
        <v>0</v>
      </c>
      <c r="R6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7" s="4"/>
      <c r="T667" s="46">
        <f>IF(PO[[#This Row],[Payment date - override (dd/mm/yyyy)]] &lt;&gt; "", PO[[#This Row],[Payment date - override (dd/mm/yyyy)]], PO[[#This Row],[Due date (dd/mm/yyyy)]])</f>
        <v>0</v>
      </c>
      <c r="U667" s="46">
        <f t="shared" si="10"/>
        <v>52</v>
      </c>
    </row>
    <row r="668" spans="3:21" x14ac:dyDescent="0.25">
      <c r="C668" s="24"/>
      <c r="D668" s="20"/>
      <c r="E668" s="4"/>
      <c r="F668" s="37"/>
      <c r="G668" s="38"/>
      <c r="H668" s="31">
        <f>_xlfn.XLOOKUP(PO[[#This Row],[Supplier name]], Supplier_master[Supplier name], Supplier_master[Category L1], 0)</f>
        <v>0</v>
      </c>
      <c r="I668" s="31">
        <f>_xlfn.XLOOKUP(PO[[#This Row],[Supplier name]], Supplier_master[Supplier name], Supplier_master[Category L2], 0)</f>
        <v>0</v>
      </c>
      <c r="J668" s="55"/>
      <c r="K668" s="55"/>
      <c r="L668" s="31">
        <f>IF(PO[[#This Row],[Spend category L1 - Override]] &lt;&gt; "", PO[[#This Row],[Spend category L1 - Override]], PO[[#This Row],[Spend category L1]])</f>
        <v>0</v>
      </c>
      <c r="M668" s="31">
        <f>IF(PO[[#This Row],[Spend category L2 - Override]] &lt;&gt; "", PO[[#This Row],[Spend category L2 - Override]], PO[[#This Row],[Spend category L2]])</f>
        <v>0</v>
      </c>
      <c r="N668" s="63">
        <f>Assumptions!$D$15</f>
        <v>0.1</v>
      </c>
      <c r="O668" s="45">
        <f>IF(PO[[#This Row],[GST applies?]] = "Yes", (PO[[#This Row],[Value inc. GST]] / 1 + PO[[#This Row],[GST %]]) * PO[[#This Row],[GST %]], 0)</f>
        <v>0</v>
      </c>
      <c r="P668" s="31">
        <f>_xlfn.XLOOKUP(PO[[#This Row],[Supplier name]], Supplier_master[Supplier name], Supplier_master[EOM or Net], 0)</f>
        <v>0</v>
      </c>
      <c r="Q668" s="31">
        <f>_xlfn.XLOOKUP(PO[[#This Row],[Supplier name]], Supplier_master[Supplier name], Supplier_master[Terms days], 0)</f>
        <v>0</v>
      </c>
      <c r="R6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8" s="4"/>
      <c r="T668" s="46">
        <f>IF(PO[[#This Row],[Payment date - override (dd/mm/yyyy)]] &lt;&gt; "", PO[[#This Row],[Payment date - override (dd/mm/yyyy)]], PO[[#This Row],[Due date (dd/mm/yyyy)]])</f>
        <v>0</v>
      </c>
      <c r="U668" s="46">
        <f t="shared" si="10"/>
        <v>52</v>
      </c>
    </row>
    <row r="669" spans="3:21" x14ac:dyDescent="0.25">
      <c r="C669" s="24"/>
      <c r="D669" s="20"/>
      <c r="E669" s="4"/>
      <c r="F669" s="37"/>
      <c r="G669" s="38"/>
      <c r="H669" s="31">
        <f>_xlfn.XLOOKUP(PO[[#This Row],[Supplier name]], Supplier_master[Supplier name], Supplier_master[Category L1], 0)</f>
        <v>0</v>
      </c>
      <c r="I669" s="31">
        <f>_xlfn.XLOOKUP(PO[[#This Row],[Supplier name]], Supplier_master[Supplier name], Supplier_master[Category L2], 0)</f>
        <v>0</v>
      </c>
      <c r="J669" s="55"/>
      <c r="K669" s="55"/>
      <c r="L669" s="31">
        <f>IF(PO[[#This Row],[Spend category L1 - Override]] &lt;&gt; "", PO[[#This Row],[Spend category L1 - Override]], PO[[#This Row],[Spend category L1]])</f>
        <v>0</v>
      </c>
      <c r="M669" s="31">
        <f>IF(PO[[#This Row],[Spend category L2 - Override]] &lt;&gt; "", PO[[#This Row],[Spend category L2 - Override]], PO[[#This Row],[Spend category L2]])</f>
        <v>0</v>
      </c>
      <c r="N669" s="63">
        <f>Assumptions!$D$15</f>
        <v>0.1</v>
      </c>
      <c r="O669" s="45">
        <f>IF(PO[[#This Row],[GST applies?]] = "Yes", (PO[[#This Row],[Value inc. GST]] / 1 + PO[[#This Row],[GST %]]) * PO[[#This Row],[GST %]], 0)</f>
        <v>0</v>
      </c>
      <c r="P669" s="31">
        <f>_xlfn.XLOOKUP(PO[[#This Row],[Supplier name]], Supplier_master[Supplier name], Supplier_master[EOM or Net], 0)</f>
        <v>0</v>
      </c>
      <c r="Q669" s="31">
        <f>_xlfn.XLOOKUP(PO[[#This Row],[Supplier name]], Supplier_master[Supplier name], Supplier_master[Terms days], 0)</f>
        <v>0</v>
      </c>
      <c r="R6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9" s="4"/>
      <c r="T669" s="46">
        <f>IF(PO[[#This Row],[Payment date - override (dd/mm/yyyy)]] &lt;&gt; "", PO[[#This Row],[Payment date - override (dd/mm/yyyy)]], PO[[#This Row],[Due date (dd/mm/yyyy)]])</f>
        <v>0</v>
      </c>
      <c r="U669" s="46">
        <f t="shared" si="10"/>
        <v>52</v>
      </c>
    </row>
    <row r="670" spans="3:21" x14ac:dyDescent="0.25">
      <c r="C670" s="24"/>
      <c r="D670" s="20"/>
      <c r="E670" s="4"/>
      <c r="F670" s="37"/>
      <c r="G670" s="38"/>
      <c r="H670" s="31">
        <f>_xlfn.XLOOKUP(PO[[#This Row],[Supplier name]], Supplier_master[Supplier name], Supplier_master[Category L1], 0)</f>
        <v>0</v>
      </c>
      <c r="I670" s="31">
        <f>_xlfn.XLOOKUP(PO[[#This Row],[Supplier name]], Supplier_master[Supplier name], Supplier_master[Category L2], 0)</f>
        <v>0</v>
      </c>
      <c r="J670" s="55"/>
      <c r="K670" s="55"/>
      <c r="L670" s="31">
        <f>IF(PO[[#This Row],[Spend category L1 - Override]] &lt;&gt; "", PO[[#This Row],[Spend category L1 - Override]], PO[[#This Row],[Spend category L1]])</f>
        <v>0</v>
      </c>
      <c r="M670" s="31">
        <f>IF(PO[[#This Row],[Spend category L2 - Override]] &lt;&gt; "", PO[[#This Row],[Spend category L2 - Override]], PO[[#This Row],[Spend category L2]])</f>
        <v>0</v>
      </c>
      <c r="N670" s="63">
        <f>Assumptions!$D$15</f>
        <v>0.1</v>
      </c>
      <c r="O670" s="45">
        <f>IF(PO[[#This Row],[GST applies?]] = "Yes", (PO[[#This Row],[Value inc. GST]] / 1 + PO[[#This Row],[GST %]]) * PO[[#This Row],[GST %]], 0)</f>
        <v>0</v>
      </c>
      <c r="P670" s="31">
        <f>_xlfn.XLOOKUP(PO[[#This Row],[Supplier name]], Supplier_master[Supplier name], Supplier_master[EOM or Net], 0)</f>
        <v>0</v>
      </c>
      <c r="Q670" s="31">
        <f>_xlfn.XLOOKUP(PO[[#This Row],[Supplier name]], Supplier_master[Supplier name], Supplier_master[Terms days], 0)</f>
        <v>0</v>
      </c>
      <c r="R6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0" s="4"/>
      <c r="T670" s="46">
        <f>IF(PO[[#This Row],[Payment date - override (dd/mm/yyyy)]] &lt;&gt; "", PO[[#This Row],[Payment date - override (dd/mm/yyyy)]], PO[[#This Row],[Due date (dd/mm/yyyy)]])</f>
        <v>0</v>
      </c>
      <c r="U670" s="46">
        <f t="shared" si="10"/>
        <v>52</v>
      </c>
    </row>
    <row r="671" spans="3:21" x14ac:dyDescent="0.25">
      <c r="C671" s="24"/>
      <c r="D671" s="20"/>
      <c r="E671" s="4"/>
      <c r="F671" s="37"/>
      <c r="G671" s="38"/>
      <c r="H671" s="31">
        <f>_xlfn.XLOOKUP(PO[[#This Row],[Supplier name]], Supplier_master[Supplier name], Supplier_master[Category L1], 0)</f>
        <v>0</v>
      </c>
      <c r="I671" s="31">
        <f>_xlfn.XLOOKUP(PO[[#This Row],[Supplier name]], Supplier_master[Supplier name], Supplier_master[Category L2], 0)</f>
        <v>0</v>
      </c>
      <c r="J671" s="55"/>
      <c r="K671" s="55"/>
      <c r="L671" s="31">
        <f>IF(PO[[#This Row],[Spend category L1 - Override]] &lt;&gt; "", PO[[#This Row],[Spend category L1 - Override]], PO[[#This Row],[Spend category L1]])</f>
        <v>0</v>
      </c>
      <c r="M671" s="31">
        <f>IF(PO[[#This Row],[Spend category L2 - Override]] &lt;&gt; "", PO[[#This Row],[Spend category L2 - Override]], PO[[#This Row],[Spend category L2]])</f>
        <v>0</v>
      </c>
      <c r="N671" s="63">
        <f>Assumptions!$D$15</f>
        <v>0.1</v>
      </c>
      <c r="O671" s="45">
        <f>IF(PO[[#This Row],[GST applies?]] = "Yes", (PO[[#This Row],[Value inc. GST]] / 1 + PO[[#This Row],[GST %]]) * PO[[#This Row],[GST %]], 0)</f>
        <v>0</v>
      </c>
      <c r="P671" s="31">
        <f>_xlfn.XLOOKUP(PO[[#This Row],[Supplier name]], Supplier_master[Supplier name], Supplier_master[EOM or Net], 0)</f>
        <v>0</v>
      </c>
      <c r="Q671" s="31">
        <f>_xlfn.XLOOKUP(PO[[#This Row],[Supplier name]], Supplier_master[Supplier name], Supplier_master[Terms days], 0)</f>
        <v>0</v>
      </c>
      <c r="R6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1" s="4"/>
      <c r="T671" s="46">
        <f>IF(PO[[#This Row],[Payment date - override (dd/mm/yyyy)]] &lt;&gt; "", PO[[#This Row],[Payment date - override (dd/mm/yyyy)]], PO[[#This Row],[Due date (dd/mm/yyyy)]])</f>
        <v>0</v>
      </c>
      <c r="U671" s="46">
        <f t="shared" si="10"/>
        <v>52</v>
      </c>
    </row>
    <row r="672" spans="3:21" x14ac:dyDescent="0.25">
      <c r="C672" s="24"/>
      <c r="D672" s="20"/>
      <c r="E672" s="4"/>
      <c r="F672" s="37"/>
      <c r="G672" s="38"/>
      <c r="H672" s="31">
        <f>_xlfn.XLOOKUP(PO[[#This Row],[Supplier name]], Supplier_master[Supplier name], Supplier_master[Category L1], 0)</f>
        <v>0</v>
      </c>
      <c r="I672" s="31">
        <f>_xlfn.XLOOKUP(PO[[#This Row],[Supplier name]], Supplier_master[Supplier name], Supplier_master[Category L2], 0)</f>
        <v>0</v>
      </c>
      <c r="J672" s="55"/>
      <c r="K672" s="55"/>
      <c r="L672" s="31">
        <f>IF(PO[[#This Row],[Spend category L1 - Override]] &lt;&gt; "", PO[[#This Row],[Spend category L1 - Override]], PO[[#This Row],[Spend category L1]])</f>
        <v>0</v>
      </c>
      <c r="M672" s="31">
        <f>IF(PO[[#This Row],[Spend category L2 - Override]] &lt;&gt; "", PO[[#This Row],[Spend category L2 - Override]], PO[[#This Row],[Spend category L2]])</f>
        <v>0</v>
      </c>
      <c r="N672" s="63">
        <f>Assumptions!$D$15</f>
        <v>0.1</v>
      </c>
      <c r="O672" s="45">
        <f>IF(PO[[#This Row],[GST applies?]] = "Yes", (PO[[#This Row],[Value inc. GST]] / 1 + PO[[#This Row],[GST %]]) * PO[[#This Row],[GST %]], 0)</f>
        <v>0</v>
      </c>
      <c r="P672" s="31">
        <f>_xlfn.XLOOKUP(PO[[#This Row],[Supplier name]], Supplier_master[Supplier name], Supplier_master[EOM or Net], 0)</f>
        <v>0</v>
      </c>
      <c r="Q672" s="31">
        <f>_xlfn.XLOOKUP(PO[[#This Row],[Supplier name]], Supplier_master[Supplier name], Supplier_master[Terms days], 0)</f>
        <v>0</v>
      </c>
      <c r="R6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2" s="4"/>
      <c r="T672" s="46">
        <f>IF(PO[[#This Row],[Payment date - override (dd/mm/yyyy)]] &lt;&gt; "", PO[[#This Row],[Payment date - override (dd/mm/yyyy)]], PO[[#This Row],[Due date (dd/mm/yyyy)]])</f>
        <v>0</v>
      </c>
      <c r="U672" s="46">
        <f t="shared" si="10"/>
        <v>52</v>
      </c>
    </row>
    <row r="673" spans="3:21" x14ac:dyDescent="0.25">
      <c r="C673" s="24"/>
      <c r="D673" s="20"/>
      <c r="E673" s="4"/>
      <c r="F673" s="37"/>
      <c r="G673" s="38"/>
      <c r="H673" s="31">
        <f>_xlfn.XLOOKUP(PO[[#This Row],[Supplier name]], Supplier_master[Supplier name], Supplier_master[Category L1], 0)</f>
        <v>0</v>
      </c>
      <c r="I673" s="31">
        <f>_xlfn.XLOOKUP(PO[[#This Row],[Supplier name]], Supplier_master[Supplier name], Supplier_master[Category L2], 0)</f>
        <v>0</v>
      </c>
      <c r="J673" s="55"/>
      <c r="K673" s="55"/>
      <c r="L673" s="31">
        <f>IF(PO[[#This Row],[Spend category L1 - Override]] &lt;&gt; "", PO[[#This Row],[Spend category L1 - Override]], PO[[#This Row],[Spend category L1]])</f>
        <v>0</v>
      </c>
      <c r="M673" s="31">
        <f>IF(PO[[#This Row],[Spend category L2 - Override]] &lt;&gt; "", PO[[#This Row],[Spend category L2 - Override]], PO[[#This Row],[Spend category L2]])</f>
        <v>0</v>
      </c>
      <c r="N673" s="63">
        <f>Assumptions!$D$15</f>
        <v>0.1</v>
      </c>
      <c r="O673" s="45">
        <f>IF(PO[[#This Row],[GST applies?]] = "Yes", (PO[[#This Row],[Value inc. GST]] / 1 + PO[[#This Row],[GST %]]) * PO[[#This Row],[GST %]], 0)</f>
        <v>0</v>
      </c>
      <c r="P673" s="31">
        <f>_xlfn.XLOOKUP(PO[[#This Row],[Supplier name]], Supplier_master[Supplier name], Supplier_master[EOM or Net], 0)</f>
        <v>0</v>
      </c>
      <c r="Q673" s="31">
        <f>_xlfn.XLOOKUP(PO[[#This Row],[Supplier name]], Supplier_master[Supplier name], Supplier_master[Terms days], 0)</f>
        <v>0</v>
      </c>
      <c r="R6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3" s="4"/>
      <c r="T673" s="46">
        <f>IF(PO[[#This Row],[Payment date - override (dd/mm/yyyy)]] &lt;&gt; "", PO[[#This Row],[Payment date - override (dd/mm/yyyy)]], PO[[#This Row],[Due date (dd/mm/yyyy)]])</f>
        <v>0</v>
      </c>
      <c r="U673" s="46">
        <f t="shared" si="10"/>
        <v>52</v>
      </c>
    </row>
    <row r="674" spans="3:21" x14ac:dyDescent="0.25">
      <c r="C674" s="24"/>
      <c r="D674" s="20"/>
      <c r="E674" s="4"/>
      <c r="F674" s="37"/>
      <c r="G674" s="38"/>
      <c r="H674" s="31">
        <f>_xlfn.XLOOKUP(PO[[#This Row],[Supplier name]], Supplier_master[Supplier name], Supplier_master[Category L1], 0)</f>
        <v>0</v>
      </c>
      <c r="I674" s="31">
        <f>_xlfn.XLOOKUP(PO[[#This Row],[Supplier name]], Supplier_master[Supplier name], Supplier_master[Category L2], 0)</f>
        <v>0</v>
      </c>
      <c r="J674" s="55"/>
      <c r="K674" s="55"/>
      <c r="L674" s="31">
        <f>IF(PO[[#This Row],[Spend category L1 - Override]] &lt;&gt; "", PO[[#This Row],[Spend category L1 - Override]], PO[[#This Row],[Spend category L1]])</f>
        <v>0</v>
      </c>
      <c r="M674" s="31">
        <f>IF(PO[[#This Row],[Spend category L2 - Override]] &lt;&gt; "", PO[[#This Row],[Spend category L2 - Override]], PO[[#This Row],[Spend category L2]])</f>
        <v>0</v>
      </c>
      <c r="N674" s="63">
        <f>Assumptions!$D$15</f>
        <v>0.1</v>
      </c>
      <c r="O674" s="45">
        <f>IF(PO[[#This Row],[GST applies?]] = "Yes", (PO[[#This Row],[Value inc. GST]] / 1 + PO[[#This Row],[GST %]]) * PO[[#This Row],[GST %]], 0)</f>
        <v>0</v>
      </c>
      <c r="P674" s="31">
        <f>_xlfn.XLOOKUP(PO[[#This Row],[Supplier name]], Supplier_master[Supplier name], Supplier_master[EOM or Net], 0)</f>
        <v>0</v>
      </c>
      <c r="Q674" s="31">
        <f>_xlfn.XLOOKUP(PO[[#This Row],[Supplier name]], Supplier_master[Supplier name], Supplier_master[Terms days], 0)</f>
        <v>0</v>
      </c>
      <c r="R6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4" s="4"/>
      <c r="T674" s="46">
        <f>IF(PO[[#This Row],[Payment date - override (dd/mm/yyyy)]] &lt;&gt; "", PO[[#This Row],[Payment date - override (dd/mm/yyyy)]], PO[[#This Row],[Due date (dd/mm/yyyy)]])</f>
        <v>0</v>
      </c>
      <c r="U674" s="46">
        <f t="shared" si="10"/>
        <v>52</v>
      </c>
    </row>
    <row r="675" spans="3:21" x14ac:dyDescent="0.25">
      <c r="C675" s="24"/>
      <c r="D675" s="20"/>
      <c r="E675" s="4"/>
      <c r="F675" s="37"/>
      <c r="G675" s="38"/>
      <c r="H675" s="31">
        <f>_xlfn.XLOOKUP(PO[[#This Row],[Supplier name]], Supplier_master[Supplier name], Supplier_master[Category L1], 0)</f>
        <v>0</v>
      </c>
      <c r="I675" s="31">
        <f>_xlfn.XLOOKUP(PO[[#This Row],[Supplier name]], Supplier_master[Supplier name], Supplier_master[Category L2], 0)</f>
        <v>0</v>
      </c>
      <c r="J675" s="55"/>
      <c r="K675" s="55"/>
      <c r="L675" s="31">
        <f>IF(PO[[#This Row],[Spend category L1 - Override]] &lt;&gt; "", PO[[#This Row],[Spend category L1 - Override]], PO[[#This Row],[Spend category L1]])</f>
        <v>0</v>
      </c>
      <c r="M675" s="31">
        <f>IF(PO[[#This Row],[Spend category L2 - Override]] &lt;&gt; "", PO[[#This Row],[Spend category L2 - Override]], PO[[#This Row],[Spend category L2]])</f>
        <v>0</v>
      </c>
      <c r="N675" s="63">
        <f>Assumptions!$D$15</f>
        <v>0.1</v>
      </c>
      <c r="O675" s="45">
        <f>IF(PO[[#This Row],[GST applies?]] = "Yes", (PO[[#This Row],[Value inc. GST]] / 1 + PO[[#This Row],[GST %]]) * PO[[#This Row],[GST %]], 0)</f>
        <v>0</v>
      </c>
      <c r="P675" s="31">
        <f>_xlfn.XLOOKUP(PO[[#This Row],[Supplier name]], Supplier_master[Supplier name], Supplier_master[EOM or Net], 0)</f>
        <v>0</v>
      </c>
      <c r="Q675" s="31">
        <f>_xlfn.XLOOKUP(PO[[#This Row],[Supplier name]], Supplier_master[Supplier name], Supplier_master[Terms days], 0)</f>
        <v>0</v>
      </c>
      <c r="R6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5" s="4"/>
      <c r="T675" s="46">
        <f>IF(PO[[#This Row],[Payment date - override (dd/mm/yyyy)]] &lt;&gt; "", PO[[#This Row],[Payment date - override (dd/mm/yyyy)]], PO[[#This Row],[Due date (dd/mm/yyyy)]])</f>
        <v>0</v>
      </c>
      <c r="U675" s="46">
        <f t="shared" si="10"/>
        <v>52</v>
      </c>
    </row>
    <row r="676" spans="3:21" x14ac:dyDescent="0.25">
      <c r="C676" s="24"/>
      <c r="D676" s="20"/>
      <c r="E676" s="4"/>
      <c r="F676" s="37"/>
      <c r="G676" s="38"/>
      <c r="H676" s="31">
        <f>_xlfn.XLOOKUP(PO[[#This Row],[Supplier name]], Supplier_master[Supplier name], Supplier_master[Category L1], 0)</f>
        <v>0</v>
      </c>
      <c r="I676" s="31">
        <f>_xlfn.XLOOKUP(PO[[#This Row],[Supplier name]], Supplier_master[Supplier name], Supplier_master[Category L2], 0)</f>
        <v>0</v>
      </c>
      <c r="J676" s="55"/>
      <c r="K676" s="55"/>
      <c r="L676" s="31">
        <f>IF(PO[[#This Row],[Spend category L1 - Override]] &lt;&gt; "", PO[[#This Row],[Spend category L1 - Override]], PO[[#This Row],[Spend category L1]])</f>
        <v>0</v>
      </c>
      <c r="M676" s="31">
        <f>IF(PO[[#This Row],[Spend category L2 - Override]] &lt;&gt; "", PO[[#This Row],[Spend category L2 - Override]], PO[[#This Row],[Spend category L2]])</f>
        <v>0</v>
      </c>
      <c r="N676" s="63">
        <f>Assumptions!$D$15</f>
        <v>0.1</v>
      </c>
      <c r="O676" s="45">
        <f>IF(PO[[#This Row],[GST applies?]] = "Yes", (PO[[#This Row],[Value inc. GST]] / 1 + PO[[#This Row],[GST %]]) * PO[[#This Row],[GST %]], 0)</f>
        <v>0</v>
      </c>
      <c r="P676" s="31">
        <f>_xlfn.XLOOKUP(PO[[#This Row],[Supplier name]], Supplier_master[Supplier name], Supplier_master[EOM or Net], 0)</f>
        <v>0</v>
      </c>
      <c r="Q676" s="31">
        <f>_xlfn.XLOOKUP(PO[[#This Row],[Supplier name]], Supplier_master[Supplier name], Supplier_master[Terms days], 0)</f>
        <v>0</v>
      </c>
      <c r="R6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6" s="4"/>
      <c r="T676" s="46">
        <f>IF(PO[[#This Row],[Payment date - override (dd/mm/yyyy)]] &lt;&gt; "", PO[[#This Row],[Payment date - override (dd/mm/yyyy)]], PO[[#This Row],[Due date (dd/mm/yyyy)]])</f>
        <v>0</v>
      </c>
      <c r="U676" s="46">
        <f t="shared" si="10"/>
        <v>52</v>
      </c>
    </row>
    <row r="677" spans="3:21" x14ac:dyDescent="0.25">
      <c r="C677" s="24"/>
      <c r="D677" s="20"/>
      <c r="E677" s="4"/>
      <c r="F677" s="37"/>
      <c r="G677" s="38"/>
      <c r="H677" s="31">
        <f>_xlfn.XLOOKUP(PO[[#This Row],[Supplier name]], Supplier_master[Supplier name], Supplier_master[Category L1], 0)</f>
        <v>0</v>
      </c>
      <c r="I677" s="31">
        <f>_xlfn.XLOOKUP(PO[[#This Row],[Supplier name]], Supplier_master[Supplier name], Supplier_master[Category L2], 0)</f>
        <v>0</v>
      </c>
      <c r="J677" s="55"/>
      <c r="K677" s="55"/>
      <c r="L677" s="31">
        <f>IF(PO[[#This Row],[Spend category L1 - Override]] &lt;&gt; "", PO[[#This Row],[Spend category L1 - Override]], PO[[#This Row],[Spend category L1]])</f>
        <v>0</v>
      </c>
      <c r="M677" s="31">
        <f>IF(PO[[#This Row],[Spend category L2 - Override]] &lt;&gt; "", PO[[#This Row],[Spend category L2 - Override]], PO[[#This Row],[Spend category L2]])</f>
        <v>0</v>
      </c>
      <c r="N677" s="63">
        <f>Assumptions!$D$15</f>
        <v>0.1</v>
      </c>
      <c r="O677" s="45">
        <f>IF(PO[[#This Row],[GST applies?]] = "Yes", (PO[[#This Row],[Value inc. GST]] / 1 + PO[[#This Row],[GST %]]) * PO[[#This Row],[GST %]], 0)</f>
        <v>0</v>
      </c>
      <c r="P677" s="31">
        <f>_xlfn.XLOOKUP(PO[[#This Row],[Supplier name]], Supplier_master[Supplier name], Supplier_master[EOM or Net], 0)</f>
        <v>0</v>
      </c>
      <c r="Q677" s="31">
        <f>_xlfn.XLOOKUP(PO[[#This Row],[Supplier name]], Supplier_master[Supplier name], Supplier_master[Terms days], 0)</f>
        <v>0</v>
      </c>
      <c r="R6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7" s="4"/>
      <c r="T677" s="46">
        <f>IF(PO[[#This Row],[Payment date - override (dd/mm/yyyy)]] &lt;&gt; "", PO[[#This Row],[Payment date - override (dd/mm/yyyy)]], PO[[#This Row],[Due date (dd/mm/yyyy)]])</f>
        <v>0</v>
      </c>
      <c r="U677" s="46">
        <f t="shared" si="10"/>
        <v>52</v>
      </c>
    </row>
    <row r="678" spans="3:21" x14ac:dyDescent="0.25">
      <c r="C678" s="24"/>
      <c r="D678" s="20"/>
      <c r="E678" s="4"/>
      <c r="F678" s="37"/>
      <c r="G678" s="38"/>
      <c r="H678" s="31">
        <f>_xlfn.XLOOKUP(PO[[#This Row],[Supplier name]], Supplier_master[Supplier name], Supplier_master[Category L1], 0)</f>
        <v>0</v>
      </c>
      <c r="I678" s="31">
        <f>_xlfn.XLOOKUP(PO[[#This Row],[Supplier name]], Supplier_master[Supplier name], Supplier_master[Category L2], 0)</f>
        <v>0</v>
      </c>
      <c r="J678" s="55"/>
      <c r="K678" s="55"/>
      <c r="L678" s="31">
        <f>IF(PO[[#This Row],[Spend category L1 - Override]] &lt;&gt; "", PO[[#This Row],[Spend category L1 - Override]], PO[[#This Row],[Spend category L1]])</f>
        <v>0</v>
      </c>
      <c r="M678" s="31">
        <f>IF(PO[[#This Row],[Spend category L2 - Override]] &lt;&gt; "", PO[[#This Row],[Spend category L2 - Override]], PO[[#This Row],[Spend category L2]])</f>
        <v>0</v>
      </c>
      <c r="N678" s="63">
        <f>Assumptions!$D$15</f>
        <v>0.1</v>
      </c>
      <c r="O678" s="45">
        <f>IF(PO[[#This Row],[GST applies?]] = "Yes", (PO[[#This Row],[Value inc. GST]] / 1 + PO[[#This Row],[GST %]]) * PO[[#This Row],[GST %]], 0)</f>
        <v>0</v>
      </c>
      <c r="P678" s="31">
        <f>_xlfn.XLOOKUP(PO[[#This Row],[Supplier name]], Supplier_master[Supplier name], Supplier_master[EOM or Net], 0)</f>
        <v>0</v>
      </c>
      <c r="Q678" s="31">
        <f>_xlfn.XLOOKUP(PO[[#This Row],[Supplier name]], Supplier_master[Supplier name], Supplier_master[Terms days], 0)</f>
        <v>0</v>
      </c>
      <c r="R6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8" s="4"/>
      <c r="T678" s="46">
        <f>IF(PO[[#This Row],[Payment date - override (dd/mm/yyyy)]] &lt;&gt; "", PO[[#This Row],[Payment date - override (dd/mm/yyyy)]], PO[[#This Row],[Due date (dd/mm/yyyy)]])</f>
        <v>0</v>
      </c>
      <c r="U678" s="46">
        <f t="shared" si="10"/>
        <v>52</v>
      </c>
    </row>
    <row r="679" spans="3:21" x14ac:dyDescent="0.25">
      <c r="C679" s="24"/>
      <c r="D679" s="20"/>
      <c r="E679" s="4"/>
      <c r="F679" s="37"/>
      <c r="G679" s="38"/>
      <c r="H679" s="31">
        <f>_xlfn.XLOOKUP(PO[[#This Row],[Supplier name]], Supplier_master[Supplier name], Supplier_master[Category L1], 0)</f>
        <v>0</v>
      </c>
      <c r="I679" s="31">
        <f>_xlfn.XLOOKUP(PO[[#This Row],[Supplier name]], Supplier_master[Supplier name], Supplier_master[Category L2], 0)</f>
        <v>0</v>
      </c>
      <c r="J679" s="55"/>
      <c r="K679" s="55"/>
      <c r="L679" s="31">
        <f>IF(PO[[#This Row],[Spend category L1 - Override]] &lt;&gt; "", PO[[#This Row],[Spend category L1 - Override]], PO[[#This Row],[Spend category L1]])</f>
        <v>0</v>
      </c>
      <c r="M679" s="31">
        <f>IF(PO[[#This Row],[Spend category L2 - Override]] &lt;&gt; "", PO[[#This Row],[Spend category L2 - Override]], PO[[#This Row],[Spend category L2]])</f>
        <v>0</v>
      </c>
      <c r="N679" s="63">
        <f>Assumptions!$D$15</f>
        <v>0.1</v>
      </c>
      <c r="O679" s="45">
        <f>IF(PO[[#This Row],[GST applies?]] = "Yes", (PO[[#This Row],[Value inc. GST]] / 1 + PO[[#This Row],[GST %]]) * PO[[#This Row],[GST %]], 0)</f>
        <v>0</v>
      </c>
      <c r="P679" s="31">
        <f>_xlfn.XLOOKUP(PO[[#This Row],[Supplier name]], Supplier_master[Supplier name], Supplier_master[EOM or Net], 0)</f>
        <v>0</v>
      </c>
      <c r="Q679" s="31">
        <f>_xlfn.XLOOKUP(PO[[#This Row],[Supplier name]], Supplier_master[Supplier name], Supplier_master[Terms days], 0)</f>
        <v>0</v>
      </c>
      <c r="R6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9" s="4"/>
      <c r="T679" s="46">
        <f>IF(PO[[#This Row],[Payment date - override (dd/mm/yyyy)]] &lt;&gt; "", PO[[#This Row],[Payment date - override (dd/mm/yyyy)]], PO[[#This Row],[Due date (dd/mm/yyyy)]])</f>
        <v>0</v>
      </c>
      <c r="U679" s="46">
        <f t="shared" si="10"/>
        <v>52</v>
      </c>
    </row>
    <row r="680" spans="3:21" x14ac:dyDescent="0.25">
      <c r="C680" s="24"/>
      <c r="D680" s="20"/>
      <c r="E680" s="4"/>
      <c r="F680" s="37"/>
      <c r="G680" s="38"/>
      <c r="H680" s="31">
        <f>_xlfn.XLOOKUP(PO[[#This Row],[Supplier name]], Supplier_master[Supplier name], Supplier_master[Category L1], 0)</f>
        <v>0</v>
      </c>
      <c r="I680" s="31">
        <f>_xlfn.XLOOKUP(PO[[#This Row],[Supplier name]], Supplier_master[Supplier name], Supplier_master[Category L2], 0)</f>
        <v>0</v>
      </c>
      <c r="J680" s="55"/>
      <c r="K680" s="55"/>
      <c r="L680" s="31">
        <f>IF(PO[[#This Row],[Spend category L1 - Override]] &lt;&gt; "", PO[[#This Row],[Spend category L1 - Override]], PO[[#This Row],[Spend category L1]])</f>
        <v>0</v>
      </c>
      <c r="M680" s="31">
        <f>IF(PO[[#This Row],[Spend category L2 - Override]] &lt;&gt; "", PO[[#This Row],[Spend category L2 - Override]], PO[[#This Row],[Spend category L2]])</f>
        <v>0</v>
      </c>
      <c r="N680" s="63">
        <f>Assumptions!$D$15</f>
        <v>0.1</v>
      </c>
      <c r="O680" s="45">
        <f>IF(PO[[#This Row],[GST applies?]] = "Yes", (PO[[#This Row],[Value inc. GST]] / 1 + PO[[#This Row],[GST %]]) * PO[[#This Row],[GST %]], 0)</f>
        <v>0</v>
      </c>
      <c r="P680" s="31">
        <f>_xlfn.XLOOKUP(PO[[#This Row],[Supplier name]], Supplier_master[Supplier name], Supplier_master[EOM or Net], 0)</f>
        <v>0</v>
      </c>
      <c r="Q680" s="31">
        <f>_xlfn.XLOOKUP(PO[[#This Row],[Supplier name]], Supplier_master[Supplier name], Supplier_master[Terms days], 0)</f>
        <v>0</v>
      </c>
      <c r="R6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0" s="4"/>
      <c r="T680" s="46">
        <f>IF(PO[[#This Row],[Payment date - override (dd/mm/yyyy)]] &lt;&gt; "", PO[[#This Row],[Payment date - override (dd/mm/yyyy)]], PO[[#This Row],[Due date (dd/mm/yyyy)]])</f>
        <v>0</v>
      </c>
      <c r="U680" s="46">
        <f t="shared" si="10"/>
        <v>52</v>
      </c>
    </row>
    <row r="681" spans="3:21" x14ac:dyDescent="0.25">
      <c r="C681" s="24"/>
      <c r="D681" s="20"/>
      <c r="E681" s="4"/>
      <c r="F681" s="37"/>
      <c r="G681" s="38"/>
      <c r="H681" s="31">
        <f>_xlfn.XLOOKUP(PO[[#This Row],[Supplier name]], Supplier_master[Supplier name], Supplier_master[Category L1], 0)</f>
        <v>0</v>
      </c>
      <c r="I681" s="31">
        <f>_xlfn.XLOOKUP(PO[[#This Row],[Supplier name]], Supplier_master[Supplier name], Supplier_master[Category L2], 0)</f>
        <v>0</v>
      </c>
      <c r="J681" s="55"/>
      <c r="K681" s="55"/>
      <c r="L681" s="31">
        <f>IF(PO[[#This Row],[Spend category L1 - Override]] &lt;&gt; "", PO[[#This Row],[Spend category L1 - Override]], PO[[#This Row],[Spend category L1]])</f>
        <v>0</v>
      </c>
      <c r="M681" s="31">
        <f>IF(PO[[#This Row],[Spend category L2 - Override]] &lt;&gt; "", PO[[#This Row],[Spend category L2 - Override]], PO[[#This Row],[Spend category L2]])</f>
        <v>0</v>
      </c>
      <c r="N681" s="63">
        <f>Assumptions!$D$15</f>
        <v>0.1</v>
      </c>
      <c r="O681" s="45">
        <f>IF(PO[[#This Row],[GST applies?]] = "Yes", (PO[[#This Row],[Value inc. GST]] / 1 + PO[[#This Row],[GST %]]) * PO[[#This Row],[GST %]], 0)</f>
        <v>0</v>
      </c>
      <c r="P681" s="31">
        <f>_xlfn.XLOOKUP(PO[[#This Row],[Supplier name]], Supplier_master[Supplier name], Supplier_master[EOM or Net], 0)</f>
        <v>0</v>
      </c>
      <c r="Q681" s="31">
        <f>_xlfn.XLOOKUP(PO[[#This Row],[Supplier name]], Supplier_master[Supplier name], Supplier_master[Terms days], 0)</f>
        <v>0</v>
      </c>
      <c r="R6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1" s="4"/>
      <c r="T681" s="46">
        <f>IF(PO[[#This Row],[Payment date - override (dd/mm/yyyy)]] &lt;&gt; "", PO[[#This Row],[Payment date - override (dd/mm/yyyy)]], PO[[#This Row],[Due date (dd/mm/yyyy)]])</f>
        <v>0</v>
      </c>
      <c r="U681" s="46">
        <f t="shared" si="10"/>
        <v>52</v>
      </c>
    </row>
    <row r="682" spans="3:21" x14ac:dyDescent="0.25">
      <c r="C682" s="24"/>
      <c r="D682" s="20"/>
      <c r="E682" s="4"/>
      <c r="F682" s="37"/>
      <c r="G682" s="38"/>
      <c r="H682" s="31">
        <f>_xlfn.XLOOKUP(PO[[#This Row],[Supplier name]], Supplier_master[Supplier name], Supplier_master[Category L1], 0)</f>
        <v>0</v>
      </c>
      <c r="I682" s="31">
        <f>_xlfn.XLOOKUP(PO[[#This Row],[Supplier name]], Supplier_master[Supplier name], Supplier_master[Category L2], 0)</f>
        <v>0</v>
      </c>
      <c r="J682" s="55"/>
      <c r="K682" s="55"/>
      <c r="L682" s="31">
        <f>IF(PO[[#This Row],[Spend category L1 - Override]] &lt;&gt; "", PO[[#This Row],[Spend category L1 - Override]], PO[[#This Row],[Spend category L1]])</f>
        <v>0</v>
      </c>
      <c r="M682" s="31">
        <f>IF(PO[[#This Row],[Spend category L2 - Override]] &lt;&gt; "", PO[[#This Row],[Spend category L2 - Override]], PO[[#This Row],[Spend category L2]])</f>
        <v>0</v>
      </c>
      <c r="N682" s="63">
        <f>Assumptions!$D$15</f>
        <v>0.1</v>
      </c>
      <c r="O682" s="45">
        <f>IF(PO[[#This Row],[GST applies?]] = "Yes", (PO[[#This Row],[Value inc. GST]] / 1 + PO[[#This Row],[GST %]]) * PO[[#This Row],[GST %]], 0)</f>
        <v>0</v>
      </c>
      <c r="P682" s="31">
        <f>_xlfn.XLOOKUP(PO[[#This Row],[Supplier name]], Supplier_master[Supplier name], Supplier_master[EOM or Net], 0)</f>
        <v>0</v>
      </c>
      <c r="Q682" s="31">
        <f>_xlfn.XLOOKUP(PO[[#This Row],[Supplier name]], Supplier_master[Supplier name], Supplier_master[Terms days], 0)</f>
        <v>0</v>
      </c>
      <c r="R6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2" s="4"/>
      <c r="T682" s="46">
        <f>IF(PO[[#This Row],[Payment date - override (dd/mm/yyyy)]] &lt;&gt; "", PO[[#This Row],[Payment date - override (dd/mm/yyyy)]], PO[[#This Row],[Due date (dd/mm/yyyy)]])</f>
        <v>0</v>
      </c>
      <c r="U682" s="46">
        <f t="shared" si="10"/>
        <v>52</v>
      </c>
    </row>
    <row r="683" spans="3:21" x14ac:dyDescent="0.25">
      <c r="C683" s="24"/>
      <c r="D683" s="20"/>
      <c r="E683" s="4"/>
      <c r="F683" s="37"/>
      <c r="G683" s="38"/>
      <c r="H683" s="31">
        <f>_xlfn.XLOOKUP(PO[[#This Row],[Supplier name]], Supplier_master[Supplier name], Supplier_master[Category L1], 0)</f>
        <v>0</v>
      </c>
      <c r="I683" s="31">
        <f>_xlfn.XLOOKUP(PO[[#This Row],[Supplier name]], Supplier_master[Supplier name], Supplier_master[Category L2], 0)</f>
        <v>0</v>
      </c>
      <c r="J683" s="55"/>
      <c r="K683" s="55"/>
      <c r="L683" s="31">
        <f>IF(PO[[#This Row],[Spend category L1 - Override]] &lt;&gt; "", PO[[#This Row],[Spend category L1 - Override]], PO[[#This Row],[Spend category L1]])</f>
        <v>0</v>
      </c>
      <c r="M683" s="31">
        <f>IF(PO[[#This Row],[Spend category L2 - Override]] &lt;&gt; "", PO[[#This Row],[Spend category L2 - Override]], PO[[#This Row],[Spend category L2]])</f>
        <v>0</v>
      </c>
      <c r="N683" s="63">
        <f>Assumptions!$D$15</f>
        <v>0.1</v>
      </c>
      <c r="O683" s="45">
        <f>IF(PO[[#This Row],[GST applies?]] = "Yes", (PO[[#This Row],[Value inc. GST]] / 1 + PO[[#This Row],[GST %]]) * PO[[#This Row],[GST %]], 0)</f>
        <v>0</v>
      </c>
      <c r="P683" s="31">
        <f>_xlfn.XLOOKUP(PO[[#This Row],[Supplier name]], Supplier_master[Supplier name], Supplier_master[EOM or Net], 0)</f>
        <v>0</v>
      </c>
      <c r="Q683" s="31">
        <f>_xlfn.XLOOKUP(PO[[#This Row],[Supplier name]], Supplier_master[Supplier name], Supplier_master[Terms days], 0)</f>
        <v>0</v>
      </c>
      <c r="R6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3" s="4"/>
      <c r="T683" s="46">
        <f>IF(PO[[#This Row],[Payment date - override (dd/mm/yyyy)]] &lt;&gt; "", PO[[#This Row],[Payment date - override (dd/mm/yyyy)]], PO[[#This Row],[Due date (dd/mm/yyyy)]])</f>
        <v>0</v>
      </c>
      <c r="U683" s="46">
        <f t="shared" si="10"/>
        <v>52</v>
      </c>
    </row>
    <row r="684" spans="3:21" x14ac:dyDescent="0.25">
      <c r="C684" s="24"/>
      <c r="D684" s="20"/>
      <c r="E684" s="4"/>
      <c r="F684" s="37"/>
      <c r="G684" s="38"/>
      <c r="H684" s="31">
        <f>_xlfn.XLOOKUP(PO[[#This Row],[Supplier name]], Supplier_master[Supplier name], Supplier_master[Category L1], 0)</f>
        <v>0</v>
      </c>
      <c r="I684" s="31">
        <f>_xlfn.XLOOKUP(PO[[#This Row],[Supplier name]], Supplier_master[Supplier name], Supplier_master[Category L2], 0)</f>
        <v>0</v>
      </c>
      <c r="J684" s="55"/>
      <c r="K684" s="55"/>
      <c r="L684" s="31">
        <f>IF(PO[[#This Row],[Spend category L1 - Override]] &lt;&gt; "", PO[[#This Row],[Spend category L1 - Override]], PO[[#This Row],[Spend category L1]])</f>
        <v>0</v>
      </c>
      <c r="M684" s="31">
        <f>IF(PO[[#This Row],[Spend category L2 - Override]] &lt;&gt; "", PO[[#This Row],[Spend category L2 - Override]], PO[[#This Row],[Spend category L2]])</f>
        <v>0</v>
      </c>
      <c r="N684" s="63">
        <f>Assumptions!$D$15</f>
        <v>0.1</v>
      </c>
      <c r="O684" s="45">
        <f>IF(PO[[#This Row],[GST applies?]] = "Yes", (PO[[#This Row],[Value inc. GST]] / 1 + PO[[#This Row],[GST %]]) * PO[[#This Row],[GST %]], 0)</f>
        <v>0</v>
      </c>
      <c r="P684" s="31">
        <f>_xlfn.XLOOKUP(PO[[#This Row],[Supplier name]], Supplier_master[Supplier name], Supplier_master[EOM or Net], 0)</f>
        <v>0</v>
      </c>
      <c r="Q684" s="31">
        <f>_xlfn.XLOOKUP(PO[[#This Row],[Supplier name]], Supplier_master[Supplier name], Supplier_master[Terms days], 0)</f>
        <v>0</v>
      </c>
      <c r="R6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4" s="4"/>
      <c r="T684" s="46">
        <f>IF(PO[[#This Row],[Payment date - override (dd/mm/yyyy)]] &lt;&gt; "", PO[[#This Row],[Payment date - override (dd/mm/yyyy)]], PO[[#This Row],[Due date (dd/mm/yyyy)]])</f>
        <v>0</v>
      </c>
      <c r="U684" s="46">
        <f t="shared" si="10"/>
        <v>52</v>
      </c>
    </row>
    <row r="685" spans="3:21" x14ac:dyDescent="0.25">
      <c r="C685" s="24"/>
      <c r="D685" s="20"/>
      <c r="E685" s="4"/>
      <c r="F685" s="37"/>
      <c r="G685" s="38"/>
      <c r="H685" s="31">
        <f>_xlfn.XLOOKUP(PO[[#This Row],[Supplier name]], Supplier_master[Supplier name], Supplier_master[Category L1], 0)</f>
        <v>0</v>
      </c>
      <c r="I685" s="31">
        <f>_xlfn.XLOOKUP(PO[[#This Row],[Supplier name]], Supplier_master[Supplier name], Supplier_master[Category L2], 0)</f>
        <v>0</v>
      </c>
      <c r="J685" s="55"/>
      <c r="K685" s="55"/>
      <c r="L685" s="31">
        <f>IF(PO[[#This Row],[Spend category L1 - Override]] &lt;&gt; "", PO[[#This Row],[Spend category L1 - Override]], PO[[#This Row],[Spend category L1]])</f>
        <v>0</v>
      </c>
      <c r="M685" s="31">
        <f>IF(PO[[#This Row],[Spend category L2 - Override]] &lt;&gt; "", PO[[#This Row],[Spend category L2 - Override]], PO[[#This Row],[Spend category L2]])</f>
        <v>0</v>
      </c>
      <c r="N685" s="63">
        <f>Assumptions!$D$15</f>
        <v>0.1</v>
      </c>
      <c r="O685" s="45">
        <f>IF(PO[[#This Row],[GST applies?]] = "Yes", (PO[[#This Row],[Value inc. GST]] / 1 + PO[[#This Row],[GST %]]) * PO[[#This Row],[GST %]], 0)</f>
        <v>0</v>
      </c>
      <c r="P685" s="31">
        <f>_xlfn.XLOOKUP(PO[[#This Row],[Supplier name]], Supplier_master[Supplier name], Supplier_master[EOM or Net], 0)</f>
        <v>0</v>
      </c>
      <c r="Q685" s="31">
        <f>_xlfn.XLOOKUP(PO[[#This Row],[Supplier name]], Supplier_master[Supplier name], Supplier_master[Terms days], 0)</f>
        <v>0</v>
      </c>
      <c r="R6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5" s="4"/>
      <c r="T685" s="46">
        <f>IF(PO[[#This Row],[Payment date - override (dd/mm/yyyy)]] &lt;&gt; "", PO[[#This Row],[Payment date - override (dd/mm/yyyy)]], PO[[#This Row],[Due date (dd/mm/yyyy)]])</f>
        <v>0</v>
      </c>
      <c r="U685" s="46">
        <f t="shared" si="10"/>
        <v>52</v>
      </c>
    </row>
    <row r="686" spans="3:21" x14ac:dyDescent="0.25">
      <c r="C686" s="24"/>
      <c r="D686" s="20"/>
      <c r="E686" s="4"/>
      <c r="F686" s="37"/>
      <c r="G686" s="38"/>
      <c r="H686" s="31">
        <f>_xlfn.XLOOKUP(PO[[#This Row],[Supplier name]], Supplier_master[Supplier name], Supplier_master[Category L1], 0)</f>
        <v>0</v>
      </c>
      <c r="I686" s="31">
        <f>_xlfn.XLOOKUP(PO[[#This Row],[Supplier name]], Supplier_master[Supplier name], Supplier_master[Category L2], 0)</f>
        <v>0</v>
      </c>
      <c r="J686" s="55"/>
      <c r="K686" s="55"/>
      <c r="L686" s="31">
        <f>IF(PO[[#This Row],[Spend category L1 - Override]] &lt;&gt; "", PO[[#This Row],[Spend category L1 - Override]], PO[[#This Row],[Spend category L1]])</f>
        <v>0</v>
      </c>
      <c r="M686" s="31">
        <f>IF(PO[[#This Row],[Spend category L2 - Override]] &lt;&gt; "", PO[[#This Row],[Spend category L2 - Override]], PO[[#This Row],[Spend category L2]])</f>
        <v>0</v>
      </c>
      <c r="N686" s="63">
        <f>Assumptions!$D$15</f>
        <v>0.1</v>
      </c>
      <c r="O686" s="45">
        <f>IF(PO[[#This Row],[GST applies?]] = "Yes", (PO[[#This Row],[Value inc. GST]] / 1 + PO[[#This Row],[GST %]]) * PO[[#This Row],[GST %]], 0)</f>
        <v>0</v>
      </c>
      <c r="P686" s="31">
        <f>_xlfn.XLOOKUP(PO[[#This Row],[Supplier name]], Supplier_master[Supplier name], Supplier_master[EOM or Net], 0)</f>
        <v>0</v>
      </c>
      <c r="Q686" s="31">
        <f>_xlfn.XLOOKUP(PO[[#This Row],[Supplier name]], Supplier_master[Supplier name], Supplier_master[Terms days], 0)</f>
        <v>0</v>
      </c>
      <c r="R6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6" s="4"/>
      <c r="T686" s="46">
        <f>IF(PO[[#This Row],[Payment date - override (dd/mm/yyyy)]] &lt;&gt; "", PO[[#This Row],[Payment date - override (dd/mm/yyyy)]], PO[[#This Row],[Due date (dd/mm/yyyy)]])</f>
        <v>0</v>
      </c>
      <c r="U686" s="46">
        <f t="shared" si="10"/>
        <v>52</v>
      </c>
    </row>
    <row r="687" spans="3:21" x14ac:dyDescent="0.25">
      <c r="C687" s="24"/>
      <c r="D687" s="20"/>
      <c r="E687" s="4"/>
      <c r="F687" s="37"/>
      <c r="G687" s="38"/>
      <c r="H687" s="31">
        <f>_xlfn.XLOOKUP(PO[[#This Row],[Supplier name]], Supplier_master[Supplier name], Supplier_master[Category L1], 0)</f>
        <v>0</v>
      </c>
      <c r="I687" s="31">
        <f>_xlfn.XLOOKUP(PO[[#This Row],[Supplier name]], Supplier_master[Supplier name], Supplier_master[Category L2], 0)</f>
        <v>0</v>
      </c>
      <c r="J687" s="55"/>
      <c r="K687" s="55"/>
      <c r="L687" s="31">
        <f>IF(PO[[#This Row],[Spend category L1 - Override]] &lt;&gt; "", PO[[#This Row],[Spend category L1 - Override]], PO[[#This Row],[Spend category L1]])</f>
        <v>0</v>
      </c>
      <c r="M687" s="31">
        <f>IF(PO[[#This Row],[Spend category L2 - Override]] &lt;&gt; "", PO[[#This Row],[Spend category L2 - Override]], PO[[#This Row],[Spend category L2]])</f>
        <v>0</v>
      </c>
      <c r="N687" s="63">
        <f>Assumptions!$D$15</f>
        <v>0.1</v>
      </c>
      <c r="O687" s="45">
        <f>IF(PO[[#This Row],[GST applies?]] = "Yes", (PO[[#This Row],[Value inc. GST]] / 1 + PO[[#This Row],[GST %]]) * PO[[#This Row],[GST %]], 0)</f>
        <v>0</v>
      </c>
      <c r="P687" s="31">
        <f>_xlfn.XLOOKUP(PO[[#This Row],[Supplier name]], Supplier_master[Supplier name], Supplier_master[EOM or Net], 0)</f>
        <v>0</v>
      </c>
      <c r="Q687" s="31">
        <f>_xlfn.XLOOKUP(PO[[#This Row],[Supplier name]], Supplier_master[Supplier name], Supplier_master[Terms days], 0)</f>
        <v>0</v>
      </c>
      <c r="R6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7" s="4"/>
      <c r="T687" s="46">
        <f>IF(PO[[#This Row],[Payment date - override (dd/mm/yyyy)]] &lt;&gt; "", PO[[#This Row],[Payment date - override (dd/mm/yyyy)]], PO[[#This Row],[Due date (dd/mm/yyyy)]])</f>
        <v>0</v>
      </c>
      <c r="U687" s="46">
        <f t="shared" si="10"/>
        <v>52</v>
      </c>
    </row>
    <row r="688" spans="3:21" x14ac:dyDescent="0.25">
      <c r="C688" s="24"/>
      <c r="D688" s="20"/>
      <c r="E688" s="4"/>
      <c r="F688" s="37"/>
      <c r="G688" s="38"/>
      <c r="H688" s="31">
        <f>_xlfn.XLOOKUP(PO[[#This Row],[Supplier name]], Supplier_master[Supplier name], Supplier_master[Category L1], 0)</f>
        <v>0</v>
      </c>
      <c r="I688" s="31">
        <f>_xlfn.XLOOKUP(PO[[#This Row],[Supplier name]], Supplier_master[Supplier name], Supplier_master[Category L2], 0)</f>
        <v>0</v>
      </c>
      <c r="J688" s="55"/>
      <c r="K688" s="55"/>
      <c r="L688" s="31">
        <f>IF(PO[[#This Row],[Spend category L1 - Override]] &lt;&gt; "", PO[[#This Row],[Spend category L1 - Override]], PO[[#This Row],[Spend category L1]])</f>
        <v>0</v>
      </c>
      <c r="M688" s="31">
        <f>IF(PO[[#This Row],[Spend category L2 - Override]] &lt;&gt; "", PO[[#This Row],[Spend category L2 - Override]], PO[[#This Row],[Spend category L2]])</f>
        <v>0</v>
      </c>
      <c r="N688" s="63">
        <f>Assumptions!$D$15</f>
        <v>0.1</v>
      </c>
      <c r="O688" s="45">
        <f>IF(PO[[#This Row],[GST applies?]] = "Yes", (PO[[#This Row],[Value inc. GST]] / 1 + PO[[#This Row],[GST %]]) * PO[[#This Row],[GST %]], 0)</f>
        <v>0</v>
      </c>
      <c r="P688" s="31">
        <f>_xlfn.XLOOKUP(PO[[#This Row],[Supplier name]], Supplier_master[Supplier name], Supplier_master[EOM or Net], 0)</f>
        <v>0</v>
      </c>
      <c r="Q688" s="31">
        <f>_xlfn.XLOOKUP(PO[[#This Row],[Supplier name]], Supplier_master[Supplier name], Supplier_master[Terms days], 0)</f>
        <v>0</v>
      </c>
      <c r="R6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8" s="4"/>
      <c r="T688" s="46">
        <f>IF(PO[[#This Row],[Payment date - override (dd/mm/yyyy)]] &lt;&gt; "", PO[[#This Row],[Payment date - override (dd/mm/yyyy)]], PO[[#This Row],[Due date (dd/mm/yyyy)]])</f>
        <v>0</v>
      </c>
      <c r="U688" s="46">
        <f t="shared" si="10"/>
        <v>52</v>
      </c>
    </row>
    <row r="689" spans="3:21" x14ac:dyDescent="0.25">
      <c r="C689" s="24"/>
      <c r="D689" s="20"/>
      <c r="E689" s="4"/>
      <c r="F689" s="37"/>
      <c r="G689" s="38"/>
      <c r="H689" s="31">
        <f>_xlfn.XLOOKUP(PO[[#This Row],[Supplier name]], Supplier_master[Supplier name], Supplier_master[Category L1], 0)</f>
        <v>0</v>
      </c>
      <c r="I689" s="31">
        <f>_xlfn.XLOOKUP(PO[[#This Row],[Supplier name]], Supplier_master[Supplier name], Supplier_master[Category L2], 0)</f>
        <v>0</v>
      </c>
      <c r="J689" s="55"/>
      <c r="K689" s="55"/>
      <c r="L689" s="31">
        <f>IF(PO[[#This Row],[Spend category L1 - Override]] &lt;&gt; "", PO[[#This Row],[Spend category L1 - Override]], PO[[#This Row],[Spend category L1]])</f>
        <v>0</v>
      </c>
      <c r="M689" s="31">
        <f>IF(PO[[#This Row],[Spend category L2 - Override]] &lt;&gt; "", PO[[#This Row],[Spend category L2 - Override]], PO[[#This Row],[Spend category L2]])</f>
        <v>0</v>
      </c>
      <c r="N689" s="63">
        <f>Assumptions!$D$15</f>
        <v>0.1</v>
      </c>
      <c r="O689" s="45">
        <f>IF(PO[[#This Row],[GST applies?]] = "Yes", (PO[[#This Row],[Value inc. GST]] / 1 + PO[[#This Row],[GST %]]) * PO[[#This Row],[GST %]], 0)</f>
        <v>0</v>
      </c>
      <c r="P689" s="31">
        <f>_xlfn.XLOOKUP(PO[[#This Row],[Supplier name]], Supplier_master[Supplier name], Supplier_master[EOM or Net], 0)</f>
        <v>0</v>
      </c>
      <c r="Q689" s="31">
        <f>_xlfn.XLOOKUP(PO[[#This Row],[Supplier name]], Supplier_master[Supplier name], Supplier_master[Terms days], 0)</f>
        <v>0</v>
      </c>
      <c r="R6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9" s="4"/>
      <c r="T689" s="46">
        <f>IF(PO[[#This Row],[Payment date - override (dd/mm/yyyy)]] &lt;&gt; "", PO[[#This Row],[Payment date - override (dd/mm/yyyy)]], PO[[#This Row],[Due date (dd/mm/yyyy)]])</f>
        <v>0</v>
      </c>
      <c r="U689" s="46">
        <f t="shared" si="10"/>
        <v>52</v>
      </c>
    </row>
    <row r="690" spans="3:21" x14ac:dyDescent="0.25">
      <c r="C690" s="24"/>
      <c r="D690" s="20"/>
      <c r="E690" s="4"/>
      <c r="F690" s="37"/>
      <c r="G690" s="38"/>
      <c r="H690" s="31">
        <f>_xlfn.XLOOKUP(PO[[#This Row],[Supplier name]], Supplier_master[Supplier name], Supplier_master[Category L1], 0)</f>
        <v>0</v>
      </c>
      <c r="I690" s="31">
        <f>_xlfn.XLOOKUP(PO[[#This Row],[Supplier name]], Supplier_master[Supplier name], Supplier_master[Category L2], 0)</f>
        <v>0</v>
      </c>
      <c r="J690" s="55"/>
      <c r="K690" s="55"/>
      <c r="L690" s="31">
        <f>IF(PO[[#This Row],[Spend category L1 - Override]] &lt;&gt; "", PO[[#This Row],[Spend category L1 - Override]], PO[[#This Row],[Spend category L1]])</f>
        <v>0</v>
      </c>
      <c r="M690" s="31">
        <f>IF(PO[[#This Row],[Spend category L2 - Override]] &lt;&gt; "", PO[[#This Row],[Spend category L2 - Override]], PO[[#This Row],[Spend category L2]])</f>
        <v>0</v>
      </c>
      <c r="N690" s="63">
        <f>Assumptions!$D$15</f>
        <v>0.1</v>
      </c>
      <c r="O690" s="45">
        <f>IF(PO[[#This Row],[GST applies?]] = "Yes", (PO[[#This Row],[Value inc. GST]] / 1 + PO[[#This Row],[GST %]]) * PO[[#This Row],[GST %]], 0)</f>
        <v>0</v>
      </c>
      <c r="P690" s="31">
        <f>_xlfn.XLOOKUP(PO[[#This Row],[Supplier name]], Supplier_master[Supplier name], Supplier_master[EOM or Net], 0)</f>
        <v>0</v>
      </c>
      <c r="Q690" s="31">
        <f>_xlfn.XLOOKUP(PO[[#This Row],[Supplier name]], Supplier_master[Supplier name], Supplier_master[Terms days], 0)</f>
        <v>0</v>
      </c>
      <c r="R6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0" s="4"/>
      <c r="T690" s="46">
        <f>IF(PO[[#This Row],[Payment date - override (dd/mm/yyyy)]] &lt;&gt; "", PO[[#This Row],[Payment date - override (dd/mm/yyyy)]], PO[[#This Row],[Due date (dd/mm/yyyy)]])</f>
        <v>0</v>
      </c>
      <c r="U690" s="46">
        <f t="shared" si="10"/>
        <v>52</v>
      </c>
    </row>
    <row r="691" spans="3:21" x14ac:dyDescent="0.25">
      <c r="C691" s="24"/>
      <c r="D691" s="20"/>
      <c r="E691" s="4"/>
      <c r="F691" s="37"/>
      <c r="G691" s="38"/>
      <c r="H691" s="31">
        <f>_xlfn.XLOOKUP(PO[[#This Row],[Supplier name]], Supplier_master[Supplier name], Supplier_master[Category L1], 0)</f>
        <v>0</v>
      </c>
      <c r="I691" s="31">
        <f>_xlfn.XLOOKUP(PO[[#This Row],[Supplier name]], Supplier_master[Supplier name], Supplier_master[Category L2], 0)</f>
        <v>0</v>
      </c>
      <c r="J691" s="55"/>
      <c r="K691" s="55"/>
      <c r="L691" s="31">
        <f>IF(PO[[#This Row],[Spend category L1 - Override]] &lt;&gt; "", PO[[#This Row],[Spend category L1 - Override]], PO[[#This Row],[Spend category L1]])</f>
        <v>0</v>
      </c>
      <c r="M691" s="31">
        <f>IF(PO[[#This Row],[Spend category L2 - Override]] &lt;&gt; "", PO[[#This Row],[Spend category L2 - Override]], PO[[#This Row],[Spend category L2]])</f>
        <v>0</v>
      </c>
      <c r="N691" s="63">
        <f>Assumptions!$D$15</f>
        <v>0.1</v>
      </c>
      <c r="O691" s="45">
        <f>IF(PO[[#This Row],[GST applies?]] = "Yes", (PO[[#This Row],[Value inc. GST]] / 1 + PO[[#This Row],[GST %]]) * PO[[#This Row],[GST %]], 0)</f>
        <v>0</v>
      </c>
      <c r="P691" s="31">
        <f>_xlfn.XLOOKUP(PO[[#This Row],[Supplier name]], Supplier_master[Supplier name], Supplier_master[EOM or Net], 0)</f>
        <v>0</v>
      </c>
      <c r="Q691" s="31">
        <f>_xlfn.XLOOKUP(PO[[#This Row],[Supplier name]], Supplier_master[Supplier name], Supplier_master[Terms days], 0)</f>
        <v>0</v>
      </c>
      <c r="R6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1" s="4"/>
      <c r="T691" s="46">
        <f>IF(PO[[#This Row],[Payment date - override (dd/mm/yyyy)]] &lt;&gt; "", PO[[#This Row],[Payment date - override (dd/mm/yyyy)]], PO[[#This Row],[Due date (dd/mm/yyyy)]])</f>
        <v>0</v>
      </c>
      <c r="U691" s="46">
        <f t="shared" si="10"/>
        <v>52</v>
      </c>
    </row>
    <row r="692" spans="3:21" x14ac:dyDescent="0.25">
      <c r="C692" s="24"/>
      <c r="D692" s="20"/>
      <c r="E692" s="4"/>
      <c r="F692" s="37"/>
      <c r="G692" s="38"/>
      <c r="H692" s="31">
        <f>_xlfn.XLOOKUP(PO[[#This Row],[Supplier name]], Supplier_master[Supplier name], Supplier_master[Category L1], 0)</f>
        <v>0</v>
      </c>
      <c r="I692" s="31">
        <f>_xlfn.XLOOKUP(PO[[#This Row],[Supplier name]], Supplier_master[Supplier name], Supplier_master[Category L2], 0)</f>
        <v>0</v>
      </c>
      <c r="J692" s="55"/>
      <c r="K692" s="55"/>
      <c r="L692" s="31">
        <f>IF(PO[[#This Row],[Spend category L1 - Override]] &lt;&gt; "", PO[[#This Row],[Spend category L1 - Override]], PO[[#This Row],[Spend category L1]])</f>
        <v>0</v>
      </c>
      <c r="M692" s="31">
        <f>IF(PO[[#This Row],[Spend category L2 - Override]] &lt;&gt; "", PO[[#This Row],[Spend category L2 - Override]], PO[[#This Row],[Spend category L2]])</f>
        <v>0</v>
      </c>
      <c r="N692" s="63">
        <f>Assumptions!$D$15</f>
        <v>0.1</v>
      </c>
      <c r="O692" s="45">
        <f>IF(PO[[#This Row],[GST applies?]] = "Yes", (PO[[#This Row],[Value inc. GST]] / 1 + PO[[#This Row],[GST %]]) * PO[[#This Row],[GST %]], 0)</f>
        <v>0</v>
      </c>
      <c r="P692" s="31">
        <f>_xlfn.XLOOKUP(PO[[#This Row],[Supplier name]], Supplier_master[Supplier name], Supplier_master[EOM or Net], 0)</f>
        <v>0</v>
      </c>
      <c r="Q692" s="31">
        <f>_xlfn.XLOOKUP(PO[[#This Row],[Supplier name]], Supplier_master[Supplier name], Supplier_master[Terms days], 0)</f>
        <v>0</v>
      </c>
      <c r="R6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2" s="4"/>
      <c r="T692" s="46">
        <f>IF(PO[[#This Row],[Payment date - override (dd/mm/yyyy)]] &lt;&gt; "", PO[[#This Row],[Payment date - override (dd/mm/yyyy)]], PO[[#This Row],[Due date (dd/mm/yyyy)]])</f>
        <v>0</v>
      </c>
      <c r="U692" s="46">
        <f t="shared" si="10"/>
        <v>52</v>
      </c>
    </row>
    <row r="693" spans="3:21" x14ac:dyDescent="0.25">
      <c r="C693" s="24"/>
      <c r="D693" s="20"/>
      <c r="E693" s="4"/>
      <c r="F693" s="37"/>
      <c r="G693" s="38"/>
      <c r="H693" s="31">
        <f>_xlfn.XLOOKUP(PO[[#This Row],[Supplier name]], Supplier_master[Supplier name], Supplier_master[Category L1], 0)</f>
        <v>0</v>
      </c>
      <c r="I693" s="31">
        <f>_xlfn.XLOOKUP(PO[[#This Row],[Supplier name]], Supplier_master[Supplier name], Supplier_master[Category L2], 0)</f>
        <v>0</v>
      </c>
      <c r="J693" s="55"/>
      <c r="K693" s="55"/>
      <c r="L693" s="31">
        <f>IF(PO[[#This Row],[Spend category L1 - Override]] &lt;&gt; "", PO[[#This Row],[Spend category L1 - Override]], PO[[#This Row],[Spend category L1]])</f>
        <v>0</v>
      </c>
      <c r="M693" s="31">
        <f>IF(PO[[#This Row],[Spend category L2 - Override]] &lt;&gt; "", PO[[#This Row],[Spend category L2 - Override]], PO[[#This Row],[Spend category L2]])</f>
        <v>0</v>
      </c>
      <c r="N693" s="63">
        <f>Assumptions!$D$15</f>
        <v>0.1</v>
      </c>
      <c r="O693" s="45">
        <f>IF(PO[[#This Row],[GST applies?]] = "Yes", (PO[[#This Row],[Value inc. GST]] / 1 + PO[[#This Row],[GST %]]) * PO[[#This Row],[GST %]], 0)</f>
        <v>0</v>
      </c>
      <c r="P693" s="31">
        <f>_xlfn.XLOOKUP(PO[[#This Row],[Supplier name]], Supplier_master[Supplier name], Supplier_master[EOM or Net], 0)</f>
        <v>0</v>
      </c>
      <c r="Q693" s="31">
        <f>_xlfn.XLOOKUP(PO[[#This Row],[Supplier name]], Supplier_master[Supplier name], Supplier_master[Terms days], 0)</f>
        <v>0</v>
      </c>
      <c r="R6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3" s="4"/>
      <c r="T693" s="46">
        <f>IF(PO[[#This Row],[Payment date - override (dd/mm/yyyy)]] &lt;&gt; "", PO[[#This Row],[Payment date - override (dd/mm/yyyy)]], PO[[#This Row],[Due date (dd/mm/yyyy)]])</f>
        <v>0</v>
      </c>
      <c r="U693" s="46">
        <f t="shared" si="10"/>
        <v>52</v>
      </c>
    </row>
    <row r="694" spans="3:21" x14ac:dyDescent="0.25">
      <c r="C694" s="24"/>
      <c r="D694" s="20"/>
      <c r="E694" s="4"/>
      <c r="F694" s="37"/>
      <c r="G694" s="38"/>
      <c r="H694" s="31">
        <f>_xlfn.XLOOKUP(PO[[#This Row],[Supplier name]], Supplier_master[Supplier name], Supplier_master[Category L1], 0)</f>
        <v>0</v>
      </c>
      <c r="I694" s="31">
        <f>_xlfn.XLOOKUP(PO[[#This Row],[Supplier name]], Supplier_master[Supplier name], Supplier_master[Category L2], 0)</f>
        <v>0</v>
      </c>
      <c r="J694" s="55"/>
      <c r="K694" s="55"/>
      <c r="L694" s="31">
        <f>IF(PO[[#This Row],[Spend category L1 - Override]] &lt;&gt; "", PO[[#This Row],[Spend category L1 - Override]], PO[[#This Row],[Spend category L1]])</f>
        <v>0</v>
      </c>
      <c r="M694" s="31">
        <f>IF(PO[[#This Row],[Spend category L2 - Override]] &lt;&gt; "", PO[[#This Row],[Spend category L2 - Override]], PO[[#This Row],[Spend category L2]])</f>
        <v>0</v>
      </c>
      <c r="N694" s="63">
        <f>Assumptions!$D$15</f>
        <v>0.1</v>
      </c>
      <c r="O694" s="45">
        <f>IF(PO[[#This Row],[GST applies?]] = "Yes", (PO[[#This Row],[Value inc. GST]] / 1 + PO[[#This Row],[GST %]]) * PO[[#This Row],[GST %]], 0)</f>
        <v>0</v>
      </c>
      <c r="P694" s="31">
        <f>_xlfn.XLOOKUP(PO[[#This Row],[Supplier name]], Supplier_master[Supplier name], Supplier_master[EOM or Net], 0)</f>
        <v>0</v>
      </c>
      <c r="Q694" s="31">
        <f>_xlfn.XLOOKUP(PO[[#This Row],[Supplier name]], Supplier_master[Supplier name], Supplier_master[Terms days], 0)</f>
        <v>0</v>
      </c>
      <c r="R6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4" s="4"/>
      <c r="T694" s="46">
        <f>IF(PO[[#This Row],[Payment date - override (dd/mm/yyyy)]] &lt;&gt; "", PO[[#This Row],[Payment date - override (dd/mm/yyyy)]], PO[[#This Row],[Due date (dd/mm/yyyy)]])</f>
        <v>0</v>
      </c>
      <c r="U694" s="46">
        <f t="shared" si="10"/>
        <v>52</v>
      </c>
    </row>
    <row r="695" spans="3:21" x14ac:dyDescent="0.25">
      <c r="C695" s="24"/>
      <c r="D695" s="20"/>
      <c r="E695" s="4"/>
      <c r="F695" s="37"/>
      <c r="G695" s="38"/>
      <c r="H695" s="31">
        <f>_xlfn.XLOOKUP(PO[[#This Row],[Supplier name]], Supplier_master[Supplier name], Supplier_master[Category L1], 0)</f>
        <v>0</v>
      </c>
      <c r="I695" s="31">
        <f>_xlfn.XLOOKUP(PO[[#This Row],[Supplier name]], Supplier_master[Supplier name], Supplier_master[Category L2], 0)</f>
        <v>0</v>
      </c>
      <c r="J695" s="55"/>
      <c r="K695" s="55"/>
      <c r="L695" s="31">
        <f>IF(PO[[#This Row],[Spend category L1 - Override]] &lt;&gt; "", PO[[#This Row],[Spend category L1 - Override]], PO[[#This Row],[Spend category L1]])</f>
        <v>0</v>
      </c>
      <c r="M695" s="31">
        <f>IF(PO[[#This Row],[Spend category L2 - Override]] &lt;&gt; "", PO[[#This Row],[Spend category L2 - Override]], PO[[#This Row],[Spend category L2]])</f>
        <v>0</v>
      </c>
      <c r="N695" s="63">
        <f>Assumptions!$D$15</f>
        <v>0.1</v>
      </c>
      <c r="O695" s="45">
        <f>IF(PO[[#This Row],[GST applies?]] = "Yes", (PO[[#This Row],[Value inc. GST]] / 1 + PO[[#This Row],[GST %]]) * PO[[#This Row],[GST %]], 0)</f>
        <v>0</v>
      </c>
      <c r="P695" s="31">
        <f>_xlfn.XLOOKUP(PO[[#This Row],[Supplier name]], Supplier_master[Supplier name], Supplier_master[EOM or Net], 0)</f>
        <v>0</v>
      </c>
      <c r="Q695" s="31">
        <f>_xlfn.XLOOKUP(PO[[#This Row],[Supplier name]], Supplier_master[Supplier name], Supplier_master[Terms days], 0)</f>
        <v>0</v>
      </c>
      <c r="R6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5" s="4"/>
      <c r="T695" s="46">
        <f>IF(PO[[#This Row],[Payment date - override (dd/mm/yyyy)]] &lt;&gt; "", PO[[#This Row],[Payment date - override (dd/mm/yyyy)]], PO[[#This Row],[Due date (dd/mm/yyyy)]])</f>
        <v>0</v>
      </c>
      <c r="U695" s="46">
        <f t="shared" si="10"/>
        <v>52</v>
      </c>
    </row>
    <row r="696" spans="3:21" x14ac:dyDescent="0.25">
      <c r="C696" s="24"/>
      <c r="D696" s="20"/>
      <c r="E696" s="4"/>
      <c r="F696" s="37"/>
      <c r="G696" s="38"/>
      <c r="H696" s="31">
        <f>_xlfn.XLOOKUP(PO[[#This Row],[Supplier name]], Supplier_master[Supplier name], Supplier_master[Category L1], 0)</f>
        <v>0</v>
      </c>
      <c r="I696" s="31">
        <f>_xlfn.XLOOKUP(PO[[#This Row],[Supplier name]], Supplier_master[Supplier name], Supplier_master[Category L2], 0)</f>
        <v>0</v>
      </c>
      <c r="J696" s="55"/>
      <c r="K696" s="55"/>
      <c r="L696" s="31">
        <f>IF(PO[[#This Row],[Spend category L1 - Override]] &lt;&gt; "", PO[[#This Row],[Spend category L1 - Override]], PO[[#This Row],[Spend category L1]])</f>
        <v>0</v>
      </c>
      <c r="M696" s="31">
        <f>IF(PO[[#This Row],[Spend category L2 - Override]] &lt;&gt; "", PO[[#This Row],[Spend category L2 - Override]], PO[[#This Row],[Spend category L2]])</f>
        <v>0</v>
      </c>
      <c r="N696" s="63">
        <f>Assumptions!$D$15</f>
        <v>0.1</v>
      </c>
      <c r="O696" s="45">
        <f>IF(PO[[#This Row],[GST applies?]] = "Yes", (PO[[#This Row],[Value inc. GST]] / 1 + PO[[#This Row],[GST %]]) * PO[[#This Row],[GST %]], 0)</f>
        <v>0</v>
      </c>
      <c r="P696" s="31">
        <f>_xlfn.XLOOKUP(PO[[#This Row],[Supplier name]], Supplier_master[Supplier name], Supplier_master[EOM or Net], 0)</f>
        <v>0</v>
      </c>
      <c r="Q696" s="31">
        <f>_xlfn.XLOOKUP(PO[[#This Row],[Supplier name]], Supplier_master[Supplier name], Supplier_master[Terms days], 0)</f>
        <v>0</v>
      </c>
      <c r="R6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6" s="4"/>
      <c r="T696" s="46">
        <f>IF(PO[[#This Row],[Payment date - override (dd/mm/yyyy)]] &lt;&gt; "", PO[[#This Row],[Payment date - override (dd/mm/yyyy)]], PO[[#This Row],[Due date (dd/mm/yyyy)]])</f>
        <v>0</v>
      </c>
      <c r="U696" s="46">
        <f t="shared" si="10"/>
        <v>52</v>
      </c>
    </row>
    <row r="697" spans="3:21" x14ac:dyDescent="0.25">
      <c r="C697" s="24"/>
      <c r="D697" s="20"/>
      <c r="E697" s="4"/>
      <c r="F697" s="37"/>
      <c r="G697" s="38"/>
      <c r="H697" s="31">
        <f>_xlfn.XLOOKUP(PO[[#This Row],[Supplier name]], Supplier_master[Supplier name], Supplier_master[Category L1], 0)</f>
        <v>0</v>
      </c>
      <c r="I697" s="31">
        <f>_xlfn.XLOOKUP(PO[[#This Row],[Supplier name]], Supplier_master[Supplier name], Supplier_master[Category L2], 0)</f>
        <v>0</v>
      </c>
      <c r="J697" s="55"/>
      <c r="K697" s="55"/>
      <c r="L697" s="31">
        <f>IF(PO[[#This Row],[Spend category L1 - Override]] &lt;&gt; "", PO[[#This Row],[Spend category L1 - Override]], PO[[#This Row],[Spend category L1]])</f>
        <v>0</v>
      </c>
      <c r="M697" s="31">
        <f>IF(PO[[#This Row],[Spend category L2 - Override]] &lt;&gt; "", PO[[#This Row],[Spend category L2 - Override]], PO[[#This Row],[Spend category L2]])</f>
        <v>0</v>
      </c>
      <c r="N697" s="63">
        <f>Assumptions!$D$15</f>
        <v>0.1</v>
      </c>
      <c r="O697" s="45">
        <f>IF(PO[[#This Row],[GST applies?]] = "Yes", (PO[[#This Row],[Value inc. GST]] / 1 + PO[[#This Row],[GST %]]) * PO[[#This Row],[GST %]], 0)</f>
        <v>0</v>
      </c>
      <c r="P697" s="31">
        <f>_xlfn.XLOOKUP(PO[[#This Row],[Supplier name]], Supplier_master[Supplier name], Supplier_master[EOM or Net], 0)</f>
        <v>0</v>
      </c>
      <c r="Q697" s="31">
        <f>_xlfn.XLOOKUP(PO[[#This Row],[Supplier name]], Supplier_master[Supplier name], Supplier_master[Terms days], 0)</f>
        <v>0</v>
      </c>
      <c r="R6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7" s="4"/>
      <c r="T697" s="46">
        <f>IF(PO[[#This Row],[Payment date - override (dd/mm/yyyy)]] &lt;&gt; "", PO[[#This Row],[Payment date - override (dd/mm/yyyy)]], PO[[#This Row],[Due date (dd/mm/yyyy)]])</f>
        <v>0</v>
      </c>
      <c r="U697" s="46">
        <f t="shared" si="10"/>
        <v>52</v>
      </c>
    </row>
    <row r="698" spans="3:21" x14ac:dyDescent="0.25">
      <c r="C698" s="24"/>
      <c r="D698" s="20"/>
      <c r="E698" s="4"/>
      <c r="F698" s="37"/>
      <c r="G698" s="38"/>
      <c r="H698" s="31">
        <f>_xlfn.XLOOKUP(PO[[#This Row],[Supplier name]], Supplier_master[Supplier name], Supplier_master[Category L1], 0)</f>
        <v>0</v>
      </c>
      <c r="I698" s="31">
        <f>_xlfn.XLOOKUP(PO[[#This Row],[Supplier name]], Supplier_master[Supplier name], Supplier_master[Category L2], 0)</f>
        <v>0</v>
      </c>
      <c r="J698" s="55"/>
      <c r="K698" s="55"/>
      <c r="L698" s="31">
        <f>IF(PO[[#This Row],[Spend category L1 - Override]] &lt;&gt; "", PO[[#This Row],[Spend category L1 - Override]], PO[[#This Row],[Spend category L1]])</f>
        <v>0</v>
      </c>
      <c r="M698" s="31">
        <f>IF(PO[[#This Row],[Spend category L2 - Override]] &lt;&gt; "", PO[[#This Row],[Spend category L2 - Override]], PO[[#This Row],[Spend category L2]])</f>
        <v>0</v>
      </c>
      <c r="N698" s="63">
        <f>Assumptions!$D$15</f>
        <v>0.1</v>
      </c>
      <c r="O698" s="45">
        <f>IF(PO[[#This Row],[GST applies?]] = "Yes", (PO[[#This Row],[Value inc. GST]] / 1 + PO[[#This Row],[GST %]]) * PO[[#This Row],[GST %]], 0)</f>
        <v>0</v>
      </c>
      <c r="P698" s="31">
        <f>_xlfn.XLOOKUP(PO[[#This Row],[Supplier name]], Supplier_master[Supplier name], Supplier_master[EOM or Net], 0)</f>
        <v>0</v>
      </c>
      <c r="Q698" s="31">
        <f>_xlfn.XLOOKUP(PO[[#This Row],[Supplier name]], Supplier_master[Supplier name], Supplier_master[Terms days], 0)</f>
        <v>0</v>
      </c>
      <c r="R6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8" s="4"/>
      <c r="T698" s="46">
        <f>IF(PO[[#This Row],[Payment date - override (dd/mm/yyyy)]] &lt;&gt; "", PO[[#This Row],[Payment date - override (dd/mm/yyyy)]], PO[[#This Row],[Due date (dd/mm/yyyy)]])</f>
        <v>0</v>
      </c>
      <c r="U698" s="46">
        <f t="shared" si="10"/>
        <v>52</v>
      </c>
    </row>
    <row r="699" spans="3:21" x14ac:dyDescent="0.25">
      <c r="C699" s="24"/>
      <c r="D699" s="20"/>
      <c r="E699" s="4"/>
      <c r="F699" s="37"/>
      <c r="G699" s="38"/>
      <c r="H699" s="31">
        <f>_xlfn.XLOOKUP(PO[[#This Row],[Supplier name]], Supplier_master[Supplier name], Supplier_master[Category L1], 0)</f>
        <v>0</v>
      </c>
      <c r="I699" s="31">
        <f>_xlfn.XLOOKUP(PO[[#This Row],[Supplier name]], Supplier_master[Supplier name], Supplier_master[Category L2], 0)</f>
        <v>0</v>
      </c>
      <c r="J699" s="55"/>
      <c r="K699" s="55"/>
      <c r="L699" s="31">
        <f>IF(PO[[#This Row],[Spend category L1 - Override]] &lt;&gt; "", PO[[#This Row],[Spend category L1 - Override]], PO[[#This Row],[Spend category L1]])</f>
        <v>0</v>
      </c>
      <c r="M699" s="31">
        <f>IF(PO[[#This Row],[Spend category L2 - Override]] &lt;&gt; "", PO[[#This Row],[Spend category L2 - Override]], PO[[#This Row],[Spend category L2]])</f>
        <v>0</v>
      </c>
      <c r="N699" s="63">
        <f>Assumptions!$D$15</f>
        <v>0.1</v>
      </c>
      <c r="O699" s="45">
        <f>IF(PO[[#This Row],[GST applies?]] = "Yes", (PO[[#This Row],[Value inc. GST]] / 1 + PO[[#This Row],[GST %]]) * PO[[#This Row],[GST %]], 0)</f>
        <v>0</v>
      </c>
      <c r="P699" s="31">
        <f>_xlfn.XLOOKUP(PO[[#This Row],[Supplier name]], Supplier_master[Supplier name], Supplier_master[EOM or Net], 0)</f>
        <v>0</v>
      </c>
      <c r="Q699" s="31">
        <f>_xlfn.XLOOKUP(PO[[#This Row],[Supplier name]], Supplier_master[Supplier name], Supplier_master[Terms days], 0)</f>
        <v>0</v>
      </c>
      <c r="R6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9" s="4"/>
      <c r="T699" s="46">
        <f>IF(PO[[#This Row],[Payment date - override (dd/mm/yyyy)]] &lt;&gt; "", PO[[#This Row],[Payment date - override (dd/mm/yyyy)]], PO[[#This Row],[Due date (dd/mm/yyyy)]])</f>
        <v>0</v>
      </c>
      <c r="U699" s="46">
        <f t="shared" si="10"/>
        <v>52</v>
      </c>
    </row>
    <row r="700" spans="3:21" x14ac:dyDescent="0.25">
      <c r="C700" s="24"/>
      <c r="D700" s="20"/>
      <c r="E700" s="4"/>
      <c r="F700" s="37"/>
      <c r="G700" s="38"/>
      <c r="H700" s="31">
        <f>_xlfn.XLOOKUP(PO[[#This Row],[Supplier name]], Supplier_master[Supplier name], Supplier_master[Category L1], 0)</f>
        <v>0</v>
      </c>
      <c r="I700" s="31">
        <f>_xlfn.XLOOKUP(PO[[#This Row],[Supplier name]], Supplier_master[Supplier name], Supplier_master[Category L2], 0)</f>
        <v>0</v>
      </c>
      <c r="J700" s="55"/>
      <c r="K700" s="55"/>
      <c r="L700" s="31">
        <f>IF(PO[[#This Row],[Spend category L1 - Override]] &lt;&gt; "", PO[[#This Row],[Spend category L1 - Override]], PO[[#This Row],[Spend category L1]])</f>
        <v>0</v>
      </c>
      <c r="M700" s="31">
        <f>IF(PO[[#This Row],[Spend category L2 - Override]] &lt;&gt; "", PO[[#This Row],[Spend category L2 - Override]], PO[[#This Row],[Spend category L2]])</f>
        <v>0</v>
      </c>
      <c r="N700" s="63">
        <f>Assumptions!$D$15</f>
        <v>0.1</v>
      </c>
      <c r="O700" s="45">
        <f>IF(PO[[#This Row],[GST applies?]] = "Yes", (PO[[#This Row],[Value inc. GST]] / 1 + PO[[#This Row],[GST %]]) * PO[[#This Row],[GST %]], 0)</f>
        <v>0</v>
      </c>
      <c r="P700" s="31">
        <f>_xlfn.XLOOKUP(PO[[#This Row],[Supplier name]], Supplier_master[Supplier name], Supplier_master[EOM or Net], 0)</f>
        <v>0</v>
      </c>
      <c r="Q700" s="31">
        <f>_xlfn.XLOOKUP(PO[[#This Row],[Supplier name]], Supplier_master[Supplier name], Supplier_master[Terms days], 0)</f>
        <v>0</v>
      </c>
      <c r="R7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0" s="4"/>
      <c r="T700" s="46">
        <f>IF(PO[[#This Row],[Payment date - override (dd/mm/yyyy)]] &lt;&gt; "", PO[[#This Row],[Payment date - override (dd/mm/yyyy)]], PO[[#This Row],[Due date (dd/mm/yyyy)]])</f>
        <v>0</v>
      </c>
      <c r="U700" s="46">
        <f t="shared" si="10"/>
        <v>52</v>
      </c>
    </row>
    <row r="701" spans="3:21" x14ac:dyDescent="0.25">
      <c r="C701" s="24"/>
      <c r="D701" s="20"/>
      <c r="E701" s="4"/>
      <c r="F701" s="37"/>
      <c r="G701" s="38"/>
      <c r="H701" s="31">
        <f>_xlfn.XLOOKUP(PO[[#This Row],[Supplier name]], Supplier_master[Supplier name], Supplier_master[Category L1], 0)</f>
        <v>0</v>
      </c>
      <c r="I701" s="31">
        <f>_xlfn.XLOOKUP(PO[[#This Row],[Supplier name]], Supplier_master[Supplier name], Supplier_master[Category L2], 0)</f>
        <v>0</v>
      </c>
      <c r="J701" s="55"/>
      <c r="K701" s="55"/>
      <c r="L701" s="31">
        <f>IF(PO[[#This Row],[Spend category L1 - Override]] &lt;&gt; "", PO[[#This Row],[Spend category L1 - Override]], PO[[#This Row],[Spend category L1]])</f>
        <v>0</v>
      </c>
      <c r="M701" s="31">
        <f>IF(PO[[#This Row],[Spend category L2 - Override]] &lt;&gt; "", PO[[#This Row],[Spend category L2 - Override]], PO[[#This Row],[Spend category L2]])</f>
        <v>0</v>
      </c>
      <c r="N701" s="63">
        <f>Assumptions!$D$15</f>
        <v>0.1</v>
      </c>
      <c r="O701" s="45">
        <f>IF(PO[[#This Row],[GST applies?]] = "Yes", (PO[[#This Row],[Value inc. GST]] / 1 + PO[[#This Row],[GST %]]) * PO[[#This Row],[GST %]], 0)</f>
        <v>0</v>
      </c>
      <c r="P701" s="31">
        <f>_xlfn.XLOOKUP(PO[[#This Row],[Supplier name]], Supplier_master[Supplier name], Supplier_master[EOM or Net], 0)</f>
        <v>0</v>
      </c>
      <c r="Q701" s="31">
        <f>_xlfn.XLOOKUP(PO[[#This Row],[Supplier name]], Supplier_master[Supplier name], Supplier_master[Terms days], 0)</f>
        <v>0</v>
      </c>
      <c r="R7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1" s="4"/>
      <c r="T701" s="46">
        <f>IF(PO[[#This Row],[Payment date - override (dd/mm/yyyy)]] &lt;&gt; "", PO[[#This Row],[Payment date - override (dd/mm/yyyy)]], PO[[#This Row],[Due date (dd/mm/yyyy)]])</f>
        <v>0</v>
      </c>
      <c r="U701" s="46">
        <f t="shared" si="10"/>
        <v>52</v>
      </c>
    </row>
    <row r="702" spans="3:21" x14ac:dyDescent="0.25">
      <c r="C702" s="24"/>
      <c r="D702" s="20"/>
      <c r="E702" s="4"/>
      <c r="F702" s="37"/>
      <c r="G702" s="38"/>
      <c r="H702" s="31">
        <f>_xlfn.XLOOKUP(PO[[#This Row],[Supplier name]], Supplier_master[Supplier name], Supplier_master[Category L1], 0)</f>
        <v>0</v>
      </c>
      <c r="I702" s="31">
        <f>_xlfn.XLOOKUP(PO[[#This Row],[Supplier name]], Supplier_master[Supplier name], Supplier_master[Category L2], 0)</f>
        <v>0</v>
      </c>
      <c r="J702" s="55"/>
      <c r="K702" s="55"/>
      <c r="L702" s="31">
        <f>IF(PO[[#This Row],[Spend category L1 - Override]] &lt;&gt; "", PO[[#This Row],[Spend category L1 - Override]], PO[[#This Row],[Spend category L1]])</f>
        <v>0</v>
      </c>
      <c r="M702" s="31">
        <f>IF(PO[[#This Row],[Spend category L2 - Override]] &lt;&gt; "", PO[[#This Row],[Spend category L2 - Override]], PO[[#This Row],[Spend category L2]])</f>
        <v>0</v>
      </c>
      <c r="N702" s="63">
        <f>Assumptions!$D$15</f>
        <v>0.1</v>
      </c>
      <c r="O702" s="45">
        <f>IF(PO[[#This Row],[GST applies?]] = "Yes", (PO[[#This Row],[Value inc. GST]] / 1 + PO[[#This Row],[GST %]]) * PO[[#This Row],[GST %]], 0)</f>
        <v>0</v>
      </c>
      <c r="P702" s="31">
        <f>_xlfn.XLOOKUP(PO[[#This Row],[Supplier name]], Supplier_master[Supplier name], Supplier_master[EOM or Net], 0)</f>
        <v>0</v>
      </c>
      <c r="Q702" s="31">
        <f>_xlfn.XLOOKUP(PO[[#This Row],[Supplier name]], Supplier_master[Supplier name], Supplier_master[Terms days], 0)</f>
        <v>0</v>
      </c>
      <c r="R7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2" s="4"/>
      <c r="T702" s="46">
        <f>IF(PO[[#This Row],[Payment date - override (dd/mm/yyyy)]] &lt;&gt; "", PO[[#This Row],[Payment date - override (dd/mm/yyyy)]], PO[[#This Row],[Due date (dd/mm/yyyy)]])</f>
        <v>0</v>
      </c>
      <c r="U702" s="46">
        <f t="shared" si="10"/>
        <v>52</v>
      </c>
    </row>
    <row r="703" spans="3:21" x14ac:dyDescent="0.25">
      <c r="C703" s="24"/>
      <c r="D703" s="20"/>
      <c r="E703" s="4"/>
      <c r="F703" s="37"/>
      <c r="G703" s="38"/>
      <c r="H703" s="31">
        <f>_xlfn.XLOOKUP(PO[[#This Row],[Supplier name]], Supplier_master[Supplier name], Supplier_master[Category L1], 0)</f>
        <v>0</v>
      </c>
      <c r="I703" s="31">
        <f>_xlfn.XLOOKUP(PO[[#This Row],[Supplier name]], Supplier_master[Supplier name], Supplier_master[Category L2], 0)</f>
        <v>0</v>
      </c>
      <c r="J703" s="55"/>
      <c r="K703" s="55"/>
      <c r="L703" s="31">
        <f>IF(PO[[#This Row],[Spend category L1 - Override]] &lt;&gt; "", PO[[#This Row],[Spend category L1 - Override]], PO[[#This Row],[Spend category L1]])</f>
        <v>0</v>
      </c>
      <c r="M703" s="31">
        <f>IF(PO[[#This Row],[Spend category L2 - Override]] &lt;&gt; "", PO[[#This Row],[Spend category L2 - Override]], PO[[#This Row],[Spend category L2]])</f>
        <v>0</v>
      </c>
      <c r="N703" s="63">
        <f>Assumptions!$D$15</f>
        <v>0.1</v>
      </c>
      <c r="O703" s="45">
        <f>IF(PO[[#This Row],[GST applies?]] = "Yes", (PO[[#This Row],[Value inc. GST]] / 1 + PO[[#This Row],[GST %]]) * PO[[#This Row],[GST %]], 0)</f>
        <v>0</v>
      </c>
      <c r="P703" s="31">
        <f>_xlfn.XLOOKUP(PO[[#This Row],[Supplier name]], Supplier_master[Supplier name], Supplier_master[EOM or Net], 0)</f>
        <v>0</v>
      </c>
      <c r="Q703" s="31">
        <f>_xlfn.XLOOKUP(PO[[#This Row],[Supplier name]], Supplier_master[Supplier name], Supplier_master[Terms days], 0)</f>
        <v>0</v>
      </c>
      <c r="R7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3" s="4"/>
      <c r="T703" s="46">
        <f>IF(PO[[#This Row],[Payment date - override (dd/mm/yyyy)]] &lt;&gt; "", PO[[#This Row],[Payment date - override (dd/mm/yyyy)]], PO[[#This Row],[Due date (dd/mm/yyyy)]])</f>
        <v>0</v>
      </c>
      <c r="U703" s="46">
        <f t="shared" si="10"/>
        <v>52</v>
      </c>
    </row>
    <row r="704" spans="3:21" x14ac:dyDescent="0.25">
      <c r="C704" s="24"/>
      <c r="D704" s="20"/>
      <c r="E704" s="4"/>
      <c r="F704" s="37"/>
      <c r="G704" s="38"/>
      <c r="H704" s="31">
        <f>_xlfn.XLOOKUP(PO[[#This Row],[Supplier name]], Supplier_master[Supplier name], Supplier_master[Category L1], 0)</f>
        <v>0</v>
      </c>
      <c r="I704" s="31">
        <f>_xlfn.XLOOKUP(PO[[#This Row],[Supplier name]], Supplier_master[Supplier name], Supplier_master[Category L2], 0)</f>
        <v>0</v>
      </c>
      <c r="J704" s="55"/>
      <c r="K704" s="55"/>
      <c r="L704" s="31">
        <f>IF(PO[[#This Row],[Spend category L1 - Override]] &lt;&gt; "", PO[[#This Row],[Spend category L1 - Override]], PO[[#This Row],[Spend category L1]])</f>
        <v>0</v>
      </c>
      <c r="M704" s="31">
        <f>IF(PO[[#This Row],[Spend category L2 - Override]] &lt;&gt; "", PO[[#This Row],[Spend category L2 - Override]], PO[[#This Row],[Spend category L2]])</f>
        <v>0</v>
      </c>
      <c r="N704" s="63">
        <f>Assumptions!$D$15</f>
        <v>0.1</v>
      </c>
      <c r="O704" s="45">
        <f>IF(PO[[#This Row],[GST applies?]] = "Yes", (PO[[#This Row],[Value inc. GST]] / 1 + PO[[#This Row],[GST %]]) * PO[[#This Row],[GST %]], 0)</f>
        <v>0</v>
      </c>
      <c r="P704" s="31">
        <f>_xlfn.XLOOKUP(PO[[#This Row],[Supplier name]], Supplier_master[Supplier name], Supplier_master[EOM or Net], 0)</f>
        <v>0</v>
      </c>
      <c r="Q704" s="31">
        <f>_xlfn.XLOOKUP(PO[[#This Row],[Supplier name]], Supplier_master[Supplier name], Supplier_master[Terms days], 0)</f>
        <v>0</v>
      </c>
      <c r="R7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4" s="4"/>
      <c r="T704" s="46">
        <f>IF(PO[[#This Row],[Payment date - override (dd/mm/yyyy)]] &lt;&gt; "", PO[[#This Row],[Payment date - override (dd/mm/yyyy)]], PO[[#This Row],[Due date (dd/mm/yyyy)]])</f>
        <v>0</v>
      </c>
      <c r="U704" s="46">
        <f t="shared" si="10"/>
        <v>52</v>
      </c>
    </row>
    <row r="705" spans="3:21" x14ac:dyDescent="0.25">
      <c r="C705" s="24"/>
      <c r="D705" s="20"/>
      <c r="E705" s="4"/>
      <c r="F705" s="37"/>
      <c r="G705" s="38"/>
      <c r="H705" s="31">
        <f>_xlfn.XLOOKUP(PO[[#This Row],[Supplier name]], Supplier_master[Supplier name], Supplier_master[Category L1], 0)</f>
        <v>0</v>
      </c>
      <c r="I705" s="31">
        <f>_xlfn.XLOOKUP(PO[[#This Row],[Supplier name]], Supplier_master[Supplier name], Supplier_master[Category L2], 0)</f>
        <v>0</v>
      </c>
      <c r="J705" s="55"/>
      <c r="K705" s="55"/>
      <c r="L705" s="31">
        <f>IF(PO[[#This Row],[Spend category L1 - Override]] &lt;&gt; "", PO[[#This Row],[Spend category L1 - Override]], PO[[#This Row],[Spend category L1]])</f>
        <v>0</v>
      </c>
      <c r="M705" s="31">
        <f>IF(PO[[#This Row],[Spend category L2 - Override]] &lt;&gt; "", PO[[#This Row],[Spend category L2 - Override]], PO[[#This Row],[Spend category L2]])</f>
        <v>0</v>
      </c>
      <c r="N705" s="63">
        <f>Assumptions!$D$15</f>
        <v>0.1</v>
      </c>
      <c r="O705" s="45">
        <f>IF(PO[[#This Row],[GST applies?]] = "Yes", (PO[[#This Row],[Value inc. GST]] / 1 + PO[[#This Row],[GST %]]) * PO[[#This Row],[GST %]], 0)</f>
        <v>0</v>
      </c>
      <c r="P705" s="31">
        <f>_xlfn.XLOOKUP(PO[[#This Row],[Supplier name]], Supplier_master[Supplier name], Supplier_master[EOM or Net], 0)</f>
        <v>0</v>
      </c>
      <c r="Q705" s="31">
        <f>_xlfn.XLOOKUP(PO[[#This Row],[Supplier name]], Supplier_master[Supplier name], Supplier_master[Terms days], 0)</f>
        <v>0</v>
      </c>
      <c r="R7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5" s="4"/>
      <c r="T705" s="46">
        <f>IF(PO[[#This Row],[Payment date - override (dd/mm/yyyy)]] &lt;&gt; "", PO[[#This Row],[Payment date - override (dd/mm/yyyy)]], PO[[#This Row],[Due date (dd/mm/yyyy)]])</f>
        <v>0</v>
      </c>
      <c r="U705" s="46">
        <f t="shared" si="10"/>
        <v>52</v>
      </c>
    </row>
    <row r="706" spans="3:21" x14ac:dyDescent="0.25">
      <c r="C706" s="24"/>
      <c r="D706" s="20"/>
      <c r="E706" s="4"/>
      <c r="F706" s="37"/>
      <c r="G706" s="38"/>
      <c r="H706" s="31">
        <f>_xlfn.XLOOKUP(PO[[#This Row],[Supplier name]], Supplier_master[Supplier name], Supplier_master[Category L1], 0)</f>
        <v>0</v>
      </c>
      <c r="I706" s="31">
        <f>_xlfn.XLOOKUP(PO[[#This Row],[Supplier name]], Supplier_master[Supplier name], Supplier_master[Category L2], 0)</f>
        <v>0</v>
      </c>
      <c r="J706" s="55"/>
      <c r="K706" s="55"/>
      <c r="L706" s="31">
        <f>IF(PO[[#This Row],[Spend category L1 - Override]] &lt;&gt; "", PO[[#This Row],[Spend category L1 - Override]], PO[[#This Row],[Spend category L1]])</f>
        <v>0</v>
      </c>
      <c r="M706" s="31">
        <f>IF(PO[[#This Row],[Spend category L2 - Override]] &lt;&gt; "", PO[[#This Row],[Spend category L2 - Override]], PO[[#This Row],[Spend category L2]])</f>
        <v>0</v>
      </c>
      <c r="N706" s="63">
        <f>Assumptions!$D$15</f>
        <v>0.1</v>
      </c>
      <c r="O706" s="45">
        <f>IF(PO[[#This Row],[GST applies?]] = "Yes", (PO[[#This Row],[Value inc. GST]] / 1 + PO[[#This Row],[GST %]]) * PO[[#This Row],[GST %]], 0)</f>
        <v>0</v>
      </c>
      <c r="P706" s="31">
        <f>_xlfn.XLOOKUP(PO[[#This Row],[Supplier name]], Supplier_master[Supplier name], Supplier_master[EOM or Net], 0)</f>
        <v>0</v>
      </c>
      <c r="Q706" s="31">
        <f>_xlfn.XLOOKUP(PO[[#This Row],[Supplier name]], Supplier_master[Supplier name], Supplier_master[Terms days], 0)</f>
        <v>0</v>
      </c>
      <c r="R7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6" s="4"/>
      <c r="T706" s="46">
        <f>IF(PO[[#This Row],[Payment date - override (dd/mm/yyyy)]] &lt;&gt; "", PO[[#This Row],[Payment date - override (dd/mm/yyyy)]], PO[[#This Row],[Due date (dd/mm/yyyy)]])</f>
        <v>0</v>
      </c>
      <c r="U706" s="46">
        <f t="shared" si="10"/>
        <v>52</v>
      </c>
    </row>
    <row r="707" spans="3:21" x14ac:dyDescent="0.25">
      <c r="C707" s="24"/>
      <c r="D707" s="20"/>
      <c r="E707" s="4"/>
      <c r="F707" s="37"/>
      <c r="G707" s="38"/>
      <c r="H707" s="31">
        <f>_xlfn.XLOOKUP(PO[[#This Row],[Supplier name]], Supplier_master[Supplier name], Supplier_master[Category L1], 0)</f>
        <v>0</v>
      </c>
      <c r="I707" s="31">
        <f>_xlfn.XLOOKUP(PO[[#This Row],[Supplier name]], Supplier_master[Supplier name], Supplier_master[Category L2], 0)</f>
        <v>0</v>
      </c>
      <c r="J707" s="55"/>
      <c r="K707" s="55"/>
      <c r="L707" s="31">
        <f>IF(PO[[#This Row],[Spend category L1 - Override]] &lt;&gt; "", PO[[#This Row],[Spend category L1 - Override]], PO[[#This Row],[Spend category L1]])</f>
        <v>0</v>
      </c>
      <c r="M707" s="31">
        <f>IF(PO[[#This Row],[Spend category L2 - Override]] &lt;&gt; "", PO[[#This Row],[Spend category L2 - Override]], PO[[#This Row],[Spend category L2]])</f>
        <v>0</v>
      </c>
      <c r="N707" s="63">
        <f>Assumptions!$D$15</f>
        <v>0.1</v>
      </c>
      <c r="O707" s="45">
        <f>IF(PO[[#This Row],[GST applies?]] = "Yes", (PO[[#This Row],[Value inc. GST]] / 1 + PO[[#This Row],[GST %]]) * PO[[#This Row],[GST %]], 0)</f>
        <v>0</v>
      </c>
      <c r="P707" s="31">
        <f>_xlfn.XLOOKUP(PO[[#This Row],[Supplier name]], Supplier_master[Supplier name], Supplier_master[EOM or Net], 0)</f>
        <v>0</v>
      </c>
      <c r="Q707" s="31">
        <f>_xlfn.XLOOKUP(PO[[#This Row],[Supplier name]], Supplier_master[Supplier name], Supplier_master[Terms days], 0)</f>
        <v>0</v>
      </c>
      <c r="R7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7" s="4"/>
      <c r="T707" s="46">
        <f>IF(PO[[#This Row],[Payment date - override (dd/mm/yyyy)]] &lt;&gt; "", PO[[#This Row],[Payment date - override (dd/mm/yyyy)]], PO[[#This Row],[Due date (dd/mm/yyyy)]])</f>
        <v>0</v>
      </c>
      <c r="U707" s="46">
        <f t="shared" si="10"/>
        <v>52</v>
      </c>
    </row>
    <row r="708" spans="3:21" x14ac:dyDescent="0.25">
      <c r="C708" s="24"/>
      <c r="D708" s="20"/>
      <c r="E708" s="4"/>
      <c r="F708" s="37"/>
      <c r="G708" s="38"/>
      <c r="H708" s="31">
        <f>_xlfn.XLOOKUP(PO[[#This Row],[Supplier name]], Supplier_master[Supplier name], Supplier_master[Category L1], 0)</f>
        <v>0</v>
      </c>
      <c r="I708" s="31">
        <f>_xlfn.XLOOKUP(PO[[#This Row],[Supplier name]], Supplier_master[Supplier name], Supplier_master[Category L2], 0)</f>
        <v>0</v>
      </c>
      <c r="J708" s="55"/>
      <c r="K708" s="55"/>
      <c r="L708" s="31">
        <f>IF(PO[[#This Row],[Spend category L1 - Override]] &lt;&gt; "", PO[[#This Row],[Spend category L1 - Override]], PO[[#This Row],[Spend category L1]])</f>
        <v>0</v>
      </c>
      <c r="M708" s="31">
        <f>IF(PO[[#This Row],[Spend category L2 - Override]] &lt;&gt; "", PO[[#This Row],[Spend category L2 - Override]], PO[[#This Row],[Spend category L2]])</f>
        <v>0</v>
      </c>
      <c r="N708" s="63">
        <f>Assumptions!$D$15</f>
        <v>0.1</v>
      </c>
      <c r="O708" s="45">
        <f>IF(PO[[#This Row],[GST applies?]] = "Yes", (PO[[#This Row],[Value inc. GST]] / 1 + PO[[#This Row],[GST %]]) * PO[[#This Row],[GST %]], 0)</f>
        <v>0</v>
      </c>
      <c r="P708" s="31">
        <f>_xlfn.XLOOKUP(PO[[#This Row],[Supplier name]], Supplier_master[Supplier name], Supplier_master[EOM or Net], 0)</f>
        <v>0</v>
      </c>
      <c r="Q708" s="31">
        <f>_xlfn.XLOOKUP(PO[[#This Row],[Supplier name]], Supplier_master[Supplier name], Supplier_master[Terms days], 0)</f>
        <v>0</v>
      </c>
      <c r="R7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8" s="4"/>
      <c r="T708" s="46">
        <f>IF(PO[[#This Row],[Payment date - override (dd/mm/yyyy)]] &lt;&gt; "", PO[[#This Row],[Payment date - override (dd/mm/yyyy)]], PO[[#This Row],[Due date (dd/mm/yyyy)]])</f>
        <v>0</v>
      </c>
      <c r="U708" s="46">
        <f t="shared" si="10"/>
        <v>52</v>
      </c>
    </row>
    <row r="709" spans="3:21" x14ac:dyDescent="0.25">
      <c r="C709" s="24"/>
      <c r="D709" s="20"/>
      <c r="E709" s="4"/>
      <c r="F709" s="37"/>
      <c r="G709" s="38"/>
      <c r="H709" s="31">
        <f>_xlfn.XLOOKUP(PO[[#This Row],[Supplier name]], Supplier_master[Supplier name], Supplier_master[Category L1], 0)</f>
        <v>0</v>
      </c>
      <c r="I709" s="31">
        <f>_xlfn.XLOOKUP(PO[[#This Row],[Supplier name]], Supplier_master[Supplier name], Supplier_master[Category L2], 0)</f>
        <v>0</v>
      </c>
      <c r="J709" s="55"/>
      <c r="K709" s="55"/>
      <c r="L709" s="31">
        <f>IF(PO[[#This Row],[Spend category L1 - Override]] &lt;&gt; "", PO[[#This Row],[Spend category L1 - Override]], PO[[#This Row],[Spend category L1]])</f>
        <v>0</v>
      </c>
      <c r="M709" s="31">
        <f>IF(PO[[#This Row],[Spend category L2 - Override]] &lt;&gt; "", PO[[#This Row],[Spend category L2 - Override]], PO[[#This Row],[Spend category L2]])</f>
        <v>0</v>
      </c>
      <c r="N709" s="63">
        <f>Assumptions!$D$15</f>
        <v>0.1</v>
      </c>
      <c r="O709" s="45">
        <f>IF(PO[[#This Row],[GST applies?]] = "Yes", (PO[[#This Row],[Value inc. GST]] / 1 + PO[[#This Row],[GST %]]) * PO[[#This Row],[GST %]], 0)</f>
        <v>0</v>
      </c>
      <c r="P709" s="31">
        <f>_xlfn.XLOOKUP(PO[[#This Row],[Supplier name]], Supplier_master[Supplier name], Supplier_master[EOM or Net], 0)</f>
        <v>0</v>
      </c>
      <c r="Q709" s="31">
        <f>_xlfn.XLOOKUP(PO[[#This Row],[Supplier name]], Supplier_master[Supplier name], Supplier_master[Terms days], 0)</f>
        <v>0</v>
      </c>
      <c r="R7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9" s="4"/>
      <c r="T709" s="46">
        <f>IF(PO[[#This Row],[Payment date - override (dd/mm/yyyy)]] &lt;&gt; "", PO[[#This Row],[Payment date - override (dd/mm/yyyy)]], PO[[#This Row],[Due date (dd/mm/yyyy)]])</f>
        <v>0</v>
      </c>
      <c r="U709" s="46">
        <f t="shared" si="10"/>
        <v>52</v>
      </c>
    </row>
    <row r="710" spans="3:21" x14ac:dyDescent="0.25">
      <c r="C710" s="24"/>
      <c r="D710" s="20"/>
      <c r="E710" s="4"/>
      <c r="F710" s="37"/>
      <c r="G710" s="38"/>
      <c r="H710" s="31">
        <f>_xlfn.XLOOKUP(PO[[#This Row],[Supplier name]], Supplier_master[Supplier name], Supplier_master[Category L1], 0)</f>
        <v>0</v>
      </c>
      <c r="I710" s="31">
        <f>_xlfn.XLOOKUP(PO[[#This Row],[Supplier name]], Supplier_master[Supplier name], Supplier_master[Category L2], 0)</f>
        <v>0</v>
      </c>
      <c r="J710" s="55"/>
      <c r="K710" s="55"/>
      <c r="L710" s="31">
        <f>IF(PO[[#This Row],[Spend category L1 - Override]] &lt;&gt; "", PO[[#This Row],[Spend category L1 - Override]], PO[[#This Row],[Spend category L1]])</f>
        <v>0</v>
      </c>
      <c r="M710" s="31">
        <f>IF(PO[[#This Row],[Spend category L2 - Override]] &lt;&gt; "", PO[[#This Row],[Spend category L2 - Override]], PO[[#This Row],[Spend category L2]])</f>
        <v>0</v>
      </c>
      <c r="N710" s="63">
        <f>Assumptions!$D$15</f>
        <v>0.1</v>
      </c>
      <c r="O710" s="45">
        <f>IF(PO[[#This Row],[GST applies?]] = "Yes", (PO[[#This Row],[Value inc. GST]] / 1 + PO[[#This Row],[GST %]]) * PO[[#This Row],[GST %]], 0)</f>
        <v>0</v>
      </c>
      <c r="P710" s="31">
        <f>_xlfn.XLOOKUP(PO[[#This Row],[Supplier name]], Supplier_master[Supplier name], Supplier_master[EOM or Net], 0)</f>
        <v>0</v>
      </c>
      <c r="Q710" s="31">
        <f>_xlfn.XLOOKUP(PO[[#This Row],[Supplier name]], Supplier_master[Supplier name], Supplier_master[Terms days], 0)</f>
        <v>0</v>
      </c>
      <c r="R7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0" s="4"/>
      <c r="T710" s="46">
        <f>IF(PO[[#This Row],[Payment date - override (dd/mm/yyyy)]] &lt;&gt; "", PO[[#This Row],[Payment date - override (dd/mm/yyyy)]], PO[[#This Row],[Due date (dd/mm/yyyy)]])</f>
        <v>0</v>
      </c>
      <c r="U710" s="46">
        <f t="shared" si="10"/>
        <v>52</v>
      </c>
    </row>
    <row r="711" spans="3:21" x14ac:dyDescent="0.25">
      <c r="C711" s="24"/>
      <c r="D711" s="20"/>
      <c r="E711" s="4"/>
      <c r="F711" s="37"/>
      <c r="G711" s="38"/>
      <c r="H711" s="31">
        <f>_xlfn.XLOOKUP(PO[[#This Row],[Supplier name]], Supplier_master[Supplier name], Supplier_master[Category L1], 0)</f>
        <v>0</v>
      </c>
      <c r="I711" s="31">
        <f>_xlfn.XLOOKUP(PO[[#This Row],[Supplier name]], Supplier_master[Supplier name], Supplier_master[Category L2], 0)</f>
        <v>0</v>
      </c>
      <c r="J711" s="55"/>
      <c r="K711" s="55"/>
      <c r="L711" s="31">
        <f>IF(PO[[#This Row],[Spend category L1 - Override]] &lt;&gt; "", PO[[#This Row],[Spend category L1 - Override]], PO[[#This Row],[Spend category L1]])</f>
        <v>0</v>
      </c>
      <c r="M711" s="31">
        <f>IF(PO[[#This Row],[Spend category L2 - Override]] &lt;&gt; "", PO[[#This Row],[Spend category L2 - Override]], PO[[#This Row],[Spend category L2]])</f>
        <v>0</v>
      </c>
      <c r="N711" s="63">
        <f>Assumptions!$D$15</f>
        <v>0.1</v>
      </c>
      <c r="O711" s="45">
        <f>IF(PO[[#This Row],[GST applies?]] = "Yes", (PO[[#This Row],[Value inc. GST]] / 1 + PO[[#This Row],[GST %]]) * PO[[#This Row],[GST %]], 0)</f>
        <v>0</v>
      </c>
      <c r="P711" s="31">
        <f>_xlfn.XLOOKUP(PO[[#This Row],[Supplier name]], Supplier_master[Supplier name], Supplier_master[EOM or Net], 0)</f>
        <v>0</v>
      </c>
      <c r="Q711" s="31">
        <f>_xlfn.XLOOKUP(PO[[#This Row],[Supplier name]], Supplier_master[Supplier name], Supplier_master[Terms days], 0)</f>
        <v>0</v>
      </c>
      <c r="R7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1" s="4"/>
      <c r="T711" s="46">
        <f>IF(PO[[#This Row],[Payment date - override (dd/mm/yyyy)]] &lt;&gt; "", PO[[#This Row],[Payment date - override (dd/mm/yyyy)]], PO[[#This Row],[Due date (dd/mm/yyyy)]])</f>
        <v>0</v>
      </c>
      <c r="U711" s="46">
        <f t="shared" si="10"/>
        <v>52</v>
      </c>
    </row>
    <row r="712" spans="3:21" x14ac:dyDescent="0.25">
      <c r="C712" s="24"/>
      <c r="D712" s="20"/>
      <c r="E712" s="4"/>
      <c r="F712" s="37"/>
      <c r="G712" s="38"/>
      <c r="H712" s="31">
        <f>_xlfn.XLOOKUP(PO[[#This Row],[Supplier name]], Supplier_master[Supplier name], Supplier_master[Category L1], 0)</f>
        <v>0</v>
      </c>
      <c r="I712" s="31">
        <f>_xlfn.XLOOKUP(PO[[#This Row],[Supplier name]], Supplier_master[Supplier name], Supplier_master[Category L2], 0)</f>
        <v>0</v>
      </c>
      <c r="J712" s="55"/>
      <c r="K712" s="55"/>
      <c r="L712" s="31">
        <f>IF(PO[[#This Row],[Spend category L1 - Override]] &lt;&gt; "", PO[[#This Row],[Spend category L1 - Override]], PO[[#This Row],[Spend category L1]])</f>
        <v>0</v>
      </c>
      <c r="M712" s="31">
        <f>IF(PO[[#This Row],[Spend category L2 - Override]] &lt;&gt; "", PO[[#This Row],[Spend category L2 - Override]], PO[[#This Row],[Spend category L2]])</f>
        <v>0</v>
      </c>
      <c r="N712" s="63">
        <f>Assumptions!$D$15</f>
        <v>0.1</v>
      </c>
      <c r="O712" s="45">
        <f>IF(PO[[#This Row],[GST applies?]] = "Yes", (PO[[#This Row],[Value inc. GST]] / 1 + PO[[#This Row],[GST %]]) * PO[[#This Row],[GST %]], 0)</f>
        <v>0</v>
      </c>
      <c r="P712" s="31">
        <f>_xlfn.XLOOKUP(PO[[#This Row],[Supplier name]], Supplier_master[Supplier name], Supplier_master[EOM or Net], 0)</f>
        <v>0</v>
      </c>
      <c r="Q712" s="31">
        <f>_xlfn.XLOOKUP(PO[[#This Row],[Supplier name]], Supplier_master[Supplier name], Supplier_master[Terms days], 0)</f>
        <v>0</v>
      </c>
      <c r="R7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2" s="4"/>
      <c r="T712" s="46">
        <f>IF(PO[[#This Row],[Payment date - override (dd/mm/yyyy)]] &lt;&gt; "", PO[[#This Row],[Payment date - override (dd/mm/yyyy)]], PO[[#This Row],[Due date (dd/mm/yyyy)]])</f>
        <v>0</v>
      </c>
      <c r="U712" s="46">
        <f t="shared" si="10"/>
        <v>52</v>
      </c>
    </row>
    <row r="713" spans="3:21" x14ac:dyDescent="0.25">
      <c r="C713" s="24"/>
      <c r="D713" s="20"/>
      <c r="E713" s="4"/>
      <c r="F713" s="37"/>
      <c r="G713" s="38"/>
      <c r="H713" s="31">
        <f>_xlfn.XLOOKUP(PO[[#This Row],[Supplier name]], Supplier_master[Supplier name], Supplier_master[Category L1], 0)</f>
        <v>0</v>
      </c>
      <c r="I713" s="31">
        <f>_xlfn.XLOOKUP(PO[[#This Row],[Supplier name]], Supplier_master[Supplier name], Supplier_master[Category L2], 0)</f>
        <v>0</v>
      </c>
      <c r="J713" s="55"/>
      <c r="K713" s="55"/>
      <c r="L713" s="31">
        <f>IF(PO[[#This Row],[Spend category L1 - Override]] &lt;&gt; "", PO[[#This Row],[Spend category L1 - Override]], PO[[#This Row],[Spend category L1]])</f>
        <v>0</v>
      </c>
      <c r="M713" s="31">
        <f>IF(PO[[#This Row],[Spend category L2 - Override]] &lt;&gt; "", PO[[#This Row],[Spend category L2 - Override]], PO[[#This Row],[Spend category L2]])</f>
        <v>0</v>
      </c>
      <c r="N713" s="63">
        <f>Assumptions!$D$15</f>
        <v>0.1</v>
      </c>
      <c r="O713" s="45">
        <f>IF(PO[[#This Row],[GST applies?]] = "Yes", (PO[[#This Row],[Value inc. GST]] / 1 + PO[[#This Row],[GST %]]) * PO[[#This Row],[GST %]], 0)</f>
        <v>0</v>
      </c>
      <c r="P713" s="31">
        <f>_xlfn.XLOOKUP(PO[[#This Row],[Supplier name]], Supplier_master[Supplier name], Supplier_master[EOM or Net], 0)</f>
        <v>0</v>
      </c>
      <c r="Q713" s="31">
        <f>_xlfn.XLOOKUP(PO[[#This Row],[Supplier name]], Supplier_master[Supplier name], Supplier_master[Terms days], 0)</f>
        <v>0</v>
      </c>
      <c r="R7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3" s="4"/>
      <c r="T713" s="46">
        <f>IF(PO[[#This Row],[Payment date - override (dd/mm/yyyy)]] &lt;&gt; "", PO[[#This Row],[Payment date - override (dd/mm/yyyy)]], PO[[#This Row],[Due date (dd/mm/yyyy)]])</f>
        <v>0</v>
      </c>
      <c r="U713" s="46">
        <f t="shared" ref="U713:U776" si="11">IF(GST_Freq="Monthly",
    DATE(YEAR(E713), MONTH(E713) + 1, 21),
    IF(GST_Freq="Quarterly",
        IF(MOD(MONTH(E713) + 2 - MOD(MOD(MONTH(E713) - GST_First_Month, 12), 3), 12) = 0,
            DATE(YEAR(E713), MONTH(E713) + 4 - MOD(MOD(MONTH(E713) - GST_First_Month, 12), 3), 28),
            DATE(YEAR(E713), MONTH(E713) + 3 - MOD(MOD(MONTH(E713) - GST_First_Month, 12), 3), 28)
        ),
        "Invalid frequency"
    )
)</f>
        <v>52</v>
      </c>
    </row>
    <row r="714" spans="3:21" x14ac:dyDescent="0.25">
      <c r="C714" s="24"/>
      <c r="D714" s="20"/>
      <c r="E714" s="4"/>
      <c r="F714" s="37"/>
      <c r="G714" s="38"/>
      <c r="H714" s="31">
        <f>_xlfn.XLOOKUP(PO[[#This Row],[Supplier name]], Supplier_master[Supplier name], Supplier_master[Category L1], 0)</f>
        <v>0</v>
      </c>
      <c r="I714" s="31">
        <f>_xlfn.XLOOKUP(PO[[#This Row],[Supplier name]], Supplier_master[Supplier name], Supplier_master[Category L2], 0)</f>
        <v>0</v>
      </c>
      <c r="J714" s="55"/>
      <c r="K714" s="55"/>
      <c r="L714" s="31">
        <f>IF(PO[[#This Row],[Spend category L1 - Override]] &lt;&gt; "", PO[[#This Row],[Spend category L1 - Override]], PO[[#This Row],[Spend category L1]])</f>
        <v>0</v>
      </c>
      <c r="M714" s="31">
        <f>IF(PO[[#This Row],[Spend category L2 - Override]] &lt;&gt; "", PO[[#This Row],[Spend category L2 - Override]], PO[[#This Row],[Spend category L2]])</f>
        <v>0</v>
      </c>
      <c r="N714" s="63">
        <f>Assumptions!$D$15</f>
        <v>0.1</v>
      </c>
      <c r="O714" s="45">
        <f>IF(PO[[#This Row],[GST applies?]] = "Yes", (PO[[#This Row],[Value inc. GST]] / 1 + PO[[#This Row],[GST %]]) * PO[[#This Row],[GST %]], 0)</f>
        <v>0</v>
      </c>
      <c r="P714" s="31">
        <f>_xlfn.XLOOKUP(PO[[#This Row],[Supplier name]], Supplier_master[Supplier name], Supplier_master[EOM or Net], 0)</f>
        <v>0</v>
      </c>
      <c r="Q714" s="31">
        <f>_xlfn.XLOOKUP(PO[[#This Row],[Supplier name]], Supplier_master[Supplier name], Supplier_master[Terms days], 0)</f>
        <v>0</v>
      </c>
      <c r="R7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4" s="4"/>
      <c r="T714" s="46">
        <f>IF(PO[[#This Row],[Payment date - override (dd/mm/yyyy)]] &lt;&gt; "", PO[[#This Row],[Payment date - override (dd/mm/yyyy)]], PO[[#This Row],[Due date (dd/mm/yyyy)]])</f>
        <v>0</v>
      </c>
      <c r="U714" s="46">
        <f t="shared" si="11"/>
        <v>52</v>
      </c>
    </row>
    <row r="715" spans="3:21" x14ac:dyDescent="0.25">
      <c r="C715" s="24"/>
      <c r="D715" s="20"/>
      <c r="E715" s="4"/>
      <c r="F715" s="37"/>
      <c r="G715" s="38"/>
      <c r="H715" s="31">
        <f>_xlfn.XLOOKUP(PO[[#This Row],[Supplier name]], Supplier_master[Supplier name], Supplier_master[Category L1], 0)</f>
        <v>0</v>
      </c>
      <c r="I715" s="31">
        <f>_xlfn.XLOOKUP(PO[[#This Row],[Supplier name]], Supplier_master[Supplier name], Supplier_master[Category L2], 0)</f>
        <v>0</v>
      </c>
      <c r="J715" s="55"/>
      <c r="K715" s="55"/>
      <c r="L715" s="31">
        <f>IF(PO[[#This Row],[Spend category L1 - Override]] &lt;&gt; "", PO[[#This Row],[Spend category L1 - Override]], PO[[#This Row],[Spend category L1]])</f>
        <v>0</v>
      </c>
      <c r="M715" s="31">
        <f>IF(PO[[#This Row],[Spend category L2 - Override]] &lt;&gt; "", PO[[#This Row],[Spend category L2 - Override]], PO[[#This Row],[Spend category L2]])</f>
        <v>0</v>
      </c>
      <c r="N715" s="63">
        <f>Assumptions!$D$15</f>
        <v>0.1</v>
      </c>
      <c r="O715" s="45">
        <f>IF(PO[[#This Row],[GST applies?]] = "Yes", (PO[[#This Row],[Value inc. GST]] / 1 + PO[[#This Row],[GST %]]) * PO[[#This Row],[GST %]], 0)</f>
        <v>0</v>
      </c>
      <c r="P715" s="31">
        <f>_xlfn.XLOOKUP(PO[[#This Row],[Supplier name]], Supplier_master[Supplier name], Supplier_master[EOM or Net], 0)</f>
        <v>0</v>
      </c>
      <c r="Q715" s="31">
        <f>_xlfn.XLOOKUP(PO[[#This Row],[Supplier name]], Supplier_master[Supplier name], Supplier_master[Terms days], 0)</f>
        <v>0</v>
      </c>
      <c r="R7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5" s="4"/>
      <c r="T715" s="46">
        <f>IF(PO[[#This Row],[Payment date - override (dd/mm/yyyy)]] &lt;&gt; "", PO[[#This Row],[Payment date - override (dd/mm/yyyy)]], PO[[#This Row],[Due date (dd/mm/yyyy)]])</f>
        <v>0</v>
      </c>
      <c r="U715" s="46">
        <f t="shared" si="11"/>
        <v>52</v>
      </c>
    </row>
    <row r="716" spans="3:21" x14ac:dyDescent="0.25">
      <c r="C716" s="24"/>
      <c r="D716" s="20"/>
      <c r="E716" s="4"/>
      <c r="F716" s="37"/>
      <c r="G716" s="38"/>
      <c r="H716" s="31">
        <f>_xlfn.XLOOKUP(PO[[#This Row],[Supplier name]], Supplier_master[Supplier name], Supplier_master[Category L1], 0)</f>
        <v>0</v>
      </c>
      <c r="I716" s="31">
        <f>_xlfn.XLOOKUP(PO[[#This Row],[Supplier name]], Supplier_master[Supplier name], Supplier_master[Category L2], 0)</f>
        <v>0</v>
      </c>
      <c r="J716" s="55"/>
      <c r="K716" s="55"/>
      <c r="L716" s="31">
        <f>IF(PO[[#This Row],[Spend category L1 - Override]] &lt;&gt; "", PO[[#This Row],[Spend category L1 - Override]], PO[[#This Row],[Spend category L1]])</f>
        <v>0</v>
      </c>
      <c r="M716" s="31">
        <f>IF(PO[[#This Row],[Spend category L2 - Override]] &lt;&gt; "", PO[[#This Row],[Spend category L2 - Override]], PO[[#This Row],[Spend category L2]])</f>
        <v>0</v>
      </c>
      <c r="N716" s="63">
        <f>Assumptions!$D$15</f>
        <v>0.1</v>
      </c>
      <c r="O716" s="45">
        <f>IF(PO[[#This Row],[GST applies?]] = "Yes", (PO[[#This Row],[Value inc. GST]] / 1 + PO[[#This Row],[GST %]]) * PO[[#This Row],[GST %]], 0)</f>
        <v>0</v>
      </c>
      <c r="P716" s="31">
        <f>_xlfn.XLOOKUP(PO[[#This Row],[Supplier name]], Supplier_master[Supplier name], Supplier_master[EOM or Net], 0)</f>
        <v>0</v>
      </c>
      <c r="Q716" s="31">
        <f>_xlfn.XLOOKUP(PO[[#This Row],[Supplier name]], Supplier_master[Supplier name], Supplier_master[Terms days], 0)</f>
        <v>0</v>
      </c>
      <c r="R7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6" s="4"/>
      <c r="T716" s="46">
        <f>IF(PO[[#This Row],[Payment date - override (dd/mm/yyyy)]] &lt;&gt; "", PO[[#This Row],[Payment date - override (dd/mm/yyyy)]], PO[[#This Row],[Due date (dd/mm/yyyy)]])</f>
        <v>0</v>
      </c>
      <c r="U716" s="46">
        <f t="shared" si="11"/>
        <v>52</v>
      </c>
    </row>
    <row r="717" spans="3:21" x14ac:dyDescent="0.25">
      <c r="C717" s="24"/>
      <c r="D717" s="20"/>
      <c r="E717" s="4"/>
      <c r="F717" s="37"/>
      <c r="G717" s="38"/>
      <c r="H717" s="31">
        <f>_xlfn.XLOOKUP(PO[[#This Row],[Supplier name]], Supplier_master[Supplier name], Supplier_master[Category L1], 0)</f>
        <v>0</v>
      </c>
      <c r="I717" s="31">
        <f>_xlfn.XLOOKUP(PO[[#This Row],[Supplier name]], Supplier_master[Supplier name], Supplier_master[Category L2], 0)</f>
        <v>0</v>
      </c>
      <c r="J717" s="55"/>
      <c r="K717" s="55"/>
      <c r="L717" s="31">
        <f>IF(PO[[#This Row],[Spend category L1 - Override]] &lt;&gt; "", PO[[#This Row],[Spend category L1 - Override]], PO[[#This Row],[Spend category L1]])</f>
        <v>0</v>
      </c>
      <c r="M717" s="31">
        <f>IF(PO[[#This Row],[Spend category L2 - Override]] &lt;&gt; "", PO[[#This Row],[Spend category L2 - Override]], PO[[#This Row],[Spend category L2]])</f>
        <v>0</v>
      </c>
      <c r="N717" s="63">
        <f>Assumptions!$D$15</f>
        <v>0.1</v>
      </c>
      <c r="O717" s="45">
        <f>IF(PO[[#This Row],[GST applies?]] = "Yes", (PO[[#This Row],[Value inc. GST]] / 1 + PO[[#This Row],[GST %]]) * PO[[#This Row],[GST %]], 0)</f>
        <v>0</v>
      </c>
      <c r="P717" s="31">
        <f>_xlfn.XLOOKUP(PO[[#This Row],[Supplier name]], Supplier_master[Supplier name], Supplier_master[EOM or Net], 0)</f>
        <v>0</v>
      </c>
      <c r="Q717" s="31">
        <f>_xlfn.XLOOKUP(PO[[#This Row],[Supplier name]], Supplier_master[Supplier name], Supplier_master[Terms days], 0)</f>
        <v>0</v>
      </c>
      <c r="R7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7" s="4"/>
      <c r="T717" s="46">
        <f>IF(PO[[#This Row],[Payment date - override (dd/mm/yyyy)]] &lt;&gt; "", PO[[#This Row],[Payment date - override (dd/mm/yyyy)]], PO[[#This Row],[Due date (dd/mm/yyyy)]])</f>
        <v>0</v>
      </c>
      <c r="U717" s="46">
        <f t="shared" si="11"/>
        <v>52</v>
      </c>
    </row>
    <row r="718" spans="3:21" x14ac:dyDescent="0.25">
      <c r="C718" s="24"/>
      <c r="D718" s="20"/>
      <c r="E718" s="4"/>
      <c r="F718" s="37"/>
      <c r="G718" s="38"/>
      <c r="H718" s="31">
        <f>_xlfn.XLOOKUP(PO[[#This Row],[Supplier name]], Supplier_master[Supplier name], Supplier_master[Category L1], 0)</f>
        <v>0</v>
      </c>
      <c r="I718" s="31">
        <f>_xlfn.XLOOKUP(PO[[#This Row],[Supplier name]], Supplier_master[Supplier name], Supplier_master[Category L2], 0)</f>
        <v>0</v>
      </c>
      <c r="J718" s="55"/>
      <c r="K718" s="55"/>
      <c r="L718" s="31">
        <f>IF(PO[[#This Row],[Spend category L1 - Override]] &lt;&gt; "", PO[[#This Row],[Spend category L1 - Override]], PO[[#This Row],[Spend category L1]])</f>
        <v>0</v>
      </c>
      <c r="M718" s="31">
        <f>IF(PO[[#This Row],[Spend category L2 - Override]] &lt;&gt; "", PO[[#This Row],[Spend category L2 - Override]], PO[[#This Row],[Spend category L2]])</f>
        <v>0</v>
      </c>
      <c r="N718" s="63">
        <f>Assumptions!$D$15</f>
        <v>0.1</v>
      </c>
      <c r="O718" s="45">
        <f>IF(PO[[#This Row],[GST applies?]] = "Yes", (PO[[#This Row],[Value inc. GST]] / 1 + PO[[#This Row],[GST %]]) * PO[[#This Row],[GST %]], 0)</f>
        <v>0</v>
      </c>
      <c r="P718" s="31">
        <f>_xlfn.XLOOKUP(PO[[#This Row],[Supplier name]], Supplier_master[Supplier name], Supplier_master[EOM or Net], 0)</f>
        <v>0</v>
      </c>
      <c r="Q718" s="31">
        <f>_xlfn.XLOOKUP(PO[[#This Row],[Supplier name]], Supplier_master[Supplier name], Supplier_master[Terms days], 0)</f>
        <v>0</v>
      </c>
      <c r="R7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8" s="4"/>
      <c r="T718" s="46">
        <f>IF(PO[[#This Row],[Payment date - override (dd/mm/yyyy)]] &lt;&gt; "", PO[[#This Row],[Payment date - override (dd/mm/yyyy)]], PO[[#This Row],[Due date (dd/mm/yyyy)]])</f>
        <v>0</v>
      </c>
      <c r="U718" s="46">
        <f t="shared" si="11"/>
        <v>52</v>
      </c>
    </row>
    <row r="719" spans="3:21" x14ac:dyDescent="0.25">
      <c r="C719" s="24"/>
      <c r="D719" s="20"/>
      <c r="E719" s="4"/>
      <c r="F719" s="37"/>
      <c r="G719" s="38"/>
      <c r="H719" s="31">
        <f>_xlfn.XLOOKUP(PO[[#This Row],[Supplier name]], Supplier_master[Supplier name], Supplier_master[Category L1], 0)</f>
        <v>0</v>
      </c>
      <c r="I719" s="31">
        <f>_xlfn.XLOOKUP(PO[[#This Row],[Supplier name]], Supplier_master[Supplier name], Supplier_master[Category L2], 0)</f>
        <v>0</v>
      </c>
      <c r="J719" s="55"/>
      <c r="K719" s="55"/>
      <c r="L719" s="31">
        <f>IF(PO[[#This Row],[Spend category L1 - Override]] &lt;&gt; "", PO[[#This Row],[Spend category L1 - Override]], PO[[#This Row],[Spend category L1]])</f>
        <v>0</v>
      </c>
      <c r="M719" s="31">
        <f>IF(PO[[#This Row],[Spend category L2 - Override]] &lt;&gt; "", PO[[#This Row],[Spend category L2 - Override]], PO[[#This Row],[Spend category L2]])</f>
        <v>0</v>
      </c>
      <c r="N719" s="63">
        <f>Assumptions!$D$15</f>
        <v>0.1</v>
      </c>
      <c r="O719" s="45">
        <f>IF(PO[[#This Row],[GST applies?]] = "Yes", (PO[[#This Row],[Value inc. GST]] / 1 + PO[[#This Row],[GST %]]) * PO[[#This Row],[GST %]], 0)</f>
        <v>0</v>
      </c>
      <c r="P719" s="31">
        <f>_xlfn.XLOOKUP(PO[[#This Row],[Supplier name]], Supplier_master[Supplier name], Supplier_master[EOM or Net], 0)</f>
        <v>0</v>
      </c>
      <c r="Q719" s="31">
        <f>_xlfn.XLOOKUP(PO[[#This Row],[Supplier name]], Supplier_master[Supplier name], Supplier_master[Terms days], 0)</f>
        <v>0</v>
      </c>
      <c r="R7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9" s="4"/>
      <c r="T719" s="46">
        <f>IF(PO[[#This Row],[Payment date - override (dd/mm/yyyy)]] &lt;&gt; "", PO[[#This Row],[Payment date - override (dd/mm/yyyy)]], PO[[#This Row],[Due date (dd/mm/yyyy)]])</f>
        <v>0</v>
      </c>
      <c r="U719" s="46">
        <f t="shared" si="11"/>
        <v>52</v>
      </c>
    </row>
    <row r="720" spans="3:21" x14ac:dyDescent="0.25">
      <c r="C720" s="24"/>
      <c r="D720" s="20"/>
      <c r="E720" s="4"/>
      <c r="F720" s="37"/>
      <c r="G720" s="38"/>
      <c r="H720" s="31">
        <f>_xlfn.XLOOKUP(PO[[#This Row],[Supplier name]], Supplier_master[Supplier name], Supplier_master[Category L1], 0)</f>
        <v>0</v>
      </c>
      <c r="I720" s="31">
        <f>_xlfn.XLOOKUP(PO[[#This Row],[Supplier name]], Supplier_master[Supplier name], Supplier_master[Category L2], 0)</f>
        <v>0</v>
      </c>
      <c r="J720" s="55"/>
      <c r="K720" s="55"/>
      <c r="L720" s="31">
        <f>IF(PO[[#This Row],[Spend category L1 - Override]] &lt;&gt; "", PO[[#This Row],[Spend category L1 - Override]], PO[[#This Row],[Spend category L1]])</f>
        <v>0</v>
      </c>
      <c r="M720" s="31">
        <f>IF(PO[[#This Row],[Spend category L2 - Override]] &lt;&gt; "", PO[[#This Row],[Spend category L2 - Override]], PO[[#This Row],[Spend category L2]])</f>
        <v>0</v>
      </c>
      <c r="N720" s="63">
        <f>Assumptions!$D$15</f>
        <v>0.1</v>
      </c>
      <c r="O720" s="45">
        <f>IF(PO[[#This Row],[GST applies?]] = "Yes", (PO[[#This Row],[Value inc. GST]] / 1 + PO[[#This Row],[GST %]]) * PO[[#This Row],[GST %]], 0)</f>
        <v>0</v>
      </c>
      <c r="P720" s="31">
        <f>_xlfn.XLOOKUP(PO[[#This Row],[Supplier name]], Supplier_master[Supplier name], Supplier_master[EOM or Net], 0)</f>
        <v>0</v>
      </c>
      <c r="Q720" s="31">
        <f>_xlfn.XLOOKUP(PO[[#This Row],[Supplier name]], Supplier_master[Supplier name], Supplier_master[Terms days], 0)</f>
        <v>0</v>
      </c>
      <c r="R7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0" s="4"/>
      <c r="T720" s="46">
        <f>IF(PO[[#This Row],[Payment date - override (dd/mm/yyyy)]] &lt;&gt; "", PO[[#This Row],[Payment date - override (dd/mm/yyyy)]], PO[[#This Row],[Due date (dd/mm/yyyy)]])</f>
        <v>0</v>
      </c>
      <c r="U720" s="46">
        <f t="shared" si="11"/>
        <v>52</v>
      </c>
    </row>
    <row r="721" spans="3:21" x14ac:dyDescent="0.25">
      <c r="C721" s="24"/>
      <c r="D721" s="20"/>
      <c r="E721" s="4"/>
      <c r="F721" s="37"/>
      <c r="G721" s="38"/>
      <c r="H721" s="31">
        <f>_xlfn.XLOOKUP(PO[[#This Row],[Supplier name]], Supplier_master[Supplier name], Supplier_master[Category L1], 0)</f>
        <v>0</v>
      </c>
      <c r="I721" s="31">
        <f>_xlfn.XLOOKUP(PO[[#This Row],[Supplier name]], Supplier_master[Supplier name], Supplier_master[Category L2], 0)</f>
        <v>0</v>
      </c>
      <c r="J721" s="55"/>
      <c r="K721" s="55"/>
      <c r="L721" s="31">
        <f>IF(PO[[#This Row],[Spend category L1 - Override]] &lt;&gt; "", PO[[#This Row],[Spend category L1 - Override]], PO[[#This Row],[Spend category L1]])</f>
        <v>0</v>
      </c>
      <c r="M721" s="31">
        <f>IF(PO[[#This Row],[Spend category L2 - Override]] &lt;&gt; "", PO[[#This Row],[Spend category L2 - Override]], PO[[#This Row],[Spend category L2]])</f>
        <v>0</v>
      </c>
      <c r="N721" s="63">
        <f>Assumptions!$D$15</f>
        <v>0.1</v>
      </c>
      <c r="O721" s="45">
        <f>IF(PO[[#This Row],[GST applies?]] = "Yes", (PO[[#This Row],[Value inc. GST]] / 1 + PO[[#This Row],[GST %]]) * PO[[#This Row],[GST %]], 0)</f>
        <v>0</v>
      </c>
      <c r="P721" s="31">
        <f>_xlfn.XLOOKUP(PO[[#This Row],[Supplier name]], Supplier_master[Supplier name], Supplier_master[EOM or Net], 0)</f>
        <v>0</v>
      </c>
      <c r="Q721" s="31">
        <f>_xlfn.XLOOKUP(PO[[#This Row],[Supplier name]], Supplier_master[Supplier name], Supplier_master[Terms days], 0)</f>
        <v>0</v>
      </c>
      <c r="R7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1" s="4"/>
      <c r="T721" s="46">
        <f>IF(PO[[#This Row],[Payment date - override (dd/mm/yyyy)]] &lt;&gt; "", PO[[#This Row],[Payment date - override (dd/mm/yyyy)]], PO[[#This Row],[Due date (dd/mm/yyyy)]])</f>
        <v>0</v>
      </c>
      <c r="U721" s="46">
        <f t="shared" si="11"/>
        <v>52</v>
      </c>
    </row>
    <row r="722" spans="3:21" x14ac:dyDescent="0.25">
      <c r="C722" s="24"/>
      <c r="D722" s="20"/>
      <c r="E722" s="4"/>
      <c r="F722" s="37"/>
      <c r="G722" s="38"/>
      <c r="H722" s="31">
        <f>_xlfn.XLOOKUP(PO[[#This Row],[Supplier name]], Supplier_master[Supplier name], Supplier_master[Category L1], 0)</f>
        <v>0</v>
      </c>
      <c r="I722" s="31">
        <f>_xlfn.XLOOKUP(PO[[#This Row],[Supplier name]], Supplier_master[Supplier name], Supplier_master[Category L2], 0)</f>
        <v>0</v>
      </c>
      <c r="J722" s="55"/>
      <c r="K722" s="55"/>
      <c r="L722" s="31">
        <f>IF(PO[[#This Row],[Spend category L1 - Override]] &lt;&gt; "", PO[[#This Row],[Spend category L1 - Override]], PO[[#This Row],[Spend category L1]])</f>
        <v>0</v>
      </c>
      <c r="M722" s="31">
        <f>IF(PO[[#This Row],[Spend category L2 - Override]] &lt;&gt; "", PO[[#This Row],[Spend category L2 - Override]], PO[[#This Row],[Spend category L2]])</f>
        <v>0</v>
      </c>
      <c r="N722" s="63">
        <f>Assumptions!$D$15</f>
        <v>0.1</v>
      </c>
      <c r="O722" s="45">
        <f>IF(PO[[#This Row],[GST applies?]] = "Yes", (PO[[#This Row],[Value inc. GST]] / 1 + PO[[#This Row],[GST %]]) * PO[[#This Row],[GST %]], 0)</f>
        <v>0</v>
      </c>
      <c r="P722" s="31">
        <f>_xlfn.XLOOKUP(PO[[#This Row],[Supplier name]], Supplier_master[Supplier name], Supplier_master[EOM or Net], 0)</f>
        <v>0</v>
      </c>
      <c r="Q722" s="31">
        <f>_xlfn.XLOOKUP(PO[[#This Row],[Supplier name]], Supplier_master[Supplier name], Supplier_master[Terms days], 0)</f>
        <v>0</v>
      </c>
      <c r="R7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2" s="4"/>
      <c r="T722" s="46">
        <f>IF(PO[[#This Row],[Payment date - override (dd/mm/yyyy)]] &lt;&gt; "", PO[[#This Row],[Payment date - override (dd/mm/yyyy)]], PO[[#This Row],[Due date (dd/mm/yyyy)]])</f>
        <v>0</v>
      </c>
      <c r="U722" s="46">
        <f t="shared" si="11"/>
        <v>52</v>
      </c>
    </row>
    <row r="723" spans="3:21" x14ac:dyDescent="0.25">
      <c r="C723" s="24"/>
      <c r="D723" s="20"/>
      <c r="E723" s="4"/>
      <c r="F723" s="37"/>
      <c r="G723" s="38"/>
      <c r="H723" s="31">
        <f>_xlfn.XLOOKUP(PO[[#This Row],[Supplier name]], Supplier_master[Supplier name], Supplier_master[Category L1], 0)</f>
        <v>0</v>
      </c>
      <c r="I723" s="31">
        <f>_xlfn.XLOOKUP(PO[[#This Row],[Supplier name]], Supplier_master[Supplier name], Supplier_master[Category L2], 0)</f>
        <v>0</v>
      </c>
      <c r="J723" s="55"/>
      <c r="K723" s="55"/>
      <c r="L723" s="31">
        <f>IF(PO[[#This Row],[Spend category L1 - Override]] &lt;&gt; "", PO[[#This Row],[Spend category L1 - Override]], PO[[#This Row],[Spend category L1]])</f>
        <v>0</v>
      </c>
      <c r="M723" s="31">
        <f>IF(PO[[#This Row],[Spend category L2 - Override]] &lt;&gt; "", PO[[#This Row],[Spend category L2 - Override]], PO[[#This Row],[Spend category L2]])</f>
        <v>0</v>
      </c>
      <c r="N723" s="63">
        <f>Assumptions!$D$15</f>
        <v>0.1</v>
      </c>
      <c r="O723" s="45">
        <f>IF(PO[[#This Row],[GST applies?]] = "Yes", (PO[[#This Row],[Value inc. GST]] / 1 + PO[[#This Row],[GST %]]) * PO[[#This Row],[GST %]], 0)</f>
        <v>0</v>
      </c>
      <c r="P723" s="31">
        <f>_xlfn.XLOOKUP(PO[[#This Row],[Supplier name]], Supplier_master[Supplier name], Supplier_master[EOM or Net], 0)</f>
        <v>0</v>
      </c>
      <c r="Q723" s="31">
        <f>_xlfn.XLOOKUP(PO[[#This Row],[Supplier name]], Supplier_master[Supplier name], Supplier_master[Terms days], 0)</f>
        <v>0</v>
      </c>
      <c r="R7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3" s="4"/>
      <c r="T723" s="46">
        <f>IF(PO[[#This Row],[Payment date - override (dd/mm/yyyy)]] &lt;&gt; "", PO[[#This Row],[Payment date - override (dd/mm/yyyy)]], PO[[#This Row],[Due date (dd/mm/yyyy)]])</f>
        <v>0</v>
      </c>
      <c r="U723" s="46">
        <f t="shared" si="11"/>
        <v>52</v>
      </c>
    </row>
    <row r="724" spans="3:21" x14ac:dyDescent="0.25">
      <c r="C724" s="24"/>
      <c r="D724" s="20"/>
      <c r="E724" s="4"/>
      <c r="F724" s="37"/>
      <c r="G724" s="38"/>
      <c r="H724" s="31">
        <f>_xlfn.XLOOKUP(PO[[#This Row],[Supplier name]], Supplier_master[Supplier name], Supplier_master[Category L1], 0)</f>
        <v>0</v>
      </c>
      <c r="I724" s="31">
        <f>_xlfn.XLOOKUP(PO[[#This Row],[Supplier name]], Supplier_master[Supplier name], Supplier_master[Category L2], 0)</f>
        <v>0</v>
      </c>
      <c r="J724" s="55"/>
      <c r="K724" s="55"/>
      <c r="L724" s="31">
        <f>IF(PO[[#This Row],[Spend category L1 - Override]] &lt;&gt; "", PO[[#This Row],[Spend category L1 - Override]], PO[[#This Row],[Spend category L1]])</f>
        <v>0</v>
      </c>
      <c r="M724" s="31">
        <f>IF(PO[[#This Row],[Spend category L2 - Override]] &lt;&gt; "", PO[[#This Row],[Spend category L2 - Override]], PO[[#This Row],[Spend category L2]])</f>
        <v>0</v>
      </c>
      <c r="N724" s="63">
        <f>Assumptions!$D$15</f>
        <v>0.1</v>
      </c>
      <c r="O724" s="45">
        <f>IF(PO[[#This Row],[GST applies?]] = "Yes", (PO[[#This Row],[Value inc. GST]] / 1 + PO[[#This Row],[GST %]]) * PO[[#This Row],[GST %]], 0)</f>
        <v>0</v>
      </c>
      <c r="P724" s="31">
        <f>_xlfn.XLOOKUP(PO[[#This Row],[Supplier name]], Supplier_master[Supplier name], Supplier_master[EOM or Net], 0)</f>
        <v>0</v>
      </c>
      <c r="Q724" s="31">
        <f>_xlfn.XLOOKUP(PO[[#This Row],[Supplier name]], Supplier_master[Supplier name], Supplier_master[Terms days], 0)</f>
        <v>0</v>
      </c>
      <c r="R7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4" s="4"/>
      <c r="T724" s="46">
        <f>IF(PO[[#This Row],[Payment date - override (dd/mm/yyyy)]] &lt;&gt; "", PO[[#This Row],[Payment date - override (dd/mm/yyyy)]], PO[[#This Row],[Due date (dd/mm/yyyy)]])</f>
        <v>0</v>
      </c>
      <c r="U724" s="46">
        <f t="shared" si="11"/>
        <v>52</v>
      </c>
    </row>
    <row r="725" spans="3:21" x14ac:dyDescent="0.25">
      <c r="C725" s="24"/>
      <c r="D725" s="20"/>
      <c r="E725" s="4"/>
      <c r="F725" s="37"/>
      <c r="G725" s="38"/>
      <c r="H725" s="31">
        <f>_xlfn.XLOOKUP(PO[[#This Row],[Supplier name]], Supplier_master[Supplier name], Supplier_master[Category L1], 0)</f>
        <v>0</v>
      </c>
      <c r="I725" s="31">
        <f>_xlfn.XLOOKUP(PO[[#This Row],[Supplier name]], Supplier_master[Supplier name], Supplier_master[Category L2], 0)</f>
        <v>0</v>
      </c>
      <c r="J725" s="55"/>
      <c r="K725" s="55"/>
      <c r="L725" s="31">
        <f>IF(PO[[#This Row],[Spend category L1 - Override]] &lt;&gt; "", PO[[#This Row],[Spend category L1 - Override]], PO[[#This Row],[Spend category L1]])</f>
        <v>0</v>
      </c>
      <c r="M725" s="31">
        <f>IF(PO[[#This Row],[Spend category L2 - Override]] &lt;&gt; "", PO[[#This Row],[Spend category L2 - Override]], PO[[#This Row],[Spend category L2]])</f>
        <v>0</v>
      </c>
      <c r="N725" s="63">
        <f>Assumptions!$D$15</f>
        <v>0.1</v>
      </c>
      <c r="O725" s="45">
        <f>IF(PO[[#This Row],[GST applies?]] = "Yes", (PO[[#This Row],[Value inc. GST]] / 1 + PO[[#This Row],[GST %]]) * PO[[#This Row],[GST %]], 0)</f>
        <v>0</v>
      </c>
      <c r="P725" s="31">
        <f>_xlfn.XLOOKUP(PO[[#This Row],[Supplier name]], Supplier_master[Supplier name], Supplier_master[EOM or Net], 0)</f>
        <v>0</v>
      </c>
      <c r="Q725" s="31">
        <f>_xlfn.XLOOKUP(PO[[#This Row],[Supplier name]], Supplier_master[Supplier name], Supplier_master[Terms days], 0)</f>
        <v>0</v>
      </c>
      <c r="R7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5" s="4"/>
      <c r="T725" s="46">
        <f>IF(PO[[#This Row],[Payment date - override (dd/mm/yyyy)]] &lt;&gt; "", PO[[#This Row],[Payment date - override (dd/mm/yyyy)]], PO[[#This Row],[Due date (dd/mm/yyyy)]])</f>
        <v>0</v>
      </c>
      <c r="U725" s="46">
        <f t="shared" si="11"/>
        <v>52</v>
      </c>
    </row>
    <row r="726" spans="3:21" x14ac:dyDescent="0.25">
      <c r="C726" s="24"/>
      <c r="D726" s="20"/>
      <c r="E726" s="4"/>
      <c r="F726" s="37"/>
      <c r="G726" s="38"/>
      <c r="H726" s="31">
        <f>_xlfn.XLOOKUP(PO[[#This Row],[Supplier name]], Supplier_master[Supplier name], Supplier_master[Category L1], 0)</f>
        <v>0</v>
      </c>
      <c r="I726" s="31">
        <f>_xlfn.XLOOKUP(PO[[#This Row],[Supplier name]], Supplier_master[Supplier name], Supplier_master[Category L2], 0)</f>
        <v>0</v>
      </c>
      <c r="J726" s="55"/>
      <c r="K726" s="55"/>
      <c r="L726" s="31">
        <f>IF(PO[[#This Row],[Spend category L1 - Override]] &lt;&gt; "", PO[[#This Row],[Spend category L1 - Override]], PO[[#This Row],[Spend category L1]])</f>
        <v>0</v>
      </c>
      <c r="M726" s="31">
        <f>IF(PO[[#This Row],[Spend category L2 - Override]] &lt;&gt; "", PO[[#This Row],[Spend category L2 - Override]], PO[[#This Row],[Spend category L2]])</f>
        <v>0</v>
      </c>
      <c r="N726" s="63">
        <f>Assumptions!$D$15</f>
        <v>0.1</v>
      </c>
      <c r="O726" s="45">
        <f>IF(PO[[#This Row],[GST applies?]] = "Yes", (PO[[#This Row],[Value inc. GST]] / 1 + PO[[#This Row],[GST %]]) * PO[[#This Row],[GST %]], 0)</f>
        <v>0</v>
      </c>
      <c r="P726" s="31">
        <f>_xlfn.XLOOKUP(PO[[#This Row],[Supplier name]], Supplier_master[Supplier name], Supplier_master[EOM or Net], 0)</f>
        <v>0</v>
      </c>
      <c r="Q726" s="31">
        <f>_xlfn.XLOOKUP(PO[[#This Row],[Supplier name]], Supplier_master[Supplier name], Supplier_master[Terms days], 0)</f>
        <v>0</v>
      </c>
      <c r="R7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6" s="4"/>
      <c r="T726" s="46">
        <f>IF(PO[[#This Row],[Payment date - override (dd/mm/yyyy)]] &lt;&gt; "", PO[[#This Row],[Payment date - override (dd/mm/yyyy)]], PO[[#This Row],[Due date (dd/mm/yyyy)]])</f>
        <v>0</v>
      </c>
      <c r="U726" s="46">
        <f t="shared" si="11"/>
        <v>52</v>
      </c>
    </row>
    <row r="727" spans="3:21" x14ac:dyDescent="0.25">
      <c r="C727" s="24"/>
      <c r="D727" s="20"/>
      <c r="E727" s="4"/>
      <c r="F727" s="37"/>
      <c r="G727" s="38"/>
      <c r="H727" s="31">
        <f>_xlfn.XLOOKUP(PO[[#This Row],[Supplier name]], Supplier_master[Supplier name], Supplier_master[Category L1], 0)</f>
        <v>0</v>
      </c>
      <c r="I727" s="31">
        <f>_xlfn.XLOOKUP(PO[[#This Row],[Supplier name]], Supplier_master[Supplier name], Supplier_master[Category L2], 0)</f>
        <v>0</v>
      </c>
      <c r="J727" s="55"/>
      <c r="K727" s="55"/>
      <c r="L727" s="31">
        <f>IF(PO[[#This Row],[Spend category L1 - Override]] &lt;&gt; "", PO[[#This Row],[Spend category L1 - Override]], PO[[#This Row],[Spend category L1]])</f>
        <v>0</v>
      </c>
      <c r="M727" s="31">
        <f>IF(PO[[#This Row],[Spend category L2 - Override]] &lt;&gt; "", PO[[#This Row],[Spend category L2 - Override]], PO[[#This Row],[Spend category L2]])</f>
        <v>0</v>
      </c>
      <c r="N727" s="63">
        <f>Assumptions!$D$15</f>
        <v>0.1</v>
      </c>
      <c r="O727" s="45">
        <f>IF(PO[[#This Row],[GST applies?]] = "Yes", (PO[[#This Row],[Value inc. GST]] / 1 + PO[[#This Row],[GST %]]) * PO[[#This Row],[GST %]], 0)</f>
        <v>0</v>
      </c>
      <c r="P727" s="31">
        <f>_xlfn.XLOOKUP(PO[[#This Row],[Supplier name]], Supplier_master[Supplier name], Supplier_master[EOM or Net], 0)</f>
        <v>0</v>
      </c>
      <c r="Q727" s="31">
        <f>_xlfn.XLOOKUP(PO[[#This Row],[Supplier name]], Supplier_master[Supplier name], Supplier_master[Terms days], 0)</f>
        <v>0</v>
      </c>
      <c r="R7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7" s="4"/>
      <c r="T727" s="46">
        <f>IF(PO[[#This Row],[Payment date - override (dd/mm/yyyy)]] &lt;&gt; "", PO[[#This Row],[Payment date - override (dd/mm/yyyy)]], PO[[#This Row],[Due date (dd/mm/yyyy)]])</f>
        <v>0</v>
      </c>
      <c r="U727" s="46">
        <f t="shared" si="11"/>
        <v>52</v>
      </c>
    </row>
    <row r="728" spans="3:21" x14ac:dyDescent="0.25">
      <c r="C728" s="24"/>
      <c r="D728" s="20"/>
      <c r="E728" s="4"/>
      <c r="F728" s="37"/>
      <c r="G728" s="38"/>
      <c r="H728" s="31">
        <f>_xlfn.XLOOKUP(PO[[#This Row],[Supplier name]], Supplier_master[Supplier name], Supplier_master[Category L1], 0)</f>
        <v>0</v>
      </c>
      <c r="I728" s="31">
        <f>_xlfn.XLOOKUP(PO[[#This Row],[Supplier name]], Supplier_master[Supplier name], Supplier_master[Category L2], 0)</f>
        <v>0</v>
      </c>
      <c r="J728" s="55"/>
      <c r="K728" s="55"/>
      <c r="L728" s="31">
        <f>IF(PO[[#This Row],[Spend category L1 - Override]] &lt;&gt; "", PO[[#This Row],[Spend category L1 - Override]], PO[[#This Row],[Spend category L1]])</f>
        <v>0</v>
      </c>
      <c r="M728" s="31">
        <f>IF(PO[[#This Row],[Spend category L2 - Override]] &lt;&gt; "", PO[[#This Row],[Spend category L2 - Override]], PO[[#This Row],[Spend category L2]])</f>
        <v>0</v>
      </c>
      <c r="N728" s="63">
        <f>Assumptions!$D$15</f>
        <v>0.1</v>
      </c>
      <c r="O728" s="45">
        <f>IF(PO[[#This Row],[GST applies?]] = "Yes", (PO[[#This Row],[Value inc. GST]] / 1 + PO[[#This Row],[GST %]]) * PO[[#This Row],[GST %]], 0)</f>
        <v>0</v>
      </c>
      <c r="P728" s="31">
        <f>_xlfn.XLOOKUP(PO[[#This Row],[Supplier name]], Supplier_master[Supplier name], Supplier_master[EOM or Net], 0)</f>
        <v>0</v>
      </c>
      <c r="Q728" s="31">
        <f>_xlfn.XLOOKUP(PO[[#This Row],[Supplier name]], Supplier_master[Supplier name], Supplier_master[Terms days], 0)</f>
        <v>0</v>
      </c>
      <c r="R7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8" s="4"/>
      <c r="T728" s="46">
        <f>IF(PO[[#This Row],[Payment date - override (dd/mm/yyyy)]] &lt;&gt; "", PO[[#This Row],[Payment date - override (dd/mm/yyyy)]], PO[[#This Row],[Due date (dd/mm/yyyy)]])</f>
        <v>0</v>
      </c>
      <c r="U728" s="46">
        <f t="shared" si="11"/>
        <v>52</v>
      </c>
    </row>
    <row r="729" spans="3:21" x14ac:dyDescent="0.25">
      <c r="C729" s="24"/>
      <c r="D729" s="20"/>
      <c r="E729" s="4"/>
      <c r="F729" s="37"/>
      <c r="G729" s="38"/>
      <c r="H729" s="31">
        <f>_xlfn.XLOOKUP(PO[[#This Row],[Supplier name]], Supplier_master[Supplier name], Supplier_master[Category L1], 0)</f>
        <v>0</v>
      </c>
      <c r="I729" s="31">
        <f>_xlfn.XLOOKUP(PO[[#This Row],[Supplier name]], Supplier_master[Supplier name], Supplier_master[Category L2], 0)</f>
        <v>0</v>
      </c>
      <c r="J729" s="55"/>
      <c r="K729" s="55"/>
      <c r="L729" s="31">
        <f>IF(PO[[#This Row],[Spend category L1 - Override]] &lt;&gt; "", PO[[#This Row],[Spend category L1 - Override]], PO[[#This Row],[Spend category L1]])</f>
        <v>0</v>
      </c>
      <c r="M729" s="31">
        <f>IF(PO[[#This Row],[Spend category L2 - Override]] &lt;&gt; "", PO[[#This Row],[Spend category L2 - Override]], PO[[#This Row],[Spend category L2]])</f>
        <v>0</v>
      </c>
      <c r="N729" s="63">
        <f>Assumptions!$D$15</f>
        <v>0.1</v>
      </c>
      <c r="O729" s="45">
        <f>IF(PO[[#This Row],[GST applies?]] = "Yes", (PO[[#This Row],[Value inc. GST]] / 1 + PO[[#This Row],[GST %]]) * PO[[#This Row],[GST %]], 0)</f>
        <v>0</v>
      </c>
      <c r="P729" s="31">
        <f>_xlfn.XLOOKUP(PO[[#This Row],[Supplier name]], Supplier_master[Supplier name], Supplier_master[EOM or Net], 0)</f>
        <v>0</v>
      </c>
      <c r="Q729" s="31">
        <f>_xlfn.XLOOKUP(PO[[#This Row],[Supplier name]], Supplier_master[Supplier name], Supplier_master[Terms days], 0)</f>
        <v>0</v>
      </c>
      <c r="R7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9" s="4"/>
      <c r="T729" s="46">
        <f>IF(PO[[#This Row],[Payment date - override (dd/mm/yyyy)]] &lt;&gt; "", PO[[#This Row],[Payment date - override (dd/mm/yyyy)]], PO[[#This Row],[Due date (dd/mm/yyyy)]])</f>
        <v>0</v>
      </c>
      <c r="U729" s="46">
        <f t="shared" si="11"/>
        <v>52</v>
      </c>
    </row>
    <row r="730" spans="3:21" x14ac:dyDescent="0.25">
      <c r="C730" s="24"/>
      <c r="D730" s="20"/>
      <c r="E730" s="4"/>
      <c r="F730" s="37"/>
      <c r="G730" s="38"/>
      <c r="H730" s="31">
        <f>_xlfn.XLOOKUP(PO[[#This Row],[Supplier name]], Supplier_master[Supplier name], Supplier_master[Category L1], 0)</f>
        <v>0</v>
      </c>
      <c r="I730" s="31">
        <f>_xlfn.XLOOKUP(PO[[#This Row],[Supplier name]], Supplier_master[Supplier name], Supplier_master[Category L2], 0)</f>
        <v>0</v>
      </c>
      <c r="J730" s="55"/>
      <c r="K730" s="55"/>
      <c r="L730" s="31">
        <f>IF(PO[[#This Row],[Spend category L1 - Override]] &lt;&gt; "", PO[[#This Row],[Spend category L1 - Override]], PO[[#This Row],[Spend category L1]])</f>
        <v>0</v>
      </c>
      <c r="M730" s="31">
        <f>IF(PO[[#This Row],[Spend category L2 - Override]] &lt;&gt; "", PO[[#This Row],[Spend category L2 - Override]], PO[[#This Row],[Spend category L2]])</f>
        <v>0</v>
      </c>
      <c r="N730" s="63">
        <f>Assumptions!$D$15</f>
        <v>0.1</v>
      </c>
      <c r="O730" s="45">
        <f>IF(PO[[#This Row],[GST applies?]] = "Yes", (PO[[#This Row],[Value inc. GST]] / 1 + PO[[#This Row],[GST %]]) * PO[[#This Row],[GST %]], 0)</f>
        <v>0</v>
      </c>
      <c r="P730" s="31">
        <f>_xlfn.XLOOKUP(PO[[#This Row],[Supplier name]], Supplier_master[Supplier name], Supplier_master[EOM or Net], 0)</f>
        <v>0</v>
      </c>
      <c r="Q730" s="31">
        <f>_xlfn.XLOOKUP(PO[[#This Row],[Supplier name]], Supplier_master[Supplier name], Supplier_master[Terms days], 0)</f>
        <v>0</v>
      </c>
      <c r="R7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0" s="4"/>
      <c r="T730" s="46">
        <f>IF(PO[[#This Row],[Payment date - override (dd/mm/yyyy)]] &lt;&gt; "", PO[[#This Row],[Payment date - override (dd/mm/yyyy)]], PO[[#This Row],[Due date (dd/mm/yyyy)]])</f>
        <v>0</v>
      </c>
      <c r="U730" s="46">
        <f t="shared" si="11"/>
        <v>52</v>
      </c>
    </row>
    <row r="731" spans="3:21" x14ac:dyDescent="0.25">
      <c r="C731" s="24"/>
      <c r="D731" s="20"/>
      <c r="E731" s="4"/>
      <c r="F731" s="37"/>
      <c r="G731" s="38"/>
      <c r="H731" s="31">
        <f>_xlfn.XLOOKUP(PO[[#This Row],[Supplier name]], Supplier_master[Supplier name], Supplier_master[Category L1], 0)</f>
        <v>0</v>
      </c>
      <c r="I731" s="31">
        <f>_xlfn.XLOOKUP(PO[[#This Row],[Supplier name]], Supplier_master[Supplier name], Supplier_master[Category L2], 0)</f>
        <v>0</v>
      </c>
      <c r="J731" s="55"/>
      <c r="K731" s="55"/>
      <c r="L731" s="31">
        <f>IF(PO[[#This Row],[Spend category L1 - Override]] &lt;&gt; "", PO[[#This Row],[Spend category L1 - Override]], PO[[#This Row],[Spend category L1]])</f>
        <v>0</v>
      </c>
      <c r="M731" s="31">
        <f>IF(PO[[#This Row],[Spend category L2 - Override]] &lt;&gt; "", PO[[#This Row],[Spend category L2 - Override]], PO[[#This Row],[Spend category L2]])</f>
        <v>0</v>
      </c>
      <c r="N731" s="63">
        <f>Assumptions!$D$15</f>
        <v>0.1</v>
      </c>
      <c r="O731" s="45">
        <f>IF(PO[[#This Row],[GST applies?]] = "Yes", (PO[[#This Row],[Value inc. GST]] / 1 + PO[[#This Row],[GST %]]) * PO[[#This Row],[GST %]], 0)</f>
        <v>0</v>
      </c>
      <c r="P731" s="31">
        <f>_xlfn.XLOOKUP(PO[[#This Row],[Supplier name]], Supplier_master[Supplier name], Supplier_master[EOM or Net], 0)</f>
        <v>0</v>
      </c>
      <c r="Q731" s="31">
        <f>_xlfn.XLOOKUP(PO[[#This Row],[Supplier name]], Supplier_master[Supplier name], Supplier_master[Terms days], 0)</f>
        <v>0</v>
      </c>
      <c r="R7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1" s="4"/>
      <c r="T731" s="46">
        <f>IF(PO[[#This Row],[Payment date - override (dd/mm/yyyy)]] &lt;&gt; "", PO[[#This Row],[Payment date - override (dd/mm/yyyy)]], PO[[#This Row],[Due date (dd/mm/yyyy)]])</f>
        <v>0</v>
      </c>
      <c r="U731" s="46">
        <f t="shared" si="11"/>
        <v>52</v>
      </c>
    </row>
    <row r="732" spans="3:21" x14ac:dyDescent="0.25">
      <c r="C732" s="24"/>
      <c r="D732" s="20"/>
      <c r="E732" s="4"/>
      <c r="F732" s="37"/>
      <c r="G732" s="38"/>
      <c r="H732" s="31">
        <f>_xlfn.XLOOKUP(PO[[#This Row],[Supplier name]], Supplier_master[Supplier name], Supplier_master[Category L1], 0)</f>
        <v>0</v>
      </c>
      <c r="I732" s="31">
        <f>_xlfn.XLOOKUP(PO[[#This Row],[Supplier name]], Supplier_master[Supplier name], Supplier_master[Category L2], 0)</f>
        <v>0</v>
      </c>
      <c r="J732" s="55"/>
      <c r="K732" s="55"/>
      <c r="L732" s="31">
        <f>IF(PO[[#This Row],[Spend category L1 - Override]] &lt;&gt; "", PO[[#This Row],[Spend category L1 - Override]], PO[[#This Row],[Spend category L1]])</f>
        <v>0</v>
      </c>
      <c r="M732" s="31">
        <f>IF(PO[[#This Row],[Spend category L2 - Override]] &lt;&gt; "", PO[[#This Row],[Spend category L2 - Override]], PO[[#This Row],[Spend category L2]])</f>
        <v>0</v>
      </c>
      <c r="N732" s="63">
        <f>Assumptions!$D$15</f>
        <v>0.1</v>
      </c>
      <c r="O732" s="45">
        <f>IF(PO[[#This Row],[GST applies?]] = "Yes", (PO[[#This Row],[Value inc. GST]] / 1 + PO[[#This Row],[GST %]]) * PO[[#This Row],[GST %]], 0)</f>
        <v>0</v>
      </c>
      <c r="P732" s="31">
        <f>_xlfn.XLOOKUP(PO[[#This Row],[Supplier name]], Supplier_master[Supplier name], Supplier_master[EOM or Net], 0)</f>
        <v>0</v>
      </c>
      <c r="Q732" s="31">
        <f>_xlfn.XLOOKUP(PO[[#This Row],[Supplier name]], Supplier_master[Supplier name], Supplier_master[Terms days], 0)</f>
        <v>0</v>
      </c>
      <c r="R7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2" s="4"/>
      <c r="T732" s="46">
        <f>IF(PO[[#This Row],[Payment date - override (dd/mm/yyyy)]] &lt;&gt; "", PO[[#This Row],[Payment date - override (dd/mm/yyyy)]], PO[[#This Row],[Due date (dd/mm/yyyy)]])</f>
        <v>0</v>
      </c>
      <c r="U732" s="46">
        <f t="shared" si="11"/>
        <v>52</v>
      </c>
    </row>
    <row r="733" spans="3:21" x14ac:dyDescent="0.25">
      <c r="C733" s="24"/>
      <c r="D733" s="20"/>
      <c r="E733" s="4"/>
      <c r="F733" s="37"/>
      <c r="G733" s="38"/>
      <c r="H733" s="31">
        <f>_xlfn.XLOOKUP(PO[[#This Row],[Supplier name]], Supplier_master[Supplier name], Supplier_master[Category L1], 0)</f>
        <v>0</v>
      </c>
      <c r="I733" s="31">
        <f>_xlfn.XLOOKUP(PO[[#This Row],[Supplier name]], Supplier_master[Supplier name], Supplier_master[Category L2], 0)</f>
        <v>0</v>
      </c>
      <c r="J733" s="55"/>
      <c r="K733" s="55"/>
      <c r="L733" s="31">
        <f>IF(PO[[#This Row],[Spend category L1 - Override]] &lt;&gt; "", PO[[#This Row],[Spend category L1 - Override]], PO[[#This Row],[Spend category L1]])</f>
        <v>0</v>
      </c>
      <c r="M733" s="31">
        <f>IF(PO[[#This Row],[Spend category L2 - Override]] &lt;&gt; "", PO[[#This Row],[Spend category L2 - Override]], PO[[#This Row],[Spend category L2]])</f>
        <v>0</v>
      </c>
      <c r="N733" s="63">
        <f>Assumptions!$D$15</f>
        <v>0.1</v>
      </c>
      <c r="O733" s="45">
        <f>IF(PO[[#This Row],[GST applies?]] = "Yes", (PO[[#This Row],[Value inc. GST]] / 1 + PO[[#This Row],[GST %]]) * PO[[#This Row],[GST %]], 0)</f>
        <v>0</v>
      </c>
      <c r="P733" s="31">
        <f>_xlfn.XLOOKUP(PO[[#This Row],[Supplier name]], Supplier_master[Supplier name], Supplier_master[EOM or Net], 0)</f>
        <v>0</v>
      </c>
      <c r="Q733" s="31">
        <f>_xlfn.XLOOKUP(PO[[#This Row],[Supplier name]], Supplier_master[Supplier name], Supplier_master[Terms days], 0)</f>
        <v>0</v>
      </c>
      <c r="R7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3" s="4"/>
      <c r="T733" s="46">
        <f>IF(PO[[#This Row],[Payment date - override (dd/mm/yyyy)]] &lt;&gt; "", PO[[#This Row],[Payment date - override (dd/mm/yyyy)]], PO[[#This Row],[Due date (dd/mm/yyyy)]])</f>
        <v>0</v>
      </c>
      <c r="U733" s="46">
        <f t="shared" si="11"/>
        <v>52</v>
      </c>
    </row>
    <row r="734" spans="3:21" x14ac:dyDescent="0.25">
      <c r="C734" s="24"/>
      <c r="D734" s="20"/>
      <c r="E734" s="4"/>
      <c r="F734" s="37"/>
      <c r="G734" s="38"/>
      <c r="H734" s="31">
        <f>_xlfn.XLOOKUP(PO[[#This Row],[Supplier name]], Supplier_master[Supplier name], Supplier_master[Category L1], 0)</f>
        <v>0</v>
      </c>
      <c r="I734" s="31">
        <f>_xlfn.XLOOKUP(PO[[#This Row],[Supplier name]], Supplier_master[Supplier name], Supplier_master[Category L2], 0)</f>
        <v>0</v>
      </c>
      <c r="J734" s="55"/>
      <c r="K734" s="55"/>
      <c r="L734" s="31">
        <f>IF(PO[[#This Row],[Spend category L1 - Override]] &lt;&gt; "", PO[[#This Row],[Spend category L1 - Override]], PO[[#This Row],[Spend category L1]])</f>
        <v>0</v>
      </c>
      <c r="M734" s="31">
        <f>IF(PO[[#This Row],[Spend category L2 - Override]] &lt;&gt; "", PO[[#This Row],[Spend category L2 - Override]], PO[[#This Row],[Spend category L2]])</f>
        <v>0</v>
      </c>
      <c r="N734" s="63">
        <f>Assumptions!$D$15</f>
        <v>0.1</v>
      </c>
      <c r="O734" s="45">
        <f>IF(PO[[#This Row],[GST applies?]] = "Yes", (PO[[#This Row],[Value inc. GST]] / 1 + PO[[#This Row],[GST %]]) * PO[[#This Row],[GST %]], 0)</f>
        <v>0</v>
      </c>
      <c r="P734" s="31">
        <f>_xlfn.XLOOKUP(PO[[#This Row],[Supplier name]], Supplier_master[Supplier name], Supplier_master[EOM or Net], 0)</f>
        <v>0</v>
      </c>
      <c r="Q734" s="31">
        <f>_xlfn.XLOOKUP(PO[[#This Row],[Supplier name]], Supplier_master[Supplier name], Supplier_master[Terms days], 0)</f>
        <v>0</v>
      </c>
      <c r="R7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4" s="4"/>
      <c r="T734" s="46">
        <f>IF(PO[[#This Row],[Payment date - override (dd/mm/yyyy)]] &lt;&gt; "", PO[[#This Row],[Payment date - override (dd/mm/yyyy)]], PO[[#This Row],[Due date (dd/mm/yyyy)]])</f>
        <v>0</v>
      </c>
      <c r="U734" s="46">
        <f t="shared" si="11"/>
        <v>52</v>
      </c>
    </row>
    <row r="735" spans="3:21" x14ac:dyDescent="0.25">
      <c r="C735" s="24"/>
      <c r="D735" s="20"/>
      <c r="E735" s="4"/>
      <c r="F735" s="37"/>
      <c r="G735" s="38"/>
      <c r="H735" s="31">
        <f>_xlfn.XLOOKUP(PO[[#This Row],[Supplier name]], Supplier_master[Supplier name], Supplier_master[Category L1], 0)</f>
        <v>0</v>
      </c>
      <c r="I735" s="31">
        <f>_xlfn.XLOOKUP(PO[[#This Row],[Supplier name]], Supplier_master[Supplier name], Supplier_master[Category L2], 0)</f>
        <v>0</v>
      </c>
      <c r="J735" s="55"/>
      <c r="K735" s="55"/>
      <c r="L735" s="31">
        <f>IF(PO[[#This Row],[Spend category L1 - Override]] &lt;&gt; "", PO[[#This Row],[Spend category L1 - Override]], PO[[#This Row],[Spend category L1]])</f>
        <v>0</v>
      </c>
      <c r="M735" s="31">
        <f>IF(PO[[#This Row],[Spend category L2 - Override]] &lt;&gt; "", PO[[#This Row],[Spend category L2 - Override]], PO[[#This Row],[Spend category L2]])</f>
        <v>0</v>
      </c>
      <c r="N735" s="63">
        <f>Assumptions!$D$15</f>
        <v>0.1</v>
      </c>
      <c r="O735" s="45">
        <f>IF(PO[[#This Row],[GST applies?]] = "Yes", (PO[[#This Row],[Value inc. GST]] / 1 + PO[[#This Row],[GST %]]) * PO[[#This Row],[GST %]], 0)</f>
        <v>0</v>
      </c>
      <c r="P735" s="31">
        <f>_xlfn.XLOOKUP(PO[[#This Row],[Supplier name]], Supplier_master[Supplier name], Supplier_master[EOM or Net], 0)</f>
        <v>0</v>
      </c>
      <c r="Q735" s="31">
        <f>_xlfn.XLOOKUP(PO[[#This Row],[Supplier name]], Supplier_master[Supplier name], Supplier_master[Terms days], 0)</f>
        <v>0</v>
      </c>
      <c r="R7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5" s="4"/>
      <c r="T735" s="46">
        <f>IF(PO[[#This Row],[Payment date - override (dd/mm/yyyy)]] &lt;&gt; "", PO[[#This Row],[Payment date - override (dd/mm/yyyy)]], PO[[#This Row],[Due date (dd/mm/yyyy)]])</f>
        <v>0</v>
      </c>
      <c r="U735" s="46">
        <f t="shared" si="11"/>
        <v>52</v>
      </c>
    </row>
    <row r="736" spans="3:21" x14ac:dyDescent="0.25">
      <c r="C736" s="24"/>
      <c r="D736" s="20"/>
      <c r="E736" s="4"/>
      <c r="F736" s="37"/>
      <c r="G736" s="38"/>
      <c r="H736" s="31">
        <f>_xlfn.XLOOKUP(PO[[#This Row],[Supplier name]], Supplier_master[Supplier name], Supplier_master[Category L1], 0)</f>
        <v>0</v>
      </c>
      <c r="I736" s="31">
        <f>_xlfn.XLOOKUP(PO[[#This Row],[Supplier name]], Supplier_master[Supplier name], Supplier_master[Category L2], 0)</f>
        <v>0</v>
      </c>
      <c r="J736" s="55"/>
      <c r="K736" s="55"/>
      <c r="L736" s="31">
        <f>IF(PO[[#This Row],[Spend category L1 - Override]] &lt;&gt; "", PO[[#This Row],[Spend category L1 - Override]], PO[[#This Row],[Spend category L1]])</f>
        <v>0</v>
      </c>
      <c r="M736" s="31">
        <f>IF(PO[[#This Row],[Spend category L2 - Override]] &lt;&gt; "", PO[[#This Row],[Spend category L2 - Override]], PO[[#This Row],[Spend category L2]])</f>
        <v>0</v>
      </c>
      <c r="N736" s="63">
        <f>Assumptions!$D$15</f>
        <v>0.1</v>
      </c>
      <c r="O736" s="45">
        <f>IF(PO[[#This Row],[GST applies?]] = "Yes", (PO[[#This Row],[Value inc. GST]] / 1 + PO[[#This Row],[GST %]]) * PO[[#This Row],[GST %]], 0)</f>
        <v>0</v>
      </c>
      <c r="P736" s="31">
        <f>_xlfn.XLOOKUP(PO[[#This Row],[Supplier name]], Supplier_master[Supplier name], Supplier_master[EOM or Net], 0)</f>
        <v>0</v>
      </c>
      <c r="Q736" s="31">
        <f>_xlfn.XLOOKUP(PO[[#This Row],[Supplier name]], Supplier_master[Supplier name], Supplier_master[Terms days], 0)</f>
        <v>0</v>
      </c>
      <c r="R7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6" s="4"/>
      <c r="T736" s="46">
        <f>IF(PO[[#This Row],[Payment date - override (dd/mm/yyyy)]] &lt;&gt; "", PO[[#This Row],[Payment date - override (dd/mm/yyyy)]], PO[[#This Row],[Due date (dd/mm/yyyy)]])</f>
        <v>0</v>
      </c>
      <c r="U736" s="46">
        <f t="shared" si="11"/>
        <v>52</v>
      </c>
    </row>
    <row r="737" spans="3:21" x14ac:dyDescent="0.25">
      <c r="C737" s="24"/>
      <c r="D737" s="20"/>
      <c r="E737" s="4"/>
      <c r="F737" s="37"/>
      <c r="G737" s="38"/>
      <c r="H737" s="31">
        <f>_xlfn.XLOOKUP(PO[[#This Row],[Supplier name]], Supplier_master[Supplier name], Supplier_master[Category L1], 0)</f>
        <v>0</v>
      </c>
      <c r="I737" s="31">
        <f>_xlfn.XLOOKUP(PO[[#This Row],[Supplier name]], Supplier_master[Supplier name], Supplier_master[Category L2], 0)</f>
        <v>0</v>
      </c>
      <c r="J737" s="55"/>
      <c r="K737" s="55"/>
      <c r="L737" s="31">
        <f>IF(PO[[#This Row],[Spend category L1 - Override]] &lt;&gt; "", PO[[#This Row],[Spend category L1 - Override]], PO[[#This Row],[Spend category L1]])</f>
        <v>0</v>
      </c>
      <c r="M737" s="31">
        <f>IF(PO[[#This Row],[Spend category L2 - Override]] &lt;&gt; "", PO[[#This Row],[Spend category L2 - Override]], PO[[#This Row],[Spend category L2]])</f>
        <v>0</v>
      </c>
      <c r="N737" s="63">
        <f>Assumptions!$D$15</f>
        <v>0.1</v>
      </c>
      <c r="O737" s="45">
        <f>IF(PO[[#This Row],[GST applies?]] = "Yes", (PO[[#This Row],[Value inc. GST]] / 1 + PO[[#This Row],[GST %]]) * PO[[#This Row],[GST %]], 0)</f>
        <v>0</v>
      </c>
      <c r="P737" s="31">
        <f>_xlfn.XLOOKUP(PO[[#This Row],[Supplier name]], Supplier_master[Supplier name], Supplier_master[EOM or Net], 0)</f>
        <v>0</v>
      </c>
      <c r="Q737" s="31">
        <f>_xlfn.XLOOKUP(PO[[#This Row],[Supplier name]], Supplier_master[Supplier name], Supplier_master[Terms days], 0)</f>
        <v>0</v>
      </c>
      <c r="R7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7" s="4"/>
      <c r="T737" s="46">
        <f>IF(PO[[#This Row],[Payment date - override (dd/mm/yyyy)]] &lt;&gt; "", PO[[#This Row],[Payment date - override (dd/mm/yyyy)]], PO[[#This Row],[Due date (dd/mm/yyyy)]])</f>
        <v>0</v>
      </c>
      <c r="U737" s="46">
        <f t="shared" si="11"/>
        <v>52</v>
      </c>
    </row>
    <row r="738" spans="3:21" x14ac:dyDescent="0.25">
      <c r="C738" s="24"/>
      <c r="D738" s="20"/>
      <c r="E738" s="4"/>
      <c r="F738" s="37"/>
      <c r="G738" s="38"/>
      <c r="H738" s="31">
        <f>_xlfn.XLOOKUP(PO[[#This Row],[Supplier name]], Supplier_master[Supplier name], Supplier_master[Category L1], 0)</f>
        <v>0</v>
      </c>
      <c r="I738" s="31">
        <f>_xlfn.XLOOKUP(PO[[#This Row],[Supplier name]], Supplier_master[Supplier name], Supplier_master[Category L2], 0)</f>
        <v>0</v>
      </c>
      <c r="J738" s="55"/>
      <c r="K738" s="55"/>
      <c r="L738" s="31">
        <f>IF(PO[[#This Row],[Spend category L1 - Override]] &lt;&gt; "", PO[[#This Row],[Spend category L1 - Override]], PO[[#This Row],[Spend category L1]])</f>
        <v>0</v>
      </c>
      <c r="M738" s="31">
        <f>IF(PO[[#This Row],[Spend category L2 - Override]] &lt;&gt; "", PO[[#This Row],[Spend category L2 - Override]], PO[[#This Row],[Spend category L2]])</f>
        <v>0</v>
      </c>
      <c r="N738" s="63">
        <f>Assumptions!$D$15</f>
        <v>0.1</v>
      </c>
      <c r="O738" s="45">
        <f>IF(PO[[#This Row],[GST applies?]] = "Yes", (PO[[#This Row],[Value inc. GST]] / 1 + PO[[#This Row],[GST %]]) * PO[[#This Row],[GST %]], 0)</f>
        <v>0</v>
      </c>
      <c r="P738" s="31">
        <f>_xlfn.XLOOKUP(PO[[#This Row],[Supplier name]], Supplier_master[Supplier name], Supplier_master[EOM or Net], 0)</f>
        <v>0</v>
      </c>
      <c r="Q738" s="31">
        <f>_xlfn.XLOOKUP(PO[[#This Row],[Supplier name]], Supplier_master[Supplier name], Supplier_master[Terms days], 0)</f>
        <v>0</v>
      </c>
      <c r="R7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8" s="4"/>
      <c r="T738" s="46">
        <f>IF(PO[[#This Row],[Payment date - override (dd/mm/yyyy)]] &lt;&gt; "", PO[[#This Row],[Payment date - override (dd/mm/yyyy)]], PO[[#This Row],[Due date (dd/mm/yyyy)]])</f>
        <v>0</v>
      </c>
      <c r="U738" s="46">
        <f t="shared" si="11"/>
        <v>52</v>
      </c>
    </row>
    <row r="739" spans="3:21" x14ac:dyDescent="0.25">
      <c r="C739" s="24"/>
      <c r="D739" s="20"/>
      <c r="E739" s="4"/>
      <c r="F739" s="37"/>
      <c r="G739" s="38"/>
      <c r="H739" s="31">
        <f>_xlfn.XLOOKUP(PO[[#This Row],[Supplier name]], Supplier_master[Supplier name], Supplier_master[Category L1], 0)</f>
        <v>0</v>
      </c>
      <c r="I739" s="31">
        <f>_xlfn.XLOOKUP(PO[[#This Row],[Supplier name]], Supplier_master[Supplier name], Supplier_master[Category L2], 0)</f>
        <v>0</v>
      </c>
      <c r="J739" s="55"/>
      <c r="K739" s="55"/>
      <c r="L739" s="31">
        <f>IF(PO[[#This Row],[Spend category L1 - Override]] &lt;&gt; "", PO[[#This Row],[Spend category L1 - Override]], PO[[#This Row],[Spend category L1]])</f>
        <v>0</v>
      </c>
      <c r="M739" s="31">
        <f>IF(PO[[#This Row],[Spend category L2 - Override]] &lt;&gt; "", PO[[#This Row],[Spend category L2 - Override]], PO[[#This Row],[Spend category L2]])</f>
        <v>0</v>
      </c>
      <c r="N739" s="63">
        <f>Assumptions!$D$15</f>
        <v>0.1</v>
      </c>
      <c r="O739" s="45">
        <f>IF(PO[[#This Row],[GST applies?]] = "Yes", (PO[[#This Row],[Value inc. GST]] / 1 + PO[[#This Row],[GST %]]) * PO[[#This Row],[GST %]], 0)</f>
        <v>0</v>
      </c>
      <c r="P739" s="31">
        <f>_xlfn.XLOOKUP(PO[[#This Row],[Supplier name]], Supplier_master[Supplier name], Supplier_master[EOM or Net], 0)</f>
        <v>0</v>
      </c>
      <c r="Q739" s="31">
        <f>_xlfn.XLOOKUP(PO[[#This Row],[Supplier name]], Supplier_master[Supplier name], Supplier_master[Terms days], 0)</f>
        <v>0</v>
      </c>
      <c r="R7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9" s="4"/>
      <c r="T739" s="46">
        <f>IF(PO[[#This Row],[Payment date - override (dd/mm/yyyy)]] &lt;&gt; "", PO[[#This Row],[Payment date - override (dd/mm/yyyy)]], PO[[#This Row],[Due date (dd/mm/yyyy)]])</f>
        <v>0</v>
      </c>
      <c r="U739" s="46">
        <f t="shared" si="11"/>
        <v>52</v>
      </c>
    </row>
    <row r="740" spans="3:21" x14ac:dyDescent="0.25">
      <c r="C740" s="24"/>
      <c r="D740" s="20"/>
      <c r="E740" s="4"/>
      <c r="F740" s="37"/>
      <c r="G740" s="38"/>
      <c r="H740" s="31">
        <f>_xlfn.XLOOKUP(PO[[#This Row],[Supplier name]], Supplier_master[Supplier name], Supplier_master[Category L1], 0)</f>
        <v>0</v>
      </c>
      <c r="I740" s="31">
        <f>_xlfn.XLOOKUP(PO[[#This Row],[Supplier name]], Supplier_master[Supplier name], Supplier_master[Category L2], 0)</f>
        <v>0</v>
      </c>
      <c r="J740" s="55"/>
      <c r="K740" s="55"/>
      <c r="L740" s="31">
        <f>IF(PO[[#This Row],[Spend category L1 - Override]] &lt;&gt; "", PO[[#This Row],[Spend category L1 - Override]], PO[[#This Row],[Spend category L1]])</f>
        <v>0</v>
      </c>
      <c r="M740" s="31">
        <f>IF(PO[[#This Row],[Spend category L2 - Override]] &lt;&gt; "", PO[[#This Row],[Spend category L2 - Override]], PO[[#This Row],[Spend category L2]])</f>
        <v>0</v>
      </c>
      <c r="N740" s="63">
        <f>Assumptions!$D$15</f>
        <v>0.1</v>
      </c>
      <c r="O740" s="45">
        <f>IF(PO[[#This Row],[GST applies?]] = "Yes", (PO[[#This Row],[Value inc. GST]] / 1 + PO[[#This Row],[GST %]]) * PO[[#This Row],[GST %]], 0)</f>
        <v>0</v>
      </c>
      <c r="P740" s="31">
        <f>_xlfn.XLOOKUP(PO[[#This Row],[Supplier name]], Supplier_master[Supplier name], Supplier_master[EOM or Net], 0)</f>
        <v>0</v>
      </c>
      <c r="Q740" s="31">
        <f>_xlfn.XLOOKUP(PO[[#This Row],[Supplier name]], Supplier_master[Supplier name], Supplier_master[Terms days], 0)</f>
        <v>0</v>
      </c>
      <c r="R7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0" s="4"/>
      <c r="T740" s="46">
        <f>IF(PO[[#This Row],[Payment date - override (dd/mm/yyyy)]] &lt;&gt; "", PO[[#This Row],[Payment date - override (dd/mm/yyyy)]], PO[[#This Row],[Due date (dd/mm/yyyy)]])</f>
        <v>0</v>
      </c>
      <c r="U740" s="46">
        <f t="shared" si="11"/>
        <v>52</v>
      </c>
    </row>
    <row r="741" spans="3:21" x14ac:dyDescent="0.25">
      <c r="C741" s="24"/>
      <c r="D741" s="20"/>
      <c r="E741" s="4"/>
      <c r="F741" s="37"/>
      <c r="G741" s="38"/>
      <c r="H741" s="31">
        <f>_xlfn.XLOOKUP(PO[[#This Row],[Supplier name]], Supplier_master[Supplier name], Supplier_master[Category L1], 0)</f>
        <v>0</v>
      </c>
      <c r="I741" s="31">
        <f>_xlfn.XLOOKUP(PO[[#This Row],[Supplier name]], Supplier_master[Supplier name], Supplier_master[Category L2], 0)</f>
        <v>0</v>
      </c>
      <c r="J741" s="55"/>
      <c r="K741" s="55"/>
      <c r="L741" s="31">
        <f>IF(PO[[#This Row],[Spend category L1 - Override]] &lt;&gt; "", PO[[#This Row],[Spend category L1 - Override]], PO[[#This Row],[Spend category L1]])</f>
        <v>0</v>
      </c>
      <c r="M741" s="31">
        <f>IF(PO[[#This Row],[Spend category L2 - Override]] &lt;&gt; "", PO[[#This Row],[Spend category L2 - Override]], PO[[#This Row],[Spend category L2]])</f>
        <v>0</v>
      </c>
      <c r="N741" s="63">
        <f>Assumptions!$D$15</f>
        <v>0.1</v>
      </c>
      <c r="O741" s="45">
        <f>IF(PO[[#This Row],[GST applies?]] = "Yes", (PO[[#This Row],[Value inc. GST]] / 1 + PO[[#This Row],[GST %]]) * PO[[#This Row],[GST %]], 0)</f>
        <v>0</v>
      </c>
      <c r="P741" s="31">
        <f>_xlfn.XLOOKUP(PO[[#This Row],[Supplier name]], Supplier_master[Supplier name], Supplier_master[EOM or Net], 0)</f>
        <v>0</v>
      </c>
      <c r="Q741" s="31">
        <f>_xlfn.XLOOKUP(PO[[#This Row],[Supplier name]], Supplier_master[Supplier name], Supplier_master[Terms days], 0)</f>
        <v>0</v>
      </c>
      <c r="R7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1" s="4"/>
      <c r="T741" s="46">
        <f>IF(PO[[#This Row],[Payment date - override (dd/mm/yyyy)]] &lt;&gt; "", PO[[#This Row],[Payment date - override (dd/mm/yyyy)]], PO[[#This Row],[Due date (dd/mm/yyyy)]])</f>
        <v>0</v>
      </c>
      <c r="U741" s="46">
        <f t="shared" si="11"/>
        <v>52</v>
      </c>
    </row>
    <row r="742" spans="3:21" x14ac:dyDescent="0.25">
      <c r="C742" s="24"/>
      <c r="D742" s="20"/>
      <c r="E742" s="4"/>
      <c r="F742" s="37"/>
      <c r="G742" s="38"/>
      <c r="H742" s="31">
        <f>_xlfn.XLOOKUP(PO[[#This Row],[Supplier name]], Supplier_master[Supplier name], Supplier_master[Category L1], 0)</f>
        <v>0</v>
      </c>
      <c r="I742" s="31">
        <f>_xlfn.XLOOKUP(PO[[#This Row],[Supplier name]], Supplier_master[Supplier name], Supplier_master[Category L2], 0)</f>
        <v>0</v>
      </c>
      <c r="J742" s="55"/>
      <c r="K742" s="55"/>
      <c r="L742" s="31">
        <f>IF(PO[[#This Row],[Spend category L1 - Override]] &lt;&gt; "", PO[[#This Row],[Spend category L1 - Override]], PO[[#This Row],[Spend category L1]])</f>
        <v>0</v>
      </c>
      <c r="M742" s="31">
        <f>IF(PO[[#This Row],[Spend category L2 - Override]] &lt;&gt; "", PO[[#This Row],[Spend category L2 - Override]], PO[[#This Row],[Spend category L2]])</f>
        <v>0</v>
      </c>
      <c r="N742" s="63">
        <f>Assumptions!$D$15</f>
        <v>0.1</v>
      </c>
      <c r="O742" s="45">
        <f>IF(PO[[#This Row],[GST applies?]] = "Yes", (PO[[#This Row],[Value inc. GST]] / 1 + PO[[#This Row],[GST %]]) * PO[[#This Row],[GST %]], 0)</f>
        <v>0</v>
      </c>
      <c r="P742" s="31">
        <f>_xlfn.XLOOKUP(PO[[#This Row],[Supplier name]], Supplier_master[Supplier name], Supplier_master[EOM or Net], 0)</f>
        <v>0</v>
      </c>
      <c r="Q742" s="31">
        <f>_xlfn.XLOOKUP(PO[[#This Row],[Supplier name]], Supplier_master[Supplier name], Supplier_master[Terms days], 0)</f>
        <v>0</v>
      </c>
      <c r="R7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2" s="4"/>
      <c r="T742" s="46">
        <f>IF(PO[[#This Row],[Payment date - override (dd/mm/yyyy)]] &lt;&gt; "", PO[[#This Row],[Payment date - override (dd/mm/yyyy)]], PO[[#This Row],[Due date (dd/mm/yyyy)]])</f>
        <v>0</v>
      </c>
      <c r="U742" s="46">
        <f t="shared" si="11"/>
        <v>52</v>
      </c>
    </row>
    <row r="743" spans="3:21" x14ac:dyDescent="0.25">
      <c r="C743" s="24"/>
      <c r="D743" s="20"/>
      <c r="E743" s="4"/>
      <c r="F743" s="37"/>
      <c r="G743" s="38"/>
      <c r="H743" s="31">
        <f>_xlfn.XLOOKUP(PO[[#This Row],[Supplier name]], Supplier_master[Supplier name], Supplier_master[Category L1], 0)</f>
        <v>0</v>
      </c>
      <c r="I743" s="31">
        <f>_xlfn.XLOOKUP(PO[[#This Row],[Supplier name]], Supplier_master[Supplier name], Supplier_master[Category L2], 0)</f>
        <v>0</v>
      </c>
      <c r="J743" s="55"/>
      <c r="K743" s="55"/>
      <c r="L743" s="31">
        <f>IF(PO[[#This Row],[Spend category L1 - Override]] &lt;&gt; "", PO[[#This Row],[Spend category L1 - Override]], PO[[#This Row],[Spend category L1]])</f>
        <v>0</v>
      </c>
      <c r="M743" s="31">
        <f>IF(PO[[#This Row],[Spend category L2 - Override]] &lt;&gt; "", PO[[#This Row],[Spend category L2 - Override]], PO[[#This Row],[Spend category L2]])</f>
        <v>0</v>
      </c>
      <c r="N743" s="63">
        <f>Assumptions!$D$15</f>
        <v>0.1</v>
      </c>
      <c r="O743" s="45">
        <f>IF(PO[[#This Row],[GST applies?]] = "Yes", (PO[[#This Row],[Value inc. GST]] / 1 + PO[[#This Row],[GST %]]) * PO[[#This Row],[GST %]], 0)</f>
        <v>0</v>
      </c>
      <c r="P743" s="31">
        <f>_xlfn.XLOOKUP(PO[[#This Row],[Supplier name]], Supplier_master[Supplier name], Supplier_master[EOM or Net], 0)</f>
        <v>0</v>
      </c>
      <c r="Q743" s="31">
        <f>_xlfn.XLOOKUP(PO[[#This Row],[Supplier name]], Supplier_master[Supplier name], Supplier_master[Terms days], 0)</f>
        <v>0</v>
      </c>
      <c r="R7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3" s="4"/>
      <c r="T743" s="46">
        <f>IF(PO[[#This Row],[Payment date - override (dd/mm/yyyy)]] &lt;&gt; "", PO[[#This Row],[Payment date - override (dd/mm/yyyy)]], PO[[#This Row],[Due date (dd/mm/yyyy)]])</f>
        <v>0</v>
      </c>
      <c r="U743" s="46">
        <f t="shared" si="11"/>
        <v>52</v>
      </c>
    </row>
    <row r="744" spans="3:21" x14ac:dyDescent="0.25">
      <c r="C744" s="24"/>
      <c r="D744" s="20"/>
      <c r="E744" s="4"/>
      <c r="F744" s="37"/>
      <c r="G744" s="38"/>
      <c r="H744" s="31">
        <f>_xlfn.XLOOKUP(PO[[#This Row],[Supplier name]], Supplier_master[Supplier name], Supplier_master[Category L1], 0)</f>
        <v>0</v>
      </c>
      <c r="I744" s="31">
        <f>_xlfn.XLOOKUP(PO[[#This Row],[Supplier name]], Supplier_master[Supplier name], Supplier_master[Category L2], 0)</f>
        <v>0</v>
      </c>
      <c r="J744" s="55"/>
      <c r="K744" s="55"/>
      <c r="L744" s="31">
        <f>IF(PO[[#This Row],[Spend category L1 - Override]] &lt;&gt; "", PO[[#This Row],[Spend category L1 - Override]], PO[[#This Row],[Spend category L1]])</f>
        <v>0</v>
      </c>
      <c r="M744" s="31">
        <f>IF(PO[[#This Row],[Spend category L2 - Override]] &lt;&gt; "", PO[[#This Row],[Spend category L2 - Override]], PO[[#This Row],[Spend category L2]])</f>
        <v>0</v>
      </c>
      <c r="N744" s="63">
        <f>Assumptions!$D$15</f>
        <v>0.1</v>
      </c>
      <c r="O744" s="45">
        <f>IF(PO[[#This Row],[GST applies?]] = "Yes", (PO[[#This Row],[Value inc. GST]] / 1 + PO[[#This Row],[GST %]]) * PO[[#This Row],[GST %]], 0)</f>
        <v>0</v>
      </c>
      <c r="P744" s="31">
        <f>_xlfn.XLOOKUP(PO[[#This Row],[Supplier name]], Supplier_master[Supplier name], Supplier_master[EOM or Net], 0)</f>
        <v>0</v>
      </c>
      <c r="Q744" s="31">
        <f>_xlfn.XLOOKUP(PO[[#This Row],[Supplier name]], Supplier_master[Supplier name], Supplier_master[Terms days], 0)</f>
        <v>0</v>
      </c>
      <c r="R7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4" s="4"/>
      <c r="T744" s="46">
        <f>IF(PO[[#This Row],[Payment date - override (dd/mm/yyyy)]] &lt;&gt; "", PO[[#This Row],[Payment date - override (dd/mm/yyyy)]], PO[[#This Row],[Due date (dd/mm/yyyy)]])</f>
        <v>0</v>
      </c>
      <c r="U744" s="46">
        <f t="shared" si="11"/>
        <v>52</v>
      </c>
    </row>
    <row r="745" spans="3:21" x14ac:dyDescent="0.25">
      <c r="C745" s="24"/>
      <c r="D745" s="20"/>
      <c r="E745" s="4"/>
      <c r="F745" s="37"/>
      <c r="G745" s="38"/>
      <c r="H745" s="31">
        <f>_xlfn.XLOOKUP(PO[[#This Row],[Supplier name]], Supplier_master[Supplier name], Supplier_master[Category L1], 0)</f>
        <v>0</v>
      </c>
      <c r="I745" s="31">
        <f>_xlfn.XLOOKUP(PO[[#This Row],[Supplier name]], Supplier_master[Supplier name], Supplier_master[Category L2], 0)</f>
        <v>0</v>
      </c>
      <c r="J745" s="55"/>
      <c r="K745" s="55"/>
      <c r="L745" s="31">
        <f>IF(PO[[#This Row],[Spend category L1 - Override]] &lt;&gt; "", PO[[#This Row],[Spend category L1 - Override]], PO[[#This Row],[Spend category L1]])</f>
        <v>0</v>
      </c>
      <c r="M745" s="31">
        <f>IF(PO[[#This Row],[Spend category L2 - Override]] &lt;&gt; "", PO[[#This Row],[Spend category L2 - Override]], PO[[#This Row],[Spend category L2]])</f>
        <v>0</v>
      </c>
      <c r="N745" s="63">
        <f>Assumptions!$D$15</f>
        <v>0.1</v>
      </c>
      <c r="O745" s="45">
        <f>IF(PO[[#This Row],[GST applies?]] = "Yes", (PO[[#This Row],[Value inc. GST]] / 1 + PO[[#This Row],[GST %]]) * PO[[#This Row],[GST %]], 0)</f>
        <v>0</v>
      </c>
      <c r="P745" s="31">
        <f>_xlfn.XLOOKUP(PO[[#This Row],[Supplier name]], Supplier_master[Supplier name], Supplier_master[EOM or Net], 0)</f>
        <v>0</v>
      </c>
      <c r="Q745" s="31">
        <f>_xlfn.XLOOKUP(PO[[#This Row],[Supplier name]], Supplier_master[Supplier name], Supplier_master[Terms days], 0)</f>
        <v>0</v>
      </c>
      <c r="R7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5" s="4"/>
      <c r="T745" s="46">
        <f>IF(PO[[#This Row],[Payment date - override (dd/mm/yyyy)]] &lt;&gt; "", PO[[#This Row],[Payment date - override (dd/mm/yyyy)]], PO[[#This Row],[Due date (dd/mm/yyyy)]])</f>
        <v>0</v>
      </c>
      <c r="U745" s="46">
        <f t="shared" si="11"/>
        <v>52</v>
      </c>
    </row>
    <row r="746" spans="3:21" x14ac:dyDescent="0.25">
      <c r="C746" s="24"/>
      <c r="D746" s="20"/>
      <c r="E746" s="4"/>
      <c r="F746" s="37"/>
      <c r="G746" s="38"/>
      <c r="H746" s="31">
        <f>_xlfn.XLOOKUP(PO[[#This Row],[Supplier name]], Supplier_master[Supplier name], Supplier_master[Category L1], 0)</f>
        <v>0</v>
      </c>
      <c r="I746" s="31">
        <f>_xlfn.XLOOKUP(PO[[#This Row],[Supplier name]], Supplier_master[Supplier name], Supplier_master[Category L2], 0)</f>
        <v>0</v>
      </c>
      <c r="J746" s="55"/>
      <c r="K746" s="55"/>
      <c r="L746" s="31">
        <f>IF(PO[[#This Row],[Spend category L1 - Override]] &lt;&gt; "", PO[[#This Row],[Spend category L1 - Override]], PO[[#This Row],[Spend category L1]])</f>
        <v>0</v>
      </c>
      <c r="M746" s="31">
        <f>IF(PO[[#This Row],[Spend category L2 - Override]] &lt;&gt; "", PO[[#This Row],[Spend category L2 - Override]], PO[[#This Row],[Spend category L2]])</f>
        <v>0</v>
      </c>
      <c r="N746" s="63">
        <f>Assumptions!$D$15</f>
        <v>0.1</v>
      </c>
      <c r="O746" s="45">
        <f>IF(PO[[#This Row],[GST applies?]] = "Yes", (PO[[#This Row],[Value inc. GST]] / 1 + PO[[#This Row],[GST %]]) * PO[[#This Row],[GST %]], 0)</f>
        <v>0</v>
      </c>
      <c r="P746" s="31">
        <f>_xlfn.XLOOKUP(PO[[#This Row],[Supplier name]], Supplier_master[Supplier name], Supplier_master[EOM or Net], 0)</f>
        <v>0</v>
      </c>
      <c r="Q746" s="31">
        <f>_xlfn.XLOOKUP(PO[[#This Row],[Supplier name]], Supplier_master[Supplier name], Supplier_master[Terms days], 0)</f>
        <v>0</v>
      </c>
      <c r="R7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6" s="4"/>
      <c r="T746" s="46">
        <f>IF(PO[[#This Row],[Payment date - override (dd/mm/yyyy)]] &lt;&gt; "", PO[[#This Row],[Payment date - override (dd/mm/yyyy)]], PO[[#This Row],[Due date (dd/mm/yyyy)]])</f>
        <v>0</v>
      </c>
      <c r="U746" s="46">
        <f t="shared" si="11"/>
        <v>52</v>
      </c>
    </row>
    <row r="747" spans="3:21" x14ac:dyDescent="0.25">
      <c r="C747" s="24"/>
      <c r="D747" s="20"/>
      <c r="E747" s="4"/>
      <c r="F747" s="37"/>
      <c r="G747" s="38"/>
      <c r="H747" s="31">
        <f>_xlfn.XLOOKUP(PO[[#This Row],[Supplier name]], Supplier_master[Supplier name], Supplier_master[Category L1], 0)</f>
        <v>0</v>
      </c>
      <c r="I747" s="31">
        <f>_xlfn.XLOOKUP(PO[[#This Row],[Supplier name]], Supplier_master[Supplier name], Supplier_master[Category L2], 0)</f>
        <v>0</v>
      </c>
      <c r="J747" s="55"/>
      <c r="K747" s="55"/>
      <c r="L747" s="31">
        <f>IF(PO[[#This Row],[Spend category L1 - Override]] &lt;&gt; "", PO[[#This Row],[Spend category L1 - Override]], PO[[#This Row],[Spend category L1]])</f>
        <v>0</v>
      </c>
      <c r="M747" s="31">
        <f>IF(PO[[#This Row],[Spend category L2 - Override]] &lt;&gt; "", PO[[#This Row],[Spend category L2 - Override]], PO[[#This Row],[Spend category L2]])</f>
        <v>0</v>
      </c>
      <c r="N747" s="63">
        <f>Assumptions!$D$15</f>
        <v>0.1</v>
      </c>
      <c r="O747" s="45">
        <f>IF(PO[[#This Row],[GST applies?]] = "Yes", (PO[[#This Row],[Value inc. GST]] / 1 + PO[[#This Row],[GST %]]) * PO[[#This Row],[GST %]], 0)</f>
        <v>0</v>
      </c>
      <c r="P747" s="31">
        <f>_xlfn.XLOOKUP(PO[[#This Row],[Supplier name]], Supplier_master[Supplier name], Supplier_master[EOM or Net], 0)</f>
        <v>0</v>
      </c>
      <c r="Q747" s="31">
        <f>_xlfn.XLOOKUP(PO[[#This Row],[Supplier name]], Supplier_master[Supplier name], Supplier_master[Terms days], 0)</f>
        <v>0</v>
      </c>
      <c r="R7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7" s="4"/>
      <c r="T747" s="46">
        <f>IF(PO[[#This Row],[Payment date - override (dd/mm/yyyy)]] &lt;&gt; "", PO[[#This Row],[Payment date - override (dd/mm/yyyy)]], PO[[#This Row],[Due date (dd/mm/yyyy)]])</f>
        <v>0</v>
      </c>
      <c r="U747" s="46">
        <f t="shared" si="11"/>
        <v>52</v>
      </c>
    </row>
    <row r="748" spans="3:21" x14ac:dyDescent="0.25">
      <c r="C748" s="24"/>
      <c r="D748" s="20"/>
      <c r="E748" s="4"/>
      <c r="F748" s="37"/>
      <c r="G748" s="38"/>
      <c r="H748" s="31">
        <f>_xlfn.XLOOKUP(PO[[#This Row],[Supplier name]], Supplier_master[Supplier name], Supplier_master[Category L1], 0)</f>
        <v>0</v>
      </c>
      <c r="I748" s="31">
        <f>_xlfn.XLOOKUP(PO[[#This Row],[Supplier name]], Supplier_master[Supplier name], Supplier_master[Category L2], 0)</f>
        <v>0</v>
      </c>
      <c r="J748" s="55"/>
      <c r="K748" s="55"/>
      <c r="L748" s="31">
        <f>IF(PO[[#This Row],[Spend category L1 - Override]] &lt;&gt; "", PO[[#This Row],[Spend category L1 - Override]], PO[[#This Row],[Spend category L1]])</f>
        <v>0</v>
      </c>
      <c r="M748" s="31">
        <f>IF(PO[[#This Row],[Spend category L2 - Override]] &lt;&gt; "", PO[[#This Row],[Spend category L2 - Override]], PO[[#This Row],[Spend category L2]])</f>
        <v>0</v>
      </c>
      <c r="N748" s="63">
        <f>Assumptions!$D$15</f>
        <v>0.1</v>
      </c>
      <c r="O748" s="45">
        <f>IF(PO[[#This Row],[GST applies?]] = "Yes", (PO[[#This Row],[Value inc. GST]] / 1 + PO[[#This Row],[GST %]]) * PO[[#This Row],[GST %]], 0)</f>
        <v>0</v>
      </c>
      <c r="P748" s="31">
        <f>_xlfn.XLOOKUP(PO[[#This Row],[Supplier name]], Supplier_master[Supplier name], Supplier_master[EOM or Net], 0)</f>
        <v>0</v>
      </c>
      <c r="Q748" s="31">
        <f>_xlfn.XLOOKUP(PO[[#This Row],[Supplier name]], Supplier_master[Supplier name], Supplier_master[Terms days], 0)</f>
        <v>0</v>
      </c>
      <c r="R7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8" s="4"/>
      <c r="T748" s="46">
        <f>IF(PO[[#This Row],[Payment date - override (dd/mm/yyyy)]] &lt;&gt; "", PO[[#This Row],[Payment date - override (dd/mm/yyyy)]], PO[[#This Row],[Due date (dd/mm/yyyy)]])</f>
        <v>0</v>
      </c>
      <c r="U748" s="46">
        <f t="shared" si="11"/>
        <v>52</v>
      </c>
    </row>
    <row r="749" spans="3:21" x14ac:dyDescent="0.25">
      <c r="C749" s="24"/>
      <c r="D749" s="20"/>
      <c r="E749" s="4"/>
      <c r="F749" s="37"/>
      <c r="G749" s="38"/>
      <c r="H749" s="31">
        <f>_xlfn.XLOOKUP(PO[[#This Row],[Supplier name]], Supplier_master[Supplier name], Supplier_master[Category L1], 0)</f>
        <v>0</v>
      </c>
      <c r="I749" s="31">
        <f>_xlfn.XLOOKUP(PO[[#This Row],[Supplier name]], Supplier_master[Supplier name], Supplier_master[Category L2], 0)</f>
        <v>0</v>
      </c>
      <c r="J749" s="55"/>
      <c r="K749" s="55"/>
      <c r="L749" s="31">
        <f>IF(PO[[#This Row],[Spend category L1 - Override]] &lt;&gt; "", PO[[#This Row],[Spend category L1 - Override]], PO[[#This Row],[Spend category L1]])</f>
        <v>0</v>
      </c>
      <c r="M749" s="31">
        <f>IF(PO[[#This Row],[Spend category L2 - Override]] &lt;&gt; "", PO[[#This Row],[Spend category L2 - Override]], PO[[#This Row],[Spend category L2]])</f>
        <v>0</v>
      </c>
      <c r="N749" s="63">
        <f>Assumptions!$D$15</f>
        <v>0.1</v>
      </c>
      <c r="O749" s="45">
        <f>IF(PO[[#This Row],[GST applies?]] = "Yes", (PO[[#This Row],[Value inc. GST]] / 1 + PO[[#This Row],[GST %]]) * PO[[#This Row],[GST %]], 0)</f>
        <v>0</v>
      </c>
      <c r="P749" s="31">
        <f>_xlfn.XLOOKUP(PO[[#This Row],[Supplier name]], Supplier_master[Supplier name], Supplier_master[EOM or Net], 0)</f>
        <v>0</v>
      </c>
      <c r="Q749" s="31">
        <f>_xlfn.XLOOKUP(PO[[#This Row],[Supplier name]], Supplier_master[Supplier name], Supplier_master[Terms days], 0)</f>
        <v>0</v>
      </c>
      <c r="R7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9" s="4"/>
      <c r="T749" s="46">
        <f>IF(PO[[#This Row],[Payment date - override (dd/mm/yyyy)]] &lt;&gt; "", PO[[#This Row],[Payment date - override (dd/mm/yyyy)]], PO[[#This Row],[Due date (dd/mm/yyyy)]])</f>
        <v>0</v>
      </c>
      <c r="U749" s="46">
        <f t="shared" si="11"/>
        <v>52</v>
      </c>
    </row>
    <row r="750" spans="3:21" x14ac:dyDescent="0.25">
      <c r="C750" s="24"/>
      <c r="D750" s="20"/>
      <c r="E750" s="4"/>
      <c r="F750" s="37"/>
      <c r="G750" s="38"/>
      <c r="H750" s="31">
        <f>_xlfn.XLOOKUP(PO[[#This Row],[Supplier name]], Supplier_master[Supplier name], Supplier_master[Category L1], 0)</f>
        <v>0</v>
      </c>
      <c r="I750" s="31">
        <f>_xlfn.XLOOKUP(PO[[#This Row],[Supplier name]], Supplier_master[Supplier name], Supplier_master[Category L2], 0)</f>
        <v>0</v>
      </c>
      <c r="J750" s="55"/>
      <c r="K750" s="55"/>
      <c r="L750" s="31">
        <f>IF(PO[[#This Row],[Spend category L1 - Override]] &lt;&gt; "", PO[[#This Row],[Spend category L1 - Override]], PO[[#This Row],[Spend category L1]])</f>
        <v>0</v>
      </c>
      <c r="M750" s="31">
        <f>IF(PO[[#This Row],[Spend category L2 - Override]] &lt;&gt; "", PO[[#This Row],[Spend category L2 - Override]], PO[[#This Row],[Spend category L2]])</f>
        <v>0</v>
      </c>
      <c r="N750" s="63">
        <f>Assumptions!$D$15</f>
        <v>0.1</v>
      </c>
      <c r="O750" s="45">
        <f>IF(PO[[#This Row],[GST applies?]] = "Yes", (PO[[#This Row],[Value inc. GST]] / 1 + PO[[#This Row],[GST %]]) * PO[[#This Row],[GST %]], 0)</f>
        <v>0</v>
      </c>
      <c r="P750" s="31">
        <f>_xlfn.XLOOKUP(PO[[#This Row],[Supplier name]], Supplier_master[Supplier name], Supplier_master[EOM or Net], 0)</f>
        <v>0</v>
      </c>
      <c r="Q750" s="31">
        <f>_xlfn.XLOOKUP(PO[[#This Row],[Supplier name]], Supplier_master[Supplier name], Supplier_master[Terms days], 0)</f>
        <v>0</v>
      </c>
      <c r="R7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0" s="4"/>
      <c r="T750" s="46">
        <f>IF(PO[[#This Row],[Payment date - override (dd/mm/yyyy)]] &lt;&gt; "", PO[[#This Row],[Payment date - override (dd/mm/yyyy)]], PO[[#This Row],[Due date (dd/mm/yyyy)]])</f>
        <v>0</v>
      </c>
      <c r="U750" s="46">
        <f t="shared" si="11"/>
        <v>52</v>
      </c>
    </row>
    <row r="751" spans="3:21" x14ac:dyDescent="0.25">
      <c r="C751" s="24"/>
      <c r="D751" s="20"/>
      <c r="E751" s="4"/>
      <c r="F751" s="37"/>
      <c r="G751" s="38"/>
      <c r="H751" s="31">
        <f>_xlfn.XLOOKUP(PO[[#This Row],[Supplier name]], Supplier_master[Supplier name], Supplier_master[Category L1], 0)</f>
        <v>0</v>
      </c>
      <c r="I751" s="31">
        <f>_xlfn.XLOOKUP(PO[[#This Row],[Supplier name]], Supplier_master[Supplier name], Supplier_master[Category L2], 0)</f>
        <v>0</v>
      </c>
      <c r="J751" s="55"/>
      <c r="K751" s="55"/>
      <c r="L751" s="31">
        <f>IF(PO[[#This Row],[Spend category L1 - Override]] &lt;&gt; "", PO[[#This Row],[Spend category L1 - Override]], PO[[#This Row],[Spend category L1]])</f>
        <v>0</v>
      </c>
      <c r="M751" s="31">
        <f>IF(PO[[#This Row],[Spend category L2 - Override]] &lt;&gt; "", PO[[#This Row],[Spend category L2 - Override]], PO[[#This Row],[Spend category L2]])</f>
        <v>0</v>
      </c>
      <c r="N751" s="63">
        <f>Assumptions!$D$15</f>
        <v>0.1</v>
      </c>
      <c r="O751" s="45">
        <f>IF(PO[[#This Row],[GST applies?]] = "Yes", (PO[[#This Row],[Value inc. GST]] / 1 + PO[[#This Row],[GST %]]) * PO[[#This Row],[GST %]], 0)</f>
        <v>0</v>
      </c>
      <c r="P751" s="31">
        <f>_xlfn.XLOOKUP(PO[[#This Row],[Supplier name]], Supplier_master[Supplier name], Supplier_master[EOM or Net], 0)</f>
        <v>0</v>
      </c>
      <c r="Q751" s="31">
        <f>_xlfn.XLOOKUP(PO[[#This Row],[Supplier name]], Supplier_master[Supplier name], Supplier_master[Terms days], 0)</f>
        <v>0</v>
      </c>
      <c r="R7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1" s="4"/>
      <c r="T751" s="46">
        <f>IF(PO[[#This Row],[Payment date - override (dd/mm/yyyy)]] &lt;&gt; "", PO[[#This Row],[Payment date - override (dd/mm/yyyy)]], PO[[#This Row],[Due date (dd/mm/yyyy)]])</f>
        <v>0</v>
      </c>
      <c r="U751" s="46">
        <f t="shared" si="11"/>
        <v>52</v>
      </c>
    </row>
    <row r="752" spans="3:21" x14ac:dyDescent="0.25">
      <c r="C752" s="24"/>
      <c r="D752" s="20"/>
      <c r="E752" s="4"/>
      <c r="F752" s="37"/>
      <c r="G752" s="38"/>
      <c r="H752" s="31">
        <f>_xlfn.XLOOKUP(PO[[#This Row],[Supplier name]], Supplier_master[Supplier name], Supplier_master[Category L1], 0)</f>
        <v>0</v>
      </c>
      <c r="I752" s="31">
        <f>_xlfn.XLOOKUP(PO[[#This Row],[Supplier name]], Supplier_master[Supplier name], Supplier_master[Category L2], 0)</f>
        <v>0</v>
      </c>
      <c r="J752" s="55"/>
      <c r="K752" s="55"/>
      <c r="L752" s="31">
        <f>IF(PO[[#This Row],[Spend category L1 - Override]] &lt;&gt; "", PO[[#This Row],[Spend category L1 - Override]], PO[[#This Row],[Spend category L1]])</f>
        <v>0</v>
      </c>
      <c r="M752" s="31">
        <f>IF(PO[[#This Row],[Spend category L2 - Override]] &lt;&gt; "", PO[[#This Row],[Spend category L2 - Override]], PO[[#This Row],[Spend category L2]])</f>
        <v>0</v>
      </c>
      <c r="N752" s="63">
        <f>Assumptions!$D$15</f>
        <v>0.1</v>
      </c>
      <c r="O752" s="45">
        <f>IF(PO[[#This Row],[GST applies?]] = "Yes", (PO[[#This Row],[Value inc. GST]] / 1 + PO[[#This Row],[GST %]]) * PO[[#This Row],[GST %]], 0)</f>
        <v>0</v>
      </c>
      <c r="P752" s="31">
        <f>_xlfn.XLOOKUP(PO[[#This Row],[Supplier name]], Supplier_master[Supplier name], Supplier_master[EOM or Net], 0)</f>
        <v>0</v>
      </c>
      <c r="Q752" s="31">
        <f>_xlfn.XLOOKUP(PO[[#This Row],[Supplier name]], Supplier_master[Supplier name], Supplier_master[Terms days], 0)</f>
        <v>0</v>
      </c>
      <c r="R7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2" s="4"/>
      <c r="T752" s="46">
        <f>IF(PO[[#This Row],[Payment date - override (dd/mm/yyyy)]] &lt;&gt; "", PO[[#This Row],[Payment date - override (dd/mm/yyyy)]], PO[[#This Row],[Due date (dd/mm/yyyy)]])</f>
        <v>0</v>
      </c>
      <c r="U752" s="46">
        <f t="shared" si="11"/>
        <v>52</v>
      </c>
    </row>
    <row r="753" spans="3:21" x14ac:dyDescent="0.25">
      <c r="C753" s="24"/>
      <c r="D753" s="20"/>
      <c r="E753" s="4"/>
      <c r="F753" s="37"/>
      <c r="G753" s="38"/>
      <c r="H753" s="31">
        <f>_xlfn.XLOOKUP(PO[[#This Row],[Supplier name]], Supplier_master[Supplier name], Supplier_master[Category L1], 0)</f>
        <v>0</v>
      </c>
      <c r="I753" s="31">
        <f>_xlfn.XLOOKUP(PO[[#This Row],[Supplier name]], Supplier_master[Supplier name], Supplier_master[Category L2], 0)</f>
        <v>0</v>
      </c>
      <c r="J753" s="55"/>
      <c r="K753" s="55"/>
      <c r="L753" s="31">
        <f>IF(PO[[#This Row],[Spend category L1 - Override]] &lt;&gt; "", PO[[#This Row],[Spend category L1 - Override]], PO[[#This Row],[Spend category L1]])</f>
        <v>0</v>
      </c>
      <c r="M753" s="31">
        <f>IF(PO[[#This Row],[Spend category L2 - Override]] &lt;&gt; "", PO[[#This Row],[Spend category L2 - Override]], PO[[#This Row],[Spend category L2]])</f>
        <v>0</v>
      </c>
      <c r="N753" s="63">
        <f>Assumptions!$D$15</f>
        <v>0.1</v>
      </c>
      <c r="O753" s="45">
        <f>IF(PO[[#This Row],[GST applies?]] = "Yes", (PO[[#This Row],[Value inc. GST]] / 1 + PO[[#This Row],[GST %]]) * PO[[#This Row],[GST %]], 0)</f>
        <v>0</v>
      </c>
      <c r="P753" s="31">
        <f>_xlfn.XLOOKUP(PO[[#This Row],[Supplier name]], Supplier_master[Supplier name], Supplier_master[EOM or Net], 0)</f>
        <v>0</v>
      </c>
      <c r="Q753" s="31">
        <f>_xlfn.XLOOKUP(PO[[#This Row],[Supplier name]], Supplier_master[Supplier name], Supplier_master[Terms days], 0)</f>
        <v>0</v>
      </c>
      <c r="R7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3" s="4"/>
      <c r="T753" s="46">
        <f>IF(PO[[#This Row],[Payment date - override (dd/mm/yyyy)]] &lt;&gt; "", PO[[#This Row],[Payment date - override (dd/mm/yyyy)]], PO[[#This Row],[Due date (dd/mm/yyyy)]])</f>
        <v>0</v>
      </c>
      <c r="U753" s="46">
        <f t="shared" si="11"/>
        <v>52</v>
      </c>
    </row>
    <row r="754" spans="3:21" x14ac:dyDescent="0.25">
      <c r="C754" s="24"/>
      <c r="D754" s="20"/>
      <c r="E754" s="4"/>
      <c r="F754" s="37"/>
      <c r="G754" s="38"/>
      <c r="H754" s="31">
        <f>_xlfn.XLOOKUP(PO[[#This Row],[Supplier name]], Supplier_master[Supplier name], Supplier_master[Category L1], 0)</f>
        <v>0</v>
      </c>
      <c r="I754" s="31">
        <f>_xlfn.XLOOKUP(PO[[#This Row],[Supplier name]], Supplier_master[Supplier name], Supplier_master[Category L2], 0)</f>
        <v>0</v>
      </c>
      <c r="J754" s="55"/>
      <c r="K754" s="55"/>
      <c r="L754" s="31">
        <f>IF(PO[[#This Row],[Spend category L1 - Override]] &lt;&gt; "", PO[[#This Row],[Spend category L1 - Override]], PO[[#This Row],[Spend category L1]])</f>
        <v>0</v>
      </c>
      <c r="M754" s="31">
        <f>IF(PO[[#This Row],[Spend category L2 - Override]] &lt;&gt; "", PO[[#This Row],[Spend category L2 - Override]], PO[[#This Row],[Spend category L2]])</f>
        <v>0</v>
      </c>
      <c r="N754" s="63">
        <f>Assumptions!$D$15</f>
        <v>0.1</v>
      </c>
      <c r="O754" s="45">
        <f>IF(PO[[#This Row],[GST applies?]] = "Yes", (PO[[#This Row],[Value inc. GST]] / 1 + PO[[#This Row],[GST %]]) * PO[[#This Row],[GST %]], 0)</f>
        <v>0</v>
      </c>
      <c r="P754" s="31">
        <f>_xlfn.XLOOKUP(PO[[#This Row],[Supplier name]], Supplier_master[Supplier name], Supplier_master[EOM or Net], 0)</f>
        <v>0</v>
      </c>
      <c r="Q754" s="31">
        <f>_xlfn.XLOOKUP(PO[[#This Row],[Supplier name]], Supplier_master[Supplier name], Supplier_master[Terms days], 0)</f>
        <v>0</v>
      </c>
      <c r="R7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4" s="4"/>
      <c r="T754" s="46">
        <f>IF(PO[[#This Row],[Payment date - override (dd/mm/yyyy)]] &lt;&gt; "", PO[[#This Row],[Payment date - override (dd/mm/yyyy)]], PO[[#This Row],[Due date (dd/mm/yyyy)]])</f>
        <v>0</v>
      </c>
      <c r="U754" s="46">
        <f t="shared" si="11"/>
        <v>52</v>
      </c>
    </row>
    <row r="755" spans="3:21" x14ac:dyDescent="0.25">
      <c r="C755" s="24"/>
      <c r="D755" s="20"/>
      <c r="E755" s="4"/>
      <c r="F755" s="37"/>
      <c r="G755" s="38"/>
      <c r="H755" s="31">
        <f>_xlfn.XLOOKUP(PO[[#This Row],[Supplier name]], Supplier_master[Supplier name], Supplier_master[Category L1], 0)</f>
        <v>0</v>
      </c>
      <c r="I755" s="31">
        <f>_xlfn.XLOOKUP(PO[[#This Row],[Supplier name]], Supplier_master[Supplier name], Supplier_master[Category L2], 0)</f>
        <v>0</v>
      </c>
      <c r="J755" s="55"/>
      <c r="K755" s="55"/>
      <c r="L755" s="31">
        <f>IF(PO[[#This Row],[Spend category L1 - Override]] &lt;&gt; "", PO[[#This Row],[Spend category L1 - Override]], PO[[#This Row],[Spend category L1]])</f>
        <v>0</v>
      </c>
      <c r="M755" s="31">
        <f>IF(PO[[#This Row],[Spend category L2 - Override]] &lt;&gt; "", PO[[#This Row],[Spend category L2 - Override]], PO[[#This Row],[Spend category L2]])</f>
        <v>0</v>
      </c>
      <c r="N755" s="63">
        <f>Assumptions!$D$15</f>
        <v>0.1</v>
      </c>
      <c r="O755" s="45">
        <f>IF(PO[[#This Row],[GST applies?]] = "Yes", (PO[[#This Row],[Value inc. GST]] / 1 + PO[[#This Row],[GST %]]) * PO[[#This Row],[GST %]], 0)</f>
        <v>0</v>
      </c>
      <c r="P755" s="31">
        <f>_xlfn.XLOOKUP(PO[[#This Row],[Supplier name]], Supplier_master[Supplier name], Supplier_master[EOM or Net], 0)</f>
        <v>0</v>
      </c>
      <c r="Q755" s="31">
        <f>_xlfn.XLOOKUP(PO[[#This Row],[Supplier name]], Supplier_master[Supplier name], Supplier_master[Terms days], 0)</f>
        <v>0</v>
      </c>
      <c r="R7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5" s="4"/>
      <c r="T755" s="46">
        <f>IF(PO[[#This Row],[Payment date - override (dd/mm/yyyy)]] &lt;&gt; "", PO[[#This Row],[Payment date - override (dd/mm/yyyy)]], PO[[#This Row],[Due date (dd/mm/yyyy)]])</f>
        <v>0</v>
      </c>
      <c r="U755" s="46">
        <f t="shared" si="11"/>
        <v>52</v>
      </c>
    </row>
    <row r="756" spans="3:21" x14ac:dyDescent="0.25">
      <c r="C756" s="24"/>
      <c r="D756" s="20"/>
      <c r="E756" s="4"/>
      <c r="F756" s="37"/>
      <c r="G756" s="38"/>
      <c r="H756" s="31">
        <f>_xlfn.XLOOKUP(PO[[#This Row],[Supplier name]], Supplier_master[Supplier name], Supplier_master[Category L1], 0)</f>
        <v>0</v>
      </c>
      <c r="I756" s="31">
        <f>_xlfn.XLOOKUP(PO[[#This Row],[Supplier name]], Supplier_master[Supplier name], Supplier_master[Category L2], 0)</f>
        <v>0</v>
      </c>
      <c r="J756" s="55"/>
      <c r="K756" s="55"/>
      <c r="L756" s="31">
        <f>IF(PO[[#This Row],[Spend category L1 - Override]] &lt;&gt; "", PO[[#This Row],[Spend category L1 - Override]], PO[[#This Row],[Spend category L1]])</f>
        <v>0</v>
      </c>
      <c r="M756" s="31">
        <f>IF(PO[[#This Row],[Spend category L2 - Override]] &lt;&gt; "", PO[[#This Row],[Spend category L2 - Override]], PO[[#This Row],[Spend category L2]])</f>
        <v>0</v>
      </c>
      <c r="N756" s="63">
        <f>Assumptions!$D$15</f>
        <v>0.1</v>
      </c>
      <c r="O756" s="45">
        <f>IF(PO[[#This Row],[GST applies?]] = "Yes", (PO[[#This Row],[Value inc. GST]] / 1 + PO[[#This Row],[GST %]]) * PO[[#This Row],[GST %]], 0)</f>
        <v>0</v>
      </c>
      <c r="P756" s="31">
        <f>_xlfn.XLOOKUP(PO[[#This Row],[Supplier name]], Supplier_master[Supplier name], Supplier_master[EOM or Net], 0)</f>
        <v>0</v>
      </c>
      <c r="Q756" s="31">
        <f>_xlfn.XLOOKUP(PO[[#This Row],[Supplier name]], Supplier_master[Supplier name], Supplier_master[Terms days], 0)</f>
        <v>0</v>
      </c>
      <c r="R7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6" s="4"/>
      <c r="T756" s="46">
        <f>IF(PO[[#This Row],[Payment date - override (dd/mm/yyyy)]] &lt;&gt; "", PO[[#This Row],[Payment date - override (dd/mm/yyyy)]], PO[[#This Row],[Due date (dd/mm/yyyy)]])</f>
        <v>0</v>
      </c>
      <c r="U756" s="46">
        <f t="shared" si="11"/>
        <v>52</v>
      </c>
    </row>
    <row r="757" spans="3:21" x14ac:dyDescent="0.25">
      <c r="C757" s="24"/>
      <c r="D757" s="20"/>
      <c r="E757" s="4"/>
      <c r="F757" s="37"/>
      <c r="G757" s="38"/>
      <c r="H757" s="31">
        <f>_xlfn.XLOOKUP(PO[[#This Row],[Supplier name]], Supplier_master[Supplier name], Supplier_master[Category L1], 0)</f>
        <v>0</v>
      </c>
      <c r="I757" s="31">
        <f>_xlfn.XLOOKUP(PO[[#This Row],[Supplier name]], Supplier_master[Supplier name], Supplier_master[Category L2], 0)</f>
        <v>0</v>
      </c>
      <c r="J757" s="55"/>
      <c r="K757" s="55"/>
      <c r="L757" s="31">
        <f>IF(PO[[#This Row],[Spend category L1 - Override]] &lt;&gt; "", PO[[#This Row],[Spend category L1 - Override]], PO[[#This Row],[Spend category L1]])</f>
        <v>0</v>
      </c>
      <c r="M757" s="31">
        <f>IF(PO[[#This Row],[Spend category L2 - Override]] &lt;&gt; "", PO[[#This Row],[Spend category L2 - Override]], PO[[#This Row],[Spend category L2]])</f>
        <v>0</v>
      </c>
      <c r="N757" s="63">
        <f>Assumptions!$D$15</f>
        <v>0.1</v>
      </c>
      <c r="O757" s="45">
        <f>IF(PO[[#This Row],[GST applies?]] = "Yes", (PO[[#This Row],[Value inc. GST]] / 1 + PO[[#This Row],[GST %]]) * PO[[#This Row],[GST %]], 0)</f>
        <v>0</v>
      </c>
      <c r="P757" s="31">
        <f>_xlfn.XLOOKUP(PO[[#This Row],[Supplier name]], Supplier_master[Supplier name], Supplier_master[EOM or Net], 0)</f>
        <v>0</v>
      </c>
      <c r="Q757" s="31">
        <f>_xlfn.XLOOKUP(PO[[#This Row],[Supplier name]], Supplier_master[Supplier name], Supplier_master[Terms days], 0)</f>
        <v>0</v>
      </c>
      <c r="R7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7" s="4"/>
      <c r="T757" s="46">
        <f>IF(PO[[#This Row],[Payment date - override (dd/mm/yyyy)]] &lt;&gt; "", PO[[#This Row],[Payment date - override (dd/mm/yyyy)]], PO[[#This Row],[Due date (dd/mm/yyyy)]])</f>
        <v>0</v>
      </c>
      <c r="U757" s="46">
        <f t="shared" si="11"/>
        <v>52</v>
      </c>
    </row>
    <row r="758" spans="3:21" x14ac:dyDescent="0.25">
      <c r="C758" s="24"/>
      <c r="D758" s="20"/>
      <c r="E758" s="4"/>
      <c r="F758" s="37"/>
      <c r="G758" s="38"/>
      <c r="H758" s="31">
        <f>_xlfn.XLOOKUP(PO[[#This Row],[Supplier name]], Supplier_master[Supplier name], Supplier_master[Category L1], 0)</f>
        <v>0</v>
      </c>
      <c r="I758" s="31">
        <f>_xlfn.XLOOKUP(PO[[#This Row],[Supplier name]], Supplier_master[Supplier name], Supplier_master[Category L2], 0)</f>
        <v>0</v>
      </c>
      <c r="J758" s="55"/>
      <c r="K758" s="55"/>
      <c r="L758" s="31">
        <f>IF(PO[[#This Row],[Spend category L1 - Override]] &lt;&gt; "", PO[[#This Row],[Spend category L1 - Override]], PO[[#This Row],[Spend category L1]])</f>
        <v>0</v>
      </c>
      <c r="M758" s="31">
        <f>IF(PO[[#This Row],[Spend category L2 - Override]] &lt;&gt; "", PO[[#This Row],[Spend category L2 - Override]], PO[[#This Row],[Spend category L2]])</f>
        <v>0</v>
      </c>
      <c r="N758" s="63">
        <f>Assumptions!$D$15</f>
        <v>0.1</v>
      </c>
      <c r="O758" s="45">
        <f>IF(PO[[#This Row],[GST applies?]] = "Yes", (PO[[#This Row],[Value inc. GST]] / 1 + PO[[#This Row],[GST %]]) * PO[[#This Row],[GST %]], 0)</f>
        <v>0</v>
      </c>
      <c r="P758" s="31">
        <f>_xlfn.XLOOKUP(PO[[#This Row],[Supplier name]], Supplier_master[Supplier name], Supplier_master[EOM or Net], 0)</f>
        <v>0</v>
      </c>
      <c r="Q758" s="31">
        <f>_xlfn.XLOOKUP(PO[[#This Row],[Supplier name]], Supplier_master[Supplier name], Supplier_master[Terms days], 0)</f>
        <v>0</v>
      </c>
      <c r="R7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8" s="4"/>
      <c r="T758" s="46">
        <f>IF(PO[[#This Row],[Payment date - override (dd/mm/yyyy)]] &lt;&gt; "", PO[[#This Row],[Payment date - override (dd/mm/yyyy)]], PO[[#This Row],[Due date (dd/mm/yyyy)]])</f>
        <v>0</v>
      </c>
      <c r="U758" s="46">
        <f t="shared" si="11"/>
        <v>52</v>
      </c>
    </row>
    <row r="759" spans="3:21" x14ac:dyDescent="0.25">
      <c r="C759" s="24"/>
      <c r="D759" s="20"/>
      <c r="E759" s="4"/>
      <c r="F759" s="37"/>
      <c r="G759" s="38"/>
      <c r="H759" s="31">
        <f>_xlfn.XLOOKUP(PO[[#This Row],[Supplier name]], Supplier_master[Supplier name], Supplier_master[Category L1], 0)</f>
        <v>0</v>
      </c>
      <c r="I759" s="31">
        <f>_xlfn.XLOOKUP(PO[[#This Row],[Supplier name]], Supplier_master[Supplier name], Supplier_master[Category L2], 0)</f>
        <v>0</v>
      </c>
      <c r="J759" s="55"/>
      <c r="K759" s="55"/>
      <c r="L759" s="31">
        <f>IF(PO[[#This Row],[Spend category L1 - Override]] &lt;&gt; "", PO[[#This Row],[Spend category L1 - Override]], PO[[#This Row],[Spend category L1]])</f>
        <v>0</v>
      </c>
      <c r="M759" s="31">
        <f>IF(PO[[#This Row],[Spend category L2 - Override]] &lt;&gt; "", PO[[#This Row],[Spend category L2 - Override]], PO[[#This Row],[Spend category L2]])</f>
        <v>0</v>
      </c>
      <c r="N759" s="63">
        <f>Assumptions!$D$15</f>
        <v>0.1</v>
      </c>
      <c r="O759" s="45">
        <f>IF(PO[[#This Row],[GST applies?]] = "Yes", (PO[[#This Row],[Value inc. GST]] / 1 + PO[[#This Row],[GST %]]) * PO[[#This Row],[GST %]], 0)</f>
        <v>0</v>
      </c>
      <c r="P759" s="31">
        <f>_xlfn.XLOOKUP(PO[[#This Row],[Supplier name]], Supplier_master[Supplier name], Supplier_master[EOM or Net], 0)</f>
        <v>0</v>
      </c>
      <c r="Q759" s="31">
        <f>_xlfn.XLOOKUP(PO[[#This Row],[Supplier name]], Supplier_master[Supplier name], Supplier_master[Terms days], 0)</f>
        <v>0</v>
      </c>
      <c r="R7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9" s="4"/>
      <c r="T759" s="46">
        <f>IF(PO[[#This Row],[Payment date - override (dd/mm/yyyy)]] &lt;&gt; "", PO[[#This Row],[Payment date - override (dd/mm/yyyy)]], PO[[#This Row],[Due date (dd/mm/yyyy)]])</f>
        <v>0</v>
      </c>
      <c r="U759" s="46">
        <f t="shared" si="11"/>
        <v>52</v>
      </c>
    </row>
    <row r="760" spans="3:21" x14ac:dyDescent="0.25">
      <c r="C760" s="24"/>
      <c r="D760" s="20"/>
      <c r="E760" s="4"/>
      <c r="F760" s="37"/>
      <c r="G760" s="38"/>
      <c r="H760" s="31">
        <f>_xlfn.XLOOKUP(PO[[#This Row],[Supplier name]], Supplier_master[Supplier name], Supplier_master[Category L1], 0)</f>
        <v>0</v>
      </c>
      <c r="I760" s="31">
        <f>_xlfn.XLOOKUP(PO[[#This Row],[Supplier name]], Supplier_master[Supplier name], Supplier_master[Category L2], 0)</f>
        <v>0</v>
      </c>
      <c r="J760" s="55"/>
      <c r="K760" s="55"/>
      <c r="L760" s="31">
        <f>IF(PO[[#This Row],[Spend category L1 - Override]] &lt;&gt; "", PO[[#This Row],[Spend category L1 - Override]], PO[[#This Row],[Spend category L1]])</f>
        <v>0</v>
      </c>
      <c r="M760" s="31">
        <f>IF(PO[[#This Row],[Spend category L2 - Override]] &lt;&gt; "", PO[[#This Row],[Spend category L2 - Override]], PO[[#This Row],[Spend category L2]])</f>
        <v>0</v>
      </c>
      <c r="N760" s="63">
        <f>Assumptions!$D$15</f>
        <v>0.1</v>
      </c>
      <c r="O760" s="45">
        <f>IF(PO[[#This Row],[GST applies?]] = "Yes", (PO[[#This Row],[Value inc. GST]] / 1 + PO[[#This Row],[GST %]]) * PO[[#This Row],[GST %]], 0)</f>
        <v>0</v>
      </c>
      <c r="P760" s="31">
        <f>_xlfn.XLOOKUP(PO[[#This Row],[Supplier name]], Supplier_master[Supplier name], Supplier_master[EOM or Net], 0)</f>
        <v>0</v>
      </c>
      <c r="Q760" s="31">
        <f>_xlfn.XLOOKUP(PO[[#This Row],[Supplier name]], Supplier_master[Supplier name], Supplier_master[Terms days], 0)</f>
        <v>0</v>
      </c>
      <c r="R7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0" s="4"/>
      <c r="T760" s="46">
        <f>IF(PO[[#This Row],[Payment date - override (dd/mm/yyyy)]] &lt;&gt; "", PO[[#This Row],[Payment date - override (dd/mm/yyyy)]], PO[[#This Row],[Due date (dd/mm/yyyy)]])</f>
        <v>0</v>
      </c>
      <c r="U760" s="46">
        <f t="shared" si="11"/>
        <v>52</v>
      </c>
    </row>
    <row r="761" spans="3:21" x14ac:dyDescent="0.25">
      <c r="C761" s="24"/>
      <c r="D761" s="20"/>
      <c r="E761" s="4"/>
      <c r="F761" s="37"/>
      <c r="G761" s="38"/>
      <c r="H761" s="31">
        <f>_xlfn.XLOOKUP(PO[[#This Row],[Supplier name]], Supplier_master[Supplier name], Supplier_master[Category L1], 0)</f>
        <v>0</v>
      </c>
      <c r="I761" s="31">
        <f>_xlfn.XLOOKUP(PO[[#This Row],[Supplier name]], Supplier_master[Supplier name], Supplier_master[Category L2], 0)</f>
        <v>0</v>
      </c>
      <c r="J761" s="55"/>
      <c r="K761" s="55"/>
      <c r="L761" s="31">
        <f>IF(PO[[#This Row],[Spend category L1 - Override]] &lt;&gt; "", PO[[#This Row],[Spend category L1 - Override]], PO[[#This Row],[Spend category L1]])</f>
        <v>0</v>
      </c>
      <c r="M761" s="31">
        <f>IF(PO[[#This Row],[Spend category L2 - Override]] &lt;&gt; "", PO[[#This Row],[Spend category L2 - Override]], PO[[#This Row],[Spend category L2]])</f>
        <v>0</v>
      </c>
      <c r="N761" s="63">
        <f>Assumptions!$D$15</f>
        <v>0.1</v>
      </c>
      <c r="O761" s="45">
        <f>IF(PO[[#This Row],[GST applies?]] = "Yes", (PO[[#This Row],[Value inc. GST]] / 1 + PO[[#This Row],[GST %]]) * PO[[#This Row],[GST %]], 0)</f>
        <v>0</v>
      </c>
      <c r="P761" s="31">
        <f>_xlfn.XLOOKUP(PO[[#This Row],[Supplier name]], Supplier_master[Supplier name], Supplier_master[EOM or Net], 0)</f>
        <v>0</v>
      </c>
      <c r="Q761" s="31">
        <f>_xlfn.XLOOKUP(PO[[#This Row],[Supplier name]], Supplier_master[Supplier name], Supplier_master[Terms days], 0)</f>
        <v>0</v>
      </c>
      <c r="R7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1" s="4"/>
      <c r="T761" s="46">
        <f>IF(PO[[#This Row],[Payment date - override (dd/mm/yyyy)]] &lt;&gt; "", PO[[#This Row],[Payment date - override (dd/mm/yyyy)]], PO[[#This Row],[Due date (dd/mm/yyyy)]])</f>
        <v>0</v>
      </c>
      <c r="U761" s="46">
        <f t="shared" si="11"/>
        <v>52</v>
      </c>
    </row>
    <row r="762" spans="3:21" x14ac:dyDescent="0.25">
      <c r="C762" s="24"/>
      <c r="D762" s="20"/>
      <c r="E762" s="4"/>
      <c r="F762" s="37"/>
      <c r="G762" s="38"/>
      <c r="H762" s="31">
        <f>_xlfn.XLOOKUP(PO[[#This Row],[Supplier name]], Supplier_master[Supplier name], Supplier_master[Category L1], 0)</f>
        <v>0</v>
      </c>
      <c r="I762" s="31">
        <f>_xlfn.XLOOKUP(PO[[#This Row],[Supplier name]], Supplier_master[Supplier name], Supplier_master[Category L2], 0)</f>
        <v>0</v>
      </c>
      <c r="J762" s="55"/>
      <c r="K762" s="55"/>
      <c r="L762" s="31">
        <f>IF(PO[[#This Row],[Spend category L1 - Override]] &lt;&gt; "", PO[[#This Row],[Spend category L1 - Override]], PO[[#This Row],[Spend category L1]])</f>
        <v>0</v>
      </c>
      <c r="M762" s="31">
        <f>IF(PO[[#This Row],[Spend category L2 - Override]] &lt;&gt; "", PO[[#This Row],[Spend category L2 - Override]], PO[[#This Row],[Spend category L2]])</f>
        <v>0</v>
      </c>
      <c r="N762" s="63">
        <f>Assumptions!$D$15</f>
        <v>0.1</v>
      </c>
      <c r="O762" s="45">
        <f>IF(PO[[#This Row],[GST applies?]] = "Yes", (PO[[#This Row],[Value inc. GST]] / 1 + PO[[#This Row],[GST %]]) * PO[[#This Row],[GST %]], 0)</f>
        <v>0</v>
      </c>
      <c r="P762" s="31">
        <f>_xlfn.XLOOKUP(PO[[#This Row],[Supplier name]], Supplier_master[Supplier name], Supplier_master[EOM or Net], 0)</f>
        <v>0</v>
      </c>
      <c r="Q762" s="31">
        <f>_xlfn.XLOOKUP(PO[[#This Row],[Supplier name]], Supplier_master[Supplier name], Supplier_master[Terms days], 0)</f>
        <v>0</v>
      </c>
      <c r="R7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2" s="4"/>
      <c r="T762" s="46">
        <f>IF(PO[[#This Row],[Payment date - override (dd/mm/yyyy)]] &lt;&gt; "", PO[[#This Row],[Payment date - override (dd/mm/yyyy)]], PO[[#This Row],[Due date (dd/mm/yyyy)]])</f>
        <v>0</v>
      </c>
      <c r="U762" s="46">
        <f t="shared" si="11"/>
        <v>52</v>
      </c>
    </row>
    <row r="763" spans="3:21" x14ac:dyDescent="0.25">
      <c r="C763" s="24"/>
      <c r="D763" s="20"/>
      <c r="E763" s="4"/>
      <c r="F763" s="37"/>
      <c r="G763" s="38"/>
      <c r="H763" s="31">
        <f>_xlfn.XLOOKUP(PO[[#This Row],[Supplier name]], Supplier_master[Supplier name], Supplier_master[Category L1], 0)</f>
        <v>0</v>
      </c>
      <c r="I763" s="31">
        <f>_xlfn.XLOOKUP(PO[[#This Row],[Supplier name]], Supplier_master[Supplier name], Supplier_master[Category L2], 0)</f>
        <v>0</v>
      </c>
      <c r="J763" s="55"/>
      <c r="K763" s="55"/>
      <c r="L763" s="31">
        <f>IF(PO[[#This Row],[Spend category L1 - Override]] &lt;&gt; "", PO[[#This Row],[Spend category L1 - Override]], PO[[#This Row],[Spend category L1]])</f>
        <v>0</v>
      </c>
      <c r="M763" s="31">
        <f>IF(PO[[#This Row],[Spend category L2 - Override]] &lt;&gt; "", PO[[#This Row],[Spend category L2 - Override]], PO[[#This Row],[Spend category L2]])</f>
        <v>0</v>
      </c>
      <c r="N763" s="63">
        <f>Assumptions!$D$15</f>
        <v>0.1</v>
      </c>
      <c r="O763" s="45">
        <f>IF(PO[[#This Row],[GST applies?]] = "Yes", (PO[[#This Row],[Value inc. GST]] / 1 + PO[[#This Row],[GST %]]) * PO[[#This Row],[GST %]], 0)</f>
        <v>0</v>
      </c>
      <c r="P763" s="31">
        <f>_xlfn.XLOOKUP(PO[[#This Row],[Supplier name]], Supplier_master[Supplier name], Supplier_master[EOM or Net], 0)</f>
        <v>0</v>
      </c>
      <c r="Q763" s="31">
        <f>_xlfn.XLOOKUP(PO[[#This Row],[Supplier name]], Supplier_master[Supplier name], Supplier_master[Terms days], 0)</f>
        <v>0</v>
      </c>
      <c r="R7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3" s="4"/>
      <c r="T763" s="46">
        <f>IF(PO[[#This Row],[Payment date - override (dd/mm/yyyy)]] &lt;&gt; "", PO[[#This Row],[Payment date - override (dd/mm/yyyy)]], PO[[#This Row],[Due date (dd/mm/yyyy)]])</f>
        <v>0</v>
      </c>
      <c r="U763" s="46">
        <f t="shared" si="11"/>
        <v>52</v>
      </c>
    </row>
    <row r="764" spans="3:21" x14ac:dyDescent="0.25">
      <c r="C764" s="24"/>
      <c r="D764" s="20"/>
      <c r="E764" s="4"/>
      <c r="F764" s="37"/>
      <c r="G764" s="38"/>
      <c r="H764" s="31">
        <f>_xlfn.XLOOKUP(PO[[#This Row],[Supplier name]], Supplier_master[Supplier name], Supplier_master[Category L1], 0)</f>
        <v>0</v>
      </c>
      <c r="I764" s="31">
        <f>_xlfn.XLOOKUP(PO[[#This Row],[Supplier name]], Supplier_master[Supplier name], Supplier_master[Category L2], 0)</f>
        <v>0</v>
      </c>
      <c r="J764" s="55"/>
      <c r="K764" s="55"/>
      <c r="L764" s="31">
        <f>IF(PO[[#This Row],[Spend category L1 - Override]] &lt;&gt; "", PO[[#This Row],[Spend category L1 - Override]], PO[[#This Row],[Spend category L1]])</f>
        <v>0</v>
      </c>
      <c r="M764" s="31">
        <f>IF(PO[[#This Row],[Spend category L2 - Override]] &lt;&gt; "", PO[[#This Row],[Spend category L2 - Override]], PO[[#This Row],[Spend category L2]])</f>
        <v>0</v>
      </c>
      <c r="N764" s="63">
        <f>Assumptions!$D$15</f>
        <v>0.1</v>
      </c>
      <c r="O764" s="45">
        <f>IF(PO[[#This Row],[GST applies?]] = "Yes", (PO[[#This Row],[Value inc. GST]] / 1 + PO[[#This Row],[GST %]]) * PO[[#This Row],[GST %]], 0)</f>
        <v>0</v>
      </c>
      <c r="P764" s="31">
        <f>_xlfn.XLOOKUP(PO[[#This Row],[Supplier name]], Supplier_master[Supplier name], Supplier_master[EOM or Net], 0)</f>
        <v>0</v>
      </c>
      <c r="Q764" s="31">
        <f>_xlfn.XLOOKUP(PO[[#This Row],[Supplier name]], Supplier_master[Supplier name], Supplier_master[Terms days], 0)</f>
        <v>0</v>
      </c>
      <c r="R7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4" s="4"/>
      <c r="T764" s="46">
        <f>IF(PO[[#This Row],[Payment date - override (dd/mm/yyyy)]] &lt;&gt; "", PO[[#This Row],[Payment date - override (dd/mm/yyyy)]], PO[[#This Row],[Due date (dd/mm/yyyy)]])</f>
        <v>0</v>
      </c>
      <c r="U764" s="46">
        <f t="shared" si="11"/>
        <v>52</v>
      </c>
    </row>
    <row r="765" spans="3:21" x14ac:dyDescent="0.25">
      <c r="C765" s="24"/>
      <c r="D765" s="20"/>
      <c r="E765" s="4"/>
      <c r="F765" s="37"/>
      <c r="G765" s="38"/>
      <c r="H765" s="31">
        <f>_xlfn.XLOOKUP(PO[[#This Row],[Supplier name]], Supplier_master[Supplier name], Supplier_master[Category L1], 0)</f>
        <v>0</v>
      </c>
      <c r="I765" s="31">
        <f>_xlfn.XLOOKUP(PO[[#This Row],[Supplier name]], Supplier_master[Supplier name], Supplier_master[Category L2], 0)</f>
        <v>0</v>
      </c>
      <c r="J765" s="55"/>
      <c r="K765" s="55"/>
      <c r="L765" s="31">
        <f>IF(PO[[#This Row],[Spend category L1 - Override]] &lt;&gt; "", PO[[#This Row],[Spend category L1 - Override]], PO[[#This Row],[Spend category L1]])</f>
        <v>0</v>
      </c>
      <c r="M765" s="31">
        <f>IF(PO[[#This Row],[Spend category L2 - Override]] &lt;&gt; "", PO[[#This Row],[Spend category L2 - Override]], PO[[#This Row],[Spend category L2]])</f>
        <v>0</v>
      </c>
      <c r="N765" s="63">
        <f>Assumptions!$D$15</f>
        <v>0.1</v>
      </c>
      <c r="O765" s="45">
        <f>IF(PO[[#This Row],[GST applies?]] = "Yes", (PO[[#This Row],[Value inc. GST]] / 1 + PO[[#This Row],[GST %]]) * PO[[#This Row],[GST %]], 0)</f>
        <v>0</v>
      </c>
      <c r="P765" s="31">
        <f>_xlfn.XLOOKUP(PO[[#This Row],[Supplier name]], Supplier_master[Supplier name], Supplier_master[EOM or Net], 0)</f>
        <v>0</v>
      </c>
      <c r="Q765" s="31">
        <f>_xlfn.XLOOKUP(PO[[#This Row],[Supplier name]], Supplier_master[Supplier name], Supplier_master[Terms days], 0)</f>
        <v>0</v>
      </c>
      <c r="R7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5" s="4"/>
      <c r="T765" s="46">
        <f>IF(PO[[#This Row],[Payment date - override (dd/mm/yyyy)]] &lt;&gt; "", PO[[#This Row],[Payment date - override (dd/mm/yyyy)]], PO[[#This Row],[Due date (dd/mm/yyyy)]])</f>
        <v>0</v>
      </c>
      <c r="U765" s="46">
        <f t="shared" si="11"/>
        <v>52</v>
      </c>
    </row>
    <row r="766" spans="3:21" x14ac:dyDescent="0.25">
      <c r="C766" s="24"/>
      <c r="D766" s="20"/>
      <c r="E766" s="4"/>
      <c r="F766" s="37"/>
      <c r="G766" s="38"/>
      <c r="H766" s="31">
        <f>_xlfn.XLOOKUP(PO[[#This Row],[Supplier name]], Supplier_master[Supplier name], Supplier_master[Category L1], 0)</f>
        <v>0</v>
      </c>
      <c r="I766" s="31">
        <f>_xlfn.XLOOKUP(PO[[#This Row],[Supplier name]], Supplier_master[Supplier name], Supplier_master[Category L2], 0)</f>
        <v>0</v>
      </c>
      <c r="J766" s="55"/>
      <c r="K766" s="55"/>
      <c r="L766" s="31">
        <f>IF(PO[[#This Row],[Spend category L1 - Override]] &lt;&gt; "", PO[[#This Row],[Spend category L1 - Override]], PO[[#This Row],[Spend category L1]])</f>
        <v>0</v>
      </c>
      <c r="M766" s="31">
        <f>IF(PO[[#This Row],[Spend category L2 - Override]] &lt;&gt; "", PO[[#This Row],[Spend category L2 - Override]], PO[[#This Row],[Spend category L2]])</f>
        <v>0</v>
      </c>
      <c r="N766" s="63">
        <f>Assumptions!$D$15</f>
        <v>0.1</v>
      </c>
      <c r="O766" s="45">
        <f>IF(PO[[#This Row],[GST applies?]] = "Yes", (PO[[#This Row],[Value inc. GST]] / 1 + PO[[#This Row],[GST %]]) * PO[[#This Row],[GST %]], 0)</f>
        <v>0</v>
      </c>
      <c r="P766" s="31">
        <f>_xlfn.XLOOKUP(PO[[#This Row],[Supplier name]], Supplier_master[Supplier name], Supplier_master[EOM or Net], 0)</f>
        <v>0</v>
      </c>
      <c r="Q766" s="31">
        <f>_xlfn.XLOOKUP(PO[[#This Row],[Supplier name]], Supplier_master[Supplier name], Supplier_master[Terms days], 0)</f>
        <v>0</v>
      </c>
      <c r="R7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6" s="4"/>
      <c r="T766" s="46">
        <f>IF(PO[[#This Row],[Payment date - override (dd/mm/yyyy)]] &lt;&gt; "", PO[[#This Row],[Payment date - override (dd/mm/yyyy)]], PO[[#This Row],[Due date (dd/mm/yyyy)]])</f>
        <v>0</v>
      </c>
      <c r="U766" s="46">
        <f t="shared" si="11"/>
        <v>52</v>
      </c>
    </row>
    <row r="767" spans="3:21" x14ac:dyDescent="0.25">
      <c r="C767" s="24"/>
      <c r="D767" s="20"/>
      <c r="E767" s="4"/>
      <c r="F767" s="37"/>
      <c r="G767" s="38"/>
      <c r="H767" s="31">
        <f>_xlfn.XLOOKUP(PO[[#This Row],[Supplier name]], Supplier_master[Supplier name], Supplier_master[Category L1], 0)</f>
        <v>0</v>
      </c>
      <c r="I767" s="31">
        <f>_xlfn.XLOOKUP(PO[[#This Row],[Supplier name]], Supplier_master[Supplier name], Supplier_master[Category L2], 0)</f>
        <v>0</v>
      </c>
      <c r="J767" s="55"/>
      <c r="K767" s="55"/>
      <c r="L767" s="31">
        <f>IF(PO[[#This Row],[Spend category L1 - Override]] &lt;&gt; "", PO[[#This Row],[Spend category L1 - Override]], PO[[#This Row],[Spend category L1]])</f>
        <v>0</v>
      </c>
      <c r="M767" s="31">
        <f>IF(PO[[#This Row],[Spend category L2 - Override]] &lt;&gt; "", PO[[#This Row],[Spend category L2 - Override]], PO[[#This Row],[Spend category L2]])</f>
        <v>0</v>
      </c>
      <c r="N767" s="63">
        <f>Assumptions!$D$15</f>
        <v>0.1</v>
      </c>
      <c r="O767" s="45">
        <f>IF(PO[[#This Row],[GST applies?]] = "Yes", (PO[[#This Row],[Value inc. GST]] / 1 + PO[[#This Row],[GST %]]) * PO[[#This Row],[GST %]], 0)</f>
        <v>0</v>
      </c>
      <c r="P767" s="31">
        <f>_xlfn.XLOOKUP(PO[[#This Row],[Supplier name]], Supplier_master[Supplier name], Supplier_master[EOM or Net], 0)</f>
        <v>0</v>
      </c>
      <c r="Q767" s="31">
        <f>_xlfn.XLOOKUP(PO[[#This Row],[Supplier name]], Supplier_master[Supplier name], Supplier_master[Terms days], 0)</f>
        <v>0</v>
      </c>
      <c r="R7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7" s="4"/>
      <c r="T767" s="46">
        <f>IF(PO[[#This Row],[Payment date - override (dd/mm/yyyy)]] &lt;&gt; "", PO[[#This Row],[Payment date - override (dd/mm/yyyy)]], PO[[#This Row],[Due date (dd/mm/yyyy)]])</f>
        <v>0</v>
      </c>
      <c r="U767" s="46">
        <f t="shared" si="11"/>
        <v>52</v>
      </c>
    </row>
    <row r="768" spans="3:21" x14ac:dyDescent="0.25">
      <c r="C768" s="24"/>
      <c r="D768" s="20"/>
      <c r="E768" s="4"/>
      <c r="F768" s="37"/>
      <c r="G768" s="38"/>
      <c r="H768" s="31">
        <f>_xlfn.XLOOKUP(PO[[#This Row],[Supplier name]], Supplier_master[Supplier name], Supplier_master[Category L1], 0)</f>
        <v>0</v>
      </c>
      <c r="I768" s="31">
        <f>_xlfn.XLOOKUP(PO[[#This Row],[Supplier name]], Supplier_master[Supplier name], Supplier_master[Category L2], 0)</f>
        <v>0</v>
      </c>
      <c r="J768" s="55"/>
      <c r="K768" s="55"/>
      <c r="L768" s="31">
        <f>IF(PO[[#This Row],[Spend category L1 - Override]] &lt;&gt; "", PO[[#This Row],[Spend category L1 - Override]], PO[[#This Row],[Spend category L1]])</f>
        <v>0</v>
      </c>
      <c r="M768" s="31">
        <f>IF(PO[[#This Row],[Spend category L2 - Override]] &lt;&gt; "", PO[[#This Row],[Spend category L2 - Override]], PO[[#This Row],[Spend category L2]])</f>
        <v>0</v>
      </c>
      <c r="N768" s="63">
        <f>Assumptions!$D$15</f>
        <v>0.1</v>
      </c>
      <c r="O768" s="45">
        <f>IF(PO[[#This Row],[GST applies?]] = "Yes", (PO[[#This Row],[Value inc. GST]] / 1 + PO[[#This Row],[GST %]]) * PO[[#This Row],[GST %]], 0)</f>
        <v>0</v>
      </c>
      <c r="P768" s="31">
        <f>_xlfn.XLOOKUP(PO[[#This Row],[Supplier name]], Supplier_master[Supplier name], Supplier_master[EOM or Net], 0)</f>
        <v>0</v>
      </c>
      <c r="Q768" s="31">
        <f>_xlfn.XLOOKUP(PO[[#This Row],[Supplier name]], Supplier_master[Supplier name], Supplier_master[Terms days], 0)</f>
        <v>0</v>
      </c>
      <c r="R7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8" s="4"/>
      <c r="T768" s="46">
        <f>IF(PO[[#This Row],[Payment date - override (dd/mm/yyyy)]] &lt;&gt; "", PO[[#This Row],[Payment date - override (dd/mm/yyyy)]], PO[[#This Row],[Due date (dd/mm/yyyy)]])</f>
        <v>0</v>
      </c>
      <c r="U768" s="46">
        <f t="shared" si="11"/>
        <v>52</v>
      </c>
    </row>
    <row r="769" spans="3:21" x14ac:dyDescent="0.25">
      <c r="C769" s="24"/>
      <c r="D769" s="20"/>
      <c r="E769" s="4"/>
      <c r="F769" s="37"/>
      <c r="G769" s="38"/>
      <c r="H769" s="31">
        <f>_xlfn.XLOOKUP(PO[[#This Row],[Supplier name]], Supplier_master[Supplier name], Supplier_master[Category L1], 0)</f>
        <v>0</v>
      </c>
      <c r="I769" s="31">
        <f>_xlfn.XLOOKUP(PO[[#This Row],[Supplier name]], Supplier_master[Supplier name], Supplier_master[Category L2], 0)</f>
        <v>0</v>
      </c>
      <c r="J769" s="55"/>
      <c r="K769" s="55"/>
      <c r="L769" s="31">
        <f>IF(PO[[#This Row],[Spend category L1 - Override]] &lt;&gt; "", PO[[#This Row],[Spend category L1 - Override]], PO[[#This Row],[Spend category L1]])</f>
        <v>0</v>
      </c>
      <c r="M769" s="31">
        <f>IF(PO[[#This Row],[Spend category L2 - Override]] &lt;&gt; "", PO[[#This Row],[Spend category L2 - Override]], PO[[#This Row],[Spend category L2]])</f>
        <v>0</v>
      </c>
      <c r="N769" s="63">
        <f>Assumptions!$D$15</f>
        <v>0.1</v>
      </c>
      <c r="O769" s="45">
        <f>IF(PO[[#This Row],[GST applies?]] = "Yes", (PO[[#This Row],[Value inc. GST]] / 1 + PO[[#This Row],[GST %]]) * PO[[#This Row],[GST %]], 0)</f>
        <v>0</v>
      </c>
      <c r="P769" s="31">
        <f>_xlfn.XLOOKUP(PO[[#This Row],[Supplier name]], Supplier_master[Supplier name], Supplier_master[EOM or Net], 0)</f>
        <v>0</v>
      </c>
      <c r="Q769" s="31">
        <f>_xlfn.XLOOKUP(PO[[#This Row],[Supplier name]], Supplier_master[Supplier name], Supplier_master[Terms days], 0)</f>
        <v>0</v>
      </c>
      <c r="R7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9" s="4"/>
      <c r="T769" s="46">
        <f>IF(PO[[#This Row],[Payment date - override (dd/mm/yyyy)]] &lt;&gt; "", PO[[#This Row],[Payment date - override (dd/mm/yyyy)]], PO[[#This Row],[Due date (dd/mm/yyyy)]])</f>
        <v>0</v>
      </c>
      <c r="U769" s="46">
        <f t="shared" si="11"/>
        <v>52</v>
      </c>
    </row>
    <row r="770" spans="3:21" x14ac:dyDescent="0.25">
      <c r="C770" s="24"/>
      <c r="D770" s="20"/>
      <c r="E770" s="4"/>
      <c r="F770" s="37"/>
      <c r="G770" s="38"/>
      <c r="H770" s="31">
        <f>_xlfn.XLOOKUP(PO[[#This Row],[Supplier name]], Supplier_master[Supplier name], Supplier_master[Category L1], 0)</f>
        <v>0</v>
      </c>
      <c r="I770" s="31">
        <f>_xlfn.XLOOKUP(PO[[#This Row],[Supplier name]], Supplier_master[Supplier name], Supplier_master[Category L2], 0)</f>
        <v>0</v>
      </c>
      <c r="J770" s="55"/>
      <c r="K770" s="55"/>
      <c r="L770" s="31">
        <f>IF(PO[[#This Row],[Spend category L1 - Override]] &lt;&gt; "", PO[[#This Row],[Spend category L1 - Override]], PO[[#This Row],[Spend category L1]])</f>
        <v>0</v>
      </c>
      <c r="M770" s="31">
        <f>IF(PO[[#This Row],[Spend category L2 - Override]] &lt;&gt; "", PO[[#This Row],[Spend category L2 - Override]], PO[[#This Row],[Spend category L2]])</f>
        <v>0</v>
      </c>
      <c r="N770" s="63">
        <f>Assumptions!$D$15</f>
        <v>0.1</v>
      </c>
      <c r="O770" s="45">
        <f>IF(PO[[#This Row],[GST applies?]] = "Yes", (PO[[#This Row],[Value inc. GST]] / 1 + PO[[#This Row],[GST %]]) * PO[[#This Row],[GST %]], 0)</f>
        <v>0</v>
      </c>
      <c r="P770" s="31">
        <f>_xlfn.XLOOKUP(PO[[#This Row],[Supplier name]], Supplier_master[Supplier name], Supplier_master[EOM or Net], 0)</f>
        <v>0</v>
      </c>
      <c r="Q770" s="31">
        <f>_xlfn.XLOOKUP(PO[[#This Row],[Supplier name]], Supplier_master[Supplier name], Supplier_master[Terms days], 0)</f>
        <v>0</v>
      </c>
      <c r="R7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0" s="4"/>
      <c r="T770" s="46">
        <f>IF(PO[[#This Row],[Payment date - override (dd/mm/yyyy)]] &lt;&gt; "", PO[[#This Row],[Payment date - override (dd/mm/yyyy)]], PO[[#This Row],[Due date (dd/mm/yyyy)]])</f>
        <v>0</v>
      </c>
      <c r="U770" s="46">
        <f t="shared" si="11"/>
        <v>52</v>
      </c>
    </row>
    <row r="771" spans="3:21" x14ac:dyDescent="0.25">
      <c r="C771" s="24"/>
      <c r="D771" s="20"/>
      <c r="E771" s="4"/>
      <c r="F771" s="37"/>
      <c r="G771" s="38"/>
      <c r="H771" s="31">
        <f>_xlfn.XLOOKUP(PO[[#This Row],[Supplier name]], Supplier_master[Supplier name], Supplier_master[Category L1], 0)</f>
        <v>0</v>
      </c>
      <c r="I771" s="31">
        <f>_xlfn.XLOOKUP(PO[[#This Row],[Supplier name]], Supplier_master[Supplier name], Supplier_master[Category L2], 0)</f>
        <v>0</v>
      </c>
      <c r="J771" s="55"/>
      <c r="K771" s="55"/>
      <c r="L771" s="31">
        <f>IF(PO[[#This Row],[Spend category L1 - Override]] &lt;&gt; "", PO[[#This Row],[Spend category L1 - Override]], PO[[#This Row],[Spend category L1]])</f>
        <v>0</v>
      </c>
      <c r="M771" s="31">
        <f>IF(PO[[#This Row],[Spend category L2 - Override]] &lt;&gt; "", PO[[#This Row],[Spend category L2 - Override]], PO[[#This Row],[Spend category L2]])</f>
        <v>0</v>
      </c>
      <c r="N771" s="63">
        <f>Assumptions!$D$15</f>
        <v>0.1</v>
      </c>
      <c r="O771" s="45">
        <f>IF(PO[[#This Row],[GST applies?]] = "Yes", (PO[[#This Row],[Value inc. GST]] / 1 + PO[[#This Row],[GST %]]) * PO[[#This Row],[GST %]], 0)</f>
        <v>0</v>
      </c>
      <c r="P771" s="31">
        <f>_xlfn.XLOOKUP(PO[[#This Row],[Supplier name]], Supplier_master[Supplier name], Supplier_master[EOM or Net], 0)</f>
        <v>0</v>
      </c>
      <c r="Q771" s="31">
        <f>_xlfn.XLOOKUP(PO[[#This Row],[Supplier name]], Supplier_master[Supplier name], Supplier_master[Terms days], 0)</f>
        <v>0</v>
      </c>
      <c r="R7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1" s="4"/>
      <c r="T771" s="46">
        <f>IF(PO[[#This Row],[Payment date - override (dd/mm/yyyy)]] &lt;&gt; "", PO[[#This Row],[Payment date - override (dd/mm/yyyy)]], PO[[#This Row],[Due date (dd/mm/yyyy)]])</f>
        <v>0</v>
      </c>
      <c r="U771" s="46">
        <f t="shared" si="11"/>
        <v>52</v>
      </c>
    </row>
    <row r="772" spans="3:21" x14ac:dyDescent="0.25">
      <c r="C772" s="24"/>
      <c r="D772" s="20"/>
      <c r="E772" s="4"/>
      <c r="F772" s="37"/>
      <c r="G772" s="38"/>
      <c r="H772" s="31">
        <f>_xlfn.XLOOKUP(PO[[#This Row],[Supplier name]], Supplier_master[Supplier name], Supplier_master[Category L1], 0)</f>
        <v>0</v>
      </c>
      <c r="I772" s="31">
        <f>_xlfn.XLOOKUP(PO[[#This Row],[Supplier name]], Supplier_master[Supplier name], Supplier_master[Category L2], 0)</f>
        <v>0</v>
      </c>
      <c r="J772" s="55"/>
      <c r="K772" s="55"/>
      <c r="L772" s="31">
        <f>IF(PO[[#This Row],[Spend category L1 - Override]] &lt;&gt; "", PO[[#This Row],[Spend category L1 - Override]], PO[[#This Row],[Spend category L1]])</f>
        <v>0</v>
      </c>
      <c r="M772" s="31">
        <f>IF(PO[[#This Row],[Spend category L2 - Override]] &lt;&gt; "", PO[[#This Row],[Spend category L2 - Override]], PO[[#This Row],[Spend category L2]])</f>
        <v>0</v>
      </c>
      <c r="N772" s="63">
        <f>Assumptions!$D$15</f>
        <v>0.1</v>
      </c>
      <c r="O772" s="45">
        <f>IF(PO[[#This Row],[GST applies?]] = "Yes", (PO[[#This Row],[Value inc. GST]] / 1 + PO[[#This Row],[GST %]]) * PO[[#This Row],[GST %]], 0)</f>
        <v>0</v>
      </c>
      <c r="P772" s="31">
        <f>_xlfn.XLOOKUP(PO[[#This Row],[Supplier name]], Supplier_master[Supplier name], Supplier_master[EOM or Net], 0)</f>
        <v>0</v>
      </c>
      <c r="Q772" s="31">
        <f>_xlfn.XLOOKUP(PO[[#This Row],[Supplier name]], Supplier_master[Supplier name], Supplier_master[Terms days], 0)</f>
        <v>0</v>
      </c>
      <c r="R7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2" s="4"/>
      <c r="T772" s="46">
        <f>IF(PO[[#This Row],[Payment date - override (dd/mm/yyyy)]] &lt;&gt; "", PO[[#This Row],[Payment date - override (dd/mm/yyyy)]], PO[[#This Row],[Due date (dd/mm/yyyy)]])</f>
        <v>0</v>
      </c>
      <c r="U772" s="46">
        <f t="shared" si="11"/>
        <v>52</v>
      </c>
    </row>
    <row r="773" spans="3:21" x14ac:dyDescent="0.25">
      <c r="C773" s="24"/>
      <c r="D773" s="20"/>
      <c r="E773" s="4"/>
      <c r="F773" s="37"/>
      <c r="G773" s="38"/>
      <c r="H773" s="31">
        <f>_xlfn.XLOOKUP(PO[[#This Row],[Supplier name]], Supplier_master[Supplier name], Supplier_master[Category L1], 0)</f>
        <v>0</v>
      </c>
      <c r="I773" s="31">
        <f>_xlfn.XLOOKUP(PO[[#This Row],[Supplier name]], Supplier_master[Supplier name], Supplier_master[Category L2], 0)</f>
        <v>0</v>
      </c>
      <c r="J773" s="55"/>
      <c r="K773" s="55"/>
      <c r="L773" s="31">
        <f>IF(PO[[#This Row],[Spend category L1 - Override]] &lt;&gt; "", PO[[#This Row],[Spend category L1 - Override]], PO[[#This Row],[Spend category L1]])</f>
        <v>0</v>
      </c>
      <c r="M773" s="31">
        <f>IF(PO[[#This Row],[Spend category L2 - Override]] &lt;&gt; "", PO[[#This Row],[Spend category L2 - Override]], PO[[#This Row],[Spend category L2]])</f>
        <v>0</v>
      </c>
      <c r="N773" s="63">
        <f>Assumptions!$D$15</f>
        <v>0.1</v>
      </c>
      <c r="O773" s="45">
        <f>IF(PO[[#This Row],[GST applies?]] = "Yes", (PO[[#This Row],[Value inc. GST]] / 1 + PO[[#This Row],[GST %]]) * PO[[#This Row],[GST %]], 0)</f>
        <v>0</v>
      </c>
      <c r="P773" s="31">
        <f>_xlfn.XLOOKUP(PO[[#This Row],[Supplier name]], Supplier_master[Supplier name], Supplier_master[EOM or Net], 0)</f>
        <v>0</v>
      </c>
      <c r="Q773" s="31">
        <f>_xlfn.XLOOKUP(PO[[#This Row],[Supplier name]], Supplier_master[Supplier name], Supplier_master[Terms days], 0)</f>
        <v>0</v>
      </c>
      <c r="R7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3" s="4"/>
      <c r="T773" s="46">
        <f>IF(PO[[#This Row],[Payment date - override (dd/mm/yyyy)]] &lt;&gt; "", PO[[#This Row],[Payment date - override (dd/mm/yyyy)]], PO[[#This Row],[Due date (dd/mm/yyyy)]])</f>
        <v>0</v>
      </c>
      <c r="U773" s="46">
        <f t="shared" si="11"/>
        <v>52</v>
      </c>
    </row>
    <row r="774" spans="3:21" x14ac:dyDescent="0.25">
      <c r="C774" s="24"/>
      <c r="D774" s="20"/>
      <c r="E774" s="4"/>
      <c r="F774" s="37"/>
      <c r="G774" s="38"/>
      <c r="H774" s="31">
        <f>_xlfn.XLOOKUP(PO[[#This Row],[Supplier name]], Supplier_master[Supplier name], Supplier_master[Category L1], 0)</f>
        <v>0</v>
      </c>
      <c r="I774" s="31">
        <f>_xlfn.XLOOKUP(PO[[#This Row],[Supplier name]], Supplier_master[Supplier name], Supplier_master[Category L2], 0)</f>
        <v>0</v>
      </c>
      <c r="J774" s="55"/>
      <c r="K774" s="55"/>
      <c r="L774" s="31">
        <f>IF(PO[[#This Row],[Spend category L1 - Override]] &lt;&gt; "", PO[[#This Row],[Spend category L1 - Override]], PO[[#This Row],[Spend category L1]])</f>
        <v>0</v>
      </c>
      <c r="M774" s="31">
        <f>IF(PO[[#This Row],[Spend category L2 - Override]] &lt;&gt; "", PO[[#This Row],[Spend category L2 - Override]], PO[[#This Row],[Spend category L2]])</f>
        <v>0</v>
      </c>
      <c r="N774" s="63">
        <f>Assumptions!$D$15</f>
        <v>0.1</v>
      </c>
      <c r="O774" s="45">
        <f>IF(PO[[#This Row],[GST applies?]] = "Yes", (PO[[#This Row],[Value inc. GST]] / 1 + PO[[#This Row],[GST %]]) * PO[[#This Row],[GST %]], 0)</f>
        <v>0</v>
      </c>
      <c r="P774" s="31">
        <f>_xlfn.XLOOKUP(PO[[#This Row],[Supplier name]], Supplier_master[Supplier name], Supplier_master[EOM or Net], 0)</f>
        <v>0</v>
      </c>
      <c r="Q774" s="31">
        <f>_xlfn.XLOOKUP(PO[[#This Row],[Supplier name]], Supplier_master[Supplier name], Supplier_master[Terms days], 0)</f>
        <v>0</v>
      </c>
      <c r="R7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4" s="4"/>
      <c r="T774" s="46">
        <f>IF(PO[[#This Row],[Payment date - override (dd/mm/yyyy)]] &lt;&gt; "", PO[[#This Row],[Payment date - override (dd/mm/yyyy)]], PO[[#This Row],[Due date (dd/mm/yyyy)]])</f>
        <v>0</v>
      </c>
      <c r="U774" s="46">
        <f t="shared" si="11"/>
        <v>52</v>
      </c>
    </row>
    <row r="775" spans="3:21" x14ac:dyDescent="0.25">
      <c r="C775" s="24"/>
      <c r="D775" s="20"/>
      <c r="E775" s="4"/>
      <c r="F775" s="37"/>
      <c r="G775" s="38"/>
      <c r="H775" s="31">
        <f>_xlfn.XLOOKUP(PO[[#This Row],[Supplier name]], Supplier_master[Supplier name], Supplier_master[Category L1], 0)</f>
        <v>0</v>
      </c>
      <c r="I775" s="31">
        <f>_xlfn.XLOOKUP(PO[[#This Row],[Supplier name]], Supplier_master[Supplier name], Supplier_master[Category L2], 0)</f>
        <v>0</v>
      </c>
      <c r="J775" s="55"/>
      <c r="K775" s="55"/>
      <c r="L775" s="31">
        <f>IF(PO[[#This Row],[Spend category L1 - Override]] &lt;&gt; "", PO[[#This Row],[Spend category L1 - Override]], PO[[#This Row],[Spend category L1]])</f>
        <v>0</v>
      </c>
      <c r="M775" s="31">
        <f>IF(PO[[#This Row],[Spend category L2 - Override]] &lt;&gt; "", PO[[#This Row],[Spend category L2 - Override]], PO[[#This Row],[Spend category L2]])</f>
        <v>0</v>
      </c>
      <c r="N775" s="63">
        <f>Assumptions!$D$15</f>
        <v>0.1</v>
      </c>
      <c r="O775" s="45">
        <f>IF(PO[[#This Row],[GST applies?]] = "Yes", (PO[[#This Row],[Value inc. GST]] / 1 + PO[[#This Row],[GST %]]) * PO[[#This Row],[GST %]], 0)</f>
        <v>0</v>
      </c>
      <c r="P775" s="31">
        <f>_xlfn.XLOOKUP(PO[[#This Row],[Supplier name]], Supplier_master[Supplier name], Supplier_master[EOM or Net], 0)</f>
        <v>0</v>
      </c>
      <c r="Q775" s="31">
        <f>_xlfn.XLOOKUP(PO[[#This Row],[Supplier name]], Supplier_master[Supplier name], Supplier_master[Terms days], 0)</f>
        <v>0</v>
      </c>
      <c r="R7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5" s="4"/>
      <c r="T775" s="46">
        <f>IF(PO[[#This Row],[Payment date - override (dd/mm/yyyy)]] &lt;&gt; "", PO[[#This Row],[Payment date - override (dd/mm/yyyy)]], PO[[#This Row],[Due date (dd/mm/yyyy)]])</f>
        <v>0</v>
      </c>
      <c r="U775" s="46">
        <f t="shared" si="11"/>
        <v>52</v>
      </c>
    </row>
    <row r="776" spans="3:21" x14ac:dyDescent="0.25">
      <c r="C776" s="24"/>
      <c r="D776" s="20"/>
      <c r="E776" s="4"/>
      <c r="F776" s="37"/>
      <c r="G776" s="38"/>
      <c r="H776" s="31">
        <f>_xlfn.XLOOKUP(PO[[#This Row],[Supplier name]], Supplier_master[Supplier name], Supplier_master[Category L1], 0)</f>
        <v>0</v>
      </c>
      <c r="I776" s="31">
        <f>_xlfn.XLOOKUP(PO[[#This Row],[Supplier name]], Supplier_master[Supplier name], Supplier_master[Category L2], 0)</f>
        <v>0</v>
      </c>
      <c r="J776" s="55"/>
      <c r="K776" s="55"/>
      <c r="L776" s="31">
        <f>IF(PO[[#This Row],[Spend category L1 - Override]] &lt;&gt; "", PO[[#This Row],[Spend category L1 - Override]], PO[[#This Row],[Spend category L1]])</f>
        <v>0</v>
      </c>
      <c r="M776" s="31">
        <f>IF(PO[[#This Row],[Spend category L2 - Override]] &lt;&gt; "", PO[[#This Row],[Spend category L2 - Override]], PO[[#This Row],[Spend category L2]])</f>
        <v>0</v>
      </c>
      <c r="N776" s="63">
        <f>Assumptions!$D$15</f>
        <v>0.1</v>
      </c>
      <c r="O776" s="45">
        <f>IF(PO[[#This Row],[GST applies?]] = "Yes", (PO[[#This Row],[Value inc. GST]] / 1 + PO[[#This Row],[GST %]]) * PO[[#This Row],[GST %]], 0)</f>
        <v>0</v>
      </c>
      <c r="P776" s="31">
        <f>_xlfn.XLOOKUP(PO[[#This Row],[Supplier name]], Supplier_master[Supplier name], Supplier_master[EOM or Net], 0)</f>
        <v>0</v>
      </c>
      <c r="Q776" s="31">
        <f>_xlfn.XLOOKUP(PO[[#This Row],[Supplier name]], Supplier_master[Supplier name], Supplier_master[Terms days], 0)</f>
        <v>0</v>
      </c>
      <c r="R7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6" s="4"/>
      <c r="T776" s="46">
        <f>IF(PO[[#This Row],[Payment date - override (dd/mm/yyyy)]] &lt;&gt; "", PO[[#This Row],[Payment date - override (dd/mm/yyyy)]], PO[[#This Row],[Due date (dd/mm/yyyy)]])</f>
        <v>0</v>
      </c>
      <c r="U776" s="46">
        <f t="shared" si="11"/>
        <v>52</v>
      </c>
    </row>
    <row r="777" spans="3:21" x14ac:dyDescent="0.25">
      <c r="C777" s="24"/>
      <c r="D777" s="20"/>
      <c r="E777" s="4"/>
      <c r="F777" s="37"/>
      <c r="G777" s="38"/>
      <c r="H777" s="31">
        <f>_xlfn.XLOOKUP(PO[[#This Row],[Supplier name]], Supplier_master[Supplier name], Supplier_master[Category L1], 0)</f>
        <v>0</v>
      </c>
      <c r="I777" s="31">
        <f>_xlfn.XLOOKUP(PO[[#This Row],[Supplier name]], Supplier_master[Supplier name], Supplier_master[Category L2], 0)</f>
        <v>0</v>
      </c>
      <c r="J777" s="55"/>
      <c r="K777" s="55"/>
      <c r="L777" s="31">
        <f>IF(PO[[#This Row],[Spend category L1 - Override]] &lt;&gt; "", PO[[#This Row],[Spend category L1 - Override]], PO[[#This Row],[Spend category L1]])</f>
        <v>0</v>
      </c>
      <c r="M777" s="31">
        <f>IF(PO[[#This Row],[Spend category L2 - Override]] &lt;&gt; "", PO[[#This Row],[Spend category L2 - Override]], PO[[#This Row],[Spend category L2]])</f>
        <v>0</v>
      </c>
      <c r="N777" s="63">
        <f>Assumptions!$D$15</f>
        <v>0.1</v>
      </c>
      <c r="O777" s="45">
        <f>IF(PO[[#This Row],[GST applies?]] = "Yes", (PO[[#This Row],[Value inc. GST]] / 1 + PO[[#This Row],[GST %]]) * PO[[#This Row],[GST %]], 0)</f>
        <v>0</v>
      </c>
      <c r="P777" s="31">
        <f>_xlfn.XLOOKUP(PO[[#This Row],[Supplier name]], Supplier_master[Supplier name], Supplier_master[EOM or Net], 0)</f>
        <v>0</v>
      </c>
      <c r="Q777" s="31">
        <f>_xlfn.XLOOKUP(PO[[#This Row],[Supplier name]], Supplier_master[Supplier name], Supplier_master[Terms days], 0)</f>
        <v>0</v>
      </c>
      <c r="R7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7" s="4"/>
      <c r="T777" s="46">
        <f>IF(PO[[#This Row],[Payment date - override (dd/mm/yyyy)]] &lt;&gt; "", PO[[#This Row],[Payment date - override (dd/mm/yyyy)]], PO[[#This Row],[Due date (dd/mm/yyyy)]])</f>
        <v>0</v>
      </c>
      <c r="U777" s="46">
        <f t="shared" ref="U777:U840" si="12">IF(GST_Freq="Monthly",
    DATE(YEAR(E777), MONTH(E777) + 1, 21),
    IF(GST_Freq="Quarterly",
        IF(MOD(MONTH(E777) + 2 - MOD(MOD(MONTH(E777) - GST_First_Month, 12), 3), 12) = 0,
            DATE(YEAR(E777), MONTH(E777) + 4 - MOD(MOD(MONTH(E777) - GST_First_Month, 12), 3), 28),
            DATE(YEAR(E777), MONTH(E777) + 3 - MOD(MOD(MONTH(E777) - GST_First_Month, 12), 3), 28)
        ),
        "Invalid frequency"
    )
)</f>
        <v>52</v>
      </c>
    </row>
    <row r="778" spans="3:21" x14ac:dyDescent="0.25">
      <c r="C778" s="24"/>
      <c r="D778" s="20"/>
      <c r="E778" s="4"/>
      <c r="F778" s="37"/>
      <c r="G778" s="38"/>
      <c r="H778" s="31">
        <f>_xlfn.XLOOKUP(PO[[#This Row],[Supplier name]], Supplier_master[Supplier name], Supplier_master[Category L1], 0)</f>
        <v>0</v>
      </c>
      <c r="I778" s="31">
        <f>_xlfn.XLOOKUP(PO[[#This Row],[Supplier name]], Supplier_master[Supplier name], Supplier_master[Category L2], 0)</f>
        <v>0</v>
      </c>
      <c r="J778" s="55"/>
      <c r="K778" s="55"/>
      <c r="L778" s="31">
        <f>IF(PO[[#This Row],[Spend category L1 - Override]] &lt;&gt; "", PO[[#This Row],[Spend category L1 - Override]], PO[[#This Row],[Spend category L1]])</f>
        <v>0</v>
      </c>
      <c r="M778" s="31">
        <f>IF(PO[[#This Row],[Spend category L2 - Override]] &lt;&gt; "", PO[[#This Row],[Spend category L2 - Override]], PO[[#This Row],[Spend category L2]])</f>
        <v>0</v>
      </c>
      <c r="N778" s="63">
        <f>Assumptions!$D$15</f>
        <v>0.1</v>
      </c>
      <c r="O778" s="45">
        <f>IF(PO[[#This Row],[GST applies?]] = "Yes", (PO[[#This Row],[Value inc. GST]] / 1 + PO[[#This Row],[GST %]]) * PO[[#This Row],[GST %]], 0)</f>
        <v>0</v>
      </c>
      <c r="P778" s="31">
        <f>_xlfn.XLOOKUP(PO[[#This Row],[Supplier name]], Supplier_master[Supplier name], Supplier_master[EOM or Net], 0)</f>
        <v>0</v>
      </c>
      <c r="Q778" s="31">
        <f>_xlfn.XLOOKUP(PO[[#This Row],[Supplier name]], Supplier_master[Supplier name], Supplier_master[Terms days], 0)</f>
        <v>0</v>
      </c>
      <c r="R7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8" s="4"/>
      <c r="T778" s="46">
        <f>IF(PO[[#This Row],[Payment date - override (dd/mm/yyyy)]] &lt;&gt; "", PO[[#This Row],[Payment date - override (dd/mm/yyyy)]], PO[[#This Row],[Due date (dd/mm/yyyy)]])</f>
        <v>0</v>
      </c>
      <c r="U778" s="46">
        <f t="shared" si="12"/>
        <v>52</v>
      </c>
    </row>
    <row r="779" spans="3:21" x14ac:dyDescent="0.25">
      <c r="C779" s="24"/>
      <c r="D779" s="20"/>
      <c r="E779" s="4"/>
      <c r="F779" s="37"/>
      <c r="G779" s="38"/>
      <c r="H779" s="31">
        <f>_xlfn.XLOOKUP(PO[[#This Row],[Supplier name]], Supplier_master[Supplier name], Supplier_master[Category L1], 0)</f>
        <v>0</v>
      </c>
      <c r="I779" s="31">
        <f>_xlfn.XLOOKUP(PO[[#This Row],[Supplier name]], Supplier_master[Supplier name], Supplier_master[Category L2], 0)</f>
        <v>0</v>
      </c>
      <c r="J779" s="55"/>
      <c r="K779" s="55"/>
      <c r="L779" s="31">
        <f>IF(PO[[#This Row],[Spend category L1 - Override]] &lt;&gt; "", PO[[#This Row],[Spend category L1 - Override]], PO[[#This Row],[Spend category L1]])</f>
        <v>0</v>
      </c>
      <c r="M779" s="31">
        <f>IF(PO[[#This Row],[Spend category L2 - Override]] &lt;&gt; "", PO[[#This Row],[Spend category L2 - Override]], PO[[#This Row],[Spend category L2]])</f>
        <v>0</v>
      </c>
      <c r="N779" s="63">
        <f>Assumptions!$D$15</f>
        <v>0.1</v>
      </c>
      <c r="O779" s="45">
        <f>IF(PO[[#This Row],[GST applies?]] = "Yes", (PO[[#This Row],[Value inc. GST]] / 1 + PO[[#This Row],[GST %]]) * PO[[#This Row],[GST %]], 0)</f>
        <v>0</v>
      </c>
      <c r="P779" s="31">
        <f>_xlfn.XLOOKUP(PO[[#This Row],[Supplier name]], Supplier_master[Supplier name], Supplier_master[EOM or Net], 0)</f>
        <v>0</v>
      </c>
      <c r="Q779" s="31">
        <f>_xlfn.XLOOKUP(PO[[#This Row],[Supplier name]], Supplier_master[Supplier name], Supplier_master[Terms days], 0)</f>
        <v>0</v>
      </c>
      <c r="R7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9" s="4"/>
      <c r="T779" s="46">
        <f>IF(PO[[#This Row],[Payment date - override (dd/mm/yyyy)]] &lt;&gt; "", PO[[#This Row],[Payment date - override (dd/mm/yyyy)]], PO[[#This Row],[Due date (dd/mm/yyyy)]])</f>
        <v>0</v>
      </c>
      <c r="U779" s="46">
        <f t="shared" si="12"/>
        <v>52</v>
      </c>
    </row>
    <row r="780" spans="3:21" x14ac:dyDescent="0.25">
      <c r="C780" s="24"/>
      <c r="D780" s="20"/>
      <c r="E780" s="4"/>
      <c r="F780" s="37"/>
      <c r="G780" s="38"/>
      <c r="H780" s="31">
        <f>_xlfn.XLOOKUP(PO[[#This Row],[Supplier name]], Supplier_master[Supplier name], Supplier_master[Category L1], 0)</f>
        <v>0</v>
      </c>
      <c r="I780" s="31">
        <f>_xlfn.XLOOKUP(PO[[#This Row],[Supplier name]], Supplier_master[Supplier name], Supplier_master[Category L2], 0)</f>
        <v>0</v>
      </c>
      <c r="J780" s="55"/>
      <c r="K780" s="55"/>
      <c r="L780" s="31">
        <f>IF(PO[[#This Row],[Spend category L1 - Override]] &lt;&gt; "", PO[[#This Row],[Spend category L1 - Override]], PO[[#This Row],[Spend category L1]])</f>
        <v>0</v>
      </c>
      <c r="M780" s="31">
        <f>IF(PO[[#This Row],[Spend category L2 - Override]] &lt;&gt; "", PO[[#This Row],[Spend category L2 - Override]], PO[[#This Row],[Spend category L2]])</f>
        <v>0</v>
      </c>
      <c r="N780" s="63">
        <f>Assumptions!$D$15</f>
        <v>0.1</v>
      </c>
      <c r="O780" s="45">
        <f>IF(PO[[#This Row],[GST applies?]] = "Yes", (PO[[#This Row],[Value inc. GST]] / 1 + PO[[#This Row],[GST %]]) * PO[[#This Row],[GST %]], 0)</f>
        <v>0</v>
      </c>
      <c r="P780" s="31">
        <f>_xlfn.XLOOKUP(PO[[#This Row],[Supplier name]], Supplier_master[Supplier name], Supplier_master[EOM or Net], 0)</f>
        <v>0</v>
      </c>
      <c r="Q780" s="31">
        <f>_xlfn.XLOOKUP(PO[[#This Row],[Supplier name]], Supplier_master[Supplier name], Supplier_master[Terms days], 0)</f>
        <v>0</v>
      </c>
      <c r="R7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0" s="4"/>
      <c r="T780" s="46">
        <f>IF(PO[[#This Row],[Payment date - override (dd/mm/yyyy)]] &lt;&gt; "", PO[[#This Row],[Payment date - override (dd/mm/yyyy)]], PO[[#This Row],[Due date (dd/mm/yyyy)]])</f>
        <v>0</v>
      </c>
      <c r="U780" s="46">
        <f t="shared" si="12"/>
        <v>52</v>
      </c>
    </row>
    <row r="781" spans="3:21" x14ac:dyDescent="0.25">
      <c r="C781" s="24"/>
      <c r="D781" s="20"/>
      <c r="E781" s="4"/>
      <c r="F781" s="37"/>
      <c r="G781" s="38"/>
      <c r="H781" s="31">
        <f>_xlfn.XLOOKUP(PO[[#This Row],[Supplier name]], Supplier_master[Supplier name], Supplier_master[Category L1], 0)</f>
        <v>0</v>
      </c>
      <c r="I781" s="31">
        <f>_xlfn.XLOOKUP(PO[[#This Row],[Supplier name]], Supplier_master[Supplier name], Supplier_master[Category L2], 0)</f>
        <v>0</v>
      </c>
      <c r="J781" s="55"/>
      <c r="K781" s="55"/>
      <c r="L781" s="31">
        <f>IF(PO[[#This Row],[Spend category L1 - Override]] &lt;&gt; "", PO[[#This Row],[Spend category L1 - Override]], PO[[#This Row],[Spend category L1]])</f>
        <v>0</v>
      </c>
      <c r="M781" s="31">
        <f>IF(PO[[#This Row],[Spend category L2 - Override]] &lt;&gt; "", PO[[#This Row],[Spend category L2 - Override]], PO[[#This Row],[Spend category L2]])</f>
        <v>0</v>
      </c>
      <c r="N781" s="63">
        <f>Assumptions!$D$15</f>
        <v>0.1</v>
      </c>
      <c r="O781" s="45">
        <f>IF(PO[[#This Row],[GST applies?]] = "Yes", (PO[[#This Row],[Value inc. GST]] / 1 + PO[[#This Row],[GST %]]) * PO[[#This Row],[GST %]], 0)</f>
        <v>0</v>
      </c>
      <c r="P781" s="31">
        <f>_xlfn.XLOOKUP(PO[[#This Row],[Supplier name]], Supplier_master[Supplier name], Supplier_master[EOM or Net], 0)</f>
        <v>0</v>
      </c>
      <c r="Q781" s="31">
        <f>_xlfn.XLOOKUP(PO[[#This Row],[Supplier name]], Supplier_master[Supplier name], Supplier_master[Terms days], 0)</f>
        <v>0</v>
      </c>
      <c r="R7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1" s="4"/>
      <c r="T781" s="46">
        <f>IF(PO[[#This Row],[Payment date - override (dd/mm/yyyy)]] &lt;&gt; "", PO[[#This Row],[Payment date - override (dd/mm/yyyy)]], PO[[#This Row],[Due date (dd/mm/yyyy)]])</f>
        <v>0</v>
      </c>
      <c r="U781" s="46">
        <f t="shared" si="12"/>
        <v>52</v>
      </c>
    </row>
    <row r="782" spans="3:21" x14ac:dyDescent="0.25">
      <c r="C782" s="24"/>
      <c r="D782" s="20"/>
      <c r="E782" s="4"/>
      <c r="F782" s="37"/>
      <c r="G782" s="38"/>
      <c r="H782" s="31">
        <f>_xlfn.XLOOKUP(PO[[#This Row],[Supplier name]], Supplier_master[Supplier name], Supplier_master[Category L1], 0)</f>
        <v>0</v>
      </c>
      <c r="I782" s="31">
        <f>_xlfn.XLOOKUP(PO[[#This Row],[Supplier name]], Supplier_master[Supplier name], Supplier_master[Category L2], 0)</f>
        <v>0</v>
      </c>
      <c r="J782" s="55"/>
      <c r="K782" s="55"/>
      <c r="L782" s="31">
        <f>IF(PO[[#This Row],[Spend category L1 - Override]] &lt;&gt; "", PO[[#This Row],[Spend category L1 - Override]], PO[[#This Row],[Spend category L1]])</f>
        <v>0</v>
      </c>
      <c r="M782" s="31">
        <f>IF(PO[[#This Row],[Spend category L2 - Override]] &lt;&gt; "", PO[[#This Row],[Spend category L2 - Override]], PO[[#This Row],[Spend category L2]])</f>
        <v>0</v>
      </c>
      <c r="N782" s="63">
        <f>Assumptions!$D$15</f>
        <v>0.1</v>
      </c>
      <c r="O782" s="45">
        <f>IF(PO[[#This Row],[GST applies?]] = "Yes", (PO[[#This Row],[Value inc. GST]] / 1 + PO[[#This Row],[GST %]]) * PO[[#This Row],[GST %]], 0)</f>
        <v>0</v>
      </c>
      <c r="P782" s="31">
        <f>_xlfn.XLOOKUP(PO[[#This Row],[Supplier name]], Supplier_master[Supplier name], Supplier_master[EOM or Net], 0)</f>
        <v>0</v>
      </c>
      <c r="Q782" s="31">
        <f>_xlfn.XLOOKUP(PO[[#This Row],[Supplier name]], Supplier_master[Supplier name], Supplier_master[Terms days], 0)</f>
        <v>0</v>
      </c>
      <c r="R7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2" s="4"/>
      <c r="T782" s="46">
        <f>IF(PO[[#This Row],[Payment date - override (dd/mm/yyyy)]] &lt;&gt; "", PO[[#This Row],[Payment date - override (dd/mm/yyyy)]], PO[[#This Row],[Due date (dd/mm/yyyy)]])</f>
        <v>0</v>
      </c>
      <c r="U782" s="46">
        <f t="shared" si="12"/>
        <v>52</v>
      </c>
    </row>
    <row r="783" spans="3:21" x14ac:dyDescent="0.25">
      <c r="C783" s="24"/>
      <c r="D783" s="20"/>
      <c r="E783" s="4"/>
      <c r="F783" s="37"/>
      <c r="G783" s="38"/>
      <c r="H783" s="31">
        <f>_xlfn.XLOOKUP(PO[[#This Row],[Supplier name]], Supplier_master[Supplier name], Supplier_master[Category L1], 0)</f>
        <v>0</v>
      </c>
      <c r="I783" s="31">
        <f>_xlfn.XLOOKUP(PO[[#This Row],[Supplier name]], Supplier_master[Supplier name], Supplier_master[Category L2], 0)</f>
        <v>0</v>
      </c>
      <c r="J783" s="55"/>
      <c r="K783" s="55"/>
      <c r="L783" s="31">
        <f>IF(PO[[#This Row],[Spend category L1 - Override]] &lt;&gt; "", PO[[#This Row],[Spend category L1 - Override]], PO[[#This Row],[Spend category L1]])</f>
        <v>0</v>
      </c>
      <c r="M783" s="31">
        <f>IF(PO[[#This Row],[Spend category L2 - Override]] &lt;&gt; "", PO[[#This Row],[Spend category L2 - Override]], PO[[#This Row],[Spend category L2]])</f>
        <v>0</v>
      </c>
      <c r="N783" s="63">
        <f>Assumptions!$D$15</f>
        <v>0.1</v>
      </c>
      <c r="O783" s="45">
        <f>IF(PO[[#This Row],[GST applies?]] = "Yes", (PO[[#This Row],[Value inc. GST]] / 1 + PO[[#This Row],[GST %]]) * PO[[#This Row],[GST %]], 0)</f>
        <v>0</v>
      </c>
      <c r="P783" s="31">
        <f>_xlfn.XLOOKUP(PO[[#This Row],[Supplier name]], Supplier_master[Supplier name], Supplier_master[EOM or Net], 0)</f>
        <v>0</v>
      </c>
      <c r="Q783" s="31">
        <f>_xlfn.XLOOKUP(PO[[#This Row],[Supplier name]], Supplier_master[Supplier name], Supplier_master[Terms days], 0)</f>
        <v>0</v>
      </c>
      <c r="R7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3" s="4"/>
      <c r="T783" s="46">
        <f>IF(PO[[#This Row],[Payment date - override (dd/mm/yyyy)]] &lt;&gt; "", PO[[#This Row],[Payment date - override (dd/mm/yyyy)]], PO[[#This Row],[Due date (dd/mm/yyyy)]])</f>
        <v>0</v>
      </c>
      <c r="U783" s="46">
        <f t="shared" si="12"/>
        <v>52</v>
      </c>
    </row>
    <row r="784" spans="3:21" x14ac:dyDescent="0.25">
      <c r="C784" s="24"/>
      <c r="D784" s="20"/>
      <c r="E784" s="4"/>
      <c r="F784" s="37"/>
      <c r="G784" s="38"/>
      <c r="H784" s="31">
        <f>_xlfn.XLOOKUP(PO[[#This Row],[Supplier name]], Supplier_master[Supplier name], Supplier_master[Category L1], 0)</f>
        <v>0</v>
      </c>
      <c r="I784" s="31">
        <f>_xlfn.XLOOKUP(PO[[#This Row],[Supplier name]], Supplier_master[Supplier name], Supplier_master[Category L2], 0)</f>
        <v>0</v>
      </c>
      <c r="J784" s="55"/>
      <c r="K784" s="55"/>
      <c r="L784" s="31">
        <f>IF(PO[[#This Row],[Spend category L1 - Override]] &lt;&gt; "", PO[[#This Row],[Spend category L1 - Override]], PO[[#This Row],[Spend category L1]])</f>
        <v>0</v>
      </c>
      <c r="M784" s="31">
        <f>IF(PO[[#This Row],[Spend category L2 - Override]] &lt;&gt; "", PO[[#This Row],[Spend category L2 - Override]], PO[[#This Row],[Spend category L2]])</f>
        <v>0</v>
      </c>
      <c r="N784" s="63">
        <f>Assumptions!$D$15</f>
        <v>0.1</v>
      </c>
      <c r="O784" s="45">
        <f>IF(PO[[#This Row],[GST applies?]] = "Yes", (PO[[#This Row],[Value inc. GST]] / 1 + PO[[#This Row],[GST %]]) * PO[[#This Row],[GST %]], 0)</f>
        <v>0</v>
      </c>
      <c r="P784" s="31">
        <f>_xlfn.XLOOKUP(PO[[#This Row],[Supplier name]], Supplier_master[Supplier name], Supplier_master[EOM or Net], 0)</f>
        <v>0</v>
      </c>
      <c r="Q784" s="31">
        <f>_xlfn.XLOOKUP(PO[[#This Row],[Supplier name]], Supplier_master[Supplier name], Supplier_master[Terms days], 0)</f>
        <v>0</v>
      </c>
      <c r="R7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4" s="4"/>
      <c r="T784" s="46">
        <f>IF(PO[[#This Row],[Payment date - override (dd/mm/yyyy)]] &lt;&gt; "", PO[[#This Row],[Payment date - override (dd/mm/yyyy)]], PO[[#This Row],[Due date (dd/mm/yyyy)]])</f>
        <v>0</v>
      </c>
      <c r="U784" s="46">
        <f t="shared" si="12"/>
        <v>52</v>
      </c>
    </row>
    <row r="785" spans="3:21" x14ac:dyDescent="0.25">
      <c r="C785" s="24"/>
      <c r="D785" s="20"/>
      <c r="E785" s="4"/>
      <c r="F785" s="37"/>
      <c r="G785" s="38"/>
      <c r="H785" s="31">
        <f>_xlfn.XLOOKUP(PO[[#This Row],[Supplier name]], Supplier_master[Supplier name], Supplier_master[Category L1], 0)</f>
        <v>0</v>
      </c>
      <c r="I785" s="31">
        <f>_xlfn.XLOOKUP(PO[[#This Row],[Supplier name]], Supplier_master[Supplier name], Supplier_master[Category L2], 0)</f>
        <v>0</v>
      </c>
      <c r="J785" s="55"/>
      <c r="K785" s="55"/>
      <c r="L785" s="31">
        <f>IF(PO[[#This Row],[Spend category L1 - Override]] &lt;&gt; "", PO[[#This Row],[Spend category L1 - Override]], PO[[#This Row],[Spend category L1]])</f>
        <v>0</v>
      </c>
      <c r="M785" s="31">
        <f>IF(PO[[#This Row],[Spend category L2 - Override]] &lt;&gt; "", PO[[#This Row],[Spend category L2 - Override]], PO[[#This Row],[Spend category L2]])</f>
        <v>0</v>
      </c>
      <c r="N785" s="63">
        <f>Assumptions!$D$15</f>
        <v>0.1</v>
      </c>
      <c r="O785" s="45">
        <f>IF(PO[[#This Row],[GST applies?]] = "Yes", (PO[[#This Row],[Value inc. GST]] / 1 + PO[[#This Row],[GST %]]) * PO[[#This Row],[GST %]], 0)</f>
        <v>0</v>
      </c>
      <c r="P785" s="31">
        <f>_xlfn.XLOOKUP(PO[[#This Row],[Supplier name]], Supplier_master[Supplier name], Supplier_master[EOM or Net], 0)</f>
        <v>0</v>
      </c>
      <c r="Q785" s="31">
        <f>_xlfn.XLOOKUP(PO[[#This Row],[Supplier name]], Supplier_master[Supplier name], Supplier_master[Terms days], 0)</f>
        <v>0</v>
      </c>
      <c r="R7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5" s="4"/>
      <c r="T785" s="46">
        <f>IF(PO[[#This Row],[Payment date - override (dd/mm/yyyy)]] &lt;&gt; "", PO[[#This Row],[Payment date - override (dd/mm/yyyy)]], PO[[#This Row],[Due date (dd/mm/yyyy)]])</f>
        <v>0</v>
      </c>
      <c r="U785" s="46">
        <f t="shared" si="12"/>
        <v>52</v>
      </c>
    </row>
    <row r="786" spans="3:21" x14ac:dyDescent="0.25">
      <c r="C786" s="24"/>
      <c r="D786" s="20"/>
      <c r="E786" s="4"/>
      <c r="F786" s="37"/>
      <c r="G786" s="38"/>
      <c r="H786" s="31">
        <f>_xlfn.XLOOKUP(PO[[#This Row],[Supplier name]], Supplier_master[Supplier name], Supplier_master[Category L1], 0)</f>
        <v>0</v>
      </c>
      <c r="I786" s="31">
        <f>_xlfn.XLOOKUP(PO[[#This Row],[Supplier name]], Supplier_master[Supplier name], Supplier_master[Category L2], 0)</f>
        <v>0</v>
      </c>
      <c r="J786" s="55"/>
      <c r="K786" s="55"/>
      <c r="L786" s="31">
        <f>IF(PO[[#This Row],[Spend category L1 - Override]] &lt;&gt; "", PO[[#This Row],[Spend category L1 - Override]], PO[[#This Row],[Spend category L1]])</f>
        <v>0</v>
      </c>
      <c r="M786" s="31">
        <f>IF(PO[[#This Row],[Spend category L2 - Override]] &lt;&gt; "", PO[[#This Row],[Spend category L2 - Override]], PO[[#This Row],[Spend category L2]])</f>
        <v>0</v>
      </c>
      <c r="N786" s="63">
        <f>Assumptions!$D$15</f>
        <v>0.1</v>
      </c>
      <c r="O786" s="45">
        <f>IF(PO[[#This Row],[GST applies?]] = "Yes", (PO[[#This Row],[Value inc. GST]] / 1 + PO[[#This Row],[GST %]]) * PO[[#This Row],[GST %]], 0)</f>
        <v>0</v>
      </c>
      <c r="P786" s="31">
        <f>_xlfn.XLOOKUP(PO[[#This Row],[Supplier name]], Supplier_master[Supplier name], Supplier_master[EOM or Net], 0)</f>
        <v>0</v>
      </c>
      <c r="Q786" s="31">
        <f>_xlfn.XLOOKUP(PO[[#This Row],[Supplier name]], Supplier_master[Supplier name], Supplier_master[Terms days], 0)</f>
        <v>0</v>
      </c>
      <c r="R7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6" s="4"/>
      <c r="T786" s="46">
        <f>IF(PO[[#This Row],[Payment date - override (dd/mm/yyyy)]] &lt;&gt; "", PO[[#This Row],[Payment date - override (dd/mm/yyyy)]], PO[[#This Row],[Due date (dd/mm/yyyy)]])</f>
        <v>0</v>
      </c>
      <c r="U786" s="46">
        <f t="shared" si="12"/>
        <v>52</v>
      </c>
    </row>
    <row r="787" spans="3:21" x14ac:dyDescent="0.25">
      <c r="C787" s="24"/>
      <c r="D787" s="20"/>
      <c r="E787" s="4"/>
      <c r="F787" s="37"/>
      <c r="G787" s="38"/>
      <c r="H787" s="31">
        <f>_xlfn.XLOOKUP(PO[[#This Row],[Supplier name]], Supplier_master[Supplier name], Supplier_master[Category L1], 0)</f>
        <v>0</v>
      </c>
      <c r="I787" s="31">
        <f>_xlfn.XLOOKUP(PO[[#This Row],[Supplier name]], Supplier_master[Supplier name], Supplier_master[Category L2], 0)</f>
        <v>0</v>
      </c>
      <c r="J787" s="55"/>
      <c r="K787" s="55"/>
      <c r="L787" s="31">
        <f>IF(PO[[#This Row],[Spend category L1 - Override]] &lt;&gt; "", PO[[#This Row],[Spend category L1 - Override]], PO[[#This Row],[Spend category L1]])</f>
        <v>0</v>
      </c>
      <c r="M787" s="31">
        <f>IF(PO[[#This Row],[Spend category L2 - Override]] &lt;&gt; "", PO[[#This Row],[Spend category L2 - Override]], PO[[#This Row],[Spend category L2]])</f>
        <v>0</v>
      </c>
      <c r="N787" s="63">
        <f>Assumptions!$D$15</f>
        <v>0.1</v>
      </c>
      <c r="O787" s="45">
        <f>IF(PO[[#This Row],[GST applies?]] = "Yes", (PO[[#This Row],[Value inc. GST]] / 1 + PO[[#This Row],[GST %]]) * PO[[#This Row],[GST %]], 0)</f>
        <v>0</v>
      </c>
      <c r="P787" s="31">
        <f>_xlfn.XLOOKUP(PO[[#This Row],[Supplier name]], Supplier_master[Supplier name], Supplier_master[EOM or Net], 0)</f>
        <v>0</v>
      </c>
      <c r="Q787" s="31">
        <f>_xlfn.XLOOKUP(PO[[#This Row],[Supplier name]], Supplier_master[Supplier name], Supplier_master[Terms days], 0)</f>
        <v>0</v>
      </c>
      <c r="R7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7" s="4"/>
      <c r="T787" s="46">
        <f>IF(PO[[#This Row],[Payment date - override (dd/mm/yyyy)]] &lt;&gt; "", PO[[#This Row],[Payment date - override (dd/mm/yyyy)]], PO[[#This Row],[Due date (dd/mm/yyyy)]])</f>
        <v>0</v>
      </c>
      <c r="U787" s="46">
        <f t="shared" si="12"/>
        <v>52</v>
      </c>
    </row>
    <row r="788" spans="3:21" x14ac:dyDescent="0.25">
      <c r="C788" s="24"/>
      <c r="D788" s="20"/>
      <c r="E788" s="4"/>
      <c r="F788" s="37"/>
      <c r="G788" s="38"/>
      <c r="H788" s="31">
        <f>_xlfn.XLOOKUP(PO[[#This Row],[Supplier name]], Supplier_master[Supplier name], Supplier_master[Category L1], 0)</f>
        <v>0</v>
      </c>
      <c r="I788" s="31">
        <f>_xlfn.XLOOKUP(PO[[#This Row],[Supplier name]], Supplier_master[Supplier name], Supplier_master[Category L2], 0)</f>
        <v>0</v>
      </c>
      <c r="J788" s="55"/>
      <c r="K788" s="55"/>
      <c r="L788" s="31">
        <f>IF(PO[[#This Row],[Spend category L1 - Override]] &lt;&gt; "", PO[[#This Row],[Spend category L1 - Override]], PO[[#This Row],[Spend category L1]])</f>
        <v>0</v>
      </c>
      <c r="M788" s="31">
        <f>IF(PO[[#This Row],[Spend category L2 - Override]] &lt;&gt; "", PO[[#This Row],[Spend category L2 - Override]], PO[[#This Row],[Spend category L2]])</f>
        <v>0</v>
      </c>
      <c r="N788" s="63">
        <f>Assumptions!$D$15</f>
        <v>0.1</v>
      </c>
      <c r="O788" s="45">
        <f>IF(PO[[#This Row],[GST applies?]] = "Yes", (PO[[#This Row],[Value inc. GST]] / 1 + PO[[#This Row],[GST %]]) * PO[[#This Row],[GST %]], 0)</f>
        <v>0</v>
      </c>
      <c r="P788" s="31">
        <f>_xlfn.XLOOKUP(PO[[#This Row],[Supplier name]], Supplier_master[Supplier name], Supplier_master[EOM or Net], 0)</f>
        <v>0</v>
      </c>
      <c r="Q788" s="31">
        <f>_xlfn.XLOOKUP(PO[[#This Row],[Supplier name]], Supplier_master[Supplier name], Supplier_master[Terms days], 0)</f>
        <v>0</v>
      </c>
      <c r="R7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8" s="4"/>
      <c r="T788" s="46">
        <f>IF(PO[[#This Row],[Payment date - override (dd/mm/yyyy)]] &lt;&gt; "", PO[[#This Row],[Payment date - override (dd/mm/yyyy)]], PO[[#This Row],[Due date (dd/mm/yyyy)]])</f>
        <v>0</v>
      </c>
      <c r="U788" s="46">
        <f t="shared" si="12"/>
        <v>52</v>
      </c>
    </row>
    <row r="789" spans="3:21" x14ac:dyDescent="0.25">
      <c r="C789" s="24"/>
      <c r="D789" s="20"/>
      <c r="E789" s="4"/>
      <c r="F789" s="37"/>
      <c r="G789" s="38"/>
      <c r="H789" s="31">
        <f>_xlfn.XLOOKUP(PO[[#This Row],[Supplier name]], Supplier_master[Supplier name], Supplier_master[Category L1], 0)</f>
        <v>0</v>
      </c>
      <c r="I789" s="31">
        <f>_xlfn.XLOOKUP(PO[[#This Row],[Supplier name]], Supplier_master[Supplier name], Supplier_master[Category L2], 0)</f>
        <v>0</v>
      </c>
      <c r="J789" s="55"/>
      <c r="K789" s="55"/>
      <c r="L789" s="31">
        <f>IF(PO[[#This Row],[Spend category L1 - Override]] &lt;&gt; "", PO[[#This Row],[Spend category L1 - Override]], PO[[#This Row],[Spend category L1]])</f>
        <v>0</v>
      </c>
      <c r="M789" s="31">
        <f>IF(PO[[#This Row],[Spend category L2 - Override]] &lt;&gt; "", PO[[#This Row],[Spend category L2 - Override]], PO[[#This Row],[Spend category L2]])</f>
        <v>0</v>
      </c>
      <c r="N789" s="63">
        <f>Assumptions!$D$15</f>
        <v>0.1</v>
      </c>
      <c r="O789" s="45">
        <f>IF(PO[[#This Row],[GST applies?]] = "Yes", (PO[[#This Row],[Value inc. GST]] / 1 + PO[[#This Row],[GST %]]) * PO[[#This Row],[GST %]], 0)</f>
        <v>0</v>
      </c>
      <c r="P789" s="31">
        <f>_xlfn.XLOOKUP(PO[[#This Row],[Supplier name]], Supplier_master[Supplier name], Supplier_master[EOM or Net], 0)</f>
        <v>0</v>
      </c>
      <c r="Q789" s="31">
        <f>_xlfn.XLOOKUP(PO[[#This Row],[Supplier name]], Supplier_master[Supplier name], Supplier_master[Terms days], 0)</f>
        <v>0</v>
      </c>
      <c r="R7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9" s="4"/>
      <c r="T789" s="46">
        <f>IF(PO[[#This Row],[Payment date - override (dd/mm/yyyy)]] &lt;&gt; "", PO[[#This Row],[Payment date - override (dd/mm/yyyy)]], PO[[#This Row],[Due date (dd/mm/yyyy)]])</f>
        <v>0</v>
      </c>
      <c r="U789" s="46">
        <f t="shared" si="12"/>
        <v>52</v>
      </c>
    </row>
    <row r="790" spans="3:21" x14ac:dyDescent="0.25">
      <c r="C790" s="24"/>
      <c r="D790" s="20"/>
      <c r="E790" s="4"/>
      <c r="F790" s="37"/>
      <c r="G790" s="38"/>
      <c r="H790" s="31">
        <f>_xlfn.XLOOKUP(PO[[#This Row],[Supplier name]], Supplier_master[Supplier name], Supplier_master[Category L1], 0)</f>
        <v>0</v>
      </c>
      <c r="I790" s="31">
        <f>_xlfn.XLOOKUP(PO[[#This Row],[Supplier name]], Supplier_master[Supplier name], Supplier_master[Category L2], 0)</f>
        <v>0</v>
      </c>
      <c r="J790" s="55"/>
      <c r="K790" s="55"/>
      <c r="L790" s="31">
        <f>IF(PO[[#This Row],[Spend category L1 - Override]] &lt;&gt; "", PO[[#This Row],[Spend category L1 - Override]], PO[[#This Row],[Spend category L1]])</f>
        <v>0</v>
      </c>
      <c r="M790" s="31">
        <f>IF(PO[[#This Row],[Spend category L2 - Override]] &lt;&gt; "", PO[[#This Row],[Spend category L2 - Override]], PO[[#This Row],[Spend category L2]])</f>
        <v>0</v>
      </c>
      <c r="N790" s="63">
        <f>Assumptions!$D$15</f>
        <v>0.1</v>
      </c>
      <c r="O790" s="45">
        <f>IF(PO[[#This Row],[GST applies?]] = "Yes", (PO[[#This Row],[Value inc. GST]] / 1 + PO[[#This Row],[GST %]]) * PO[[#This Row],[GST %]], 0)</f>
        <v>0</v>
      </c>
      <c r="P790" s="31">
        <f>_xlfn.XLOOKUP(PO[[#This Row],[Supplier name]], Supplier_master[Supplier name], Supplier_master[EOM or Net], 0)</f>
        <v>0</v>
      </c>
      <c r="Q790" s="31">
        <f>_xlfn.XLOOKUP(PO[[#This Row],[Supplier name]], Supplier_master[Supplier name], Supplier_master[Terms days], 0)</f>
        <v>0</v>
      </c>
      <c r="R7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0" s="4"/>
      <c r="T790" s="46">
        <f>IF(PO[[#This Row],[Payment date - override (dd/mm/yyyy)]] &lt;&gt; "", PO[[#This Row],[Payment date - override (dd/mm/yyyy)]], PO[[#This Row],[Due date (dd/mm/yyyy)]])</f>
        <v>0</v>
      </c>
      <c r="U790" s="46">
        <f t="shared" si="12"/>
        <v>52</v>
      </c>
    </row>
    <row r="791" spans="3:21" x14ac:dyDescent="0.25">
      <c r="C791" s="24"/>
      <c r="D791" s="20"/>
      <c r="E791" s="4"/>
      <c r="F791" s="37"/>
      <c r="G791" s="38"/>
      <c r="H791" s="31">
        <f>_xlfn.XLOOKUP(PO[[#This Row],[Supplier name]], Supplier_master[Supplier name], Supplier_master[Category L1], 0)</f>
        <v>0</v>
      </c>
      <c r="I791" s="31">
        <f>_xlfn.XLOOKUP(PO[[#This Row],[Supplier name]], Supplier_master[Supplier name], Supplier_master[Category L2], 0)</f>
        <v>0</v>
      </c>
      <c r="J791" s="55"/>
      <c r="K791" s="55"/>
      <c r="L791" s="31">
        <f>IF(PO[[#This Row],[Spend category L1 - Override]] &lt;&gt; "", PO[[#This Row],[Spend category L1 - Override]], PO[[#This Row],[Spend category L1]])</f>
        <v>0</v>
      </c>
      <c r="M791" s="31">
        <f>IF(PO[[#This Row],[Spend category L2 - Override]] &lt;&gt; "", PO[[#This Row],[Spend category L2 - Override]], PO[[#This Row],[Spend category L2]])</f>
        <v>0</v>
      </c>
      <c r="N791" s="63">
        <f>Assumptions!$D$15</f>
        <v>0.1</v>
      </c>
      <c r="O791" s="45">
        <f>IF(PO[[#This Row],[GST applies?]] = "Yes", (PO[[#This Row],[Value inc. GST]] / 1 + PO[[#This Row],[GST %]]) * PO[[#This Row],[GST %]], 0)</f>
        <v>0</v>
      </c>
      <c r="P791" s="31">
        <f>_xlfn.XLOOKUP(PO[[#This Row],[Supplier name]], Supplier_master[Supplier name], Supplier_master[EOM or Net], 0)</f>
        <v>0</v>
      </c>
      <c r="Q791" s="31">
        <f>_xlfn.XLOOKUP(PO[[#This Row],[Supplier name]], Supplier_master[Supplier name], Supplier_master[Terms days], 0)</f>
        <v>0</v>
      </c>
      <c r="R7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1" s="4"/>
      <c r="T791" s="46">
        <f>IF(PO[[#This Row],[Payment date - override (dd/mm/yyyy)]] &lt;&gt; "", PO[[#This Row],[Payment date - override (dd/mm/yyyy)]], PO[[#This Row],[Due date (dd/mm/yyyy)]])</f>
        <v>0</v>
      </c>
      <c r="U791" s="46">
        <f t="shared" si="12"/>
        <v>52</v>
      </c>
    </row>
    <row r="792" spans="3:21" x14ac:dyDescent="0.25">
      <c r="C792" s="24"/>
      <c r="D792" s="20"/>
      <c r="E792" s="4"/>
      <c r="F792" s="37"/>
      <c r="G792" s="38"/>
      <c r="H792" s="31">
        <f>_xlfn.XLOOKUP(PO[[#This Row],[Supplier name]], Supplier_master[Supplier name], Supplier_master[Category L1], 0)</f>
        <v>0</v>
      </c>
      <c r="I792" s="31">
        <f>_xlfn.XLOOKUP(PO[[#This Row],[Supplier name]], Supplier_master[Supplier name], Supplier_master[Category L2], 0)</f>
        <v>0</v>
      </c>
      <c r="J792" s="55"/>
      <c r="K792" s="55"/>
      <c r="L792" s="31">
        <f>IF(PO[[#This Row],[Spend category L1 - Override]] &lt;&gt; "", PO[[#This Row],[Spend category L1 - Override]], PO[[#This Row],[Spend category L1]])</f>
        <v>0</v>
      </c>
      <c r="M792" s="31">
        <f>IF(PO[[#This Row],[Spend category L2 - Override]] &lt;&gt; "", PO[[#This Row],[Spend category L2 - Override]], PO[[#This Row],[Spend category L2]])</f>
        <v>0</v>
      </c>
      <c r="N792" s="63">
        <f>Assumptions!$D$15</f>
        <v>0.1</v>
      </c>
      <c r="O792" s="45">
        <f>IF(PO[[#This Row],[GST applies?]] = "Yes", (PO[[#This Row],[Value inc. GST]] / 1 + PO[[#This Row],[GST %]]) * PO[[#This Row],[GST %]], 0)</f>
        <v>0</v>
      </c>
      <c r="P792" s="31">
        <f>_xlfn.XLOOKUP(PO[[#This Row],[Supplier name]], Supplier_master[Supplier name], Supplier_master[EOM or Net], 0)</f>
        <v>0</v>
      </c>
      <c r="Q792" s="31">
        <f>_xlfn.XLOOKUP(PO[[#This Row],[Supplier name]], Supplier_master[Supplier name], Supplier_master[Terms days], 0)</f>
        <v>0</v>
      </c>
      <c r="R7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2" s="4"/>
      <c r="T792" s="46">
        <f>IF(PO[[#This Row],[Payment date - override (dd/mm/yyyy)]] &lt;&gt; "", PO[[#This Row],[Payment date - override (dd/mm/yyyy)]], PO[[#This Row],[Due date (dd/mm/yyyy)]])</f>
        <v>0</v>
      </c>
      <c r="U792" s="46">
        <f t="shared" si="12"/>
        <v>52</v>
      </c>
    </row>
    <row r="793" spans="3:21" x14ac:dyDescent="0.25">
      <c r="C793" s="24"/>
      <c r="D793" s="20"/>
      <c r="E793" s="4"/>
      <c r="F793" s="37"/>
      <c r="G793" s="38"/>
      <c r="H793" s="31">
        <f>_xlfn.XLOOKUP(PO[[#This Row],[Supplier name]], Supplier_master[Supplier name], Supplier_master[Category L1], 0)</f>
        <v>0</v>
      </c>
      <c r="I793" s="31">
        <f>_xlfn.XLOOKUP(PO[[#This Row],[Supplier name]], Supplier_master[Supplier name], Supplier_master[Category L2], 0)</f>
        <v>0</v>
      </c>
      <c r="J793" s="55"/>
      <c r="K793" s="55"/>
      <c r="L793" s="31">
        <f>IF(PO[[#This Row],[Spend category L1 - Override]] &lt;&gt; "", PO[[#This Row],[Spend category L1 - Override]], PO[[#This Row],[Spend category L1]])</f>
        <v>0</v>
      </c>
      <c r="M793" s="31">
        <f>IF(PO[[#This Row],[Spend category L2 - Override]] &lt;&gt; "", PO[[#This Row],[Spend category L2 - Override]], PO[[#This Row],[Spend category L2]])</f>
        <v>0</v>
      </c>
      <c r="N793" s="63">
        <f>Assumptions!$D$15</f>
        <v>0.1</v>
      </c>
      <c r="O793" s="45">
        <f>IF(PO[[#This Row],[GST applies?]] = "Yes", (PO[[#This Row],[Value inc. GST]] / 1 + PO[[#This Row],[GST %]]) * PO[[#This Row],[GST %]], 0)</f>
        <v>0</v>
      </c>
      <c r="P793" s="31">
        <f>_xlfn.XLOOKUP(PO[[#This Row],[Supplier name]], Supplier_master[Supplier name], Supplier_master[EOM or Net], 0)</f>
        <v>0</v>
      </c>
      <c r="Q793" s="31">
        <f>_xlfn.XLOOKUP(PO[[#This Row],[Supplier name]], Supplier_master[Supplier name], Supplier_master[Terms days], 0)</f>
        <v>0</v>
      </c>
      <c r="R7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3" s="4"/>
      <c r="T793" s="46">
        <f>IF(PO[[#This Row],[Payment date - override (dd/mm/yyyy)]] &lt;&gt; "", PO[[#This Row],[Payment date - override (dd/mm/yyyy)]], PO[[#This Row],[Due date (dd/mm/yyyy)]])</f>
        <v>0</v>
      </c>
      <c r="U793" s="46">
        <f t="shared" si="12"/>
        <v>52</v>
      </c>
    </row>
    <row r="794" spans="3:21" x14ac:dyDescent="0.25">
      <c r="C794" s="24"/>
      <c r="D794" s="20"/>
      <c r="E794" s="4"/>
      <c r="F794" s="37"/>
      <c r="G794" s="38"/>
      <c r="H794" s="31">
        <f>_xlfn.XLOOKUP(PO[[#This Row],[Supplier name]], Supplier_master[Supplier name], Supplier_master[Category L1], 0)</f>
        <v>0</v>
      </c>
      <c r="I794" s="31">
        <f>_xlfn.XLOOKUP(PO[[#This Row],[Supplier name]], Supplier_master[Supplier name], Supplier_master[Category L2], 0)</f>
        <v>0</v>
      </c>
      <c r="J794" s="55"/>
      <c r="K794" s="55"/>
      <c r="L794" s="31">
        <f>IF(PO[[#This Row],[Spend category L1 - Override]] &lt;&gt; "", PO[[#This Row],[Spend category L1 - Override]], PO[[#This Row],[Spend category L1]])</f>
        <v>0</v>
      </c>
      <c r="M794" s="31">
        <f>IF(PO[[#This Row],[Spend category L2 - Override]] &lt;&gt; "", PO[[#This Row],[Spend category L2 - Override]], PO[[#This Row],[Spend category L2]])</f>
        <v>0</v>
      </c>
      <c r="N794" s="63">
        <f>Assumptions!$D$15</f>
        <v>0.1</v>
      </c>
      <c r="O794" s="45">
        <f>IF(PO[[#This Row],[GST applies?]] = "Yes", (PO[[#This Row],[Value inc. GST]] / 1 + PO[[#This Row],[GST %]]) * PO[[#This Row],[GST %]], 0)</f>
        <v>0</v>
      </c>
      <c r="P794" s="31">
        <f>_xlfn.XLOOKUP(PO[[#This Row],[Supplier name]], Supplier_master[Supplier name], Supplier_master[EOM or Net], 0)</f>
        <v>0</v>
      </c>
      <c r="Q794" s="31">
        <f>_xlfn.XLOOKUP(PO[[#This Row],[Supplier name]], Supplier_master[Supplier name], Supplier_master[Terms days], 0)</f>
        <v>0</v>
      </c>
      <c r="R7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4" s="4"/>
      <c r="T794" s="46">
        <f>IF(PO[[#This Row],[Payment date - override (dd/mm/yyyy)]] &lt;&gt; "", PO[[#This Row],[Payment date - override (dd/mm/yyyy)]], PO[[#This Row],[Due date (dd/mm/yyyy)]])</f>
        <v>0</v>
      </c>
      <c r="U794" s="46">
        <f t="shared" si="12"/>
        <v>52</v>
      </c>
    </row>
    <row r="795" spans="3:21" x14ac:dyDescent="0.25">
      <c r="C795" s="24"/>
      <c r="D795" s="20"/>
      <c r="E795" s="4"/>
      <c r="F795" s="37"/>
      <c r="G795" s="38"/>
      <c r="H795" s="31">
        <f>_xlfn.XLOOKUP(PO[[#This Row],[Supplier name]], Supplier_master[Supplier name], Supplier_master[Category L1], 0)</f>
        <v>0</v>
      </c>
      <c r="I795" s="31">
        <f>_xlfn.XLOOKUP(PO[[#This Row],[Supplier name]], Supplier_master[Supplier name], Supplier_master[Category L2], 0)</f>
        <v>0</v>
      </c>
      <c r="J795" s="55"/>
      <c r="K795" s="55"/>
      <c r="L795" s="31">
        <f>IF(PO[[#This Row],[Spend category L1 - Override]] &lt;&gt; "", PO[[#This Row],[Spend category L1 - Override]], PO[[#This Row],[Spend category L1]])</f>
        <v>0</v>
      </c>
      <c r="M795" s="31">
        <f>IF(PO[[#This Row],[Spend category L2 - Override]] &lt;&gt; "", PO[[#This Row],[Spend category L2 - Override]], PO[[#This Row],[Spend category L2]])</f>
        <v>0</v>
      </c>
      <c r="N795" s="63">
        <f>Assumptions!$D$15</f>
        <v>0.1</v>
      </c>
      <c r="O795" s="45">
        <f>IF(PO[[#This Row],[GST applies?]] = "Yes", (PO[[#This Row],[Value inc. GST]] / 1 + PO[[#This Row],[GST %]]) * PO[[#This Row],[GST %]], 0)</f>
        <v>0</v>
      </c>
      <c r="P795" s="31">
        <f>_xlfn.XLOOKUP(PO[[#This Row],[Supplier name]], Supplier_master[Supplier name], Supplier_master[EOM or Net], 0)</f>
        <v>0</v>
      </c>
      <c r="Q795" s="31">
        <f>_xlfn.XLOOKUP(PO[[#This Row],[Supplier name]], Supplier_master[Supplier name], Supplier_master[Terms days], 0)</f>
        <v>0</v>
      </c>
      <c r="R7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5" s="4"/>
      <c r="T795" s="46">
        <f>IF(PO[[#This Row],[Payment date - override (dd/mm/yyyy)]] &lt;&gt; "", PO[[#This Row],[Payment date - override (dd/mm/yyyy)]], PO[[#This Row],[Due date (dd/mm/yyyy)]])</f>
        <v>0</v>
      </c>
      <c r="U795" s="46">
        <f t="shared" si="12"/>
        <v>52</v>
      </c>
    </row>
    <row r="796" spans="3:21" x14ac:dyDescent="0.25">
      <c r="C796" s="24"/>
      <c r="D796" s="20"/>
      <c r="E796" s="4"/>
      <c r="F796" s="37"/>
      <c r="G796" s="38"/>
      <c r="H796" s="31">
        <f>_xlfn.XLOOKUP(PO[[#This Row],[Supplier name]], Supplier_master[Supplier name], Supplier_master[Category L1], 0)</f>
        <v>0</v>
      </c>
      <c r="I796" s="31">
        <f>_xlfn.XLOOKUP(PO[[#This Row],[Supplier name]], Supplier_master[Supplier name], Supplier_master[Category L2], 0)</f>
        <v>0</v>
      </c>
      <c r="J796" s="55"/>
      <c r="K796" s="55"/>
      <c r="L796" s="31">
        <f>IF(PO[[#This Row],[Spend category L1 - Override]] &lt;&gt; "", PO[[#This Row],[Spend category L1 - Override]], PO[[#This Row],[Spend category L1]])</f>
        <v>0</v>
      </c>
      <c r="M796" s="31">
        <f>IF(PO[[#This Row],[Spend category L2 - Override]] &lt;&gt; "", PO[[#This Row],[Spend category L2 - Override]], PO[[#This Row],[Spend category L2]])</f>
        <v>0</v>
      </c>
      <c r="N796" s="63">
        <f>Assumptions!$D$15</f>
        <v>0.1</v>
      </c>
      <c r="O796" s="45">
        <f>IF(PO[[#This Row],[GST applies?]] = "Yes", (PO[[#This Row],[Value inc. GST]] / 1 + PO[[#This Row],[GST %]]) * PO[[#This Row],[GST %]], 0)</f>
        <v>0</v>
      </c>
      <c r="P796" s="31">
        <f>_xlfn.XLOOKUP(PO[[#This Row],[Supplier name]], Supplier_master[Supplier name], Supplier_master[EOM or Net], 0)</f>
        <v>0</v>
      </c>
      <c r="Q796" s="31">
        <f>_xlfn.XLOOKUP(PO[[#This Row],[Supplier name]], Supplier_master[Supplier name], Supplier_master[Terms days], 0)</f>
        <v>0</v>
      </c>
      <c r="R7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6" s="4"/>
      <c r="T796" s="46">
        <f>IF(PO[[#This Row],[Payment date - override (dd/mm/yyyy)]] &lt;&gt; "", PO[[#This Row],[Payment date - override (dd/mm/yyyy)]], PO[[#This Row],[Due date (dd/mm/yyyy)]])</f>
        <v>0</v>
      </c>
      <c r="U796" s="46">
        <f t="shared" si="12"/>
        <v>52</v>
      </c>
    </row>
    <row r="797" spans="3:21" x14ac:dyDescent="0.25">
      <c r="C797" s="24"/>
      <c r="D797" s="20"/>
      <c r="E797" s="4"/>
      <c r="F797" s="37"/>
      <c r="G797" s="38"/>
      <c r="H797" s="31">
        <f>_xlfn.XLOOKUP(PO[[#This Row],[Supplier name]], Supplier_master[Supplier name], Supplier_master[Category L1], 0)</f>
        <v>0</v>
      </c>
      <c r="I797" s="31">
        <f>_xlfn.XLOOKUP(PO[[#This Row],[Supplier name]], Supplier_master[Supplier name], Supplier_master[Category L2], 0)</f>
        <v>0</v>
      </c>
      <c r="J797" s="55"/>
      <c r="K797" s="55"/>
      <c r="L797" s="31">
        <f>IF(PO[[#This Row],[Spend category L1 - Override]] &lt;&gt; "", PO[[#This Row],[Spend category L1 - Override]], PO[[#This Row],[Spend category L1]])</f>
        <v>0</v>
      </c>
      <c r="M797" s="31">
        <f>IF(PO[[#This Row],[Spend category L2 - Override]] &lt;&gt; "", PO[[#This Row],[Spend category L2 - Override]], PO[[#This Row],[Spend category L2]])</f>
        <v>0</v>
      </c>
      <c r="N797" s="63">
        <f>Assumptions!$D$15</f>
        <v>0.1</v>
      </c>
      <c r="O797" s="45">
        <f>IF(PO[[#This Row],[GST applies?]] = "Yes", (PO[[#This Row],[Value inc. GST]] / 1 + PO[[#This Row],[GST %]]) * PO[[#This Row],[GST %]], 0)</f>
        <v>0</v>
      </c>
      <c r="P797" s="31">
        <f>_xlfn.XLOOKUP(PO[[#This Row],[Supplier name]], Supplier_master[Supplier name], Supplier_master[EOM or Net], 0)</f>
        <v>0</v>
      </c>
      <c r="Q797" s="31">
        <f>_xlfn.XLOOKUP(PO[[#This Row],[Supplier name]], Supplier_master[Supplier name], Supplier_master[Terms days], 0)</f>
        <v>0</v>
      </c>
      <c r="R7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7" s="4"/>
      <c r="T797" s="46">
        <f>IF(PO[[#This Row],[Payment date - override (dd/mm/yyyy)]] &lt;&gt; "", PO[[#This Row],[Payment date - override (dd/mm/yyyy)]], PO[[#This Row],[Due date (dd/mm/yyyy)]])</f>
        <v>0</v>
      </c>
      <c r="U797" s="46">
        <f t="shared" si="12"/>
        <v>52</v>
      </c>
    </row>
    <row r="798" spans="3:21" x14ac:dyDescent="0.25">
      <c r="C798" s="24"/>
      <c r="D798" s="20"/>
      <c r="E798" s="4"/>
      <c r="F798" s="37"/>
      <c r="G798" s="38"/>
      <c r="H798" s="31">
        <f>_xlfn.XLOOKUP(PO[[#This Row],[Supplier name]], Supplier_master[Supplier name], Supplier_master[Category L1], 0)</f>
        <v>0</v>
      </c>
      <c r="I798" s="31">
        <f>_xlfn.XLOOKUP(PO[[#This Row],[Supplier name]], Supplier_master[Supplier name], Supplier_master[Category L2], 0)</f>
        <v>0</v>
      </c>
      <c r="J798" s="55"/>
      <c r="K798" s="55"/>
      <c r="L798" s="31">
        <f>IF(PO[[#This Row],[Spend category L1 - Override]] &lt;&gt; "", PO[[#This Row],[Spend category L1 - Override]], PO[[#This Row],[Spend category L1]])</f>
        <v>0</v>
      </c>
      <c r="M798" s="31">
        <f>IF(PO[[#This Row],[Spend category L2 - Override]] &lt;&gt; "", PO[[#This Row],[Spend category L2 - Override]], PO[[#This Row],[Spend category L2]])</f>
        <v>0</v>
      </c>
      <c r="N798" s="63">
        <f>Assumptions!$D$15</f>
        <v>0.1</v>
      </c>
      <c r="O798" s="45">
        <f>IF(PO[[#This Row],[GST applies?]] = "Yes", (PO[[#This Row],[Value inc. GST]] / 1 + PO[[#This Row],[GST %]]) * PO[[#This Row],[GST %]], 0)</f>
        <v>0</v>
      </c>
      <c r="P798" s="31">
        <f>_xlfn.XLOOKUP(PO[[#This Row],[Supplier name]], Supplier_master[Supplier name], Supplier_master[EOM or Net], 0)</f>
        <v>0</v>
      </c>
      <c r="Q798" s="31">
        <f>_xlfn.XLOOKUP(PO[[#This Row],[Supplier name]], Supplier_master[Supplier name], Supplier_master[Terms days], 0)</f>
        <v>0</v>
      </c>
      <c r="R7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8" s="4"/>
      <c r="T798" s="46">
        <f>IF(PO[[#This Row],[Payment date - override (dd/mm/yyyy)]] &lt;&gt; "", PO[[#This Row],[Payment date - override (dd/mm/yyyy)]], PO[[#This Row],[Due date (dd/mm/yyyy)]])</f>
        <v>0</v>
      </c>
      <c r="U798" s="46">
        <f t="shared" si="12"/>
        <v>52</v>
      </c>
    </row>
    <row r="799" spans="3:21" x14ac:dyDescent="0.25">
      <c r="C799" s="24"/>
      <c r="D799" s="20"/>
      <c r="E799" s="4"/>
      <c r="F799" s="37"/>
      <c r="G799" s="38"/>
      <c r="H799" s="31">
        <f>_xlfn.XLOOKUP(PO[[#This Row],[Supplier name]], Supplier_master[Supplier name], Supplier_master[Category L1], 0)</f>
        <v>0</v>
      </c>
      <c r="I799" s="31">
        <f>_xlfn.XLOOKUP(PO[[#This Row],[Supplier name]], Supplier_master[Supplier name], Supplier_master[Category L2], 0)</f>
        <v>0</v>
      </c>
      <c r="J799" s="55"/>
      <c r="K799" s="55"/>
      <c r="L799" s="31">
        <f>IF(PO[[#This Row],[Spend category L1 - Override]] &lt;&gt; "", PO[[#This Row],[Spend category L1 - Override]], PO[[#This Row],[Spend category L1]])</f>
        <v>0</v>
      </c>
      <c r="M799" s="31">
        <f>IF(PO[[#This Row],[Spend category L2 - Override]] &lt;&gt; "", PO[[#This Row],[Spend category L2 - Override]], PO[[#This Row],[Spend category L2]])</f>
        <v>0</v>
      </c>
      <c r="N799" s="63">
        <f>Assumptions!$D$15</f>
        <v>0.1</v>
      </c>
      <c r="O799" s="45">
        <f>IF(PO[[#This Row],[GST applies?]] = "Yes", (PO[[#This Row],[Value inc. GST]] / 1 + PO[[#This Row],[GST %]]) * PO[[#This Row],[GST %]], 0)</f>
        <v>0</v>
      </c>
      <c r="P799" s="31">
        <f>_xlfn.XLOOKUP(PO[[#This Row],[Supplier name]], Supplier_master[Supplier name], Supplier_master[EOM or Net], 0)</f>
        <v>0</v>
      </c>
      <c r="Q799" s="31">
        <f>_xlfn.XLOOKUP(PO[[#This Row],[Supplier name]], Supplier_master[Supplier name], Supplier_master[Terms days], 0)</f>
        <v>0</v>
      </c>
      <c r="R7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9" s="4"/>
      <c r="T799" s="46">
        <f>IF(PO[[#This Row],[Payment date - override (dd/mm/yyyy)]] &lt;&gt; "", PO[[#This Row],[Payment date - override (dd/mm/yyyy)]], PO[[#This Row],[Due date (dd/mm/yyyy)]])</f>
        <v>0</v>
      </c>
      <c r="U799" s="46">
        <f t="shared" si="12"/>
        <v>52</v>
      </c>
    </row>
    <row r="800" spans="3:21" x14ac:dyDescent="0.25">
      <c r="C800" s="24"/>
      <c r="D800" s="20"/>
      <c r="E800" s="4"/>
      <c r="F800" s="37"/>
      <c r="G800" s="38"/>
      <c r="H800" s="31">
        <f>_xlfn.XLOOKUP(PO[[#This Row],[Supplier name]], Supplier_master[Supplier name], Supplier_master[Category L1], 0)</f>
        <v>0</v>
      </c>
      <c r="I800" s="31">
        <f>_xlfn.XLOOKUP(PO[[#This Row],[Supplier name]], Supplier_master[Supplier name], Supplier_master[Category L2], 0)</f>
        <v>0</v>
      </c>
      <c r="J800" s="55"/>
      <c r="K800" s="55"/>
      <c r="L800" s="31">
        <f>IF(PO[[#This Row],[Spend category L1 - Override]] &lt;&gt; "", PO[[#This Row],[Spend category L1 - Override]], PO[[#This Row],[Spend category L1]])</f>
        <v>0</v>
      </c>
      <c r="M800" s="31">
        <f>IF(PO[[#This Row],[Spend category L2 - Override]] &lt;&gt; "", PO[[#This Row],[Spend category L2 - Override]], PO[[#This Row],[Spend category L2]])</f>
        <v>0</v>
      </c>
      <c r="N800" s="63">
        <f>Assumptions!$D$15</f>
        <v>0.1</v>
      </c>
      <c r="O800" s="45">
        <f>IF(PO[[#This Row],[GST applies?]] = "Yes", (PO[[#This Row],[Value inc. GST]] / 1 + PO[[#This Row],[GST %]]) * PO[[#This Row],[GST %]], 0)</f>
        <v>0</v>
      </c>
      <c r="P800" s="31">
        <f>_xlfn.XLOOKUP(PO[[#This Row],[Supplier name]], Supplier_master[Supplier name], Supplier_master[EOM or Net], 0)</f>
        <v>0</v>
      </c>
      <c r="Q800" s="31">
        <f>_xlfn.XLOOKUP(PO[[#This Row],[Supplier name]], Supplier_master[Supplier name], Supplier_master[Terms days], 0)</f>
        <v>0</v>
      </c>
      <c r="R8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0" s="4"/>
      <c r="T800" s="46">
        <f>IF(PO[[#This Row],[Payment date - override (dd/mm/yyyy)]] &lt;&gt; "", PO[[#This Row],[Payment date - override (dd/mm/yyyy)]], PO[[#This Row],[Due date (dd/mm/yyyy)]])</f>
        <v>0</v>
      </c>
      <c r="U800" s="46">
        <f t="shared" si="12"/>
        <v>52</v>
      </c>
    </row>
    <row r="801" spans="3:21" x14ac:dyDescent="0.25">
      <c r="C801" s="24"/>
      <c r="D801" s="20"/>
      <c r="E801" s="4"/>
      <c r="F801" s="37"/>
      <c r="G801" s="38"/>
      <c r="H801" s="31">
        <f>_xlfn.XLOOKUP(PO[[#This Row],[Supplier name]], Supplier_master[Supplier name], Supplier_master[Category L1], 0)</f>
        <v>0</v>
      </c>
      <c r="I801" s="31">
        <f>_xlfn.XLOOKUP(PO[[#This Row],[Supplier name]], Supplier_master[Supplier name], Supplier_master[Category L2], 0)</f>
        <v>0</v>
      </c>
      <c r="J801" s="55"/>
      <c r="K801" s="55"/>
      <c r="L801" s="31">
        <f>IF(PO[[#This Row],[Spend category L1 - Override]] &lt;&gt; "", PO[[#This Row],[Spend category L1 - Override]], PO[[#This Row],[Spend category L1]])</f>
        <v>0</v>
      </c>
      <c r="M801" s="31">
        <f>IF(PO[[#This Row],[Spend category L2 - Override]] &lt;&gt; "", PO[[#This Row],[Spend category L2 - Override]], PO[[#This Row],[Spend category L2]])</f>
        <v>0</v>
      </c>
      <c r="N801" s="63">
        <f>Assumptions!$D$15</f>
        <v>0.1</v>
      </c>
      <c r="O801" s="45">
        <f>IF(PO[[#This Row],[GST applies?]] = "Yes", (PO[[#This Row],[Value inc. GST]] / 1 + PO[[#This Row],[GST %]]) * PO[[#This Row],[GST %]], 0)</f>
        <v>0</v>
      </c>
      <c r="P801" s="31">
        <f>_xlfn.XLOOKUP(PO[[#This Row],[Supplier name]], Supplier_master[Supplier name], Supplier_master[EOM or Net], 0)</f>
        <v>0</v>
      </c>
      <c r="Q801" s="31">
        <f>_xlfn.XLOOKUP(PO[[#This Row],[Supplier name]], Supplier_master[Supplier name], Supplier_master[Terms days], 0)</f>
        <v>0</v>
      </c>
      <c r="R8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1" s="4"/>
      <c r="T801" s="46">
        <f>IF(PO[[#This Row],[Payment date - override (dd/mm/yyyy)]] &lt;&gt; "", PO[[#This Row],[Payment date - override (dd/mm/yyyy)]], PO[[#This Row],[Due date (dd/mm/yyyy)]])</f>
        <v>0</v>
      </c>
      <c r="U801" s="46">
        <f t="shared" si="12"/>
        <v>52</v>
      </c>
    </row>
    <row r="802" spans="3:21" x14ac:dyDescent="0.25">
      <c r="C802" s="24"/>
      <c r="D802" s="20"/>
      <c r="E802" s="4"/>
      <c r="F802" s="37"/>
      <c r="G802" s="38"/>
      <c r="H802" s="31">
        <f>_xlfn.XLOOKUP(PO[[#This Row],[Supplier name]], Supplier_master[Supplier name], Supplier_master[Category L1], 0)</f>
        <v>0</v>
      </c>
      <c r="I802" s="31">
        <f>_xlfn.XLOOKUP(PO[[#This Row],[Supplier name]], Supplier_master[Supplier name], Supplier_master[Category L2], 0)</f>
        <v>0</v>
      </c>
      <c r="J802" s="55"/>
      <c r="K802" s="55"/>
      <c r="L802" s="31">
        <f>IF(PO[[#This Row],[Spend category L1 - Override]] &lt;&gt; "", PO[[#This Row],[Spend category L1 - Override]], PO[[#This Row],[Spend category L1]])</f>
        <v>0</v>
      </c>
      <c r="M802" s="31">
        <f>IF(PO[[#This Row],[Spend category L2 - Override]] &lt;&gt; "", PO[[#This Row],[Spend category L2 - Override]], PO[[#This Row],[Spend category L2]])</f>
        <v>0</v>
      </c>
      <c r="N802" s="63">
        <f>Assumptions!$D$15</f>
        <v>0.1</v>
      </c>
      <c r="O802" s="45">
        <f>IF(PO[[#This Row],[GST applies?]] = "Yes", (PO[[#This Row],[Value inc. GST]] / 1 + PO[[#This Row],[GST %]]) * PO[[#This Row],[GST %]], 0)</f>
        <v>0</v>
      </c>
      <c r="P802" s="31">
        <f>_xlfn.XLOOKUP(PO[[#This Row],[Supplier name]], Supplier_master[Supplier name], Supplier_master[EOM or Net], 0)</f>
        <v>0</v>
      </c>
      <c r="Q802" s="31">
        <f>_xlfn.XLOOKUP(PO[[#This Row],[Supplier name]], Supplier_master[Supplier name], Supplier_master[Terms days], 0)</f>
        <v>0</v>
      </c>
      <c r="R8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2" s="4"/>
      <c r="T802" s="46">
        <f>IF(PO[[#This Row],[Payment date - override (dd/mm/yyyy)]] &lt;&gt; "", PO[[#This Row],[Payment date - override (dd/mm/yyyy)]], PO[[#This Row],[Due date (dd/mm/yyyy)]])</f>
        <v>0</v>
      </c>
      <c r="U802" s="46">
        <f t="shared" si="12"/>
        <v>52</v>
      </c>
    </row>
    <row r="803" spans="3:21" x14ac:dyDescent="0.25">
      <c r="C803" s="24"/>
      <c r="D803" s="20"/>
      <c r="E803" s="4"/>
      <c r="F803" s="37"/>
      <c r="G803" s="38"/>
      <c r="H803" s="31">
        <f>_xlfn.XLOOKUP(PO[[#This Row],[Supplier name]], Supplier_master[Supplier name], Supplier_master[Category L1], 0)</f>
        <v>0</v>
      </c>
      <c r="I803" s="31">
        <f>_xlfn.XLOOKUP(PO[[#This Row],[Supplier name]], Supplier_master[Supplier name], Supplier_master[Category L2], 0)</f>
        <v>0</v>
      </c>
      <c r="J803" s="55"/>
      <c r="K803" s="55"/>
      <c r="L803" s="31">
        <f>IF(PO[[#This Row],[Spend category L1 - Override]] &lt;&gt; "", PO[[#This Row],[Spend category L1 - Override]], PO[[#This Row],[Spend category L1]])</f>
        <v>0</v>
      </c>
      <c r="M803" s="31">
        <f>IF(PO[[#This Row],[Spend category L2 - Override]] &lt;&gt; "", PO[[#This Row],[Spend category L2 - Override]], PO[[#This Row],[Spend category L2]])</f>
        <v>0</v>
      </c>
      <c r="N803" s="63">
        <f>Assumptions!$D$15</f>
        <v>0.1</v>
      </c>
      <c r="O803" s="45">
        <f>IF(PO[[#This Row],[GST applies?]] = "Yes", (PO[[#This Row],[Value inc. GST]] / 1 + PO[[#This Row],[GST %]]) * PO[[#This Row],[GST %]], 0)</f>
        <v>0</v>
      </c>
      <c r="P803" s="31">
        <f>_xlfn.XLOOKUP(PO[[#This Row],[Supplier name]], Supplier_master[Supplier name], Supplier_master[EOM or Net], 0)</f>
        <v>0</v>
      </c>
      <c r="Q803" s="31">
        <f>_xlfn.XLOOKUP(PO[[#This Row],[Supplier name]], Supplier_master[Supplier name], Supplier_master[Terms days], 0)</f>
        <v>0</v>
      </c>
      <c r="R8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3" s="4"/>
      <c r="T803" s="46">
        <f>IF(PO[[#This Row],[Payment date - override (dd/mm/yyyy)]] &lt;&gt; "", PO[[#This Row],[Payment date - override (dd/mm/yyyy)]], PO[[#This Row],[Due date (dd/mm/yyyy)]])</f>
        <v>0</v>
      </c>
      <c r="U803" s="46">
        <f t="shared" si="12"/>
        <v>52</v>
      </c>
    </row>
    <row r="804" spans="3:21" x14ac:dyDescent="0.25">
      <c r="C804" s="24"/>
      <c r="D804" s="20"/>
      <c r="E804" s="4"/>
      <c r="F804" s="37"/>
      <c r="G804" s="38"/>
      <c r="H804" s="31">
        <f>_xlfn.XLOOKUP(PO[[#This Row],[Supplier name]], Supplier_master[Supplier name], Supplier_master[Category L1], 0)</f>
        <v>0</v>
      </c>
      <c r="I804" s="31">
        <f>_xlfn.XLOOKUP(PO[[#This Row],[Supplier name]], Supplier_master[Supplier name], Supplier_master[Category L2], 0)</f>
        <v>0</v>
      </c>
      <c r="J804" s="55"/>
      <c r="K804" s="55"/>
      <c r="L804" s="31">
        <f>IF(PO[[#This Row],[Spend category L1 - Override]] &lt;&gt; "", PO[[#This Row],[Spend category L1 - Override]], PO[[#This Row],[Spend category L1]])</f>
        <v>0</v>
      </c>
      <c r="M804" s="31">
        <f>IF(PO[[#This Row],[Spend category L2 - Override]] &lt;&gt; "", PO[[#This Row],[Spend category L2 - Override]], PO[[#This Row],[Spend category L2]])</f>
        <v>0</v>
      </c>
      <c r="N804" s="63">
        <f>Assumptions!$D$15</f>
        <v>0.1</v>
      </c>
      <c r="O804" s="45">
        <f>IF(PO[[#This Row],[GST applies?]] = "Yes", (PO[[#This Row],[Value inc. GST]] / 1 + PO[[#This Row],[GST %]]) * PO[[#This Row],[GST %]], 0)</f>
        <v>0</v>
      </c>
      <c r="P804" s="31">
        <f>_xlfn.XLOOKUP(PO[[#This Row],[Supplier name]], Supplier_master[Supplier name], Supplier_master[EOM or Net], 0)</f>
        <v>0</v>
      </c>
      <c r="Q804" s="31">
        <f>_xlfn.XLOOKUP(PO[[#This Row],[Supplier name]], Supplier_master[Supplier name], Supplier_master[Terms days], 0)</f>
        <v>0</v>
      </c>
      <c r="R8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4" s="4"/>
      <c r="T804" s="46">
        <f>IF(PO[[#This Row],[Payment date - override (dd/mm/yyyy)]] &lt;&gt; "", PO[[#This Row],[Payment date - override (dd/mm/yyyy)]], PO[[#This Row],[Due date (dd/mm/yyyy)]])</f>
        <v>0</v>
      </c>
      <c r="U804" s="46">
        <f t="shared" si="12"/>
        <v>52</v>
      </c>
    </row>
    <row r="805" spans="3:21" x14ac:dyDescent="0.25">
      <c r="C805" s="24"/>
      <c r="D805" s="20"/>
      <c r="E805" s="4"/>
      <c r="F805" s="37"/>
      <c r="G805" s="38"/>
      <c r="H805" s="31">
        <f>_xlfn.XLOOKUP(PO[[#This Row],[Supplier name]], Supplier_master[Supplier name], Supplier_master[Category L1], 0)</f>
        <v>0</v>
      </c>
      <c r="I805" s="31">
        <f>_xlfn.XLOOKUP(PO[[#This Row],[Supplier name]], Supplier_master[Supplier name], Supplier_master[Category L2], 0)</f>
        <v>0</v>
      </c>
      <c r="J805" s="55"/>
      <c r="K805" s="55"/>
      <c r="L805" s="31">
        <f>IF(PO[[#This Row],[Spend category L1 - Override]] &lt;&gt; "", PO[[#This Row],[Spend category L1 - Override]], PO[[#This Row],[Spend category L1]])</f>
        <v>0</v>
      </c>
      <c r="M805" s="31">
        <f>IF(PO[[#This Row],[Spend category L2 - Override]] &lt;&gt; "", PO[[#This Row],[Spend category L2 - Override]], PO[[#This Row],[Spend category L2]])</f>
        <v>0</v>
      </c>
      <c r="N805" s="63">
        <f>Assumptions!$D$15</f>
        <v>0.1</v>
      </c>
      <c r="O805" s="45">
        <f>IF(PO[[#This Row],[GST applies?]] = "Yes", (PO[[#This Row],[Value inc. GST]] / 1 + PO[[#This Row],[GST %]]) * PO[[#This Row],[GST %]], 0)</f>
        <v>0</v>
      </c>
      <c r="P805" s="31">
        <f>_xlfn.XLOOKUP(PO[[#This Row],[Supplier name]], Supplier_master[Supplier name], Supplier_master[EOM or Net], 0)</f>
        <v>0</v>
      </c>
      <c r="Q805" s="31">
        <f>_xlfn.XLOOKUP(PO[[#This Row],[Supplier name]], Supplier_master[Supplier name], Supplier_master[Terms days], 0)</f>
        <v>0</v>
      </c>
      <c r="R8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5" s="4"/>
      <c r="T805" s="46">
        <f>IF(PO[[#This Row],[Payment date - override (dd/mm/yyyy)]] &lt;&gt; "", PO[[#This Row],[Payment date - override (dd/mm/yyyy)]], PO[[#This Row],[Due date (dd/mm/yyyy)]])</f>
        <v>0</v>
      </c>
      <c r="U805" s="46">
        <f t="shared" si="12"/>
        <v>52</v>
      </c>
    </row>
    <row r="806" spans="3:21" x14ac:dyDescent="0.25">
      <c r="C806" s="24"/>
      <c r="D806" s="20"/>
      <c r="E806" s="4"/>
      <c r="F806" s="37"/>
      <c r="G806" s="38"/>
      <c r="H806" s="31">
        <f>_xlfn.XLOOKUP(PO[[#This Row],[Supplier name]], Supplier_master[Supplier name], Supplier_master[Category L1], 0)</f>
        <v>0</v>
      </c>
      <c r="I806" s="31">
        <f>_xlfn.XLOOKUP(PO[[#This Row],[Supplier name]], Supplier_master[Supplier name], Supplier_master[Category L2], 0)</f>
        <v>0</v>
      </c>
      <c r="J806" s="55"/>
      <c r="K806" s="55"/>
      <c r="L806" s="31">
        <f>IF(PO[[#This Row],[Spend category L1 - Override]] &lt;&gt; "", PO[[#This Row],[Spend category L1 - Override]], PO[[#This Row],[Spend category L1]])</f>
        <v>0</v>
      </c>
      <c r="M806" s="31">
        <f>IF(PO[[#This Row],[Spend category L2 - Override]] &lt;&gt; "", PO[[#This Row],[Spend category L2 - Override]], PO[[#This Row],[Spend category L2]])</f>
        <v>0</v>
      </c>
      <c r="N806" s="63">
        <f>Assumptions!$D$15</f>
        <v>0.1</v>
      </c>
      <c r="O806" s="45">
        <f>IF(PO[[#This Row],[GST applies?]] = "Yes", (PO[[#This Row],[Value inc. GST]] / 1 + PO[[#This Row],[GST %]]) * PO[[#This Row],[GST %]], 0)</f>
        <v>0</v>
      </c>
      <c r="P806" s="31">
        <f>_xlfn.XLOOKUP(PO[[#This Row],[Supplier name]], Supplier_master[Supplier name], Supplier_master[EOM or Net], 0)</f>
        <v>0</v>
      </c>
      <c r="Q806" s="31">
        <f>_xlfn.XLOOKUP(PO[[#This Row],[Supplier name]], Supplier_master[Supplier name], Supplier_master[Terms days], 0)</f>
        <v>0</v>
      </c>
      <c r="R8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6" s="4"/>
      <c r="T806" s="46">
        <f>IF(PO[[#This Row],[Payment date - override (dd/mm/yyyy)]] &lt;&gt; "", PO[[#This Row],[Payment date - override (dd/mm/yyyy)]], PO[[#This Row],[Due date (dd/mm/yyyy)]])</f>
        <v>0</v>
      </c>
      <c r="U806" s="46">
        <f t="shared" si="12"/>
        <v>52</v>
      </c>
    </row>
    <row r="807" spans="3:21" x14ac:dyDescent="0.25">
      <c r="C807" s="24"/>
      <c r="D807" s="20"/>
      <c r="E807" s="4"/>
      <c r="F807" s="37"/>
      <c r="G807" s="38"/>
      <c r="H807" s="31">
        <f>_xlfn.XLOOKUP(PO[[#This Row],[Supplier name]], Supplier_master[Supplier name], Supplier_master[Category L1], 0)</f>
        <v>0</v>
      </c>
      <c r="I807" s="31">
        <f>_xlfn.XLOOKUP(PO[[#This Row],[Supplier name]], Supplier_master[Supplier name], Supplier_master[Category L2], 0)</f>
        <v>0</v>
      </c>
      <c r="J807" s="55"/>
      <c r="K807" s="55"/>
      <c r="L807" s="31">
        <f>IF(PO[[#This Row],[Spend category L1 - Override]] &lt;&gt; "", PO[[#This Row],[Spend category L1 - Override]], PO[[#This Row],[Spend category L1]])</f>
        <v>0</v>
      </c>
      <c r="M807" s="31">
        <f>IF(PO[[#This Row],[Spend category L2 - Override]] &lt;&gt; "", PO[[#This Row],[Spend category L2 - Override]], PO[[#This Row],[Spend category L2]])</f>
        <v>0</v>
      </c>
      <c r="N807" s="63">
        <f>Assumptions!$D$15</f>
        <v>0.1</v>
      </c>
      <c r="O807" s="45">
        <f>IF(PO[[#This Row],[GST applies?]] = "Yes", (PO[[#This Row],[Value inc. GST]] / 1 + PO[[#This Row],[GST %]]) * PO[[#This Row],[GST %]], 0)</f>
        <v>0</v>
      </c>
      <c r="P807" s="31">
        <f>_xlfn.XLOOKUP(PO[[#This Row],[Supplier name]], Supplier_master[Supplier name], Supplier_master[EOM or Net], 0)</f>
        <v>0</v>
      </c>
      <c r="Q807" s="31">
        <f>_xlfn.XLOOKUP(PO[[#This Row],[Supplier name]], Supplier_master[Supplier name], Supplier_master[Terms days], 0)</f>
        <v>0</v>
      </c>
      <c r="R8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7" s="4"/>
      <c r="T807" s="46">
        <f>IF(PO[[#This Row],[Payment date - override (dd/mm/yyyy)]] &lt;&gt; "", PO[[#This Row],[Payment date - override (dd/mm/yyyy)]], PO[[#This Row],[Due date (dd/mm/yyyy)]])</f>
        <v>0</v>
      </c>
      <c r="U807" s="46">
        <f t="shared" si="12"/>
        <v>52</v>
      </c>
    </row>
    <row r="808" spans="3:21" x14ac:dyDescent="0.25">
      <c r="C808" s="24"/>
      <c r="D808" s="20"/>
      <c r="E808" s="4"/>
      <c r="F808" s="37"/>
      <c r="G808" s="38"/>
      <c r="H808" s="31">
        <f>_xlfn.XLOOKUP(PO[[#This Row],[Supplier name]], Supplier_master[Supplier name], Supplier_master[Category L1], 0)</f>
        <v>0</v>
      </c>
      <c r="I808" s="31">
        <f>_xlfn.XLOOKUP(PO[[#This Row],[Supplier name]], Supplier_master[Supplier name], Supplier_master[Category L2], 0)</f>
        <v>0</v>
      </c>
      <c r="J808" s="55"/>
      <c r="K808" s="55"/>
      <c r="L808" s="31">
        <f>IF(PO[[#This Row],[Spend category L1 - Override]] &lt;&gt; "", PO[[#This Row],[Spend category L1 - Override]], PO[[#This Row],[Spend category L1]])</f>
        <v>0</v>
      </c>
      <c r="M808" s="31">
        <f>IF(PO[[#This Row],[Spend category L2 - Override]] &lt;&gt; "", PO[[#This Row],[Spend category L2 - Override]], PO[[#This Row],[Spend category L2]])</f>
        <v>0</v>
      </c>
      <c r="N808" s="63">
        <f>Assumptions!$D$15</f>
        <v>0.1</v>
      </c>
      <c r="O808" s="45">
        <f>IF(PO[[#This Row],[GST applies?]] = "Yes", (PO[[#This Row],[Value inc. GST]] / 1 + PO[[#This Row],[GST %]]) * PO[[#This Row],[GST %]], 0)</f>
        <v>0</v>
      </c>
      <c r="P808" s="31">
        <f>_xlfn.XLOOKUP(PO[[#This Row],[Supplier name]], Supplier_master[Supplier name], Supplier_master[EOM or Net], 0)</f>
        <v>0</v>
      </c>
      <c r="Q808" s="31">
        <f>_xlfn.XLOOKUP(PO[[#This Row],[Supplier name]], Supplier_master[Supplier name], Supplier_master[Terms days], 0)</f>
        <v>0</v>
      </c>
      <c r="R8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8" s="4"/>
      <c r="T808" s="46">
        <f>IF(PO[[#This Row],[Payment date - override (dd/mm/yyyy)]] &lt;&gt; "", PO[[#This Row],[Payment date - override (dd/mm/yyyy)]], PO[[#This Row],[Due date (dd/mm/yyyy)]])</f>
        <v>0</v>
      </c>
      <c r="U808" s="46">
        <f t="shared" si="12"/>
        <v>52</v>
      </c>
    </row>
    <row r="809" spans="3:21" x14ac:dyDescent="0.25">
      <c r="C809" s="24"/>
      <c r="D809" s="20"/>
      <c r="E809" s="4"/>
      <c r="F809" s="37"/>
      <c r="G809" s="38"/>
      <c r="H809" s="31">
        <f>_xlfn.XLOOKUP(PO[[#This Row],[Supplier name]], Supplier_master[Supplier name], Supplier_master[Category L1], 0)</f>
        <v>0</v>
      </c>
      <c r="I809" s="31">
        <f>_xlfn.XLOOKUP(PO[[#This Row],[Supplier name]], Supplier_master[Supplier name], Supplier_master[Category L2], 0)</f>
        <v>0</v>
      </c>
      <c r="J809" s="55"/>
      <c r="K809" s="55"/>
      <c r="L809" s="31">
        <f>IF(PO[[#This Row],[Spend category L1 - Override]] &lt;&gt; "", PO[[#This Row],[Spend category L1 - Override]], PO[[#This Row],[Spend category L1]])</f>
        <v>0</v>
      </c>
      <c r="M809" s="31">
        <f>IF(PO[[#This Row],[Spend category L2 - Override]] &lt;&gt; "", PO[[#This Row],[Spend category L2 - Override]], PO[[#This Row],[Spend category L2]])</f>
        <v>0</v>
      </c>
      <c r="N809" s="63">
        <f>Assumptions!$D$15</f>
        <v>0.1</v>
      </c>
      <c r="O809" s="45">
        <f>IF(PO[[#This Row],[GST applies?]] = "Yes", (PO[[#This Row],[Value inc. GST]] / 1 + PO[[#This Row],[GST %]]) * PO[[#This Row],[GST %]], 0)</f>
        <v>0</v>
      </c>
      <c r="P809" s="31">
        <f>_xlfn.XLOOKUP(PO[[#This Row],[Supplier name]], Supplier_master[Supplier name], Supplier_master[EOM or Net], 0)</f>
        <v>0</v>
      </c>
      <c r="Q809" s="31">
        <f>_xlfn.XLOOKUP(PO[[#This Row],[Supplier name]], Supplier_master[Supplier name], Supplier_master[Terms days], 0)</f>
        <v>0</v>
      </c>
      <c r="R8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9" s="4"/>
      <c r="T809" s="46">
        <f>IF(PO[[#This Row],[Payment date - override (dd/mm/yyyy)]] &lt;&gt; "", PO[[#This Row],[Payment date - override (dd/mm/yyyy)]], PO[[#This Row],[Due date (dd/mm/yyyy)]])</f>
        <v>0</v>
      </c>
      <c r="U809" s="46">
        <f t="shared" si="12"/>
        <v>52</v>
      </c>
    </row>
    <row r="810" spans="3:21" x14ac:dyDescent="0.25">
      <c r="C810" s="24"/>
      <c r="D810" s="20"/>
      <c r="E810" s="4"/>
      <c r="F810" s="37"/>
      <c r="G810" s="38"/>
      <c r="H810" s="31">
        <f>_xlfn.XLOOKUP(PO[[#This Row],[Supplier name]], Supplier_master[Supplier name], Supplier_master[Category L1], 0)</f>
        <v>0</v>
      </c>
      <c r="I810" s="31">
        <f>_xlfn.XLOOKUP(PO[[#This Row],[Supplier name]], Supplier_master[Supplier name], Supplier_master[Category L2], 0)</f>
        <v>0</v>
      </c>
      <c r="J810" s="55"/>
      <c r="K810" s="55"/>
      <c r="L810" s="31">
        <f>IF(PO[[#This Row],[Spend category L1 - Override]] &lt;&gt; "", PO[[#This Row],[Spend category L1 - Override]], PO[[#This Row],[Spend category L1]])</f>
        <v>0</v>
      </c>
      <c r="M810" s="31">
        <f>IF(PO[[#This Row],[Spend category L2 - Override]] &lt;&gt; "", PO[[#This Row],[Spend category L2 - Override]], PO[[#This Row],[Spend category L2]])</f>
        <v>0</v>
      </c>
      <c r="N810" s="63">
        <f>Assumptions!$D$15</f>
        <v>0.1</v>
      </c>
      <c r="O810" s="45">
        <f>IF(PO[[#This Row],[GST applies?]] = "Yes", (PO[[#This Row],[Value inc. GST]] / 1 + PO[[#This Row],[GST %]]) * PO[[#This Row],[GST %]], 0)</f>
        <v>0</v>
      </c>
      <c r="P810" s="31">
        <f>_xlfn.XLOOKUP(PO[[#This Row],[Supplier name]], Supplier_master[Supplier name], Supplier_master[EOM or Net], 0)</f>
        <v>0</v>
      </c>
      <c r="Q810" s="31">
        <f>_xlfn.XLOOKUP(PO[[#This Row],[Supplier name]], Supplier_master[Supplier name], Supplier_master[Terms days], 0)</f>
        <v>0</v>
      </c>
      <c r="R8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0" s="4"/>
      <c r="T810" s="46">
        <f>IF(PO[[#This Row],[Payment date - override (dd/mm/yyyy)]] &lt;&gt; "", PO[[#This Row],[Payment date - override (dd/mm/yyyy)]], PO[[#This Row],[Due date (dd/mm/yyyy)]])</f>
        <v>0</v>
      </c>
      <c r="U810" s="46">
        <f t="shared" si="12"/>
        <v>52</v>
      </c>
    </row>
    <row r="811" spans="3:21" x14ac:dyDescent="0.25">
      <c r="C811" s="24"/>
      <c r="D811" s="20"/>
      <c r="E811" s="4"/>
      <c r="F811" s="37"/>
      <c r="G811" s="38"/>
      <c r="H811" s="31">
        <f>_xlfn.XLOOKUP(PO[[#This Row],[Supplier name]], Supplier_master[Supplier name], Supplier_master[Category L1], 0)</f>
        <v>0</v>
      </c>
      <c r="I811" s="31">
        <f>_xlfn.XLOOKUP(PO[[#This Row],[Supplier name]], Supplier_master[Supplier name], Supplier_master[Category L2], 0)</f>
        <v>0</v>
      </c>
      <c r="J811" s="55"/>
      <c r="K811" s="55"/>
      <c r="L811" s="31">
        <f>IF(PO[[#This Row],[Spend category L1 - Override]] &lt;&gt; "", PO[[#This Row],[Spend category L1 - Override]], PO[[#This Row],[Spend category L1]])</f>
        <v>0</v>
      </c>
      <c r="M811" s="31">
        <f>IF(PO[[#This Row],[Spend category L2 - Override]] &lt;&gt; "", PO[[#This Row],[Spend category L2 - Override]], PO[[#This Row],[Spend category L2]])</f>
        <v>0</v>
      </c>
      <c r="N811" s="63">
        <f>Assumptions!$D$15</f>
        <v>0.1</v>
      </c>
      <c r="O811" s="45">
        <f>IF(PO[[#This Row],[GST applies?]] = "Yes", (PO[[#This Row],[Value inc. GST]] / 1 + PO[[#This Row],[GST %]]) * PO[[#This Row],[GST %]], 0)</f>
        <v>0</v>
      </c>
      <c r="P811" s="31">
        <f>_xlfn.XLOOKUP(PO[[#This Row],[Supplier name]], Supplier_master[Supplier name], Supplier_master[EOM or Net], 0)</f>
        <v>0</v>
      </c>
      <c r="Q811" s="31">
        <f>_xlfn.XLOOKUP(PO[[#This Row],[Supplier name]], Supplier_master[Supplier name], Supplier_master[Terms days], 0)</f>
        <v>0</v>
      </c>
      <c r="R8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1" s="4"/>
      <c r="T811" s="46">
        <f>IF(PO[[#This Row],[Payment date - override (dd/mm/yyyy)]] &lt;&gt; "", PO[[#This Row],[Payment date - override (dd/mm/yyyy)]], PO[[#This Row],[Due date (dd/mm/yyyy)]])</f>
        <v>0</v>
      </c>
      <c r="U811" s="46">
        <f t="shared" si="12"/>
        <v>52</v>
      </c>
    </row>
    <row r="812" spans="3:21" x14ac:dyDescent="0.25">
      <c r="C812" s="24"/>
      <c r="D812" s="20"/>
      <c r="E812" s="4"/>
      <c r="F812" s="37"/>
      <c r="G812" s="38"/>
      <c r="H812" s="31">
        <f>_xlfn.XLOOKUP(PO[[#This Row],[Supplier name]], Supplier_master[Supplier name], Supplier_master[Category L1], 0)</f>
        <v>0</v>
      </c>
      <c r="I812" s="31">
        <f>_xlfn.XLOOKUP(PO[[#This Row],[Supplier name]], Supplier_master[Supplier name], Supplier_master[Category L2], 0)</f>
        <v>0</v>
      </c>
      <c r="J812" s="55"/>
      <c r="K812" s="55"/>
      <c r="L812" s="31">
        <f>IF(PO[[#This Row],[Spend category L1 - Override]] &lt;&gt; "", PO[[#This Row],[Spend category L1 - Override]], PO[[#This Row],[Spend category L1]])</f>
        <v>0</v>
      </c>
      <c r="M812" s="31">
        <f>IF(PO[[#This Row],[Spend category L2 - Override]] &lt;&gt; "", PO[[#This Row],[Spend category L2 - Override]], PO[[#This Row],[Spend category L2]])</f>
        <v>0</v>
      </c>
      <c r="N812" s="63">
        <f>Assumptions!$D$15</f>
        <v>0.1</v>
      </c>
      <c r="O812" s="45">
        <f>IF(PO[[#This Row],[GST applies?]] = "Yes", (PO[[#This Row],[Value inc. GST]] / 1 + PO[[#This Row],[GST %]]) * PO[[#This Row],[GST %]], 0)</f>
        <v>0</v>
      </c>
      <c r="P812" s="31">
        <f>_xlfn.XLOOKUP(PO[[#This Row],[Supplier name]], Supplier_master[Supplier name], Supplier_master[EOM or Net], 0)</f>
        <v>0</v>
      </c>
      <c r="Q812" s="31">
        <f>_xlfn.XLOOKUP(PO[[#This Row],[Supplier name]], Supplier_master[Supplier name], Supplier_master[Terms days], 0)</f>
        <v>0</v>
      </c>
      <c r="R8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2" s="4"/>
      <c r="T812" s="46">
        <f>IF(PO[[#This Row],[Payment date - override (dd/mm/yyyy)]] &lt;&gt; "", PO[[#This Row],[Payment date - override (dd/mm/yyyy)]], PO[[#This Row],[Due date (dd/mm/yyyy)]])</f>
        <v>0</v>
      </c>
      <c r="U812" s="46">
        <f t="shared" si="12"/>
        <v>52</v>
      </c>
    </row>
    <row r="813" spans="3:21" x14ac:dyDescent="0.25">
      <c r="C813" s="24"/>
      <c r="D813" s="20"/>
      <c r="E813" s="4"/>
      <c r="F813" s="37"/>
      <c r="G813" s="38"/>
      <c r="H813" s="31">
        <f>_xlfn.XLOOKUP(PO[[#This Row],[Supplier name]], Supplier_master[Supplier name], Supplier_master[Category L1], 0)</f>
        <v>0</v>
      </c>
      <c r="I813" s="31">
        <f>_xlfn.XLOOKUP(PO[[#This Row],[Supplier name]], Supplier_master[Supplier name], Supplier_master[Category L2], 0)</f>
        <v>0</v>
      </c>
      <c r="J813" s="55"/>
      <c r="K813" s="55"/>
      <c r="L813" s="31">
        <f>IF(PO[[#This Row],[Spend category L1 - Override]] &lt;&gt; "", PO[[#This Row],[Spend category L1 - Override]], PO[[#This Row],[Spend category L1]])</f>
        <v>0</v>
      </c>
      <c r="M813" s="31">
        <f>IF(PO[[#This Row],[Spend category L2 - Override]] &lt;&gt; "", PO[[#This Row],[Spend category L2 - Override]], PO[[#This Row],[Spend category L2]])</f>
        <v>0</v>
      </c>
      <c r="N813" s="63">
        <f>Assumptions!$D$15</f>
        <v>0.1</v>
      </c>
      <c r="O813" s="45">
        <f>IF(PO[[#This Row],[GST applies?]] = "Yes", (PO[[#This Row],[Value inc. GST]] / 1 + PO[[#This Row],[GST %]]) * PO[[#This Row],[GST %]], 0)</f>
        <v>0</v>
      </c>
      <c r="P813" s="31">
        <f>_xlfn.XLOOKUP(PO[[#This Row],[Supplier name]], Supplier_master[Supplier name], Supplier_master[EOM or Net], 0)</f>
        <v>0</v>
      </c>
      <c r="Q813" s="31">
        <f>_xlfn.XLOOKUP(PO[[#This Row],[Supplier name]], Supplier_master[Supplier name], Supplier_master[Terms days], 0)</f>
        <v>0</v>
      </c>
      <c r="R8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3" s="4"/>
      <c r="T813" s="46">
        <f>IF(PO[[#This Row],[Payment date - override (dd/mm/yyyy)]] &lt;&gt; "", PO[[#This Row],[Payment date - override (dd/mm/yyyy)]], PO[[#This Row],[Due date (dd/mm/yyyy)]])</f>
        <v>0</v>
      </c>
      <c r="U813" s="46">
        <f t="shared" si="12"/>
        <v>52</v>
      </c>
    </row>
    <row r="814" spans="3:21" x14ac:dyDescent="0.25">
      <c r="C814" s="24"/>
      <c r="D814" s="20"/>
      <c r="E814" s="4"/>
      <c r="F814" s="37"/>
      <c r="G814" s="38"/>
      <c r="H814" s="31">
        <f>_xlfn.XLOOKUP(PO[[#This Row],[Supplier name]], Supplier_master[Supplier name], Supplier_master[Category L1], 0)</f>
        <v>0</v>
      </c>
      <c r="I814" s="31">
        <f>_xlfn.XLOOKUP(PO[[#This Row],[Supplier name]], Supplier_master[Supplier name], Supplier_master[Category L2], 0)</f>
        <v>0</v>
      </c>
      <c r="J814" s="55"/>
      <c r="K814" s="55"/>
      <c r="L814" s="31">
        <f>IF(PO[[#This Row],[Spend category L1 - Override]] &lt;&gt; "", PO[[#This Row],[Spend category L1 - Override]], PO[[#This Row],[Spend category L1]])</f>
        <v>0</v>
      </c>
      <c r="M814" s="31">
        <f>IF(PO[[#This Row],[Spend category L2 - Override]] &lt;&gt; "", PO[[#This Row],[Spend category L2 - Override]], PO[[#This Row],[Spend category L2]])</f>
        <v>0</v>
      </c>
      <c r="N814" s="63">
        <f>Assumptions!$D$15</f>
        <v>0.1</v>
      </c>
      <c r="O814" s="45">
        <f>IF(PO[[#This Row],[GST applies?]] = "Yes", (PO[[#This Row],[Value inc. GST]] / 1 + PO[[#This Row],[GST %]]) * PO[[#This Row],[GST %]], 0)</f>
        <v>0</v>
      </c>
      <c r="P814" s="31">
        <f>_xlfn.XLOOKUP(PO[[#This Row],[Supplier name]], Supplier_master[Supplier name], Supplier_master[EOM or Net], 0)</f>
        <v>0</v>
      </c>
      <c r="Q814" s="31">
        <f>_xlfn.XLOOKUP(PO[[#This Row],[Supplier name]], Supplier_master[Supplier name], Supplier_master[Terms days], 0)</f>
        <v>0</v>
      </c>
      <c r="R8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4" s="4"/>
      <c r="T814" s="46">
        <f>IF(PO[[#This Row],[Payment date - override (dd/mm/yyyy)]] &lt;&gt; "", PO[[#This Row],[Payment date - override (dd/mm/yyyy)]], PO[[#This Row],[Due date (dd/mm/yyyy)]])</f>
        <v>0</v>
      </c>
      <c r="U814" s="46">
        <f t="shared" si="12"/>
        <v>52</v>
      </c>
    </row>
    <row r="815" spans="3:21" x14ac:dyDescent="0.25">
      <c r="C815" s="24"/>
      <c r="D815" s="20"/>
      <c r="E815" s="4"/>
      <c r="F815" s="37"/>
      <c r="G815" s="38"/>
      <c r="H815" s="31">
        <f>_xlfn.XLOOKUP(PO[[#This Row],[Supplier name]], Supplier_master[Supplier name], Supplier_master[Category L1], 0)</f>
        <v>0</v>
      </c>
      <c r="I815" s="31">
        <f>_xlfn.XLOOKUP(PO[[#This Row],[Supplier name]], Supplier_master[Supplier name], Supplier_master[Category L2], 0)</f>
        <v>0</v>
      </c>
      <c r="J815" s="55"/>
      <c r="K815" s="55"/>
      <c r="L815" s="31">
        <f>IF(PO[[#This Row],[Spend category L1 - Override]] &lt;&gt; "", PO[[#This Row],[Spend category L1 - Override]], PO[[#This Row],[Spend category L1]])</f>
        <v>0</v>
      </c>
      <c r="M815" s="31">
        <f>IF(PO[[#This Row],[Spend category L2 - Override]] &lt;&gt; "", PO[[#This Row],[Spend category L2 - Override]], PO[[#This Row],[Spend category L2]])</f>
        <v>0</v>
      </c>
      <c r="N815" s="63">
        <f>Assumptions!$D$15</f>
        <v>0.1</v>
      </c>
      <c r="O815" s="45">
        <f>IF(PO[[#This Row],[GST applies?]] = "Yes", (PO[[#This Row],[Value inc. GST]] / 1 + PO[[#This Row],[GST %]]) * PO[[#This Row],[GST %]], 0)</f>
        <v>0</v>
      </c>
      <c r="P815" s="31">
        <f>_xlfn.XLOOKUP(PO[[#This Row],[Supplier name]], Supplier_master[Supplier name], Supplier_master[EOM or Net], 0)</f>
        <v>0</v>
      </c>
      <c r="Q815" s="31">
        <f>_xlfn.XLOOKUP(PO[[#This Row],[Supplier name]], Supplier_master[Supplier name], Supplier_master[Terms days], 0)</f>
        <v>0</v>
      </c>
      <c r="R8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5" s="4"/>
      <c r="T815" s="46">
        <f>IF(PO[[#This Row],[Payment date - override (dd/mm/yyyy)]] &lt;&gt; "", PO[[#This Row],[Payment date - override (dd/mm/yyyy)]], PO[[#This Row],[Due date (dd/mm/yyyy)]])</f>
        <v>0</v>
      </c>
      <c r="U815" s="46">
        <f t="shared" si="12"/>
        <v>52</v>
      </c>
    </row>
    <row r="816" spans="3:21" x14ac:dyDescent="0.25">
      <c r="C816" s="24"/>
      <c r="D816" s="20"/>
      <c r="E816" s="4"/>
      <c r="F816" s="37"/>
      <c r="G816" s="38"/>
      <c r="H816" s="31">
        <f>_xlfn.XLOOKUP(PO[[#This Row],[Supplier name]], Supplier_master[Supplier name], Supplier_master[Category L1], 0)</f>
        <v>0</v>
      </c>
      <c r="I816" s="31">
        <f>_xlfn.XLOOKUP(PO[[#This Row],[Supplier name]], Supplier_master[Supplier name], Supplier_master[Category L2], 0)</f>
        <v>0</v>
      </c>
      <c r="J816" s="55"/>
      <c r="K816" s="55"/>
      <c r="L816" s="31">
        <f>IF(PO[[#This Row],[Spend category L1 - Override]] &lt;&gt; "", PO[[#This Row],[Spend category L1 - Override]], PO[[#This Row],[Spend category L1]])</f>
        <v>0</v>
      </c>
      <c r="M816" s="31">
        <f>IF(PO[[#This Row],[Spend category L2 - Override]] &lt;&gt; "", PO[[#This Row],[Spend category L2 - Override]], PO[[#This Row],[Spend category L2]])</f>
        <v>0</v>
      </c>
      <c r="N816" s="63">
        <f>Assumptions!$D$15</f>
        <v>0.1</v>
      </c>
      <c r="O816" s="45">
        <f>IF(PO[[#This Row],[GST applies?]] = "Yes", (PO[[#This Row],[Value inc. GST]] / 1 + PO[[#This Row],[GST %]]) * PO[[#This Row],[GST %]], 0)</f>
        <v>0</v>
      </c>
      <c r="P816" s="31">
        <f>_xlfn.XLOOKUP(PO[[#This Row],[Supplier name]], Supplier_master[Supplier name], Supplier_master[EOM or Net], 0)</f>
        <v>0</v>
      </c>
      <c r="Q816" s="31">
        <f>_xlfn.XLOOKUP(PO[[#This Row],[Supplier name]], Supplier_master[Supplier name], Supplier_master[Terms days], 0)</f>
        <v>0</v>
      </c>
      <c r="R8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6" s="4"/>
      <c r="T816" s="46">
        <f>IF(PO[[#This Row],[Payment date - override (dd/mm/yyyy)]] &lt;&gt; "", PO[[#This Row],[Payment date - override (dd/mm/yyyy)]], PO[[#This Row],[Due date (dd/mm/yyyy)]])</f>
        <v>0</v>
      </c>
      <c r="U816" s="46">
        <f t="shared" si="12"/>
        <v>52</v>
      </c>
    </row>
    <row r="817" spans="3:21" x14ac:dyDescent="0.25">
      <c r="C817" s="24"/>
      <c r="D817" s="20"/>
      <c r="E817" s="4"/>
      <c r="F817" s="37"/>
      <c r="G817" s="38"/>
      <c r="H817" s="31">
        <f>_xlfn.XLOOKUP(PO[[#This Row],[Supplier name]], Supplier_master[Supplier name], Supplier_master[Category L1], 0)</f>
        <v>0</v>
      </c>
      <c r="I817" s="31">
        <f>_xlfn.XLOOKUP(PO[[#This Row],[Supplier name]], Supplier_master[Supplier name], Supplier_master[Category L2], 0)</f>
        <v>0</v>
      </c>
      <c r="J817" s="55"/>
      <c r="K817" s="55"/>
      <c r="L817" s="31">
        <f>IF(PO[[#This Row],[Spend category L1 - Override]] &lt;&gt; "", PO[[#This Row],[Spend category L1 - Override]], PO[[#This Row],[Spend category L1]])</f>
        <v>0</v>
      </c>
      <c r="M817" s="31">
        <f>IF(PO[[#This Row],[Spend category L2 - Override]] &lt;&gt; "", PO[[#This Row],[Spend category L2 - Override]], PO[[#This Row],[Spend category L2]])</f>
        <v>0</v>
      </c>
      <c r="N817" s="63">
        <f>Assumptions!$D$15</f>
        <v>0.1</v>
      </c>
      <c r="O817" s="45">
        <f>IF(PO[[#This Row],[GST applies?]] = "Yes", (PO[[#This Row],[Value inc. GST]] / 1 + PO[[#This Row],[GST %]]) * PO[[#This Row],[GST %]], 0)</f>
        <v>0</v>
      </c>
      <c r="P817" s="31">
        <f>_xlfn.XLOOKUP(PO[[#This Row],[Supplier name]], Supplier_master[Supplier name], Supplier_master[EOM or Net], 0)</f>
        <v>0</v>
      </c>
      <c r="Q817" s="31">
        <f>_xlfn.XLOOKUP(PO[[#This Row],[Supplier name]], Supplier_master[Supplier name], Supplier_master[Terms days], 0)</f>
        <v>0</v>
      </c>
      <c r="R8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7" s="4"/>
      <c r="T817" s="46">
        <f>IF(PO[[#This Row],[Payment date - override (dd/mm/yyyy)]] &lt;&gt; "", PO[[#This Row],[Payment date - override (dd/mm/yyyy)]], PO[[#This Row],[Due date (dd/mm/yyyy)]])</f>
        <v>0</v>
      </c>
      <c r="U817" s="46">
        <f t="shared" si="12"/>
        <v>52</v>
      </c>
    </row>
    <row r="818" spans="3:21" x14ac:dyDescent="0.25">
      <c r="C818" s="24"/>
      <c r="D818" s="20"/>
      <c r="E818" s="4"/>
      <c r="F818" s="37"/>
      <c r="G818" s="38"/>
      <c r="H818" s="31">
        <f>_xlfn.XLOOKUP(PO[[#This Row],[Supplier name]], Supplier_master[Supplier name], Supplier_master[Category L1], 0)</f>
        <v>0</v>
      </c>
      <c r="I818" s="31">
        <f>_xlfn.XLOOKUP(PO[[#This Row],[Supplier name]], Supplier_master[Supplier name], Supplier_master[Category L2], 0)</f>
        <v>0</v>
      </c>
      <c r="J818" s="55"/>
      <c r="K818" s="55"/>
      <c r="L818" s="31">
        <f>IF(PO[[#This Row],[Spend category L1 - Override]] &lt;&gt; "", PO[[#This Row],[Spend category L1 - Override]], PO[[#This Row],[Spend category L1]])</f>
        <v>0</v>
      </c>
      <c r="M818" s="31">
        <f>IF(PO[[#This Row],[Spend category L2 - Override]] &lt;&gt; "", PO[[#This Row],[Spend category L2 - Override]], PO[[#This Row],[Spend category L2]])</f>
        <v>0</v>
      </c>
      <c r="N818" s="63">
        <f>Assumptions!$D$15</f>
        <v>0.1</v>
      </c>
      <c r="O818" s="45">
        <f>IF(PO[[#This Row],[GST applies?]] = "Yes", (PO[[#This Row],[Value inc. GST]] / 1 + PO[[#This Row],[GST %]]) * PO[[#This Row],[GST %]], 0)</f>
        <v>0</v>
      </c>
      <c r="P818" s="31">
        <f>_xlfn.XLOOKUP(PO[[#This Row],[Supplier name]], Supplier_master[Supplier name], Supplier_master[EOM or Net], 0)</f>
        <v>0</v>
      </c>
      <c r="Q818" s="31">
        <f>_xlfn.XLOOKUP(PO[[#This Row],[Supplier name]], Supplier_master[Supplier name], Supplier_master[Terms days], 0)</f>
        <v>0</v>
      </c>
      <c r="R8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8" s="4"/>
      <c r="T818" s="46">
        <f>IF(PO[[#This Row],[Payment date - override (dd/mm/yyyy)]] &lt;&gt; "", PO[[#This Row],[Payment date - override (dd/mm/yyyy)]], PO[[#This Row],[Due date (dd/mm/yyyy)]])</f>
        <v>0</v>
      </c>
      <c r="U818" s="46">
        <f t="shared" si="12"/>
        <v>52</v>
      </c>
    </row>
    <row r="819" spans="3:21" x14ac:dyDescent="0.25">
      <c r="C819" s="24"/>
      <c r="D819" s="20"/>
      <c r="E819" s="4"/>
      <c r="F819" s="37"/>
      <c r="G819" s="38"/>
      <c r="H819" s="31">
        <f>_xlfn.XLOOKUP(PO[[#This Row],[Supplier name]], Supplier_master[Supplier name], Supplier_master[Category L1], 0)</f>
        <v>0</v>
      </c>
      <c r="I819" s="31">
        <f>_xlfn.XLOOKUP(PO[[#This Row],[Supplier name]], Supplier_master[Supplier name], Supplier_master[Category L2], 0)</f>
        <v>0</v>
      </c>
      <c r="J819" s="55"/>
      <c r="K819" s="55"/>
      <c r="L819" s="31">
        <f>IF(PO[[#This Row],[Spend category L1 - Override]] &lt;&gt; "", PO[[#This Row],[Spend category L1 - Override]], PO[[#This Row],[Spend category L1]])</f>
        <v>0</v>
      </c>
      <c r="M819" s="31">
        <f>IF(PO[[#This Row],[Spend category L2 - Override]] &lt;&gt; "", PO[[#This Row],[Spend category L2 - Override]], PO[[#This Row],[Spend category L2]])</f>
        <v>0</v>
      </c>
      <c r="N819" s="63">
        <f>Assumptions!$D$15</f>
        <v>0.1</v>
      </c>
      <c r="O819" s="45">
        <f>IF(PO[[#This Row],[GST applies?]] = "Yes", (PO[[#This Row],[Value inc. GST]] / 1 + PO[[#This Row],[GST %]]) * PO[[#This Row],[GST %]], 0)</f>
        <v>0</v>
      </c>
      <c r="P819" s="31">
        <f>_xlfn.XLOOKUP(PO[[#This Row],[Supplier name]], Supplier_master[Supplier name], Supplier_master[EOM or Net], 0)</f>
        <v>0</v>
      </c>
      <c r="Q819" s="31">
        <f>_xlfn.XLOOKUP(PO[[#This Row],[Supplier name]], Supplier_master[Supplier name], Supplier_master[Terms days], 0)</f>
        <v>0</v>
      </c>
      <c r="R8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9" s="4"/>
      <c r="T819" s="46">
        <f>IF(PO[[#This Row],[Payment date - override (dd/mm/yyyy)]] &lt;&gt; "", PO[[#This Row],[Payment date - override (dd/mm/yyyy)]], PO[[#This Row],[Due date (dd/mm/yyyy)]])</f>
        <v>0</v>
      </c>
      <c r="U819" s="46">
        <f t="shared" si="12"/>
        <v>52</v>
      </c>
    </row>
    <row r="820" spans="3:21" x14ac:dyDescent="0.25">
      <c r="C820" s="24"/>
      <c r="D820" s="20"/>
      <c r="E820" s="4"/>
      <c r="F820" s="37"/>
      <c r="G820" s="38"/>
      <c r="H820" s="31">
        <f>_xlfn.XLOOKUP(PO[[#This Row],[Supplier name]], Supplier_master[Supplier name], Supplier_master[Category L1], 0)</f>
        <v>0</v>
      </c>
      <c r="I820" s="31">
        <f>_xlfn.XLOOKUP(PO[[#This Row],[Supplier name]], Supplier_master[Supplier name], Supplier_master[Category L2], 0)</f>
        <v>0</v>
      </c>
      <c r="J820" s="55"/>
      <c r="K820" s="55"/>
      <c r="L820" s="31">
        <f>IF(PO[[#This Row],[Spend category L1 - Override]] &lt;&gt; "", PO[[#This Row],[Spend category L1 - Override]], PO[[#This Row],[Spend category L1]])</f>
        <v>0</v>
      </c>
      <c r="M820" s="31">
        <f>IF(PO[[#This Row],[Spend category L2 - Override]] &lt;&gt; "", PO[[#This Row],[Spend category L2 - Override]], PO[[#This Row],[Spend category L2]])</f>
        <v>0</v>
      </c>
      <c r="N820" s="63">
        <f>Assumptions!$D$15</f>
        <v>0.1</v>
      </c>
      <c r="O820" s="45">
        <f>IF(PO[[#This Row],[GST applies?]] = "Yes", (PO[[#This Row],[Value inc. GST]] / 1 + PO[[#This Row],[GST %]]) * PO[[#This Row],[GST %]], 0)</f>
        <v>0</v>
      </c>
      <c r="P820" s="31">
        <f>_xlfn.XLOOKUP(PO[[#This Row],[Supplier name]], Supplier_master[Supplier name], Supplier_master[EOM or Net], 0)</f>
        <v>0</v>
      </c>
      <c r="Q820" s="31">
        <f>_xlfn.XLOOKUP(PO[[#This Row],[Supplier name]], Supplier_master[Supplier name], Supplier_master[Terms days], 0)</f>
        <v>0</v>
      </c>
      <c r="R8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0" s="4"/>
      <c r="T820" s="46">
        <f>IF(PO[[#This Row],[Payment date - override (dd/mm/yyyy)]] &lt;&gt; "", PO[[#This Row],[Payment date - override (dd/mm/yyyy)]], PO[[#This Row],[Due date (dd/mm/yyyy)]])</f>
        <v>0</v>
      </c>
      <c r="U820" s="46">
        <f t="shared" si="12"/>
        <v>52</v>
      </c>
    </row>
    <row r="821" spans="3:21" x14ac:dyDescent="0.25">
      <c r="C821" s="24"/>
      <c r="D821" s="20"/>
      <c r="E821" s="4"/>
      <c r="F821" s="37"/>
      <c r="G821" s="38"/>
      <c r="H821" s="31">
        <f>_xlfn.XLOOKUP(PO[[#This Row],[Supplier name]], Supplier_master[Supplier name], Supplier_master[Category L1], 0)</f>
        <v>0</v>
      </c>
      <c r="I821" s="31">
        <f>_xlfn.XLOOKUP(PO[[#This Row],[Supplier name]], Supplier_master[Supplier name], Supplier_master[Category L2], 0)</f>
        <v>0</v>
      </c>
      <c r="J821" s="55"/>
      <c r="K821" s="55"/>
      <c r="L821" s="31">
        <f>IF(PO[[#This Row],[Spend category L1 - Override]] &lt;&gt; "", PO[[#This Row],[Spend category L1 - Override]], PO[[#This Row],[Spend category L1]])</f>
        <v>0</v>
      </c>
      <c r="M821" s="31">
        <f>IF(PO[[#This Row],[Spend category L2 - Override]] &lt;&gt; "", PO[[#This Row],[Spend category L2 - Override]], PO[[#This Row],[Spend category L2]])</f>
        <v>0</v>
      </c>
      <c r="N821" s="63">
        <f>Assumptions!$D$15</f>
        <v>0.1</v>
      </c>
      <c r="O821" s="45">
        <f>IF(PO[[#This Row],[GST applies?]] = "Yes", (PO[[#This Row],[Value inc. GST]] / 1 + PO[[#This Row],[GST %]]) * PO[[#This Row],[GST %]], 0)</f>
        <v>0</v>
      </c>
      <c r="P821" s="31">
        <f>_xlfn.XLOOKUP(PO[[#This Row],[Supplier name]], Supplier_master[Supplier name], Supplier_master[EOM or Net], 0)</f>
        <v>0</v>
      </c>
      <c r="Q821" s="31">
        <f>_xlfn.XLOOKUP(PO[[#This Row],[Supplier name]], Supplier_master[Supplier name], Supplier_master[Terms days], 0)</f>
        <v>0</v>
      </c>
      <c r="R8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1" s="4"/>
      <c r="T821" s="46">
        <f>IF(PO[[#This Row],[Payment date - override (dd/mm/yyyy)]] &lt;&gt; "", PO[[#This Row],[Payment date - override (dd/mm/yyyy)]], PO[[#This Row],[Due date (dd/mm/yyyy)]])</f>
        <v>0</v>
      </c>
      <c r="U821" s="46">
        <f t="shared" si="12"/>
        <v>52</v>
      </c>
    </row>
    <row r="822" spans="3:21" x14ac:dyDescent="0.25">
      <c r="C822" s="24"/>
      <c r="D822" s="20"/>
      <c r="E822" s="4"/>
      <c r="F822" s="37"/>
      <c r="G822" s="38"/>
      <c r="H822" s="31">
        <f>_xlfn.XLOOKUP(PO[[#This Row],[Supplier name]], Supplier_master[Supplier name], Supplier_master[Category L1], 0)</f>
        <v>0</v>
      </c>
      <c r="I822" s="31">
        <f>_xlfn.XLOOKUP(PO[[#This Row],[Supplier name]], Supplier_master[Supplier name], Supplier_master[Category L2], 0)</f>
        <v>0</v>
      </c>
      <c r="J822" s="55"/>
      <c r="K822" s="55"/>
      <c r="L822" s="31">
        <f>IF(PO[[#This Row],[Spend category L1 - Override]] &lt;&gt; "", PO[[#This Row],[Spend category L1 - Override]], PO[[#This Row],[Spend category L1]])</f>
        <v>0</v>
      </c>
      <c r="M822" s="31">
        <f>IF(PO[[#This Row],[Spend category L2 - Override]] &lt;&gt; "", PO[[#This Row],[Spend category L2 - Override]], PO[[#This Row],[Spend category L2]])</f>
        <v>0</v>
      </c>
      <c r="N822" s="63">
        <f>Assumptions!$D$15</f>
        <v>0.1</v>
      </c>
      <c r="O822" s="45">
        <f>IF(PO[[#This Row],[GST applies?]] = "Yes", (PO[[#This Row],[Value inc. GST]] / 1 + PO[[#This Row],[GST %]]) * PO[[#This Row],[GST %]], 0)</f>
        <v>0</v>
      </c>
      <c r="P822" s="31">
        <f>_xlfn.XLOOKUP(PO[[#This Row],[Supplier name]], Supplier_master[Supplier name], Supplier_master[EOM or Net], 0)</f>
        <v>0</v>
      </c>
      <c r="Q822" s="31">
        <f>_xlfn.XLOOKUP(PO[[#This Row],[Supplier name]], Supplier_master[Supplier name], Supplier_master[Terms days], 0)</f>
        <v>0</v>
      </c>
      <c r="R8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2" s="4"/>
      <c r="T822" s="46">
        <f>IF(PO[[#This Row],[Payment date - override (dd/mm/yyyy)]] &lt;&gt; "", PO[[#This Row],[Payment date - override (dd/mm/yyyy)]], PO[[#This Row],[Due date (dd/mm/yyyy)]])</f>
        <v>0</v>
      </c>
      <c r="U822" s="46">
        <f t="shared" si="12"/>
        <v>52</v>
      </c>
    </row>
    <row r="823" spans="3:21" x14ac:dyDescent="0.25">
      <c r="C823" s="24"/>
      <c r="D823" s="20"/>
      <c r="E823" s="4"/>
      <c r="F823" s="37"/>
      <c r="G823" s="38"/>
      <c r="H823" s="31">
        <f>_xlfn.XLOOKUP(PO[[#This Row],[Supplier name]], Supplier_master[Supplier name], Supplier_master[Category L1], 0)</f>
        <v>0</v>
      </c>
      <c r="I823" s="31">
        <f>_xlfn.XLOOKUP(PO[[#This Row],[Supplier name]], Supplier_master[Supplier name], Supplier_master[Category L2], 0)</f>
        <v>0</v>
      </c>
      <c r="J823" s="55"/>
      <c r="K823" s="55"/>
      <c r="L823" s="31">
        <f>IF(PO[[#This Row],[Spend category L1 - Override]] &lt;&gt; "", PO[[#This Row],[Spend category L1 - Override]], PO[[#This Row],[Spend category L1]])</f>
        <v>0</v>
      </c>
      <c r="M823" s="31">
        <f>IF(PO[[#This Row],[Spend category L2 - Override]] &lt;&gt; "", PO[[#This Row],[Spend category L2 - Override]], PO[[#This Row],[Spend category L2]])</f>
        <v>0</v>
      </c>
      <c r="N823" s="63">
        <f>Assumptions!$D$15</f>
        <v>0.1</v>
      </c>
      <c r="O823" s="45">
        <f>IF(PO[[#This Row],[GST applies?]] = "Yes", (PO[[#This Row],[Value inc. GST]] / 1 + PO[[#This Row],[GST %]]) * PO[[#This Row],[GST %]], 0)</f>
        <v>0</v>
      </c>
      <c r="P823" s="31">
        <f>_xlfn.XLOOKUP(PO[[#This Row],[Supplier name]], Supplier_master[Supplier name], Supplier_master[EOM or Net], 0)</f>
        <v>0</v>
      </c>
      <c r="Q823" s="31">
        <f>_xlfn.XLOOKUP(PO[[#This Row],[Supplier name]], Supplier_master[Supplier name], Supplier_master[Terms days], 0)</f>
        <v>0</v>
      </c>
      <c r="R8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3" s="4"/>
      <c r="T823" s="46">
        <f>IF(PO[[#This Row],[Payment date - override (dd/mm/yyyy)]] &lt;&gt; "", PO[[#This Row],[Payment date - override (dd/mm/yyyy)]], PO[[#This Row],[Due date (dd/mm/yyyy)]])</f>
        <v>0</v>
      </c>
      <c r="U823" s="46">
        <f t="shared" si="12"/>
        <v>52</v>
      </c>
    </row>
    <row r="824" spans="3:21" x14ac:dyDescent="0.25">
      <c r="C824" s="24"/>
      <c r="D824" s="20"/>
      <c r="E824" s="4"/>
      <c r="F824" s="37"/>
      <c r="G824" s="38"/>
      <c r="H824" s="31">
        <f>_xlfn.XLOOKUP(PO[[#This Row],[Supplier name]], Supplier_master[Supplier name], Supplier_master[Category L1], 0)</f>
        <v>0</v>
      </c>
      <c r="I824" s="31">
        <f>_xlfn.XLOOKUP(PO[[#This Row],[Supplier name]], Supplier_master[Supplier name], Supplier_master[Category L2], 0)</f>
        <v>0</v>
      </c>
      <c r="J824" s="55"/>
      <c r="K824" s="55"/>
      <c r="L824" s="31">
        <f>IF(PO[[#This Row],[Spend category L1 - Override]] &lt;&gt; "", PO[[#This Row],[Spend category L1 - Override]], PO[[#This Row],[Spend category L1]])</f>
        <v>0</v>
      </c>
      <c r="M824" s="31">
        <f>IF(PO[[#This Row],[Spend category L2 - Override]] &lt;&gt; "", PO[[#This Row],[Spend category L2 - Override]], PO[[#This Row],[Spend category L2]])</f>
        <v>0</v>
      </c>
      <c r="N824" s="63">
        <f>Assumptions!$D$15</f>
        <v>0.1</v>
      </c>
      <c r="O824" s="45">
        <f>IF(PO[[#This Row],[GST applies?]] = "Yes", (PO[[#This Row],[Value inc. GST]] / 1 + PO[[#This Row],[GST %]]) * PO[[#This Row],[GST %]], 0)</f>
        <v>0</v>
      </c>
      <c r="P824" s="31">
        <f>_xlfn.XLOOKUP(PO[[#This Row],[Supplier name]], Supplier_master[Supplier name], Supplier_master[EOM or Net], 0)</f>
        <v>0</v>
      </c>
      <c r="Q824" s="31">
        <f>_xlfn.XLOOKUP(PO[[#This Row],[Supplier name]], Supplier_master[Supplier name], Supplier_master[Terms days], 0)</f>
        <v>0</v>
      </c>
      <c r="R8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4" s="4"/>
      <c r="T824" s="46">
        <f>IF(PO[[#This Row],[Payment date - override (dd/mm/yyyy)]] &lt;&gt; "", PO[[#This Row],[Payment date - override (dd/mm/yyyy)]], PO[[#This Row],[Due date (dd/mm/yyyy)]])</f>
        <v>0</v>
      </c>
      <c r="U824" s="46">
        <f t="shared" si="12"/>
        <v>52</v>
      </c>
    </row>
    <row r="825" spans="3:21" x14ac:dyDescent="0.25">
      <c r="C825" s="24"/>
      <c r="D825" s="20"/>
      <c r="E825" s="4"/>
      <c r="F825" s="37"/>
      <c r="G825" s="38"/>
      <c r="H825" s="31">
        <f>_xlfn.XLOOKUP(PO[[#This Row],[Supplier name]], Supplier_master[Supplier name], Supplier_master[Category L1], 0)</f>
        <v>0</v>
      </c>
      <c r="I825" s="31">
        <f>_xlfn.XLOOKUP(PO[[#This Row],[Supplier name]], Supplier_master[Supplier name], Supplier_master[Category L2], 0)</f>
        <v>0</v>
      </c>
      <c r="J825" s="55"/>
      <c r="K825" s="55"/>
      <c r="L825" s="31">
        <f>IF(PO[[#This Row],[Spend category L1 - Override]] &lt;&gt; "", PO[[#This Row],[Spend category L1 - Override]], PO[[#This Row],[Spend category L1]])</f>
        <v>0</v>
      </c>
      <c r="M825" s="31">
        <f>IF(PO[[#This Row],[Spend category L2 - Override]] &lt;&gt; "", PO[[#This Row],[Spend category L2 - Override]], PO[[#This Row],[Spend category L2]])</f>
        <v>0</v>
      </c>
      <c r="N825" s="63">
        <f>Assumptions!$D$15</f>
        <v>0.1</v>
      </c>
      <c r="O825" s="45">
        <f>IF(PO[[#This Row],[GST applies?]] = "Yes", (PO[[#This Row],[Value inc. GST]] / 1 + PO[[#This Row],[GST %]]) * PO[[#This Row],[GST %]], 0)</f>
        <v>0</v>
      </c>
      <c r="P825" s="31">
        <f>_xlfn.XLOOKUP(PO[[#This Row],[Supplier name]], Supplier_master[Supplier name], Supplier_master[EOM or Net], 0)</f>
        <v>0</v>
      </c>
      <c r="Q825" s="31">
        <f>_xlfn.XLOOKUP(PO[[#This Row],[Supplier name]], Supplier_master[Supplier name], Supplier_master[Terms days], 0)</f>
        <v>0</v>
      </c>
      <c r="R8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5" s="4"/>
      <c r="T825" s="46">
        <f>IF(PO[[#This Row],[Payment date - override (dd/mm/yyyy)]] &lt;&gt; "", PO[[#This Row],[Payment date - override (dd/mm/yyyy)]], PO[[#This Row],[Due date (dd/mm/yyyy)]])</f>
        <v>0</v>
      </c>
      <c r="U825" s="46">
        <f t="shared" si="12"/>
        <v>52</v>
      </c>
    </row>
    <row r="826" spans="3:21" x14ac:dyDescent="0.25">
      <c r="C826" s="24"/>
      <c r="D826" s="20"/>
      <c r="E826" s="4"/>
      <c r="F826" s="37"/>
      <c r="G826" s="38"/>
      <c r="H826" s="31">
        <f>_xlfn.XLOOKUP(PO[[#This Row],[Supplier name]], Supplier_master[Supplier name], Supplier_master[Category L1], 0)</f>
        <v>0</v>
      </c>
      <c r="I826" s="31">
        <f>_xlfn.XLOOKUP(PO[[#This Row],[Supplier name]], Supplier_master[Supplier name], Supplier_master[Category L2], 0)</f>
        <v>0</v>
      </c>
      <c r="J826" s="55"/>
      <c r="K826" s="55"/>
      <c r="L826" s="31">
        <f>IF(PO[[#This Row],[Spend category L1 - Override]] &lt;&gt; "", PO[[#This Row],[Spend category L1 - Override]], PO[[#This Row],[Spend category L1]])</f>
        <v>0</v>
      </c>
      <c r="M826" s="31">
        <f>IF(PO[[#This Row],[Spend category L2 - Override]] &lt;&gt; "", PO[[#This Row],[Spend category L2 - Override]], PO[[#This Row],[Spend category L2]])</f>
        <v>0</v>
      </c>
      <c r="N826" s="63">
        <f>Assumptions!$D$15</f>
        <v>0.1</v>
      </c>
      <c r="O826" s="45">
        <f>IF(PO[[#This Row],[GST applies?]] = "Yes", (PO[[#This Row],[Value inc. GST]] / 1 + PO[[#This Row],[GST %]]) * PO[[#This Row],[GST %]], 0)</f>
        <v>0</v>
      </c>
      <c r="P826" s="31">
        <f>_xlfn.XLOOKUP(PO[[#This Row],[Supplier name]], Supplier_master[Supplier name], Supplier_master[EOM or Net], 0)</f>
        <v>0</v>
      </c>
      <c r="Q826" s="31">
        <f>_xlfn.XLOOKUP(PO[[#This Row],[Supplier name]], Supplier_master[Supplier name], Supplier_master[Terms days], 0)</f>
        <v>0</v>
      </c>
      <c r="R8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6" s="4"/>
      <c r="T826" s="46">
        <f>IF(PO[[#This Row],[Payment date - override (dd/mm/yyyy)]] &lt;&gt; "", PO[[#This Row],[Payment date - override (dd/mm/yyyy)]], PO[[#This Row],[Due date (dd/mm/yyyy)]])</f>
        <v>0</v>
      </c>
      <c r="U826" s="46">
        <f t="shared" si="12"/>
        <v>52</v>
      </c>
    </row>
    <row r="827" spans="3:21" x14ac:dyDescent="0.25">
      <c r="C827" s="24"/>
      <c r="D827" s="20"/>
      <c r="E827" s="4"/>
      <c r="F827" s="37"/>
      <c r="G827" s="38"/>
      <c r="H827" s="31">
        <f>_xlfn.XLOOKUP(PO[[#This Row],[Supplier name]], Supplier_master[Supplier name], Supplier_master[Category L1], 0)</f>
        <v>0</v>
      </c>
      <c r="I827" s="31">
        <f>_xlfn.XLOOKUP(PO[[#This Row],[Supplier name]], Supplier_master[Supplier name], Supplier_master[Category L2], 0)</f>
        <v>0</v>
      </c>
      <c r="J827" s="55"/>
      <c r="K827" s="55"/>
      <c r="L827" s="31">
        <f>IF(PO[[#This Row],[Spend category L1 - Override]] &lt;&gt; "", PO[[#This Row],[Spend category L1 - Override]], PO[[#This Row],[Spend category L1]])</f>
        <v>0</v>
      </c>
      <c r="M827" s="31">
        <f>IF(PO[[#This Row],[Spend category L2 - Override]] &lt;&gt; "", PO[[#This Row],[Spend category L2 - Override]], PO[[#This Row],[Spend category L2]])</f>
        <v>0</v>
      </c>
      <c r="N827" s="63">
        <f>Assumptions!$D$15</f>
        <v>0.1</v>
      </c>
      <c r="O827" s="45">
        <f>IF(PO[[#This Row],[GST applies?]] = "Yes", (PO[[#This Row],[Value inc. GST]] / 1 + PO[[#This Row],[GST %]]) * PO[[#This Row],[GST %]], 0)</f>
        <v>0</v>
      </c>
      <c r="P827" s="31">
        <f>_xlfn.XLOOKUP(PO[[#This Row],[Supplier name]], Supplier_master[Supplier name], Supplier_master[EOM or Net], 0)</f>
        <v>0</v>
      </c>
      <c r="Q827" s="31">
        <f>_xlfn.XLOOKUP(PO[[#This Row],[Supplier name]], Supplier_master[Supplier name], Supplier_master[Terms days], 0)</f>
        <v>0</v>
      </c>
      <c r="R8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7" s="4"/>
      <c r="T827" s="46">
        <f>IF(PO[[#This Row],[Payment date - override (dd/mm/yyyy)]] &lt;&gt; "", PO[[#This Row],[Payment date - override (dd/mm/yyyy)]], PO[[#This Row],[Due date (dd/mm/yyyy)]])</f>
        <v>0</v>
      </c>
      <c r="U827" s="46">
        <f t="shared" si="12"/>
        <v>52</v>
      </c>
    </row>
    <row r="828" spans="3:21" x14ac:dyDescent="0.25">
      <c r="C828" s="24"/>
      <c r="D828" s="20"/>
      <c r="E828" s="4"/>
      <c r="F828" s="37"/>
      <c r="G828" s="38"/>
      <c r="H828" s="31">
        <f>_xlfn.XLOOKUP(PO[[#This Row],[Supplier name]], Supplier_master[Supplier name], Supplier_master[Category L1], 0)</f>
        <v>0</v>
      </c>
      <c r="I828" s="31">
        <f>_xlfn.XLOOKUP(PO[[#This Row],[Supplier name]], Supplier_master[Supplier name], Supplier_master[Category L2], 0)</f>
        <v>0</v>
      </c>
      <c r="J828" s="55"/>
      <c r="K828" s="55"/>
      <c r="L828" s="31">
        <f>IF(PO[[#This Row],[Spend category L1 - Override]] &lt;&gt; "", PO[[#This Row],[Spend category L1 - Override]], PO[[#This Row],[Spend category L1]])</f>
        <v>0</v>
      </c>
      <c r="M828" s="31">
        <f>IF(PO[[#This Row],[Spend category L2 - Override]] &lt;&gt; "", PO[[#This Row],[Spend category L2 - Override]], PO[[#This Row],[Spend category L2]])</f>
        <v>0</v>
      </c>
      <c r="N828" s="63">
        <f>Assumptions!$D$15</f>
        <v>0.1</v>
      </c>
      <c r="O828" s="45">
        <f>IF(PO[[#This Row],[GST applies?]] = "Yes", (PO[[#This Row],[Value inc. GST]] / 1 + PO[[#This Row],[GST %]]) * PO[[#This Row],[GST %]], 0)</f>
        <v>0</v>
      </c>
      <c r="P828" s="31">
        <f>_xlfn.XLOOKUP(PO[[#This Row],[Supplier name]], Supplier_master[Supplier name], Supplier_master[EOM or Net], 0)</f>
        <v>0</v>
      </c>
      <c r="Q828" s="31">
        <f>_xlfn.XLOOKUP(PO[[#This Row],[Supplier name]], Supplier_master[Supplier name], Supplier_master[Terms days], 0)</f>
        <v>0</v>
      </c>
      <c r="R8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8" s="4"/>
      <c r="T828" s="46">
        <f>IF(PO[[#This Row],[Payment date - override (dd/mm/yyyy)]] &lt;&gt; "", PO[[#This Row],[Payment date - override (dd/mm/yyyy)]], PO[[#This Row],[Due date (dd/mm/yyyy)]])</f>
        <v>0</v>
      </c>
      <c r="U828" s="46">
        <f t="shared" si="12"/>
        <v>52</v>
      </c>
    </row>
    <row r="829" spans="3:21" x14ac:dyDescent="0.25">
      <c r="C829" s="24"/>
      <c r="D829" s="20"/>
      <c r="E829" s="4"/>
      <c r="F829" s="37"/>
      <c r="G829" s="38"/>
      <c r="H829" s="31">
        <f>_xlfn.XLOOKUP(PO[[#This Row],[Supplier name]], Supplier_master[Supplier name], Supplier_master[Category L1], 0)</f>
        <v>0</v>
      </c>
      <c r="I829" s="31">
        <f>_xlfn.XLOOKUP(PO[[#This Row],[Supplier name]], Supplier_master[Supplier name], Supplier_master[Category L2], 0)</f>
        <v>0</v>
      </c>
      <c r="J829" s="55"/>
      <c r="K829" s="55"/>
      <c r="L829" s="31">
        <f>IF(PO[[#This Row],[Spend category L1 - Override]] &lt;&gt; "", PO[[#This Row],[Spend category L1 - Override]], PO[[#This Row],[Spend category L1]])</f>
        <v>0</v>
      </c>
      <c r="M829" s="31">
        <f>IF(PO[[#This Row],[Spend category L2 - Override]] &lt;&gt; "", PO[[#This Row],[Spend category L2 - Override]], PO[[#This Row],[Spend category L2]])</f>
        <v>0</v>
      </c>
      <c r="N829" s="63">
        <f>Assumptions!$D$15</f>
        <v>0.1</v>
      </c>
      <c r="O829" s="45">
        <f>IF(PO[[#This Row],[GST applies?]] = "Yes", (PO[[#This Row],[Value inc. GST]] / 1 + PO[[#This Row],[GST %]]) * PO[[#This Row],[GST %]], 0)</f>
        <v>0</v>
      </c>
      <c r="P829" s="31">
        <f>_xlfn.XLOOKUP(PO[[#This Row],[Supplier name]], Supplier_master[Supplier name], Supplier_master[EOM or Net], 0)</f>
        <v>0</v>
      </c>
      <c r="Q829" s="31">
        <f>_xlfn.XLOOKUP(PO[[#This Row],[Supplier name]], Supplier_master[Supplier name], Supplier_master[Terms days], 0)</f>
        <v>0</v>
      </c>
      <c r="R8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9" s="4"/>
      <c r="T829" s="46">
        <f>IF(PO[[#This Row],[Payment date - override (dd/mm/yyyy)]] &lt;&gt; "", PO[[#This Row],[Payment date - override (dd/mm/yyyy)]], PO[[#This Row],[Due date (dd/mm/yyyy)]])</f>
        <v>0</v>
      </c>
      <c r="U829" s="46">
        <f t="shared" si="12"/>
        <v>52</v>
      </c>
    </row>
    <row r="830" spans="3:21" x14ac:dyDescent="0.25">
      <c r="C830" s="24"/>
      <c r="D830" s="20"/>
      <c r="E830" s="4"/>
      <c r="F830" s="37"/>
      <c r="G830" s="38"/>
      <c r="H830" s="31">
        <f>_xlfn.XLOOKUP(PO[[#This Row],[Supplier name]], Supplier_master[Supplier name], Supplier_master[Category L1], 0)</f>
        <v>0</v>
      </c>
      <c r="I830" s="31">
        <f>_xlfn.XLOOKUP(PO[[#This Row],[Supplier name]], Supplier_master[Supplier name], Supplier_master[Category L2], 0)</f>
        <v>0</v>
      </c>
      <c r="J830" s="55"/>
      <c r="K830" s="55"/>
      <c r="L830" s="31">
        <f>IF(PO[[#This Row],[Spend category L1 - Override]] &lt;&gt; "", PO[[#This Row],[Spend category L1 - Override]], PO[[#This Row],[Spend category L1]])</f>
        <v>0</v>
      </c>
      <c r="M830" s="31">
        <f>IF(PO[[#This Row],[Spend category L2 - Override]] &lt;&gt; "", PO[[#This Row],[Spend category L2 - Override]], PO[[#This Row],[Spend category L2]])</f>
        <v>0</v>
      </c>
      <c r="N830" s="63">
        <f>Assumptions!$D$15</f>
        <v>0.1</v>
      </c>
      <c r="O830" s="45">
        <f>IF(PO[[#This Row],[GST applies?]] = "Yes", (PO[[#This Row],[Value inc. GST]] / 1 + PO[[#This Row],[GST %]]) * PO[[#This Row],[GST %]], 0)</f>
        <v>0</v>
      </c>
      <c r="P830" s="31">
        <f>_xlfn.XLOOKUP(PO[[#This Row],[Supplier name]], Supplier_master[Supplier name], Supplier_master[EOM or Net], 0)</f>
        <v>0</v>
      </c>
      <c r="Q830" s="31">
        <f>_xlfn.XLOOKUP(PO[[#This Row],[Supplier name]], Supplier_master[Supplier name], Supplier_master[Terms days], 0)</f>
        <v>0</v>
      </c>
      <c r="R8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0" s="4"/>
      <c r="T830" s="46">
        <f>IF(PO[[#This Row],[Payment date - override (dd/mm/yyyy)]] &lt;&gt; "", PO[[#This Row],[Payment date - override (dd/mm/yyyy)]], PO[[#This Row],[Due date (dd/mm/yyyy)]])</f>
        <v>0</v>
      </c>
      <c r="U830" s="46">
        <f t="shared" si="12"/>
        <v>52</v>
      </c>
    </row>
    <row r="831" spans="3:21" x14ac:dyDescent="0.25">
      <c r="C831" s="24"/>
      <c r="D831" s="20"/>
      <c r="E831" s="4"/>
      <c r="F831" s="37"/>
      <c r="G831" s="38"/>
      <c r="H831" s="31">
        <f>_xlfn.XLOOKUP(PO[[#This Row],[Supplier name]], Supplier_master[Supplier name], Supplier_master[Category L1], 0)</f>
        <v>0</v>
      </c>
      <c r="I831" s="31">
        <f>_xlfn.XLOOKUP(PO[[#This Row],[Supplier name]], Supplier_master[Supplier name], Supplier_master[Category L2], 0)</f>
        <v>0</v>
      </c>
      <c r="J831" s="55"/>
      <c r="K831" s="55"/>
      <c r="L831" s="31">
        <f>IF(PO[[#This Row],[Spend category L1 - Override]] &lt;&gt; "", PO[[#This Row],[Spend category L1 - Override]], PO[[#This Row],[Spend category L1]])</f>
        <v>0</v>
      </c>
      <c r="M831" s="31">
        <f>IF(PO[[#This Row],[Spend category L2 - Override]] &lt;&gt; "", PO[[#This Row],[Spend category L2 - Override]], PO[[#This Row],[Spend category L2]])</f>
        <v>0</v>
      </c>
      <c r="N831" s="63">
        <f>Assumptions!$D$15</f>
        <v>0.1</v>
      </c>
      <c r="O831" s="45">
        <f>IF(PO[[#This Row],[GST applies?]] = "Yes", (PO[[#This Row],[Value inc. GST]] / 1 + PO[[#This Row],[GST %]]) * PO[[#This Row],[GST %]], 0)</f>
        <v>0</v>
      </c>
      <c r="P831" s="31">
        <f>_xlfn.XLOOKUP(PO[[#This Row],[Supplier name]], Supplier_master[Supplier name], Supplier_master[EOM or Net], 0)</f>
        <v>0</v>
      </c>
      <c r="Q831" s="31">
        <f>_xlfn.XLOOKUP(PO[[#This Row],[Supplier name]], Supplier_master[Supplier name], Supplier_master[Terms days], 0)</f>
        <v>0</v>
      </c>
      <c r="R8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1" s="4"/>
      <c r="T831" s="46">
        <f>IF(PO[[#This Row],[Payment date - override (dd/mm/yyyy)]] &lt;&gt; "", PO[[#This Row],[Payment date - override (dd/mm/yyyy)]], PO[[#This Row],[Due date (dd/mm/yyyy)]])</f>
        <v>0</v>
      </c>
      <c r="U831" s="46">
        <f t="shared" si="12"/>
        <v>52</v>
      </c>
    </row>
    <row r="832" spans="3:21" x14ac:dyDescent="0.25">
      <c r="C832" s="24"/>
      <c r="D832" s="20"/>
      <c r="E832" s="4"/>
      <c r="F832" s="37"/>
      <c r="G832" s="38"/>
      <c r="H832" s="31">
        <f>_xlfn.XLOOKUP(PO[[#This Row],[Supplier name]], Supplier_master[Supplier name], Supplier_master[Category L1], 0)</f>
        <v>0</v>
      </c>
      <c r="I832" s="31">
        <f>_xlfn.XLOOKUP(PO[[#This Row],[Supplier name]], Supplier_master[Supplier name], Supplier_master[Category L2], 0)</f>
        <v>0</v>
      </c>
      <c r="J832" s="55"/>
      <c r="K832" s="55"/>
      <c r="L832" s="31">
        <f>IF(PO[[#This Row],[Spend category L1 - Override]] &lt;&gt; "", PO[[#This Row],[Spend category L1 - Override]], PO[[#This Row],[Spend category L1]])</f>
        <v>0</v>
      </c>
      <c r="M832" s="31">
        <f>IF(PO[[#This Row],[Spend category L2 - Override]] &lt;&gt; "", PO[[#This Row],[Spend category L2 - Override]], PO[[#This Row],[Spend category L2]])</f>
        <v>0</v>
      </c>
      <c r="N832" s="63">
        <f>Assumptions!$D$15</f>
        <v>0.1</v>
      </c>
      <c r="O832" s="45">
        <f>IF(PO[[#This Row],[GST applies?]] = "Yes", (PO[[#This Row],[Value inc. GST]] / 1 + PO[[#This Row],[GST %]]) * PO[[#This Row],[GST %]], 0)</f>
        <v>0</v>
      </c>
      <c r="P832" s="31">
        <f>_xlfn.XLOOKUP(PO[[#This Row],[Supplier name]], Supplier_master[Supplier name], Supplier_master[EOM or Net], 0)</f>
        <v>0</v>
      </c>
      <c r="Q832" s="31">
        <f>_xlfn.XLOOKUP(PO[[#This Row],[Supplier name]], Supplier_master[Supplier name], Supplier_master[Terms days], 0)</f>
        <v>0</v>
      </c>
      <c r="R8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2" s="4"/>
      <c r="T832" s="46">
        <f>IF(PO[[#This Row],[Payment date - override (dd/mm/yyyy)]] &lt;&gt; "", PO[[#This Row],[Payment date - override (dd/mm/yyyy)]], PO[[#This Row],[Due date (dd/mm/yyyy)]])</f>
        <v>0</v>
      </c>
      <c r="U832" s="46">
        <f t="shared" si="12"/>
        <v>52</v>
      </c>
    </row>
    <row r="833" spans="3:21" x14ac:dyDescent="0.25">
      <c r="C833" s="24"/>
      <c r="D833" s="20"/>
      <c r="E833" s="4"/>
      <c r="F833" s="37"/>
      <c r="G833" s="38"/>
      <c r="H833" s="31">
        <f>_xlfn.XLOOKUP(PO[[#This Row],[Supplier name]], Supplier_master[Supplier name], Supplier_master[Category L1], 0)</f>
        <v>0</v>
      </c>
      <c r="I833" s="31">
        <f>_xlfn.XLOOKUP(PO[[#This Row],[Supplier name]], Supplier_master[Supplier name], Supplier_master[Category L2], 0)</f>
        <v>0</v>
      </c>
      <c r="J833" s="55"/>
      <c r="K833" s="55"/>
      <c r="L833" s="31">
        <f>IF(PO[[#This Row],[Spend category L1 - Override]] &lt;&gt; "", PO[[#This Row],[Spend category L1 - Override]], PO[[#This Row],[Spend category L1]])</f>
        <v>0</v>
      </c>
      <c r="M833" s="31">
        <f>IF(PO[[#This Row],[Spend category L2 - Override]] &lt;&gt; "", PO[[#This Row],[Spend category L2 - Override]], PO[[#This Row],[Spend category L2]])</f>
        <v>0</v>
      </c>
      <c r="N833" s="63">
        <f>Assumptions!$D$15</f>
        <v>0.1</v>
      </c>
      <c r="O833" s="45">
        <f>IF(PO[[#This Row],[GST applies?]] = "Yes", (PO[[#This Row],[Value inc. GST]] / 1 + PO[[#This Row],[GST %]]) * PO[[#This Row],[GST %]], 0)</f>
        <v>0</v>
      </c>
      <c r="P833" s="31">
        <f>_xlfn.XLOOKUP(PO[[#This Row],[Supplier name]], Supplier_master[Supplier name], Supplier_master[EOM or Net], 0)</f>
        <v>0</v>
      </c>
      <c r="Q833" s="31">
        <f>_xlfn.XLOOKUP(PO[[#This Row],[Supplier name]], Supplier_master[Supplier name], Supplier_master[Terms days], 0)</f>
        <v>0</v>
      </c>
      <c r="R8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3" s="4"/>
      <c r="T833" s="46">
        <f>IF(PO[[#This Row],[Payment date - override (dd/mm/yyyy)]] &lt;&gt; "", PO[[#This Row],[Payment date - override (dd/mm/yyyy)]], PO[[#This Row],[Due date (dd/mm/yyyy)]])</f>
        <v>0</v>
      </c>
      <c r="U833" s="46">
        <f t="shared" si="12"/>
        <v>52</v>
      </c>
    </row>
    <row r="834" spans="3:21" x14ac:dyDescent="0.25">
      <c r="C834" s="24"/>
      <c r="D834" s="20"/>
      <c r="E834" s="4"/>
      <c r="F834" s="37"/>
      <c r="G834" s="38"/>
      <c r="H834" s="31">
        <f>_xlfn.XLOOKUP(PO[[#This Row],[Supplier name]], Supplier_master[Supplier name], Supplier_master[Category L1], 0)</f>
        <v>0</v>
      </c>
      <c r="I834" s="31">
        <f>_xlfn.XLOOKUP(PO[[#This Row],[Supplier name]], Supplier_master[Supplier name], Supplier_master[Category L2], 0)</f>
        <v>0</v>
      </c>
      <c r="J834" s="55"/>
      <c r="K834" s="55"/>
      <c r="L834" s="31">
        <f>IF(PO[[#This Row],[Spend category L1 - Override]] &lt;&gt; "", PO[[#This Row],[Spend category L1 - Override]], PO[[#This Row],[Spend category L1]])</f>
        <v>0</v>
      </c>
      <c r="M834" s="31">
        <f>IF(PO[[#This Row],[Spend category L2 - Override]] &lt;&gt; "", PO[[#This Row],[Spend category L2 - Override]], PO[[#This Row],[Spend category L2]])</f>
        <v>0</v>
      </c>
      <c r="N834" s="63">
        <f>Assumptions!$D$15</f>
        <v>0.1</v>
      </c>
      <c r="O834" s="45">
        <f>IF(PO[[#This Row],[GST applies?]] = "Yes", (PO[[#This Row],[Value inc. GST]] / 1 + PO[[#This Row],[GST %]]) * PO[[#This Row],[GST %]], 0)</f>
        <v>0</v>
      </c>
      <c r="P834" s="31">
        <f>_xlfn.XLOOKUP(PO[[#This Row],[Supplier name]], Supplier_master[Supplier name], Supplier_master[EOM or Net], 0)</f>
        <v>0</v>
      </c>
      <c r="Q834" s="31">
        <f>_xlfn.XLOOKUP(PO[[#This Row],[Supplier name]], Supplier_master[Supplier name], Supplier_master[Terms days], 0)</f>
        <v>0</v>
      </c>
      <c r="R8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4" s="4"/>
      <c r="T834" s="46">
        <f>IF(PO[[#This Row],[Payment date - override (dd/mm/yyyy)]] &lt;&gt; "", PO[[#This Row],[Payment date - override (dd/mm/yyyy)]], PO[[#This Row],[Due date (dd/mm/yyyy)]])</f>
        <v>0</v>
      </c>
      <c r="U834" s="46">
        <f t="shared" si="12"/>
        <v>52</v>
      </c>
    </row>
    <row r="835" spans="3:21" x14ac:dyDescent="0.25">
      <c r="C835" s="24"/>
      <c r="D835" s="20"/>
      <c r="E835" s="4"/>
      <c r="F835" s="37"/>
      <c r="G835" s="38"/>
      <c r="H835" s="31">
        <f>_xlfn.XLOOKUP(PO[[#This Row],[Supplier name]], Supplier_master[Supplier name], Supplier_master[Category L1], 0)</f>
        <v>0</v>
      </c>
      <c r="I835" s="31">
        <f>_xlfn.XLOOKUP(PO[[#This Row],[Supplier name]], Supplier_master[Supplier name], Supplier_master[Category L2], 0)</f>
        <v>0</v>
      </c>
      <c r="J835" s="55"/>
      <c r="K835" s="55"/>
      <c r="L835" s="31">
        <f>IF(PO[[#This Row],[Spend category L1 - Override]] &lt;&gt; "", PO[[#This Row],[Spend category L1 - Override]], PO[[#This Row],[Spend category L1]])</f>
        <v>0</v>
      </c>
      <c r="M835" s="31">
        <f>IF(PO[[#This Row],[Spend category L2 - Override]] &lt;&gt; "", PO[[#This Row],[Spend category L2 - Override]], PO[[#This Row],[Spend category L2]])</f>
        <v>0</v>
      </c>
      <c r="N835" s="63">
        <f>Assumptions!$D$15</f>
        <v>0.1</v>
      </c>
      <c r="O835" s="45">
        <f>IF(PO[[#This Row],[GST applies?]] = "Yes", (PO[[#This Row],[Value inc. GST]] / 1 + PO[[#This Row],[GST %]]) * PO[[#This Row],[GST %]], 0)</f>
        <v>0</v>
      </c>
      <c r="P835" s="31">
        <f>_xlfn.XLOOKUP(PO[[#This Row],[Supplier name]], Supplier_master[Supplier name], Supplier_master[EOM or Net], 0)</f>
        <v>0</v>
      </c>
      <c r="Q835" s="31">
        <f>_xlfn.XLOOKUP(PO[[#This Row],[Supplier name]], Supplier_master[Supplier name], Supplier_master[Terms days], 0)</f>
        <v>0</v>
      </c>
      <c r="R8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5" s="4"/>
      <c r="T835" s="46">
        <f>IF(PO[[#This Row],[Payment date - override (dd/mm/yyyy)]] &lt;&gt; "", PO[[#This Row],[Payment date - override (dd/mm/yyyy)]], PO[[#This Row],[Due date (dd/mm/yyyy)]])</f>
        <v>0</v>
      </c>
      <c r="U835" s="46">
        <f t="shared" si="12"/>
        <v>52</v>
      </c>
    </row>
    <row r="836" spans="3:21" x14ac:dyDescent="0.25">
      <c r="C836" s="24"/>
      <c r="D836" s="20"/>
      <c r="E836" s="4"/>
      <c r="F836" s="37"/>
      <c r="G836" s="38"/>
      <c r="H836" s="31">
        <f>_xlfn.XLOOKUP(PO[[#This Row],[Supplier name]], Supplier_master[Supplier name], Supplier_master[Category L1], 0)</f>
        <v>0</v>
      </c>
      <c r="I836" s="31">
        <f>_xlfn.XLOOKUP(PO[[#This Row],[Supplier name]], Supplier_master[Supplier name], Supplier_master[Category L2], 0)</f>
        <v>0</v>
      </c>
      <c r="J836" s="55"/>
      <c r="K836" s="55"/>
      <c r="L836" s="31">
        <f>IF(PO[[#This Row],[Spend category L1 - Override]] &lt;&gt; "", PO[[#This Row],[Spend category L1 - Override]], PO[[#This Row],[Spend category L1]])</f>
        <v>0</v>
      </c>
      <c r="M836" s="31">
        <f>IF(PO[[#This Row],[Spend category L2 - Override]] &lt;&gt; "", PO[[#This Row],[Spend category L2 - Override]], PO[[#This Row],[Spend category L2]])</f>
        <v>0</v>
      </c>
      <c r="N836" s="63">
        <f>Assumptions!$D$15</f>
        <v>0.1</v>
      </c>
      <c r="O836" s="45">
        <f>IF(PO[[#This Row],[GST applies?]] = "Yes", (PO[[#This Row],[Value inc. GST]] / 1 + PO[[#This Row],[GST %]]) * PO[[#This Row],[GST %]], 0)</f>
        <v>0</v>
      </c>
      <c r="P836" s="31">
        <f>_xlfn.XLOOKUP(PO[[#This Row],[Supplier name]], Supplier_master[Supplier name], Supplier_master[EOM or Net], 0)</f>
        <v>0</v>
      </c>
      <c r="Q836" s="31">
        <f>_xlfn.XLOOKUP(PO[[#This Row],[Supplier name]], Supplier_master[Supplier name], Supplier_master[Terms days], 0)</f>
        <v>0</v>
      </c>
      <c r="R8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6" s="4"/>
      <c r="T836" s="46">
        <f>IF(PO[[#This Row],[Payment date - override (dd/mm/yyyy)]] &lt;&gt; "", PO[[#This Row],[Payment date - override (dd/mm/yyyy)]], PO[[#This Row],[Due date (dd/mm/yyyy)]])</f>
        <v>0</v>
      </c>
      <c r="U836" s="46">
        <f t="shared" si="12"/>
        <v>52</v>
      </c>
    </row>
    <row r="837" spans="3:21" x14ac:dyDescent="0.25">
      <c r="C837" s="24"/>
      <c r="D837" s="20"/>
      <c r="E837" s="4"/>
      <c r="F837" s="37"/>
      <c r="G837" s="38"/>
      <c r="H837" s="31">
        <f>_xlfn.XLOOKUP(PO[[#This Row],[Supplier name]], Supplier_master[Supplier name], Supplier_master[Category L1], 0)</f>
        <v>0</v>
      </c>
      <c r="I837" s="31">
        <f>_xlfn.XLOOKUP(PO[[#This Row],[Supplier name]], Supplier_master[Supplier name], Supplier_master[Category L2], 0)</f>
        <v>0</v>
      </c>
      <c r="J837" s="55"/>
      <c r="K837" s="55"/>
      <c r="L837" s="31">
        <f>IF(PO[[#This Row],[Spend category L1 - Override]] &lt;&gt; "", PO[[#This Row],[Spend category L1 - Override]], PO[[#This Row],[Spend category L1]])</f>
        <v>0</v>
      </c>
      <c r="M837" s="31">
        <f>IF(PO[[#This Row],[Spend category L2 - Override]] &lt;&gt; "", PO[[#This Row],[Spend category L2 - Override]], PO[[#This Row],[Spend category L2]])</f>
        <v>0</v>
      </c>
      <c r="N837" s="63">
        <f>Assumptions!$D$15</f>
        <v>0.1</v>
      </c>
      <c r="O837" s="45">
        <f>IF(PO[[#This Row],[GST applies?]] = "Yes", (PO[[#This Row],[Value inc. GST]] / 1 + PO[[#This Row],[GST %]]) * PO[[#This Row],[GST %]], 0)</f>
        <v>0</v>
      </c>
      <c r="P837" s="31">
        <f>_xlfn.XLOOKUP(PO[[#This Row],[Supplier name]], Supplier_master[Supplier name], Supplier_master[EOM or Net], 0)</f>
        <v>0</v>
      </c>
      <c r="Q837" s="31">
        <f>_xlfn.XLOOKUP(PO[[#This Row],[Supplier name]], Supplier_master[Supplier name], Supplier_master[Terms days], 0)</f>
        <v>0</v>
      </c>
      <c r="R8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7" s="4"/>
      <c r="T837" s="46">
        <f>IF(PO[[#This Row],[Payment date - override (dd/mm/yyyy)]] &lt;&gt; "", PO[[#This Row],[Payment date - override (dd/mm/yyyy)]], PO[[#This Row],[Due date (dd/mm/yyyy)]])</f>
        <v>0</v>
      </c>
      <c r="U837" s="46">
        <f t="shared" si="12"/>
        <v>52</v>
      </c>
    </row>
    <row r="838" spans="3:21" x14ac:dyDescent="0.25">
      <c r="C838" s="24"/>
      <c r="D838" s="20"/>
      <c r="E838" s="4"/>
      <c r="F838" s="37"/>
      <c r="G838" s="38"/>
      <c r="H838" s="31">
        <f>_xlfn.XLOOKUP(PO[[#This Row],[Supplier name]], Supplier_master[Supplier name], Supplier_master[Category L1], 0)</f>
        <v>0</v>
      </c>
      <c r="I838" s="31">
        <f>_xlfn.XLOOKUP(PO[[#This Row],[Supplier name]], Supplier_master[Supplier name], Supplier_master[Category L2], 0)</f>
        <v>0</v>
      </c>
      <c r="J838" s="55"/>
      <c r="K838" s="55"/>
      <c r="L838" s="31">
        <f>IF(PO[[#This Row],[Spend category L1 - Override]] &lt;&gt; "", PO[[#This Row],[Spend category L1 - Override]], PO[[#This Row],[Spend category L1]])</f>
        <v>0</v>
      </c>
      <c r="M838" s="31">
        <f>IF(PO[[#This Row],[Spend category L2 - Override]] &lt;&gt; "", PO[[#This Row],[Spend category L2 - Override]], PO[[#This Row],[Spend category L2]])</f>
        <v>0</v>
      </c>
      <c r="N838" s="63">
        <f>Assumptions!$D$15</f>
        <v>0.1</v>
      </c>
      <c r="O838" s="45">
        <f>IF(PO[[#This Row],[GST applies?]] = "Yes", (PO[[#This Row],[Value inc. GST]] / 1 + PO[[#This Row],[GST %]]) * PO[[#This Row],[GST %]], 0)</f>
        <v>0</v>
      </c>
      <c r="P838" s="31">
        <f>_xlfn.XLOOKUP(PO[[#This Row],[Supplier name]], Supplier_master[Supplier name], Supplier_master[EOM or Net], 0)</f>
        <v>0</v>
      </c>
      <c r="Q838" s="31">
        <f>_xlfn.XLOOKUP(PO[[#This Row],[Supplier name]], Supplier_master[Supplier name], Supplier_master[Terms days], 0)</f>
        <v>0</v>
      </c>
      <c r="R8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8" s="4"/>
      <c r="T838" s="46">
        <f>IF(PO[[#This Row],[Payment date - override (dd/mm/yyyy)]] &lt;&gt; "", PO[[#This Row],[Payment date - override (dd/mm/yyyy)]], PO[[#This Row],[Due date (dd/mm/yyyy)]])</f>
        <v>0</v>
      </c>
      <c r="U838" s="46">
        <f t="shared" si="12"/>
        <v>52</v>
      </c>
    </row>
    <row r="839" spans="3:21" x14ac:dyDescent="0.25">
      <c r="C839" s="24"/>
      <c r="D839" s="20"/>
      <c r="E839" s="4"/>
      <c r="F839" s="37"/>
      <c r="G839" s="38"/>
      <c r="H839" s="31">
        <f>_xlfn.XLOOKUP(PO[[#This Row],[Supplier name]], Supplier_master[Supplier name], Supplier_master[Category L1], 0)</f>
        <v>0</v>
      </c>
      <c r="I839" s="31">
        <f>_xlfn.XLOOKUP(PO[[#This Row],[Supplier name]], Supplier_master[Supplier name], Supplier_master[Category L2], 0)</f>
        <v>0</v>
      </c>
      <c r="J839" s="55"/>
      <c r="K839" s="55"/>
      <c r="L839" s="31">
        <f>IF(PO[[#This Row],[Spend category L1 - Override]] &lt;&gt; "", PO[[#This Row],[Spend category L1 - Override]], PO[[#This Row],[Spend category L1]])</f>
        <v>0</v>
      </c>
      <c r="M839" s="31">
        <f>IF(PO[[#This Row],[Spend category L2 - Override]] &lt;&gt; "", PO[[#This Row],[Spend category L2 - Override]], PO[[#This Row],[Spend category L2]])</f>
        <v>0</v>
      </c>
      <c r="N839" s="63">
        <f>Assumptions!$D$15</f>
        <v>0.1</v>
      </c>
      <c r="O839" s="45">
        <f>IF(PO[[#This Row],[GST applies?]] = "Yes", (PO[[#This Row],[Value inc. GST]] / 1 + PO[[#This Row],[GST %]]) * PO[[#This Row],[GST %]], 0)</f>
        <v>0</v>
      </c>
      <c r="P839" s="31">
        <f>_xlfn.XLOOKUP(PO[[#This Row],[Supplier name]], Supplier_master[Supplier name], Supplier_master[EOM or Net], 0)</f>
        <v>0</v>
      </c>
      <c r="Q839" s="31">
        <f>_xlfn.XLOOKUP(PO[[#This Row],[Supplier name]], Supplier_master[Supplier name], Supplier_master[Terms days], 0)</f>
        <v>0</v>
      </c>
      <c r="R8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9" s="4"/>
      <c r="T839" s="46">
        <f>IF(PO[[#This Row],[Payment date - override (dd/mm/yyyy)]] &lt;&gt; "", PO[[#This Row],[Payment date - override (dd/mm/yyyy)]], PO[[#This Row],[Due date (dd/mm/yyyy)]])</f>
        <v>0</v>
      </c>
      <c r="U839" s="46">
        <f t="shared" si="12"/>
        <v>52</v>
      </c>
    </row>
    <row r="840" spans="3:21" x14ac:dyDescent="0.25">
      <c r="C840" s="24"/>
      <c r="D840" s="20"/>
      <c r="E840" s="4"/>
      <c r="F840" s="37"/>
      <c r="G840" s="38"/>
      <c r="H840" s="31">
        <f>_xlfn.XLOOKUP(PO[[#This Row],[Supplier name]], Supplier_master[Supplier name], Supplier_master[Category L1], 0)</f>
        <v>0</v>
      </c>
      <c r="I840" s="31">
        <f>_xlfn.XLOOKUP(PO[[#This Row],[Supplier name]], Supplier_master[Supplier name], Supplier_master[Category L2], 0)</f>
        <v>0</v>
      </c>
      <c r="J840" s="55"/>
      <c r="K840" s="55"/>
      <c r="L840" s="31">
        <f>IF(PO[[#This Row],[Spend category L1 - Override]] &lt;&gt; "", PO[[#This Row],[Spend category L1 - Override]], PO[[#This Row],[Spend category L1]])</f>
        <v>0</v>
      </c>
      <c r="M840" s="31">
        <f>IF(PO[[#This Row],[Spend category L2 - Override]] &lt;&gt; "", PO[[#This Row],[Spend category L2 - Override]], PO[[#This Row],[Spend category L2]])</f>
        <v>0</v>
      </c>
      <c r="N840" s="63">
        <f>Assumptions!$D$15</f>
        <v>0.1</v>
      </c>
      <c r="O840" s="45">
        <f>IF(PO[[#This Row],[GST applies?]] = "Yes", (PO[[#This Row],[Value inc. GST]] / 1 + PO[[#This Row],[GST %]]) * PO[[#This Row],[GST %]], 0)</f>
        <v>0</v>
      </c>
      <c r="P840" s="31">
        <f>_xlfn.XLOOKUP(PO[[#This Row],[Supplier name]], Supplier_master[Supplier name], Supplier_master[EOM or Net], 0)</f>
        <v>0</v>
      </c>
      <c r="Q840" s="31">
        <f>_xlfn.XLOOKUP(PO[[#This Row],[Supplier name]], Supplier_master[Supplier name], Supplier_master[Terms days], 0)</f>
        <v>0</v>
      </c>
      <c r="R8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0" s="4"/>
      <c r="T840" s="46">
        <f>IF(PO[[#This Row],[Payment date - override (dd/mm/yyyy)]] &lt;&gt; "", PO[[#This Row],[Payment date - override (dd/mm/yyyy)]], PO[[#This Row],[Due date (dd/mm/yyyy)]])</f>
        <v>0</v>
      </c>
      <c r="U840" s="46">
        <f t="shared" si="12"/>
        <v>52</v>
      </c>
    </row>
    <row r="841" spans="3:21" x14ac:dyDescent="0.25">
      <c r="C841" s="24"/>
      <c r="D841" s="20"/>
      <c r="E841" s="4"/>
      <c r="F841" s="37"/>
      <c r="G841" s="38"/>
      <c r="H841" s="31">
        <f>_xlfn.XLOOKUP(PO[[#This Row],[Supplier name]], Supplier_master[Supplier name], Supplier_master[Category L1], 0)</f>
        <v>0</v>
      </c>
      <c r="I841" s="31">
        <f>_xlfn.XLOOKUP(PO[[#This Row],[Supplier name]], Supplier_master[Supplier name], Supplier_master[Category L2], 0)</f>
        <v>0</v>
      </c>
      <c r="J841" s="55"/>
      <c r="K841" s="55"/>
      <c r="L841" s="31">
        <f>IF(PO[[#This Row],[Spend category L1 - Override]] &lt;&gt; "", PO[[#This Row],[Spend category L1 - Override]], PO[[#This Row],[Spend category L1]])</f>
        <v>0</v>
      </c>
      <c r="M841" s="31">
        <f>IF(PO[[#This Row],[Spend category L2 - Override]] &lt;&gt; "", PO[[#This Row],[Spend category L2 - Override]], PO[[#This Row],[Spend category L2]])</f>
        <v>0</v>
      </c>
      <c r="N841" s="63">
        <f>Assumptions!$D$15</f>
        <v>0.1</v>
      </c>
      <c r="O841" s="45">
        <f>IF(PO[[#This Row],[GST applies?]] = "Yes", (PO[[#This Row],[Value inc. GST]] / 1 + PO[[#This Row],[GST %]]) * PO[[#This Row],[GST %]], 0)</f>
        <v>0</v>
      </c>
      <c r="P841" s="31">
        <f>_xlfn.XLOOKUP(PO[[#This Row],[Supplier name]], Supplier_master[Supplier name], Supplier_master[EOM or Net], 0)</f>
        <v>0</v>
      </c>
      <c r="Q841" s="31">
        <f>_xlfn.XLOOKUP(PO[[#This Row],[Supplier name]], Supplier_master[Supplier name], Supplier_master[Terms days], 0)</f>
        <v>0</v>
      </c>
      <c r="R8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1" s="4"/>
      <c r="T841" s="46">
        <f>IF(PO[[#This Row],[Payment date - override (dd/mm/yyyy)]] &lt;&gt; "", PO[[#This Row],[Payment date - override (dd/mm/yyyy)]], PO[[#This Row],[Due date (dd/mm/yyyy)]])</f>
        <v>0</v>
      </c>
      <c r="U841" s="46">
        <f t="shared" ref="U841:U904" si="13">IF(GST_Freq="Monthly",
    DATE(YEAR(E841), MONTH(E841) + 1, 21),
    IF(GST_Freq="Quarterly",
        IF(MOD(MONTH(E841) + 2 - MOD(MOD(MONTH(E841) - GST_First_Month, 12), 3), 12) = 0,
            DATE(YEAR(E841), MONTH(E841) + 4 - MOD(MOD(MONTH(E841) - GST_First_Month, 12), 3), 28),
            DATE(YEAR(E841), MONTH(E841) + 3 - MOD(MOD(MONTH(E841) - GST_First_Month, 12), 3), 28)
        ),
        "Invalid frequency"
    )
)</f>
        <v>52</v>
      </c>
    </row>
    <row r="842" spans="3:21" x14ac:dyDescent="0.25">
      <c r="C842" s="24"/>
      <c r="D842" s="20"/>
      <c r="E842" s="4"/>
      <c r="F842" s="37"/>
      <c r="G842" s="38"/>
      <c r="H842" s="31">
        <f>_xlfn.XLOOKUP(PO[[#This Row],[Supplier name]], Supplier_master[Supplier name], Supplier_master[Category L1], 0)</f>
        <v>0</v>
      </c>
      <c r="I842" s="31">
        <f>_xlfn.XLOOKUP(PO[[#This Row],[Supplier name]], Supplier_master[Supplier name], Supplier_master[Category L2], 0)</f>
        <v>0</v>
      </c>
      <c r="J842" s="55"/>
      <c r="K842" s="55"/>
      <c r="L842" s="31">
        <f>IF(PO[[#This Row],[Spend category L1 - Override]] &lt;&gt; "", PO[[#This Row],[Spend category L1 - Override]], PO[[#This Row],[Spend category L1]])</f>
        <v>0</v>
      </c>
      <c r="M842" s="31">
        <f>IF(PO[[#This Row],[Spend category L2 - Override]] &lt;&gt; "", PO[[#This Row],[Spend category L2 - Override]], PO[[#This Row],[Spend category L2]])</f>
        <v>0</v>
      </c>
      <c r="N842" s="63">
        <f>Assumptions!$D$15</f>
        <v>0.1</v>
      </c>
      <c r="O842" s="45">
        <f>IF(PO[[#This Row],[GST applies?]] = "Yes", (PO[[#This Row],[Value inc. GST]] / 1 + PO[[#This Row],[GST %]]) * PO[[#This Row],[GST %]], 0)</f>
        <v>0</v>
      </c>
      <c r="P842" s="31">
        <f>_xlfn.XLOOKUP(PO[[#This Row],[Supplier name]], Supplier_master[Supplier name], Supplier_master[EOM or Net], 0)</f>
        <v>0</v>
      </c>
      <c r="Q842" s="31">
        <f>_xlfn.XLOOKUP(PO[[#This Row],[Supplier name]], Supplier_master[Supplier name], Supplier_master[Terms days], 0)</f>
        <v>0</v>
      </c>
      <c r="R8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2" s="4"/>
      <c r="T842" s="46">
        <f>IF(PO[[#This Row],[Payment date - override (dd/mm/yyyy)]] &lt;&gt; "", PO[[#This Row],[Payment date - override (dd/mm/yyyy)]], PO[[#This Row],[Due date (dd/mm/yyyy)]])</f>
        <v>0</v>
      </c>
      <c r="U842" s="46">
        <f t="shared" si="13"/>
        <v>52</v>
      </c>
    </row>
    <row r="843" spans="3:21" x14ac:dyDescent="0.25">
      <c r="C843" s="24"/>
      <c r="D843" s="20"/>
      <c r="E843" s="4"/>
      <c r="F843" s="37"/>
      <c r="G843" s="38"/>
      <c r="H843" s="31">
        <f>_xlfn.XLOOKUP(PO[[#This Row],[Supplier name]], Supplier_master[Supplier name], Supplier_master[Category L1], 0)</f>
        <v>0</v>
      </c>
      <c r="I843" s="31">
        <f>_xlfn.XLOOKUP(PO[[#This Row],[Supplier name]], Supplier_master[Supplier name], Supplier_master[Category L2], 0)</f>
        <v>0</v>
      </c>
      <c r="J843" s="55"/>
      <c r="K843" s="55"/>
      <c r="L843" s="31">
        <f>IF(PO[[#This Row],[Spend category L1 - Override]] &lt;&gt; "", PO[[#This Row],[Spend category L1 - Override]], PO[[#This Row],[Spend category L1]])</f>
        <v>0</v>
      </c>
      <c r="M843" s="31">
        <f>IF(PO[[#This Row],[Spend category L2 - Override]] &lt;&gt; "", PO[[#This Row],[Spend category L2 - Override]], PO[[#This Row],[Spend category L2]])</f>
        <v>0</v>
      </c>
      <c r="N843" s="63">
        <f>Assumptions!$D$15</f>
        <v>0.1</v>
      </c>
      <c r="O843" s="45">
        <f>IF(PO[[#This Row],[GST applies?]] = "Yes", (PO[[#This Row],[Value inc. GST]] / 1 + PO[[#This Row],[GST %]]) * PO[[#This Row],[GST %]], 0)</f>
        <v>0</v>
      </c>
      <c r="P843" s="31">
        <f>_xlfn.XLOOKUP(PO[[#This Row],[Supplier name]], Supplier_master[Supplier name], Supplier_master[EOM or Net], 0)</f>
        <v>0</v>
      </c>
      <c r="Q843" s="31">
        <f>_xlfn.XLOOKUP(PO[[#This Row],[Supplier name]], Supplier_master[Supplier name], Supplier_master[Terms days], 0)</f>
        <v>0</v>
      </c>
      <c r="R8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3" s="4"/>
      <c r="T843" s="46">
        <f>IF(PO[[#This Row],[Payment date - override (dd/mm/yyyy)]] &lt;&gt; "", PO[[#This Row],[Payment date - override (dd/mm/yyyy)]], PO[[#This Row],[Due date (dd/mm/yyyy)]])</f>
        <v>0</v>
      </c>
      <c r="U843" s="46">
        <f t="shared" si="13"/>
        <v>52</v>
      </c>
    </row>
    <row r="844" spans="3:21" x14ac:dyDescent="0.25">
      <c r="C844" s="24"/>
      <c r="D844" s="20"/>
      <c r="E844" s="4"/>
      <c r="F844" s="37"/>
      <c r="G844" s="38"/>
      <c r="H844" s="31">
        <f>_xlfn.XLOOKUP(PO[[#This Row],[Supplier name]], Supplier_master[Supplier name], Supplier_master[Category L1], 0)</f>
        <v>0</v>
      </c>
      <c r="I844" s="31">
        <f>_xlfn.XLOOKUP(PO[[#This Row],[Supplier name]], Supplier_master[Supplier name], Supplier_master[Category L2], 0)</f>
        <v>0</v>
      </c>
      <c r="J844" s="55"/>
      <c r="K844" s="55"/>
      <c r="L844" s="31">
        <f>IF(PO[[#This Row],[Spend category L1 - Override]] &lt;&gt; "", PO[[#This Row],[Spend category L1 - Override]], PO[[#This Row],[Spend category L1]])</f>
        <v>0</v>
      </c>
      <c r="M844" s="31">
        <f>IF(PO[[#This Row],[Spend category L2 - Override]] &lt;&gt; "", PO[[#This Row],[Spend category L2 - Override]], PO[[#This Row],[Spend category L2]])</f>
        <v>0</v>
      </c>
      <c r="N844" s="63">
        <f>Assumptions!$D$15</f>
        <v>0.1</v>
      </c>
      <c r="O844" s="45">
        <f>IF(PO[[#This Row],[GST applies?]] = "Yes", (PO[[#This Row],[Value inc. GST]] / 1 + PO[[#This Row],[GST %]]) * PO[[#This Row],[GST %]], 0)</f>
        <v>0</v>
      </c>
      <c r="P844" s="31">
        <f>_xlfn.XLOOKUP(PO[[#This Row],[Supplier name]], Supplier_master[Supplier name], Supplier_master[EOM or Net], 0)</f>
        <v>0</v>
      </c>
      <c r="Q844" s="31">
        <f>_xlfn.XLOOKUP(PO[[#This Row],[Supplier name]], Supplier_master[Supplier name], Supplier_master[Terms days], 0)</f>
        <v>0</v>
      </c>
      <c r="R8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4" s="4"/>
      <c r="T844" s="46">
        <f>IF(PO[[#This Row],[Payment date - override (dd/mm/yyyy)]] &lt;&gt; "", PO[[#This Row],[Payment date - override (dd/mm/yyyy)]], PO[[#This Row],[Due date (dd/mm/yyyy)]])</f>
        <v>0</v>
      </c>
      <c r="U844" s="46">
        <f t="shared" si="13"/>
        <v>52</v>
      </c>
    </row>
    <row r="845" spans="3:21" x14ac:dyDescent="0.25">
      <c r="C845" s="24"/>
      <c r="D845" s="20"/>
      <c r="E845" s="4"/>
      <c r="F845" s="37"/>
      <c r="G845" s="38"/>
      <c r="H845" s="31">
        <f>_xlfn.XLOOKUP(PO[[#This Row],[Supplier name]], Supplier_master[Supplier name], Supplier_master[Category L1], 0)</f>
        <v>0</v>
      </c>
      <c r="I845" s="31">
        <f>_xlfn.XLOOKUP(PO[[#This Row],[Supplier name]], Supplier_master[Supplier name], Supplier_master[Category L2], 0)</f>
        <v>0</v>
      </c>
      <c r="J845" s="55"/>
      <c r="K845" s="55"/>
      <c r="L845" s="31">
        <f>IF(PO[[#This Row],[Spend category L1 - Override]] &lt;&gt; "", PO[[#This Row],[Spend category L1 - Override]], PO[[#This Row],[Spend category L1]])</f>
        <v>0</v>
      </c>
      <c r="M845" s="31">
        <f>IF(PO[[#This Row],[Spend category L2 - Override]] &lt;&gt; "", PO[[#This Row],[Spend category L2 - Override]], PO[[#This Row],[Spend category L2]])</f>
        <v>0</v>
      </c>
      <c r="N845" s="63">
        <f>Assumptions!$D$15</f>
        <v>0.1</v>
      </c>
      <c r="O845" s="45">
        <f>IF(PO[[#This Row],[GST applies?]] = "Yes", (PO[[#This Row],[Value inc. GST]] / 1 + PO[[#This Row],[GST %]]) * PO[[#This Row],[GST %]], 0)</f>
        <v>0</v>
      </c>
      <c r="P845" s="31">
        <f>_xlfn.XLOOKUP(PO[[#This Row],[Supplier name]], Supplier_master[Supplier name], Supplier_master[EOM or Net], 0)</f>
        <v>0</v>
      </c>
      <c r="Q845" s="31">
        <f>_xlfn.XLOOKUP(PO[[#This Row],[Supplier name]], Supplier_master[Supplier name], Supplier_master[Terms days], 0)</f>
        <v>0</v>
      </c>
      <c r="R8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5" s="4"/>
      <c r="T845" s="46">
        <f>IF(PO[[#This Row],[Payment date - override (dd/mm/yyyy)]] &lt;&gt; "", PO[[#This Row],[Payment date - override (dd/mm/yyyy)]], PO[[#This Row],[Due date (dd/mm/yyyy)]])</f>
        <v>0</v>
      </c>
      <c r="U845" s="46">
        <f t="shared" si="13"/>
        <v>52</v>
      </c>
    </row>
    <row r="846" spans="3:21" x14ac:dyDescent="0.25">
      <c r="C846" s="24"/>
      <c r="D846" s="20"/>
      <c r="E846" s="4"/>
      <c r="F846" s="37"/>
      <c r="G846" s="38"/>
      <c r="H846" s="31">
        <f>_xlfn.XLOOKUP(PO[[#This Row],[Supplier name]], Supplier_master[Supplier name], Supplier_master[Category L1], 0)</f>
        <v>0</v>
      </c>
      <c r="I846" s="31">
        <f>_xlfn.XLOOKUP(PO[[#This Row],[Supplier name]], Supplier_master[Supplier name], Supplier_master[Category L2], 0)</f>
        <v>0</v>
      </c>
      <c r="J846" s="55"/>
      <c r="K846" s="55"/>
      <c r="L846" s="31">
        <f>IF(PO[[#This Row],[Spend category L1 - Override]] &lt;&gt; "", PO[[#This Row],[Spend category L1 - Override]], PO[[#This Row],[Spend category L1]])</f>
        <v>0</v>
      </c>
      <c r="M846" s="31">
        <f>IF(PO[[#This Row],[Spend category L2 - Override]] &lt;&gt; "", PO[[#This Row],[Spend category L2 - Override]], PO[[#This Row],[Spend category L2]])</f>
        <v>0</v>
      </c>
      <c r="N846" s="63">
        <f>Assumptions!$D$15</f>
        <v>0.1</v>
      </c>
      <c r="O846" s="45">
        <f>IF(PO[[#This Row],[GST applies?]] = "Yes", (PO[[#This Row],[Value inc. GST]] / 1 + PO[[#This Row],[GST %]]) * PO[[#This Row],[GST %]], 0)</f>
        <v>0</v>
      </c>
      <c r="P846" s="31">
        <f>_xlfn.XLOOKUP(PO[[#This Row],[Supplier name]], Supplier_master[Supplier name], Supplier_master[EOM or Net], 0)</f>
        <v>0</v>
      </c>
      <c r="Q846" s="31">
        <f>_xlfn.XLOOKUP(PO[[#This Row],[Supplier name]], Supplier_master[Supplier name], Supplier_master[Terms days], 0)</f>
        <v>0</v>
      </c>
      <c r="R8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6" s="4"/>
      <c r="T846" s="46">
        <f>IF(PO[[#This Row],[Payment date - override (dd/mm/yyyy)]] &lt;&gt; "", PO[[#This Row],[Payment date - override (dd/mm/yyyy)]], PO[[#This Row],[Due date (dd/mm/yyyy)]])</f>
        <v>0</v>
      </c>
      <c r="U846" s="46">
        <f t="shared" si="13"/>
        <v>52</v>
      </c>
    </row>
    <row r="847" spans="3:21" x14ac:dyDescent="0.25">
      <c r="C847" s="24"/>
      <c r="D847" s="20"/>
      <c r="E847" s="4"/>
      <c r="F847" s="37"/>
      <c r="G847" s="38"/>
      <c r="H847" s="31">
        <f>_xlfn.XLOOKUP(PO[[#This Row],[Supplier name]], Supplier_master[Supplier name], Supplier_master[Category L1], 0)</f>
        <v>0</v>
      </c>
      <c r="I847" s="31">
        <f>_xlfn.XLOOKUP(PO[[#This Row],[Supplier name]], Supplier_master[Supplier name], Supplier_master[Category L2], 0)</f>
        <v>0</v>
      </c>
      <c r="J847" s="55"/>
      <c r="K847" s="55"/>
      <c r="L847" s="31">
        <f>IF(PO[[#This Row],[Spend category L1 - Override]] &lt;&gt; "", PO[[#This Row],[Spend category L1 - Override]], PO[[#This Row],[Spend category L1]])</f>
        <v>0</v>
      </c>
      <c r="M847" s="31">
        <f>IF(PO[[#This Row],[Spend category L2 - Override]] &lt;&gt; "", PO[[#This Row],[Spend category L2 - Override]], PO[[#This Row],[Spend category L2]])</f>
        <v>0</v>
      </c>
      <c r="N847" s="63">
        <f>Assumptions!$D$15</f>
        <v>0.1</v>
      </c>
      <c r="O847" s="45">
        <f>IF(PO[[#This Row],[GST applies?]] = "Yes", (PO[[#This Row],[Value inc. GST]] / 1 + PO[[#This Row],[GST %]]) * PO[[#This Row],[GST %]], 0)</f>
        <v>0</v>
      </c>
      <c r="P847" s="31">
        <f>_xlfn.XLOOKUP(PO[[#This Row],[Supplier name]], Supplier_master[Supplier name], Supplier_master[EOM or Net], 0)</f>
        <v>0</v>
      </c>
      <c r="Q847" s="31">
        <f>_xlfn.XLOOKUP(PO[[#This Row],[Supplier name]], Supplier_master[Supplier name], Supplier_master[Terms days], 0)</f>
        <v>0</v>
      </c>
      <c r="R8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7" s="4"/>
      <c r="T847" s="46">
        <f>IF(PO[[#This Row],[Payment date - override (dd/mm/yyyy)]] &lt;&gt; "", PO[[#This Row],[Payment date - override (dd/mm/yyyy)]], PO[[#This Row],[Due date (dd/mm/yyyy)]])</f>
        <v>0</v>
      </c>
      <c r="U847" s="46">
        <f t="shared" si="13"/>
        <v>52</v>
      </c>
    </row>
    <row r="848" spans="3:21" x14ac:dyDescent="0.25">
      <c r="C848" s="24"/>
      <c r="D848" s="20"/>
      <c r="E848" s="4"/>
      <c r="F848" s="37"/>
      <c r="G848" s="38"/>
      <c r="H848" s="31">
        <f>_xlfn.XLOOKUP(PO[[#This Row],[Supplier name]], Supplier_master[Supplier name], Supplier_master[Category L1], 0)</f>
        <v>0</v>
      </c>
      <c r="I848" s="31">
        <f>_xlfn.XLOOKUP(PO[[#This Row],[Supplier name]], Supplier_master[Supplier name], Supplier_master[Category L2], 0)</f>
        <v>0</v>
      </c>
      <c r="J848" s="55"/>
      <c r="K848" s="55"/>
      <c r="L848" s="31">
        <f>IF(PO[[#This Row],[Spend category L1 - Override]] &lt;&gt; "", PO[[#This Row],[Spend category L1 - Override]], PO[[#This Row],[Spend category L1]])</f>
        <v>0</v>
      </c>
      <c r="M848" s="31">
        <f>IF(PO[[#This Row],[Spend category L2 - Override]] &lt;&gt; "", PO[[#This Row],[Spend category L2 - Override]], PO[[#This Row],[Spend category L2]])</f>
        <v>0</v>
      </c>
      <c r="N848" s="63">
        <f>Assumptions!$D$15</f>
        <v>0.1</v>
      </c>
      <c r="O848" s="45">
        <f>IF(PO[[#This Row],[GST applies?]] = "Yes", (PO[[#This Row],[Value inc. GST]] / 1 + PO[[#This Row],[GST %]]) * PO[[#This Row],[GST %]], 0)</f>
        <v>0</v>
      </c>
      <c r="P848" s="31">
        <f>_xlfn.XLOOKUP(PO[[#This Row],[Supplier name]], Supplier_master[Supplier name], Supplier_master[EOM or Net], 0)</f>
        <v>0</v>
      </c>
      <c r="Q848" s="31">
        <f>_xlfn.XLOOKUP(PO[[#This Row],[Supplier name]], Supplier_master[Supplier name], Supplier_master[Terms days], 0)</f>
        <v>0</v>
      </c>
      <c r="R8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8" s="4"/>
      <c r="T848" s="46">
        <f>IF(PO[[#This Row],[Payment date - override (dd/mm/yyyy)]] &lt;&gt; "", PO[[#This Row],[Payment date - override (dd/mm/yyyy)]], PO[[#This Row],[Due date (dd/mm/yyyy)]])</f>
        <v>0</v>
      </c>
      <c r="U848" s="46">
        <f t="shared" si="13"/>
        <v>52</v>
      </c>
    </row>
    <row r="849" spans="3:21" x14ac:dyDescent="0.25">
      <c r="C849" s="24"/>
      <c r="D849" s="20"/>
      <c r="E849" s="4"/>
      <c r="F849" s="37"/>
      <c r="G849" s="38"/>
      <c r="H849" s="31">
        <f>_xlfn.XLOOKUP(PO[[#This Row],[Supplier name]], Supplier_master[Supplier name], Supplier_master[Category L1], 0)</f>
        <v>0</v>
      </c>
      <c r="I849" s="31">
        <f>_xlfn.XLOOKUP(PO[[#This Row],[Supplier name]], Supplier_master[Supplier name], Supplier_master[Category L2], 0)</f>
        <v>0</v>
      </c>
      <c r="J849" s="55"/>
      <c r="K849" s="55"/>
      <c r="L849" s="31">
        <f>IF(PO[[#This Row],[Spend category L1 - Override]] &lt;&gt; "", PO[[#This Row],[Spend category L1 - Override]], PO[[#This Row],[Spend category L1]])</f>
        <v>0</v>
      </c>
      <c r="M849" s="31">
        <f>IF(PO[[#This Row],[Spend category L2 - Override]] &lt;&gt; "", PO[[#This Row],[Spend category L2 - Override]], PO[[#This Row],[Spend category L2]])</f>
        <v>0</v>
      </c>
      <c r="N849" s="63">
        <f>Assumptions!$D$15</f>
        <v>0.1</v>
      </c>
      <c r="O849" s="45">
        <f>IF(PO[[#This Row],[GST applies?]] = "Yes", (PO[[#This Row],[Value inc. GST]] / 1 + PO[[#This Row],[GST %]]) * PO[[#This Row],[GST %]], 0)</f>
        <v>0</v>
      </c>
      <c r="P849" s="31">
        <f>_xlfn.XLOOKUP(PO[[#This Row],[Supplier name]], Supplier_master[Supplier name], Supplier_master[EOM or Net], 0)</f>
        <v>0</v>
      </c>
      <c r="Q849" s="31">
        <f>_xlfn.XLOOKUP(PO[[#This Row],[Supplier name]], Supplier_master[Supplier name], Supplier_master[Terms days], 0)</f>
        <v>0</v>
      </c>
      <c r="R8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9" s="4"/>
      <c r="T849" s="46">
        <f>IF(PO[[#This Row],[Payment date - override (dd/mm/yyyy)]] &lt;&gt; "", PO[[#This Row],[Payment date - override (dd/mm/yyyy)]], PO[[#This Row],[Due date (dd/mm/yyyy)]])</f>
        <v>0</v>
      </c>
      <c r="U849" s="46">
        <f t="shared" si="13"/>
        <v>52</v>
      </c>
    </row>
    <row r="850" spans="3:21" x14ac:dyDescent="0.25">
      <c r="C850" s="24"/>
      <c r="D850" s="20"/>
      <c r="E850" s="4"/>
      <c r="F850" s="37"/>
      <c r="G850" s="38"/>
      <c r="H850" s="31">
        <f>_xlfn.XLOOKUP(PO[[#This Row],[Supplier name]], Supplier_master[Supplier name], Supplier_master[Category L1], 0)</f>
        <v>0</v>
      </c>
      <c r="I850" s="31">
        <f>_xlfn.XLOOKUP(PO[[#This Row],[Supplier name]], Supplier_master[Supplier name], Supplier_master[Category L2], 0)</f>
        <v>0</v>
      </c>
      <c r="J850" s="55"/>
      <c r="K850" s="55"/>
      <c r="L850" s="31">
        <f>IF(PO[[#This Row],[Spend category L1 - Override]] &lt;&gt; "", PO[[#This Row],[Spend category L1 - Override]], PO[[#This Row],[Spend category L1]])</f>
        <v>0</v>
      </c>
      <c r="M850" s="31">
        <f>IF(PO[[#This Row],[Spend category L2 - Override]] &lt;&gt; "", PO[[#This Row],[Spend category L2 - Override]], PO[[#This Row],[Spend category L2]])</f>
        <v>0</v>
      </c>
      <c r="N850" s="63">
        <f>Assumptions!$D$15</f>
        <v>0.1</v>
      </c>
      <c r="O850" s="45">
        <f>IF(PO[[#This Row],[GST applies?]] = "Yes", (PO[[#This Row],[Value inc. GST]] / 1 + PO[[#This Row],[GST %]]) * PO[[#This Row],[GST %]], 0)</f>
        <v>0</v>
      </c>
      <c r="P850" s="31">
        <f>_xlfn.XLOOKUP(PO[[#This Row],[Supplier name]], Supplier_master[Supplier name], Supplier_master[EOM or Net], 0)</f>
        <v>0</v>
      </c>
      <c r="Q850" s="31">
        <f>_xlfn.XLOOKUP(PO[[#This Row],[Supplier name]], Supplier_master[Supplier name], Supplier_master[Terms days], 0)</f>
        <v>0</v>
      </c>
      <c r="R8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0" s="4"/>
      <c r="T850" s="46">
        <f>IF(PO[[#This Row],[Payment date - override (dd/mm/yyyy)]] &lt;&gt; "", PO[[#This Row],[Payment date - override (dd/mm/yyyy)]], PO[[#This Row],[Due date (dd/mm/yyyy)]])</f>
        <v>0</v>
      </c>
      <c r="U850" s="46">
        <f t="shared" si="13"/>
        <v>52</v>
      </c>
    </row>
    <row r="851" spans="3:21" x14ac:dyDescent="0.25">
      <c r="C851" s="24"/>
      <c r="D851" s="20"/>
      <c r="E851" s="4"/>
      <c r="F851" s="37"/>
      <c r="G851" s="38"/>
      <c r="H851" s="31">
        <f>_xlfn.XLOOKUP(PO[[#This Row],[Supplier name]], Supplier_master[Supplier name], Supplier_master[Category L1], 0)</f>
        <v>0</v>
      </c>
      <c r="I851" s="31">
        <f>_xlfn.XLOOKUP(PO[[#This Row],[Supplier name]], Supplier_master[Supplier name], Supplier_master[Category L2], 0)</f>
        <v>0</v>
      </c>
      <c r="J851" s="55"/>
      <c r="K851" s="55"/>
      <c r="L851" s="31">
        <f>IF(PO[[#This Row],[Spend category L1 - Override]] &lt;&gt; "", PO[[#This Row],[Spend category L1 - Override]], PO[[#This Row],[Spend category L1]])</f>
        <v>0</v>
      </c>
      <c r="M851" s="31">
        <f>IF(PO[[#This Row],[Spend category L2 - Override]] &lt;&gt; "", PO[[#This Row],[Spend category L2 - Override]], PO[[#This Row],[Spend category L2]])</f>
        <v>0</v>
      </c>
      <c r="N851" s="63">
        <f>Assumptions!$D$15</f>
        <v>0.1</v>
      </c>
      <c r="O851" s="45">
        <f>IF(PO[[#This Row],[GST applies?]] = "Yes", (PO[[#This Row],[Value inc. GST]] / 1 + PO[[#This Row],[GST %]]) * PO[[#This Row],[GST %]], 0)</f>
        <v>0</v>
      </c>
      <c r="P851" s="31">
        <f>_xlfn.XLOOKUP(PO[[#This Row],[Supplier name]], Supplier_master[Supplier name], Supplier_master[EOM or Net], 0)</f>
        <v>0</v>
      </c>
      <c r="Q851" s="31">
        <f>_xlfn.XLOOKUP(PO[[#This Row],[Supplier name]], Supplier_master[Supplier name], Supplier_master[Terms days], 0)</f>
        <v>0</v>
      </c>
      <c r="R8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1" s="4"/>
      <c r="T851" s="46">
        <f>IF(PO[[#This Row],[Payment date - override (dd/mm/yyyy)]] &lt;&gt; "", PO[[#This Row],[Payment date - override (dd/mm/yyyy)]], PO[[#This Row],[Due date (dd/mm/yyyy)]])</f>
        <v>0</v>
      </c>
      <c r="U851" s="46">
        <f t="shared" si="13"/>
        <v>52</v>
      </c>
    </row>
    <row r="852" spans="3:21" x14ac:dyDescent="0.25">
      <c r="C852" s="24"/>
      <c r="D852" s="20"/>
      <c r="E852" s="4"/>
      <c r="F852" s="37"/>
      <c r="G852" s="38"/>
      <c r="H852" s="31">
        <f>_xlfn.XLOOKUP(PO[[#This Row],[Supplier name]], Supplier_master[Supplier name], Supplier_master[Category L1], 0)</f>
        <v>0</v>
      </c>
      <c r="I852" s="31">
        <f>_xlfn.XLOOKUP(PO[[#This Row],[Supplier name]], Supplier_master[Supplier name], Supplier_master[Category L2], 0)</f>
        <v>0</v>
      </c>
      <c r="J852" s="55"/>
      <c r="K852" s="55"/>
      <c r="L852" s="31">
        <f>IF(PO[[#This Row],[Spend category L1 - Override]] &lt;&gt; "", PO[[#This Row],[Spend category L1 - Override]], PO[[#This Row],[Spend category L1]])</f>
        <v>0</v>
      </c>
      <c r="M852" s="31">
        <f>IF(PO[[#This Row],[Spend category L2 - Override]] &lt;&gt; "", PO[[#This Row],[Spend category L2 - Override]], PO[[#This Row],[Spend category L2]])</f>
        <v>0</v>
      </c>
      <c r="N852" s="63">
        <f>Assumptions!$D$15</f>
        <v>0.1</v>
      </c>
      <c r="O852" s="45">
        <f>IF(PO[[#This Row],[GST applies?]] = "Yes", (PO[[#This Row],[Value inc. GST]] / 1 + PO[[#This Row],[GST %]]) * PO[[#This Row],[GST %]], 0)</f>
        <v>0</v>
      </c>
      <c r="P852" s="31">
        <f>_xlfn.XLOOKUP(PO[[#This Row],[Supplier name]], Supplier_master[Supplier name], Supplier_master[EOM or Net], 0)</f>
        <v>0</v>
      </c>
      <c r="Q852" s="31">
        <f>_xlfn.XLOOKUP(PO[[#This Row],[Supplier name]], Supplier_master[Supplier name], Supplier_master[Terms days], 0)</f>
        <v>0</v>
      </c>
      <c r="R8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2" s="4"/>
      <c r="T852" s="46">
        <f>IF(PO[[#This Row],[Payment date - override (dd/mm/yyyy)]] &lt;&gt; "", PO[[#This Row],[Payment date - override (dd/mm/yyyy)]], PO[[#This Row],[Due date (dd/mm/yyyy)]])</f>
        <v>0</v>
      </c>
      <c r="U852" s="46">
        <f t="shared" si="13"/>
        <v>52</v>
      </c>
    </row>
    <row r="853" spans="3:21" x14ac:dyDescent="0.25">
      <c r="C853" s="24"/>
      <c r="D853" s="20"/>
      <c r="E853" s="4"/>
      <c r="F853" s="37"/>
      <c r="G853" s="38"/>
      <c r="H853" s="31">
        <f>_xlfn.XLOOKUP(PO[[#This Row],[Supplier name]], Supplier_master[Supplier name], Supplier_master[Category L1], 0)</f>
        <v>0</v>
      </c>
      <c r="I853" s="31">
        <f>_xlfn.XLOOKUP(PO[[#This Row],[Supplier name]], Supplier_master[Supplier name], Supplier_master[Category L2], 0)</f>
        <v>0</v>
      </c>
      <c r="J853" s="55"/>
      <c r="K853" s="55"/>
      <c r="L853" s="31">
        <f>IF(PO[[#This Row],[Spend category L1 - Override]] &lt;&gt; "", PO[[#This Row],[Spend category L1 - Override]], PO[[#This Row],[Spend category L1]])</f>
        <v>0</v>
      </c>
      <c r="M853" s="31">
        <f>IF(PO[[#This Row],[Spend category L2 - Override]] &lt;&gt; "", PO[[#This Row],[Spend category L2 - Override]], PO[[#This Row],[Spend category L2]])</f>
        <v>0</v>
      </c>
      <c r="N853" s="63">
        <f>Assumptions!$D$15</f>
        <v>0.1</v>
      </c>
      <c r="O853" s="45">
        <f>IF(PO[[#This Row],[GST applies?]] = "Yes", (PO[[#This Row],[Value inc. GST]] / 1 + PO[[#This Row],[GST %]]) * PO[[#This Row],[GST %]], 0)</f>
        <v>0</v>
      </c>
      <c r="P853" s="31">
        <f>_xlfn.XLOOKUP(PO[[#This Row],[Supplier name]], Supplier_master[Supplier name], Supplier_master[EOM or Net], 0)</f>
        <v>0</v>
      </c>
      <c r="Q853" s="31">
        <f>_xlfn.XLOOKUP(PO[[#This Row],[Supplier name]], Supplier_master[Supplier name], Supplier_master[Terms days], 0)</f>
        <v>0</v>
      </c>
      <c r="R8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3" s="4"/>
      <c r="T853" s="46">
        <f>IF(PO[[#This Row],[Payment date - override (dd/mm/yyyy)]] &lt;&gt; "", PO[[#This Row],[Payment date - override (dd/mm/yyyy)]], PO[[#This Row],[Due date (dd/mm/yyyy)]])</f>
        <v>0</v>
      </c>
      <c r="U853" s="46">
        <f t="shared" si="13"/>
        <v>52</v>
      </c>
    </row>
    <row r="854" spans="3:21" x14ac:dyDescent="0.25">
      <c r="C854" s="24"/>
      <c r="D854" s="20"/>
      <c r="E854" s="4"/>
      <c r="F854" s="37"/>
      <c r="G854" s="38"/>
      <c r="H854" s="31">
        <f>_xlfn.XLOOKUP(PO[[#This Row],[Supplier name]], Supplier_master[Supplier name], Supplier_master[Category L1], 0)</f>
        <v>0</v>
      </c>
      <c r="I854" s="31">
        <f>_xlfn.XLOOKUP(PO[[#This Row],[Supplier name]], Supplier_master[Supplier name], Supplier_master[Category L2], 0)</f>
        <v>0</v>
      </c>
      <c r="J854" s="55"/>
      <c r="K854" s="55"/>
      <c r="L854" s="31">
        <f>IF(PO[[#This Row],[Spend category L1 - Override]] &lt;&gt; "", PO[[#This Row],[Spend category L1 - Override]], PO[[#This Row],[Spend category L1]])</f>
        <v>0</v>
      </c>
      <c r="M854" s="31">
        <f>IF(PO[[#This Row],[Spend category L2 - Override]] &lt;&gt; "", PO[[#This Row],[Spend category L2 - Override]], PO[[#This Row],[Spend category L2]])</f>
        <v>0</v>
      </c>
      <c r="N854" s="63">
        <f>Assumptions!$D$15</f>
        <v>0.1</v>
      </c>
      <c r="O854" s="45">
        <f>IF(PO[[#This Row],[GST applies?]] = "Yes", (PO[[#This Row],[Value inc. GST]] / 1 + PO[[#This Row],[GST %]]) * PO[[#This Row],[GST %]], 0)</f>
        <v>0</v>
      </c>
      <c r="P854" s="31">
        <f>_xlfn.XLOOKUP(PO[[#This Row],[Supplier name]], Supplier_master[Supplier name], Supplier_master[EOM or Net], 0)</f>
        <v>0</v>
      </c>
      <c r="Q854" s="31">
        <f>_xlfn.XLOOKUP(PO[[#This Row],[Supplier name]], Supplier_master[Supplier name], Supplier_master[Terms days], 0)</f>
        <v>0</v>
      </c>
      <c r="R8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4" s="4"/>
      <c r="T854" s="46">
        <f>IF(PO[[#This Row],[Payment date - override (dd/mm/yyyy)]] &lt;&gt; "", PO[[#This Row],[Payment date - override (dd/mm/yyyy)]], PO[[#This Row],[Due date (dd/mm/yyyy)]])</f>
        <v>0</v>
      </c>
      <c r="U854" s="46">
        <f t="shared" si="13"/>
        <v>52</v>
      </c>
    </row>
    <row r="855" spans="3:21" x14ac:dyDescent="0.25">
      <c r="C855" s="24"/>
      <c r="D855" s="20"/>
      <c r="E855" s="4"/>
      <c r="F855" s="37"/>
      <c r="G855" s="38"/>
      <c r="H855" s="31">
        <f>_xlfn.XLOOKUP(PO[[#This Row],[Supplier name]], Supplier_master[Supplier name], Supplier_master[Category L1], 0)</f>
        <v>0</v>
      </c>
      <c r="I855" s="31">
        <f>_xlfn.XLOOKUP(PO[[#This Row],[Supplier name]], Supplier_master[Supplier name], Supplier_master[Category L2], 0)</f>
        <v>0</v>
      </c>
      <c r="J855" s="55"/>
      <c r="K855" s="55"/>
      <c r="L855" s="31">
        <f>IF(PO[[#This Row],[Spend category L1 - Override]] &lt;&gt; "", PO[[#This Row],[Spend category L1 - Override]], PO[[#This Row],[Spend category L1]])</f>
        <v>0</v>
      </c>
      <c r="M855" s="31">
        <f>IF(PO[[#This Row],[Spend category L2 - Override]] &lt;&gt; "", PO[[#This Row],[Spend category L2 - Override]], PO[[#This Row],[Spend category L2]])</f>
        <v>0</v>
      </c>
      <c r="N855" s="63">
        <f>Assumptions!$D$15</f>
        <v>0.1</v>
      </c>
      <c r="O855" s="45">
        <f>IF(PO[[#This Row],[GST applies?]] = "Yes", (PO[[#This Row],[Value inc. GST]] / 1 + PO[[#This Row],[GST %]]) * PO[[#This Row],[GST %]], 0)</f>
        <v>0</v>
      </c>
      <c r="P855" s="31">
        <f>_xlfn.XLOOKUP(PO[[#This Row],[Supplier name]], Supplier_master[Supplier name], Supplier_master[EOM or Net], 0)</f>
        <v>0</v>
      </c>
      <c r="Q855" s="31">
        <f>_xlfn.XLOOKUP(PO[[#This Row],[Supplier name]], Supplier_master[Supplier name], Supplier_master[Terms days], 0)</f>
        <v>0</v>
      </c>
      <c r="R8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5" s="4"/>
      <c r="T855" s="46">
        <f>IF(PO[[#This Row],[Payment date - override (dd/mm/yyyy)]] &lt;&gt; "", PO[[#This Row],[Payment date - override (dd/mm/yyyy)]], PO[[#This Row],[Due date (dd/mm/yyyy)]])</f>
        <v>0</v>
      </c>
      <c r="U855" s="46">
        <f t="shared" si="13"/>
        <v>52</v>
      </c>
    </row>
    <row r="856" spans="3:21" x14ac:dyDescent="0.25">
      <c r="C856" s="24"/>
      <c r="D856" s="20"/>
      <c r="E856" s="4"/>
      <c r="F856" s="37"/>
      <c r="G856" s="38"/>
      <c r="H856" s="31">
        <f>_xlfn.XLOOKUP(PO[[#This Row],[Supplier name]], Supplier_master[Supplier name], Supplier_master[Category L1], 0)</f>
        <v>0</v>
      </c>
      <c r="I856" s="31">
        <f>_xlfn.XLOOKUP(PO[[#This Row],[Supplier name]], Supplier_master[Supplier name], Supplier_master[Category L2], 0)</f>
        <v>0</v>
      </c>
      <c r="J856" s="55"/>
      <c r="K856" s="55"/>
      <c r="L856" s="31">
        <f>IF(PO[[#This Row],[Spend category L1 - Override]] &lt;&gt; "", PO[[#This Row],[Spend category L1 - Override]], PO[[#This Row],[Spend category L1]])</f>
        <v>0</v>
      </c>
      <c r="M856" s="31">
        <f>IF(PO[[#This Row],[Spend category L2 - Override]] &lt;&gt; "", PO[[#This Row],[Spend category L2 - Override]], PO[[#This Row],[Spend category L2]])</f>
        <v>0</v>
      </c>
      <c r="N856" s="63">
        <f>Assumptions!$D$15</f>
        <v>0.1</v>
      </c>
      <c r="O856" s="45">
        <f>IF(PO[[#This Row],[GST applies?]] = "Yes", (PO[[#This Row],[Value inc. GST]] / 1 + PO[[#This Row],[GST %]]) * PO[[#This Row],[GST %]], 0)</f>
        <v>0</v>
      </c>
      <c r="P856" s="31">
        <f>_xlfn.XLOOKUP(PO[[#This Row],[Supplier name]], Supplier_master[Supplier name], Supplier_master[EOM or Net], 0)</f>
        <v>0</v>
      </c>
      <c r="Q856" s="31">
        <f>_xlfn.XLOOKUP(PO[[#This Row],[Supplier name]], Supplier_master[Supplier name], Supplier_master[Terms days], 0)</f>
        <v>0</v>
      </c>
      <c r="R8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6" s="4"/>
      <c r="T856" s="46">
        <f>IF(PO[[#This Row],[Payment date - override (dd/mm/yyyy)]] &lt;&gt; "", PO[[#This Row],[Payment date - override (dd/mm/yyyy)]], PO[[#This Row],[Due date (dd/mm/yyyy)]])</f>
        <v>0</v>
      </c>
      <c r="U856" s="46">
        <f t="shared" si="13"/>
        <v>52</v>
      </c>
    </row>
    <row r="857" spans="3:21" x14ac:dyDescent="0.25">
      <c r="C857" s="24"/>
      <c r="D857" s="20"/>
      <c r="E857" s="4"/>
      <c r="F857" s="37"/>
      <c r="G857" s="38"/>
      <c r="H857" s="31">
        <f>_xlfn.XLOOKUP(PO[[#This Row],[Supplier name]], Supplier_master[Supplier name], Supplier_master[Category L1], 0)</f>
        <v>0</v>
      </c>
      <c r="I857" s="31">
        <f>_xlfn.XLOOKUP(PO[[#This Row],[Supplier name]], Supplier_master[Supplier name], Supplier_master[Category L2], 0)</f>
        <v>0</v>
      </c>
      <c r="J857" s="55"/>
      <c r="K857" s="55"/>
      <c r="L857" s="31">
        <f>IF(PO[[#This Row],[Spend category L1 - Override]] &lt;&gt; "", PO[[#This Row],[Spend category L1 - Override]], PO[[#This Row],[Spend category L1]])</f>
        <v>0</v>
      </c>
      <c r="M857" s="31">
        <f>IF(PO[[#This Row],[Spend category L2 - Override]] &lt;&gt; "", PO[[#This Row],[Spend category L2 - Override]], PO[[#This Row],[Spend category L2]])</f>
        <v>0</v>
      </c>
      <c r="N857" s="63">
        <f>Assumptions!$D$15</f>
        <v>0.1</v>
      </c>
      <c r="O857" s="45">
        <f>IF(PO[[#This Row],[GST applies?]] = "Yes", (PO[[#This Row],[Value inc. GST]] / 1 + PO[[#This Row],[GST %]]) * PO[[#This Row],[GST %]], 0)</f>
        <v>0</v>
      </c>
      <c r="P857" s="31">
        <f>_xlfn.XLOOKUP(PO[[#This Row],[Supplier name]], Supplier_master[Supplier name], Supplier_master[EOM or Net], 0)</f>
        <v>0</v>
      </c>
      <c r="Q857" s="31">
        <f>_xlfn.XLOOKUP(PO[[#This Row],[Supplier name]], Supplier_master[Supplier name], Supplier_master[Terms days], 0)</f>
        <v>0</v>
      </c>
      <c r="R8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7" s="4"/>
      <c r="T857" s="46">
        <f>IF(PO[[#This Row],[Payment date - override (dd/mm/yyyy)]] &lt;&gt; "", PO[[#This Row],[Payment date - override (dd/mm/yyyy)]], PO[[#This Row],[Due date (dd/mm/yyyy)]])</f>
        <v>0</v>
      </c>
      <c r="U857" s="46">
        <f t="shared" si="13"/>
        <v>52</v>
      </c>
    </row>
    <row r="858" spans="3:21" x14ac:dyDescent="0.25">
      <c r="C858" s="24"/>
      <c r="D858" s="20"/>
      <c r="E858" s="4"/>
      <c r="F858" s="37"/>
      <c r="G858" s="38"/>
      <c r="H858" s="31">
        <f>_xlfn.XLOOKUP(PO[[#This Row],[Supplier name]], Supplier_master[Supplier name], Supplier_master[Category L1], 0)</f>
        <v>0</v>
      </c>
      <c r="I858" s="31">
        <f>_xlfn.XLOOKUP(PO[[#This Row],[Supplier name]], Supplier_master[Supplier name], Supplier_master[Category L2], 0)</f>
        <v>0</v>
      </c>
      <c r="J858" s="55"/>
      <c r="K858" s="55"/>
      <c r="L858" s="31">
        <f>IF(PO[[#This Row],[Spend category L1 - Override]] &lt;&gt; "", PO[[#This Row],[Spend category L1 - Override]], PO[[#This Row],[Spend category L1]])</f>
        <v>0</v>
      </c>
      <c r="M858" s="31">
        <f>IF(PO[[#This Row],[Spend category L2 - Override]] &lt;&gt; "", PO[[#This Row],[Spend category L2 - Override]], PO[[#This Row],[Spend category L2]])</f>
        <v>0</v>
      </c>
      <c r="N858" s="63">
        <f>Assumptions!$D$15</f>
        <v>0.1</v>
      </c>
      <c r="O858" s="45">
        <f>IF(PO[[#This Row],[GST applies?]] = "Yes", (PO[[#This Row],[Value inc. GST]] / 1 + PO[[#This Row],[GST %]]) * PO[[#This Row],[GST %]], 0)</f>
        <v>0</v>
      </c>
      <c r="P858" s="31">
        <f>_xlfn.XLOOKUP(PO[[#This Row],[Supplier name]], Supplier_master[Supplier name], Supplier_master[EOM or Net], 0)</f>
        <v>0</v>
      </c>
      <c r="Q858" s="31">
        <f>_xlfn.XLOOKUP(PO[[#This Row],[Supplier name]], Supplier_master[Supplier name], Supplier_master[Terms days], 0)</f>
        <v>0</v>
      </c>
      <c r="R8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8" s="4"/>
      <c r="T858" s="46">
        <f>IF(PO[[#This Row],[Payment date - override (dd/mm/yyyy)]] &lt;&gt; "", PO[[#This Row],[Payment date - override (dd/mm/yyyy)]], PO[[#This Row],[Due date (dd/mm/yyyy)]])</f>
        <v>0</v>
      </c>
      <c r="U858" s="46">
        <f t="shared" si="13"/>
        <v>52</v>
      </c>
    </row>
    <row r="859" spans="3:21" x14ac:dyDescent="0.25">
      <c r="C859" s="24"/>
      <c r="D859" s="20"/>
      <c r="E859" s="4"/>
      <c r="F859" s="37"/>
      <c r="G859" s="38"/>
      <c r="H859" s="31">
        <f>_xlfn.XLOOKUP(PO[[#This Row],[Supplier name]], Supplier_master[Supplier name], Supplier_master[Category L1], 0)</f>
        <v>0</v>
      </c>
      <c r="I859" s="31">
        <f>_xlfn.XLOOKUP(PO[[#This Row],[Supplier name]], Supplier_master[Supplier name], Supplier_master[Category L2], 0)</f>
        <v>0</v>
      </c>
      <c r="J859" s="55"/>
      <c r="K859" s="55"/>
      <c r="L859" s="31">
        <f>IF(PO[[#This Row],[Spend category L1 - Override]] &lt;&gt; "", PO[[#This Row],[Spend category L1 - Override]], PO[[#This Row],[Spend category L1]])</f>
        <v>0</v>
      </c>
      <c r="M859" s="31">
        <f>IF(PO[[#This Row],[Spend category L2 - Override]] &lt;&gt; "", PO[[#This Row],[Spend category L2 - Override]], PO[[#This Row],[Spend category L2]])</f>
        <v>0</v>
      </c>
      <c r="N859" s="63">
        <f>Assumptions!$D$15</f>
        <v>0.1</v>
      </c>
      <c r="O859" s="45">
        <f>IF(PO[[#This Row],[GST applies?]] = "Yes", (PO[[#This Row],[Value inc. GST]] / 1 + PO[[#This Row],[GST %]]) * PO[[#This Row],[GST %]], 0)</f>
        <v>0</v>
      </c>
      <c r="P859" s="31">
        <f>_xlfn.XLOOKUP(PO[[#This Row],[Supplier name]], Supplier_master[Supplier name], Supplier_master[EOM or Net], 0)</f>
        <v>0</v>
      </c>
      <c r="Q859" s="31">
        <f>_xlfn.XLOOKUP(PO[[#This Row],[Supplier name]], Supplier_master[Supplier name], Supplier_master[Terms days], 0)</f>
        <v>0</v>
      </c>
      <c r="R8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9" s="4"/>
      <c r="T859" s="46">
        <f>IF(PO[[#This Row],[Payment date - override (dd/mm/yyyy)]] &lt;&gt; "", PO[[#This Row],[Payment date - override (dd/mm/yyyy)]], PO[[#This Row],[Due date (dd/mm/yyyy)]])</f>
        <v>0</v>
      </c>
      <c r="U859" s="46">
        <f t="shared" si="13"/>
        <v>52</v>
      </c>
    </row>
    <row r="860" spans="3:21" x14ac:dyDescent="0.25">
      <c r="C860" s="24"/>
      <c r="D860" s="20"/>
      <c r="E860" s="4"/>
      <c r="F860" s="37"/>
      <c r="G860" s="38"/>
      <c r="H860" s="31">
        <f>_xlfn.XLOOKUP(PO[[#This Row],[Supplier name]], Supplier_master[Supplier name], Supplier_master[Category L1], 0)</f>
        <v>0</v>
      </c>
      <c r="I860" s="31">
        <f>_xlfn.XLOOKUP(PO[[#This Row],[Supplier name]], Supplier_master[Supplier name], Supplier_master[Category L2], 0)</f>
        <v>0</v>
      </c>
      <c r="J860" s="55"/>
      <c r="K860" s="55"/>
      <c r="L860" s="31">
        <f>IF(PO[[#This Row],[Spend category L1 - Override]] &lt;&gt; "", PO[[#This Row],[Spend category L1 - Override]], PO[[#This Row],[Spend category L1]])</f>
        <v>0</v>
      </c>
      <c r="M860" s="31">
        <f>IF(PO[[#This Row],[Spend category L2 - Override]] &lt;&gt; "", PO[[#This Row],[Spend category L2 - Override]], PO[[#This Row],[Spend category L2]])</f>
        <v>0</v>
      </c>
      <c r="N860" s="63">
        <f>Assumptions!$D$15</f>
        <v>0.1</v>
      </c>
      <c r="O860" s="45">
        <f>IF(PO[[#This Row],[GST applies?]] = "Yes", (PO[[#This Row],[Value inc. GST]] / 1 + PO[[#This Row],[GST %]]) * PO[[#This Row],[GST %]], 0)</f>
        <v>0</v>
      </c>
      <c r="P860" s="31">
        <f>_xlfn.XLOOKUP(PO[[#This Row],[Supplier name]], Supplier_master[Supplier name], Supplier_master[EOM or Net], 0)</f>
        <v>0</v>
      </c>
      <c r="Q860" s="31">
        <f>_xlfn.XLOOKUP(PO[[#This Row],[Supplier name]], Supplier_master[Supplier name], Supplier_master[Terms days], 0)</f>
        <v>0</v>
      </c>
      <c r="R8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0" s="4"/>
      <c r="T860" s="46">
        <f>IF(PO[[#This Row],[Payment date - override (dd/mm/yyyy)]] &lt;&gt; "", PO[[#This Row],[Payment date - override (dd/mm/yyyy)]], PO[[#This Row],[Due date (dd/mm/yyyy)]])</f>
        <v>0</v>
      </c>
      <c r="U860" s="46">
        <f t="shared" si="13"/>
        <v>52</v>
      </c>
    </row>
    <row r="861" spans="3:21" x14ac:dyDescent="0.25">
      <c r="C861" s="24"/>
      <c r="D861" s="20"/>
      <c r="E861" s="4"/>
      <c r="F861" s="37"/>
      <c r="G861" s="38"/>
      <c r="H861" s="31">
        <f>_xlfn.XLOOKUP(PO[[#This Row],[Supplier name]], Supplier_master[Supplier name], Supplier_master[Category L1], 0)</f>
        <v>0</v>
      </c>
      <c r="I861" s="31">
        <f>_xlfn.XLOOKUP(PO[[#This Row],[Supplier name]], Supplier_master[Supplier name], Supplier_master[Category L2], 0)</f>
        <v>0</v>
      </c>
      <c r="J861" s="55"/>
      <c r="K861" s="55"/>
      <c r="L861" s="31">
        <f>IF(PO[[#This Row],[Spend category L1 - Override]] &lt;&gt; "", PO[[#This Row],[Spend category L1 - Override]], PO[[#This Row],[Spend category L1]])</f>
        <v>0</v>
      </c>
      <c r="M861" s="31">
        <f>IF(PO[[#This Row],[Spend category L2 - Override]] &lt;&gt; "", PO[[#This Row],[Spend category L2 - Override]], PO[[#This Row],[Spend category L2]])</f>
        <v>0</v>
      </c>
      <c r="N861" s="63">
        <f>Assumptions!$D$15</f>
        <v>0.1</v>
      </c>
      <c r="O861" s="45">
        <f>IF(PO[[#This Row],[GST applies?]] = "Yes", (PO[[#This Row],[Value inc. GST]] / 1 + PO[[#This Row],[GST %]]) * PO[[#This Row],[GST %]], 0)</f>
        <v>0</v>
      </c>
      <c r="P861" s="31">
        <f>_xlfn.XLOOKUP(PO[[#This Row],[Supplier name]], Supplier_master[Supplier name], Supplier_master[EOM or Net], 0)</f>
        <v>0</v>
      </c>
      <c r="Q861" s="31">
        <f>_xlfn.XLOOKUP(PO[[#This Row],[Supplier name]], Supplier_master[Supplier name], Supplier_master[Terms days], 0)</f>
        <v>0</v>
      </c>
      <c r="R8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1" s="4"/>
      <c r="T861" s="46">
        <f>IF(PO[[#This Row],[Payment date - override (dd/mm/yyyy)]] &lt;&gt; "", PO[[#This Row],[Payment date - override (dd/mm/yyyy)]], PO[[#This Row],[Due date (dd/mm/yyyy)]])</f>
        <v>0</v>
      </c>
      <c r="U861" s="46">
        <f t="shared" si="13"/>
        <v>52</v>
      </c>
    </row>
    <row r="862" spans="3:21" x14ac:dyDescent="0.25">
      <c r="C862" s="24"/>
      <c r="D862" s="20"/>
      <c r="E862" s="4"/>
      <c r="F862" s="37"/>
      <c r="G862" s="38"/>
      <c r="H862" s="31">
        <f>_xlfn.XLOOKUP(PO[[#This Row],[Supplier name]], Supplier_master[Supplier name], Supplier_master[Category L1], 0)</f>
        <v>0</v>
      </c>
      <c r="I862" s="31">
        <f>_xlfn.XLOOKUP(PO[[#This Row],[Supplier name]], Supplier_master[Supplier name], Supplier_master[Category L2], 0)</f>
        <v>0</v>
      </c>
      <c r="J862" s="55"/>
      <c r="K862" s="55"/>
      <c r="L862" s="31">
        <f>IF(PO[[#This Row],[Spend category L1 - Override]] &lt;&gt; "", PO[[#This Row],[Spend category L1 - Override]], PO[[#This Row],[Spend category L1]])</f>
        <v>0</v>
      </c>
      <c r="M862" s="31">
        <f>IF(PO[[#This Row],[Spend category L2 - Override]] &lt;&gt; "", PO[[#This Row],[Spend category L2 - Override]], PO[[#This Row],[Spend category L2]])</f>
        <v>0</v>
      </c>
      <c r="N862" s="63">
        <f>Assumptions!$D$15</f>
        <v>0.1</v>
      </c>
      <c r="O862" s="45">
        <f>IF(PO[[#This Row],[GST applies?]] = "Yes", (PO[[#This Row],[Value inc. GST]] / 1 + PO[[#This Row],[GST %]]) * PO[[#This Row],[GST %]], 0)</f>
        <v>0</v>
      </c>
      <c r="P862" s="31">
        <f>_xlfn.XLOOKUP(PO[[#This Row],[Supplier name]], Supplier_master[Supplier name], Supplier_master[EOM or Net], 0)</f>
        <v>0</v>
      </c>
      <c r="Q862" s="31">
        <f>_xlfn.XLOOKUP(PO[[#This Row],[Supplier name]], Supplier_master[Supplier name], Supplier_master[Terms days], 0)</f>
        <v>0</v>
      </c>
      <c r="R8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2" s="4"/>
      <c r="T862" s="46">
        <f>IF(PO[[#This Row],[Payment date - override (dd/mm/yyyy)]] &lt;&gt; "", PO[[#This Row],[Payment date - override (dd/mm/yyyy)]], PO[[#This Row],[Due date (dd/mm/yyyy)]])</f>
        <v>0</v>
      </c>
      <c r="U862" s="46">
        <f t="shared" si="13"/>
        <v>52</v>
      </c>
    </row>
    <row r="863" spans="3:21" x14ac:dyDescent="0.25">
      <c r="C863" s="24"/>
      <c r="D863" s="20"/>
      <c r="E863" s="4"/>
      <c r="F863" s="37"/>
      <c r="G863" s="38"/>
      <c r="H863" s="31">
        <f>_xlfn.XLOOKUP(PO[[#This Row],[Supplier name]], Supplier_master[Supplier name], Supplier_master[Category L1], 0)</f>
        <v>0</v>
      </c>
      <c r="I863" s="31">
        <f>_xlfn.XLOOKUP(PO[[#This Row],[Supplier name]], Supplier_master[Supplier name], Supplier_master[Category L2], 0)</f>
        <v>0</v>
      </c>
      <c r="J863" s="55"/>
      <c r="K863" s="55"/>
      <c r="L863" s="31">
        <f>IF(PO[[#This Row],[Spend category L1 - Override]] &lt;&gt; "", PO[[#This Row],[Spend category L1 - Override]], PO[[#This Row],[Spend category L1]])</f>
        <v>0</v>
      </c>
      <c r="M863" s="31">
        <f>IF(PO[[#This Row],[Spend category L2 - Override]] &lt;&gt; "", PO[[#This Row],[Spend category L2 - Override]], PO[[#This Row],[Spend category L2]])</f>
        <v>0</v>
      </c>
      <c r="N863" s="63">
        <f>Assumptions!$D$15</f>
        <v>0.1</v>
      </c>
      <c r="O863" s="45">
        <f>IF(PO[[#This Row],[GST applies?]] = "Yes", (PO[[#This Row],[Value inc. GST]] / 1 + PO[[#This Row],[GST %]]) * PO[[#This Row],[GST %]], 0)</f>
        <v>0</v>
      </c>
      <c r="P863" s="31">
        <f>_xlfn.XLOOKUP(PO[[#This Row],[Supplier name]], Supplier_master[Supplier name], Supplier_master[EOM or Net], 0)</f>
        <v>0</v>
      </c>
      <c r="Q863" s="31">
        <f>_xlfn.XLOOKUP(PO[[#This Row],[Supplier name]], Supplier_master[Supplier name], Supplier_master[Terms days], 0)</f>
        <v>0</v>
      </c>
      <c r="R8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3" s="4"/>
      <c r="T863" s="46">
        <f>IF(PO[[#This Row],[Payment date - override (dd/mm/yyyy)]] &lt;&gt; "", PO[[#This Row],[Payment date - override (dd/mm/yyyy)]], PO[[#This Row],[Due date (dd/mm/yyyy)]])</f>
        <v>0</v>
      </c>
      <c r="U863" s="46">
        <f t="shared" si="13"/>
        <v>52</v>
      </c>
    </row>
    <row r="864" spans="3:21" x14ac:dyDescent="0.25">
      <c r="C864" s="24"/>
      <c r="D864" s="20"/>
      <c r="E864" s="4"/>
      <c r="F864" s="37"/>
      <c r="G864" s="38"/>
      <c r="H864" s="31">
        <f>_xlfn.XLOOKUP(PO[[#This Row],[Supplier name]], Supplier_master[Supplier name], Supplier_master[Category L1], 0)</f>
        <v>0</v>
      </c>
      <c r="I864" s="31">
        <f>_xlfn.XLOOKUP(PO[[#This Row],[Supplier name]], Supplier_master[Supplier name], Supplier_master[Category L2], 0)</f>
        <v>0</v>
      </c>
      <c r="J864" s="55"/>
      <c r="K864" s="55"/>
      <c r="L864" s="31">
        <f>IF(PO[[#This Row],[Spend category L1 - Override]] &lt;&gt; "", PO[[#This Row],[Spend category L1 - Override]], PO[[#This Row],[Spend category L1]])</f>
        <v>0</v>
      </c>
      <c r="M864" s="31">
        <f>IF(PO[[#This Row],[Spend category L2 - Override]] &lt;&gt; "", PO[[#This Row],[Spend category L2 - Override]], PO[[#This Row],[Spend category L2]])</f>
        <v>0</v>
      </c>
      <c r="N864" s="63">
        <f>Assumptions!$D$15</f>
        <v>0.1</v>
      </c>
      <c r="O864" s="45">
        <f>IF(PO[[#This Row],[GST applies?]] = "Yes", (PO[[#This Row],[Value inc. GST]] / 1 + PO[[#This Row],[GST %]]) * PO[[#This Row],[GST %]], 0)</f>
        <v>0</v>
      </c>
      <c r="P864" s="31">
        <f>_xlfn.XLOOKUP(PO[[#This Row],[Supplier name]], Supplier_master[Supplier name], Supplier_master[EOM or Net], 0)</f>
        <v>0</v>
      </c>
      <c r="Q864" s="31">
        <f>_xlfn.XLOOKUP(PO[[#This Row],[Supplier name]], Supplier_master[Supplier name], Supplier_master[Terms days], 0)</f>
        <v>0</v>
      </c>
      <c r="R8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4" s="4"/>
      <c r="T864" s="46">
        <f>IF(PO[[#This Row],[Payment date - override (dd/mm/yyyy)]] &lt;&gt; "", PO[[#This Row],[Payment date - override (dd/mm/yyyy)]], PO[[#This Row],[Due date (dd/mm/yyyy)]])</f>
        <v>0</v>
      </c>
      <c r="U864" s="46">
        <f t="shared" si="13"/>
        <v>52</v>
      </c>
    </row>
    <row r="865" spans="3:21" x14ac:dyDescent="0.25">
      <c r="C865" s="24"/>
      <c r="D865" s="20"/>
      <c r="E865" s="4"/>
      <c r="F865" s="37"/>
      <c r="G865" s="38"/>
      <c r="H865" s="31">
        <f>_xlfn.XLOOKUP(PO[[#This Row],[Supplier name]], Supplier_master[Supplier name], Supplier_master[Category L1], 0)</f>
        <v>0</v>
      </c>
      <c r="I865" s="31">
        <f>_xlfn.XLOOKUP(PO[[#This Row],[Supplier name]], Supplier_master[Supplier name], Supplier_master[Category L2], 0)</f>
        <v>0</v>
      </c>
      <c r="J865" s="55"/>
      <c r="K865" s="55"/>
      <c r="L865" s="31">
        <f>IF(PO[[#This Row],[Spend category L1 - Override]] &lt;&gt; "", PO[[#This Row],[Spend category L1 - Override]], PO[[#This Row],[Spend category L1]])</f>
        <v>0</v>
      </c>
      <c r="M865" s="31">
        <f>IF(PO[[#This Row],[Spend category L2 - Override]] &lt;&gt; "", PO[[#This Row],[Spend category L2 - Override]], PO[[#This Row],[Spend category L2]])</f>
        <v>0</v>
      </c>
      <c r="N865" s="63">
        <f>Assumptions!$D$15</f>
        <v>0.1</v>
      </c>
      <c r="O865" s="45">
        <f>IF(PO[[#This Row],[GST applies?]] = "Yes", (PO[[#This Row],[Value inc. GST]] / 1 + PO[[#This Row],[GST %]]) * PO[[#This Row],[GST %]], 0)</f>
        <v>0</v>
      </c>
      <c r="P865" s="31">
        <f>_xlfn.XLOOKUP(PO[[#This Row],[Supplier name]], Supplier_master[Supplier name], Supplier_master[EOM or Net], 0)</f>
        <v>0</v>
      </c>
      <c r="Q865" s="31">
        <f>_xlfn.XLOOKUP(PO[[#This Row],[Supplier name]], Supplier_master[Supplier name], Supplier_master[Terms days], 0)</f>
        <v>0</v>
      </c>
      <c r="R8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5" s="4"/>
      <c r="T865" s="46">
        <f>IF(PO[[#This Row],[Payment date - override (dd/mm/yyyy)]] &lt;&gt; "", PO[[#This Row],[Payment date - override (dd/mm/yyyy)]], PO[[#This Row],[Due date (dd/mm/yyyy)]])</f>
        <v>0</v>
      </c>
      <c r="U865" s="46">
        <f t="shared" si="13"/>
        <v>52</v>
      </c>
    </row>
    <row r="866" spans="3:21" x14ac:dyDescent="0.25">
      <c r="C866" s="24"/>
      <c r="D866" s="20"/>
      <c r="E866" s="4"/>
      <c r="F866" s="37"/>
      <c r="G866" s="38"/>
      <c r="H866" s="31">
        <f>_xlfn.XLOOKUP(PO[[#This Row],[Supplier name]], Supplier_master[Supplier name], Supplier_master[Category L1], 0)</f>
        <v>0</v>
      </c>
      <c r="I866" s="31">
        <f>_xlfn.XLOOKUP(PO[[#This Row],[Supplier name]], Supplier_master[Supplier name], Supplier_master[Category L2], 0)</f>
        <v>0</v>
      </c>
      <c r="J866" s="55"/>
      <c r="K866" s="55"/>
      <c r="L866" s="31">
        <f>IF(PO[[#This Row],[Spend category L1 - Override]] &lt;&gt; "", PO[[#This Row],[Spend category L1 - Override]], PO[[#This Row],[Spend category L1]])</f>
        <v>0</v>
      </c>
      <c r="M866" s="31">
        <f>IF(PO[[#This Row],[Spend category L2 - Override]] &lt;&gt; "", PO[[#This Row],[Spend category L2 - Override]], PO[[#This Row],[Spend category L2]])</f>
        <v>0</v>
      </c>
      <c r="N866" s="63">
        <f>Assumptions!$D$15</f>
        <v>0.1</v>
      </c>
      <c r="O866" s="45">
        <f>IF(PO[[#This Row],[GST applies?]] = "Yes", (PO[[#This Row],[Value inc. GST]] / 1 + PO[[#This Row],[GST %]]) * PO[[#This Row],[GST %]], 0)</f>
        <v>0</v>
      </c>
      <c r="P866" s="31">
        <f>_xlfn.XLOOKUP(PO[[#This Row],[Supplier name]], Supplier_master[Supplier name], Supplier_master[EOM or Net], 0)</f>
        <v>0</v>
      </c>
      <c r="Q866" s="31">
        <f>_xlfn.XLOOKUP(PO[[#This Row],[Supplier name]], Supplier_master[Supplier name], Supplier_master[Terms days], 0)</f>
        <v>0</v>
      </c>
      <c r="R8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6" s="4"/>
      <c r="T866" s="46">
        <f>IF(PO[[#This Row],[Payment date - override (dd/mm/yyyy)]] &lt;&gt; "", PO[[#This Row],[Payment date - override (dd/mm/yyyy)]], PO[[#This Row],[Due date (dd/mm/yyyy)]])</f>
        <v>0</v>
      </c>
      <c r="U866" s="46">
        <f t="shared" si="13"/>
        <v>52</v>
      </c>
    </row>
    <row r="867" spans="3:21" x14ac:dyDescent="0.25">
      <c r="C867" s="24"/>
      <c r="D867" s="20"/>
      <c r="E867" s="4"/>
      <c r="F867" s="37"/>
      <c r="G867" s="38"/>
      <c r="H867" s="31">
        <f>_xlfn.XLOOKUP(PO[[#This Row],[Supplier name]], Supplier_master[Supplier name], Supplier_master[Category L1], 0)</f>
        <v>0</v>
      </c>
      <c r="I867" s="31">
        <f>_xlfn.XLOOKUP(PO[[#This Row],[Supplier name]], Supplier_master[Supplier name], Supplier_master[Category L2], 0)</f>
        <v>0</v>
      </c>
      <c r="J867" s="55"/>
      <c r="K867" s="55"/>
      <c r="L867" s="31">
        <f>IF(PO[[#This Row],[Spend category L1 - Override]] &lt;&gt; "", PO[[#This Row],[Spend category L1 - Override]], PO[[#This Row],[Spend category L1]])</f>
        <v>0</v>
      </c>
      <c r="M867" s="31">
        <f>IF(PO[[#This Row],[Spend category L2 - Override]] &lt;&gt; "", PO[[#This Row],[Spend category L2 - Override]], PO[[#This Row],[Spend category L2]])</f>
        <v>0</v>
      </c>
      <c r="N867" s="63">
        <f>Assumptions!$D$15</f>
        <v>0.1</v>
      </c>
      <c r="O867" s="45">
        <f>IF(PO[[#This Row],[GST applies?]] = "Yes", (PO[[#This Row],[Value inc. GST]] / 1 + PO[[#This Row],[GST %]]) * PO[[#This Row],[GST %]], 0)</f>
        <v>0</v>
      </c>
      <c r="P867" s="31">
        <f>_xlfn.XLOOKUP(PO[[#This Row],[Supplier name]], Supplier_master[Supplier name], Supplier_master[EOM or Net], 0)</f>
        <v>0</v>
      </c>
      <c r="Q867" s="31">
        <f>_xlfn.XLOOKUP(PO[[#This Row],[Supplier name]], Supplier_master[Supplier name], Supplier_master[Terms days], 0)</f>
        <v>0</v>
      </c>
      <c r="R8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7" s="4"/>
      <c r="T867" s="46">
        <f>IF(PO[[#This Row],[Payment date - override (dd/mm/yyyy)]] &lt;&gt; "", PO[[#This Row],[Payment date - override (dd/mm/yyyy)]], PO[[#This Row],[Due date (dd/mm/yyyy)]])</f>
        <v>0</v>
      </c>
      <c r="U867" s="46">
        <f t="shared" si="13"/>
        <v>52</v>
      </c>
    </row>
    <row r="868" spans="3:21" x14ac:dyDescent="0.25">
      <c r="C868" s="24"/>
      <c r="D868" s="20"/>
      <c r="E868" s="4"/>
      <c r="F868" s="37"/>
      <c r="G868" s="38"/>
      <c r="H868" s="31">
        <f>_xlfn.XLOOKUP(PO[[#This Row],[Supplier name]], Supplier_master[Supplier name], Supplier_master[Category L1], 0)</f>
        <v>0</v>
      </c>
      <c r="I868" s="31">
        <f>_xlfn.XLOOKUP(PO[[#This Row],[Supplier name]], Supplier_master[Supplier name], Supplier_master[Category L2], 0)</f>
        <v>0</v>
      </c>
      <c r="J868" s="55"/>
      <c r="K868" s="55"/>
      <c r="L868" s="31">
        <f>IF(PO[[#This Row],[Spend category L1 - Override]] &lt;&gt; "", PO[[#This Row],[Spend category L1 - Override]], PO[[#This Row],[Spend category L1]])</f>
        <v>0</v>
      </c>
      <c r="M868" s="31">
        <f>IF(PO[[#This Row],[Spend category L2 - Override]] &lt;&gt; "", PO[[#This Row],[Spend category L2 - Override]], PO[[#This Row],[Spend category L2]])</f>
        <v>0</v>
      </c>
      <c r="N868" s="63">
        <f>Assumptions!$D$15</f>
        <v>0.1</v>
      </c>
      <c r="O868" s="45">
        <f>IF(PO[[#This Row],[GST applies?]] = "Yes", (PO[[#This Row],[Value inc. GST]] / 1 + PO[[#This Row],[GST %]]) * PO[[#This Row],[GST %]], 0)</f>
        <v>0</v>
      </c>
      <c r="P868" s="31">
        <f>_xlfn.XLOOKUP(PO[[#This Row],[Supplier name]], Supplier_master[Supplier name], Supplier_master[EOM or Net], 0)</f>
        <v>0</v>
      </c>
      <c r="Q868" s="31">
        <f>_xlfn.XLOOKUP(PO[[#This Row],[Supplier name]], Supplier_master[Supplier name], Supplier_master[Terms days], 0)</f>
        <v>0</v>
      </c>
      <c r="R8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8" s="4"/>
      <c r="T868" s="46">
        <f>IF(PO[[#This Row],[Payment date - override (dd/mm/yyyy)]] &lt;&gt; "", PO[[#This Row],[Payment date - override (dd/mm/yyyy)]], PO[[#This Row],[Due date (dd/mm/yyyy)]])</f>
        <v>0</v>
      </c>
      <c r="U868" s="46">
        <f t="shared" si="13"/>
        <v>52</v>
      </c>
    </row>
    <row r="869" spans="3:21" x14ac:dyDescent="0.25">
      <c r="C869" s="24"/>
      <c r="D869" s="20"/>
      <c r="E869" s="4"/>
      <c r="F869" s="37"/>
      <c r="G869" s="38"/>
      <c r="H869" s="31">
        <f>_xlfn.XLOOKUP(PO[[#This Row],[Supplier name]], Supplier_master[Supplier name], Supplier_master[Category L1], 0)</f>
        <v>0</v>
      </c>
      <c r="I869" s="31">
        <f>_xlfn.XLOOKUP(PO[[#This Row],[Supplier name]], Supplier_master[Supplier name], Supplier_master[Category L2], 0)</f>
        <v>0</v>
      </c>
      <c r="J869" s="55"/>
      <c r="K869" s="55"/>
      <c r="L869" s="31">
        <f>IF(PO[[#This Row],[Spend category L1 - Override]] &lt;&gt; "", PO[[#This Row],[Spend category L1 - Override]], PO[[#This Row],[Spend category L1]])</f>
        <v>0</v>
      </c>
      <c r="M869" s="31">
        <f>IF(PO[[#This Row],[Spend category L2 - Override]] &lt;&gt; "", PO[[#This Row],[Spend category L2 - Override]], PO[[#This Row],[Spend category L2]])</f>
        <v>0</v>
      </c>
      <c r="N869" s="63">
        <f>Assumptions!$D$15</f>
        <v>0.1</v>
      </c>
      <c r="O869" s="45">
        <f>IF(PO[[#This Row],[GST applies?]] = "Yes", (PO[[#This Row],[Value inc. GST]] / 1 + PO[[#This Row],[GST %]]) * PO[[#This Row],[GST %]], 0)</f>
        <v>0</v>
      </c>
      <c r="P869" s="31">
        <f>_xlfn.XLOOKUP(PO[[#This Row],[Supplier name]], Supplier_master[Supplier name], Supplier_master[EOM or Net], 0)</f>
        <v>0</v>
      </c>
      <c r="Q869" s="31">
        <f>_xlfn.XLOOKUP(PO[[#This Row],[Supplier name]], Supplier_master[Supplier name], Supplier_master[Terms days], 0)</f>
        <v>0</v>
      </c>
      <c r="R8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9" s="4"/>
      <c r="T869" s="46">
        <f>IF(PO[[#This Row],[Payment date - override (dd/mm/yyyy)]] &lt;&gt; "", PO[[#This Row],[Payment date - override (dd/mm/yyyy)]], PO[[#This Row],[Due date (dd/mm/yyyy)]])</f>
        <v>0</v>
      </c>
      <c r="U869" s="46">
        <f t="shared" si="13"/>
        <v>52</v>
      </c>
    </row>
    <row r="870" spans="3:21" x14ac:dyDescent="0.25">
      <c r="C870" s="24"/>
      <c r="D870" s="20"/>
      <c r="E870" s="4"/>
      <c r="F870" s="37"/>
      <c r="G870" s="38"/>
      <c r="H870" s="31">
        <f>_xlfn.XLOOKUP(PO[[#This Row],[Supplier name]], Supplier_master[Supplier name], Supplier_master[Category L1], 0)</f>
        <v>0</v>
      </c>
      <c r="I870" s="31">
        <f>_xlfn.XLOOKUP(PO[[#This Row],[Supplier name]], Supplier_master[Supplier name], Supplier_master[Category L2], 0)</f>
        <v>0</v>
      </c>
      <c r="J870" s="55"/>
      <c r="K870" s="55"/>
      <c r="L870" s="31">
        <f>IF(PO[[#This Row],[Spend category L1 - Override]] &lt;&gt; "", PO[[#This Row],[Spend category L1 - Override]], PO[[#This Row],[Spend category L1]])</f>
        <v>0</v>
      </c>
      <c r="M870" s="31">
        <f>IF(PO[[#This Row],[Spend category L2 - Override]] &lt;&gt; "", PO[[#This Row],[Spend category L2 - Override]], PO[[#This Row],[Spend category L2]])</f>
        <v>0</v>
      </c>
      <c r="N870" s="63">
        <f>Assumptions!$D$15</f>
        <v>0.1</v>
      </c>
      <c r="O870" s="45">
        <f>IF(PO[[#This Row],[GST applies?]] = "Yes", (PO[[#This Row],[Value inc. GST]] / 1 + PO[[#This Row],[GST %]]) * PO[[#This Row],[GST %]], 0)</f>
        <v>0</v>
      </c>
      <c r="P870" s="31">
        <f>_xlfn.XLOOKUP(PO[[#This Row],[Supplier name]], Supplier_master[Supplier name], Supplier_master[EOM or Net], 0)</f>
        <v>0</v>
      </c>
      <c r="Q870" s="31">
        <f>_xlfn.XLOOKUP(PO[[#This Row],[Supplier name]], Supplier_master[Supplier name], Supplier_master[Terms days], 0)</f>
        <v>0</v>
      </c>
      <c r="R8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0" s="4"/>
      <c r="T870" s="46">
        <f>IF(PO[[#This Row],[Payment date - override (dd/mm/yyyy)]] &lt;&gt; "", PO[[#This Row],[Payment date - override (dd/mm/yyyy)]], PO[[#This Row],[Due date (dd/mm/yyyy)]])</f>
        <v>0</v>
      </c>
      <c r="U870" s="46">
        <f t="shared" si="13"/>
        <v>52</v>
      </c>
    </row>
    <row r="871" spans="3:21" x14ac:dyDescent="0.25">
      <c r="C871" s="24"/>
      <c r="D871" s="20"/>
      <c r="E871" s="4"/>
      <c r="F871" s="37"/>
      <c r="G871" s="38"/>
      <c r="H871" s="31">
        <f>_xlfn.XLOOKUP(PO[[#This Row],[Supplier name]], Supplier_master[Supplier name], Supplier_master[Category L1], 0)</f>
        <v>0</v>
      </c>
      <c r="I871" s="31">
        <f>_xlfn.XLOOKUP(PO[[#This Row],[Supplier name]], Supplier_master[Supplier name], Supplier_master[Category L2], 0)</f>
        <v>0</v>
      </c>
      <c r="J871" s="55"/>
      <c r="K871" s="55"/>
      <c r="L871" s="31">
        <f>IF(PO[[#This Row],[Spend category L1 - Override]] &lt;&gt; "", PO[[#This Row],[Spend category L1 - Override]], PO[[#This Row],[Spend category L1]])</f>
        <v>0</v>
      </c>
      <c r="M871" s="31">
        <f>IF(PO[[#This Row],[Spend category L2 - Override]] &lt;&gt; "", PO[[#This Row],[Spend category L2 - Override]], PO[[#This Row],[Spend category L2]])</f>
        <v>0</v>
      </c>
      <c r="N871" s="63">
        <f>Assumptions!$D$15</f>
        <v>0.1</v>
      </c>
      <c r="O871" s="45">
        <f>IF(PO[[#This Row],[GST applies?]] = "Yes", (PO[[#This Row],[Value inc. GST]] / 1 + PO[[#This Row],[GST %]]) * PO[[#This Row],[GST %]], 0)</f>
        <v>0</v>
      </c>
      <c r="P871" s="31">
        <f>_xlfn.XLOOKUP(PO[[#This Row],[Supplier name]], Supplier_master[Supplier name], Supplier_master[EOM or Net], 0)</f>
        <v>0</v>
      </c>
      <c r="Q871" s="31">
        <f>_xlfn.XLOOKUP(PO[[#This Row],[Supplier name]], Supplier_master[Supplier name], Supplier_master[Terms days], 0)</f>
        <v>0</v>
      </c>
      <c r="R8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1" s="4"/>
      <c r="T871" s="46">
        <f>IF(PO[[#This Row],[Payment date - override (dd/mm/yyyy)]] &lt;&gt; "", PO[[#This Row],[Payment date - override (dd/mm/yyyy)]], PO[[#This Row],[Due date (dd/mm/yyyy)]])</f>
        <v>0</v>
      </c>
      <c r="U871" s="46">
        <f t="shared" si="13"/>
        <v>52</v>
      </c>
    </row>
    <row r="872" spans="3:21" x14ac:dyDescent="0.25">
      <c r="C872" s="24"/>
      <c r="D872" s="20"/>
      <c r="E872" s="4"/>
      <c r="F872" s="37"/>
      <c r="G872" s="38"/>
      <c r="H872" s="31">
        <f>_xlfn.XLOOKUP(PO[[#This Row],[Supplier name]], Supplier_master[Supplier name], Supplier_master[Category L1], 0)</f>
        <v>0</v>
      </c>
      <c r="I872" s="31">
        <f>_xlfn.XLOOKUP(PO[[#This Row],[Supplier name]], Supplier_master[Supplier name], Supplier_master[Category L2], 0)</f>
        <v>0</v>
      </c>
      <c r="J872" s="55"/>
      <c r="K872" s="55"/>
      <c r="L872" s="31">
        <f>IF(PO[[#This Row],[Spend category L1 - Override]] &lt;&gt; "", PO[[#This Row],[Spend category L1 - Override]], PO[[#This Row],[Spend category L1]])</f>
        <v>0</v>
      </c>
      <c r="M872" s="31">
        <f>IF(PO[[#This Row],[Spend category L2 - Override]] &lt;&gt; "", PO[[#This Row],[Spend category L2 - Override]], PO[[#This Row],[Spend category L2]])</f>
        <v>0</v>
      </c>
      <c r="N872" s="63">
        <f>Assumptions!$D$15</f>
        <v>0.1</v>
      </c>
      <c r="O872" s="45">
        <f>IF(PO[[#This Row],[GST applies?]] = "Yes", (PO[[#This Row],[Value inc. GST]] / 1 + PO[[#This Row],[GST %]]) * PO[[#This Row],[GST %]], 0)</f>
        <v>0</v>
      </c>
      <c r="P872" s="31">
        <f>_xlfn.XLOOKUP(PO[[#This Row],[Supplier name]], Supplier_master[Supplier name], Supplier_master[EOM or Net], 0)</f>
        <v>0</v>
      </c>
      <c r="Q872" s="31">
        <f>_xlfn.XLOOKUP(PO[[#This Row],[Supplier name]], Supplier_master[Supplier name], Supplier_master[Terms days], 0)</f>
        <v>0</v>
      </c>
      <c r="R8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2" s="4"/>
      <c r="T872" s="46">
        <f>IF(PO[[#This Row],[Payment date - override (dd/mm/yyyy)]] &lt;&gt; "", PO[[#This Row],[Payment date - override (dd/mm/yyyy)]], PO[[#This Row],[Due date (dd/mm/yyyy)]])</f>
        <v>0</v>
      </c>
      <c r="U872" s="46">
        <f t="shared" si="13"/>
        <v>52</v>
      </c>
    </row>
    <row r="873" spans="3:21" x14ac:dyDescent="0.25">
      <c r="C873" s="24"/>
      <c r="D873" s="20"/>
      <c r="E873" s="4"/>
      <c r="F873" s="37"/>
      <c r="G873" s="38"/>
      <c r="H873" s="31">
        <f>_xlfn.XLOOKUP(PO[[#This Row],[Supplier name]], Supplier_master[Supplier name], Supplier_master[Category L1], 0)</f>
        <v>0</v>
      </c>
      <c r="I873" s="31">
        <f>_xlfn.XLOOKUP(PO[[#This Row],[Supplier name]], Supplier_master[Supplier name], Supplier_master[Category L2], 0)</f>
        <v>0</v>
      </c>
      <c r="J873" s="55"/>
      <c r="K873" s="55"/>
      <c r="L873" s="31">
        <f>IF(PO[[#This Row],[Spend category L1 - Override]] &lt;&gt; "", PO[[#This Row],[Spend category L1 - Override]], PO[[#This Row],[Spend category L1]])</f>
        <v>0</v>
      </c>
      <c r="M873" s="31">
        <f>IF(PO[[#This Row],[Spend category L2 - Override]] &lt;&gt; "", PO[[#This Row],[Spend category L2 - Override]], PO[[#This Row],[Spend category L2]])</f>
        <v>0</v>
      </c>
      <c r="N873" s="63">
        <f>Assumptions!$D$15</f>
        <v>0.1</v>
      </c>
      <c r="O873" s="45">
        <f>IF(PO[[#This Row],[GST applies?]] = "Yes", (PO[[#This Row],[Value inc. GST]] / 1 + PO[[#This Row],[GST %]]) * PO[[#This Row],[GST %]], 0)</f>
        <v>0</v>
      </c>
      <c r="P873" s="31">
        <f>_xlfn.XLOOKUP(PO[[#This Row],[Supplier name]], Supplier_master[Supplier name], Supplier_master[EOM or Net], 0)</f>
        <v>0</v>
      </c>
      <c r="Q873" s="31">
        <f>_xlfn.XLOOKUP(PO[[#This Row],[Supplier name]], Supplier_master[Supplier name], Supplier_master[Terms days], 0)</f>
        <v>0</v>
      </c>
      <c r="R8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3" s="4"/>
      <c r="T873" s="46">
        <f>IF(PO[[#This Row],[Payment date - override (dd/mm/yyyy)]] &lt;&gt; "", PO[[#This Row],[Payment date - override (dd/mm/yyyy)]], PO[[#This Row],[Due date (dd/mm/yyyy)]])</f>
        <v>0</v>
      </c>
      <c r="U873" s="46">
        <f t="shared" si="13"/>
        <v>52</v>
      </c>
    </row>
    <row r="874" spans="3:21" x14ac:dyDescent="0.25">
      <c r="C874" s="24"/>
      <c r="D874" s="20"/>
      <c r="E874" s="4"/>
      <c r="F874" s="37"/>
      <c r="G874" s="38"/>
      <c r="H874" s="31">
        <f>_xlfn.XLOOKUP(PO[[#This Row],[Supplier name]], Supplier_master[Supplier name], Supplier_master[Category L1], 0)</f>
        <v>0</v>
      </c>
      <c r="I874" s="31">
        <f>_xlfn.XLOOKUP(PO[[#This Row],[Supplier name]], Supplier_master[Supplier name], Supplier_master[Category L2], 0)</f>
        <v>0</v>
      </c>
      <c r="J874" s="55"/>
      <c r="K874" s="55"/>
      <c r="L874" s="31">
        <f>IF(PO[[#This Row],[Spend category L1 - Override]] &lt;&gt; "", PO[[#This Row],[Spend category L1 - Override]], PO[[#This Row],[Spend category L1]])</f>
        <v>0</v>
      </c>
      <c r="M874" s="31">
        <f>IF(PO[[#This Row],[Spend category L2 - Override]] &lt;&gt; "", PO[[#This Row],[Spend category L2 - Override]], PO[[#This Row],[Spend category L2]])</f>
        <v>0</v>
      </c>
      <c r="N874" s="63">
        <f>Assumptions!$D$15</f>
        <v>0.1</v>
      </c>
      <c r="O874" s="45">
        <f>IF(PO[[#This Row],[GST applies?]] = "Yes", (PO[[#This Row],[Value inc. GST]] / 1 + PO[[#This Row],[GST %]]) * PO[[#This Row],[GST %]], 0)</f>
        <v>0</v>
      </c>
      <c r="P874" s="31">
        <f>_xlfn.XLOOKUP(PO[[#This Row],[Supplier name]], Supplier_master[Supplier name], Supplier_master[EOM or Net], 0)</f>
        <v>0</v>
      </c>
      <c r="Q874" s="31">
        <f>_xlfn.XLOOKUP(PO[[#This Row],[Supplier name]], Supplier_master[Supplier name], Supplier_master[Terms days], 0)</f>
        <v>0</v>
      </c>
      <c r="R8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4" s="4"/>
      <c r="T874" s="46">
        <f>IF(PO[[#This Row],[Payment date - override (dd/mm/yyyy)]] &lt;&gt; "", PO[[#This Row],[Payment date - override (dd/mm/yyyy)]], PO[[#This Row],[Due date (dd/mm/yyyy)]])</f>
        <v>0</v>
      </c>
      <c r="U874" s="46">
        <f t="shared" si="13"/>
        <v>52</v>
      </c>
    </row>
    <row r="875" spans="3:21" x14ac:dyDescent="0.25">
      <c r="C875" s="24"/>
      <c r="D875" s="20"/>
      <c r="E875" s="4"/>
      <c r="F875" s="37"/>
      <c r="G875" s="38"/>
      <c r="H875" s="31">
        <f>_xlfn.XLOOKUP(PO[[#This Row],[Supplier name]], Supplier_master[Supplier name], Supplier_master[Category L1], 0)</f>
        <v>0</v>
      </c>
      <c r="I875" s="31">
        <f>_xlfn.XLOOKUP(PO[[#This Row],[Supplier name]], Supplier_master[Supplier name], Supplier_master[Category L2], 0)</f>
        <v>0</v>
      </c>
      <c r="J875" s="55"/>
      <c r="K875" s="55"/>
      <c r="L875" s="31">
        <f>IF(PO[[#This Row],[Spend category L1 - Override]] &lt;&gt; "", PO[[#This Row],[Spend category L1 - Override]], PO[[#This Row],[Spend category L1]])</f>
        <v>0</v>
      </c>
      <c r="M875" s="31">
        <f>IF(PO[[#This Row],[Spend category L2 - Override]] &lt;&gt; "", PO[[#This Row],[Spend category L2 - Override]], PO[[#This Row],[Spend category L2]])</f>
        <v>0</v>
      </c>
      <c r="N875" s="63">
        <f>Assumptions!$D$15</f>
        <v>0.1</v>
      </c>
      <c r="O875" s="45">
        <f>IF(PO[[#This Row],[GST applies?]] = "Yes", (PO[[#This Row],[Value inc. GST]] / 1 + PO[[#This Row],[GST %]]) * PO[[#This Row],[GST %]], 0)</f>
        <v>0</v>
      </c>
      <c r="P875" s="31">
        <f>_xlfn.XLOOKUP(PO[[#This Row],[Supplier name]], Supplier_master[Supplier name], Supplier_master[EOM or Net], 0)</f>
        <v>0</v>
      </c>
      <c r="Q875" s="31">
        <f>_xlfn.XLOOKUP(PO[[#This Row],[Supplier name]], Supplier_master[Supplier name], Supplier_master[Terms days], 0)</f>
        <v>0</v>
      </c>
      <c r="R8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5" s="4"/>
      <c r="T875" s="46">
        <f>IF(PO[[#This Row],[Payment date - override (dd/mm/yyyy)]] &lt;&gt; "", PO[[#This Row],[Payment date - override (dd/mm/yyyy)]], PO[[#This Row],[Due date (dd/mm/yyyy)]])</f>
        <v>0</v>
      </c>
      <c r="U875" s="46">
        <f t="shared" si="13"/>
        <v>52</v>
      </c>
    </row>
    <row r="876" spans="3:21" x14ac:dyDescent="0.25">
      <c r="C876" s="24"/>
      <c r="D876" s="20"/>
      <c r="E876" s="4"/>
      <c r="F876" s="37"/>
      <c r="G876" s="38"/>
      <c r="H876" s="31">
        <f>_xlfn.XLOOKUP(PO[[#This Row],[Supplier name]], Supplier_master[Supplier name], Supplier_master[Category L1], 0)</f>
        <v>0</v>
      </c>
      <c r="I876" s="31">
        <f>_xlfn.XLOOKUP(PO[[#This Row],[Supplier name]], Supplier_master[Supplier name], Supplier_master[Category L2], 0)</f>
        <v>0</v>
      </c>
      <c r="J876" s="55"/>
      <c r="K876" s="55"/>
      <c r="L876" s="31">
        <f>IF(PO[[#This Row],[Spend category L1 - Override]] &lt;&gt; "", PO[[#This Row],[Spend category L1 - Override]], PO[[#This Row],[Spend category L1]])</f>
        <v>0</v>
      </c>
      <c r="M876" s="31">
        <f>IF(PO[[#This Row],[Spend category L2 - Override]] &lt;&gt; "", PO[[#This Row],[Spend category L2 - Override]], PO[[#This Row],[Spend category L2]])</f>
        <v>0</v>
      </c>
      <c r="N876" s="63">
        <f>Assumptions!$D$15</f>
        <v>0.1</v>
      </c>
      <c r="O876" s="45">
        <f>IF(PO[[#This Row],[GST applies?]] = "Yes", (PO[[#This Row],[Value inc. GST]] / 1 + PO[[#This Row],[GST %]]) * PO[[#This Row],[GST %]], 0)</f>
        <v>0</v>
      </c>
      <c r="P876" s="31">
        <f>_xlfn.XLOOKUP(PO[[#This Row],[Supplier name]], Supplier_master[Supplier name], Supplier_master[EOM or Net], 0)</f>
        <v>0</v>
      </c>
      <c r="Q876" s="31">
        <f>_xlfn.XLOOKUP(PO[[#This Row],[Supplier name]], Supplier_master[Supplier name], Supplier_master[Terms days], 0)</f>
        <v>0</v>
      </c>
      <c r="R8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6" s="4"/>
      <c r="T876" s="46">
        <f>IF(PO[[#This Row],[Payment date - override (dd/mm/yyyy)]] &lt;&gt; "", PO[[#This Row],[Payment date - override (dd/mm/yyyy)]], PO[[#This Row],[Due date (dd/mm/yyyy)]])</f>
        <v>0</v>
      </c>
      <c r="U876" s="46">
        <f t="shared" si="13"/>
        <v>52</v>
      </c>
    </row>
    <row r="877" spans="3:21" x14ac:dyDescent="0.25">
      <c r="C877" s="24"/>
      <c r="D877" s="20"/>
      <c r="E877" s="4"/>
      <c r="F877" s="37"/>
      <c r="G877" s="38"/>
      <c r="H877" s="31">
        <f>_xlfn.XLOOKUP(PO[[#This Row],[Supplier name]], Supplier_master[Supplier name], Supplier_master[Category L1], 0)</f>
        <v>0</v>
      </c>
      <c r="I877" s="31">
        <f>_xlfn.XLOOKUP(PO[[#This Row],[Supplier name]], Supplier_master[Supplier name], Supplier_master[Category L2], 0)</f>
        <v>0</v>
      </c>
      <c r="J877" s="55"/>
      <c r="K877" s="55"/>
      <c r="L877" s="31">
        <f>IF(PO[[#This Row],[Spend category L1 - Override]] &lt;&gt; "", PO[[#This Row],[Spend category L1 - Override]], PO[[#This Row],[Spend category L1]])</f>
        <v>0</v>
      </c>
      <c r="M877" s="31">
        <f>IF(PO[[#This Row],[Spend category L2 - Override]] &lt;&gt; "", PO[[#This Row],[Spend category L2 - Override]], PO[[#This Row],[Spend category L2]])</f>
        <v>0</v>
      </c>
      <c r="N877" s="63">
        <f>Assumptions!$D$15</f>
        <v>0.1</v>
      </c>
      <c r="O877" s="45">
        <f>IF(PO[[#This Row],[GST applies?]] = "Yes", (PO[[#This Row],[Value inc. GST]] / 1 + PO[[#This Row],[GST %]]) * PO[[#This Row],[GST %]], 0)</f>
        <v>0</v>
      </c>
      <c r="P877" s="31">
        <f>_xlfn.XLOOKUP(PO[[#This Row],[Supplier name]], Supplier_master[Supplier name], Supplier_master[EOM or Net], 0)</f>
        <v>0</v>
      </c>
      <c r="Q877" s="31">
        <f>_xlfn.XLOOKUP(PO[[#This Row],[Supplier name]], Supplier_master[Supplier name], Supplier_master[Terms days], 0)</f>
        <v>0</v>
      </c>
      <c r="R8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7" s="4"/>
      <c r="T877" s="46">
        <f>IF(PO[[#This Row],[Payment date - override (dd/mm/yyyy)]] &lt;&gt; "", PO[[#This Row],[Payment date - override (dd/mm/yyyy)]], PO[[#This Row],[Due date (dd/mm/yyyy)]])</f>
        <v>0</v>
      </c>
      <c r="U877" s="46">
        <f t="shared" si="13"/>
        <v>52</v>
      </c>
    </row>
    <row r="878" spans="3:21" x14ac:dyDescent="0.25">
      <c r="C878" s="24"/>
      <c r="D878" s="20"/>
      <c r="E878" s="4"/>
      <c r="F878" s="37"/>
      <c r="G878" s="38"/>
      <c r="H878" s="31">
        <f>_xlfn.XLOOKUP(PO[[#This Row],[Supplier name]], Supplier_master[Supplier name], Supplier_master[Category L1], 0)</f>
        <v>0</v>
      </c>
      <c r="I878" s="31">
        <f>_xlfn.XLOOKUP(PO[[#This Row],[Supplier name]], Supplier_master[Supplier name], Supplier_master[Category L2], 0)</f>
        <v>0</v>
      </c>
      <c r="J878" s="55"/>
      <c r="K878" s="55"/>
      <c r="L878" s="31">
        <f>IF(PO[[#This Row],[Spend category L1 - Override]] &lt;&gt; "", PO[[#This Row],[Spend category L1 - Override]], PO[[#This Row],[Spend category L1]])</f>
        <v>0</v>
      </c>
      <c r="M878" s="31">
        <f>IF(PO[[#This Row],[Spend category L2 - Override]] &lt;&gt; "", PO[[#This Row],[Spend category L2 - Override]], PO[[#This Row],[Spend category L2]])</f>
        <v>0</v>
      </c>
      <c r="N878" s="63">
        <f>Assumptions!$D$15</f>
        <v>0.1</v>
      </c>
      <c r="O878" s="45">
        <f>IF(PO[[#This Row],[GST applies?]] = "Yes", (PO[[#This Row],[Value inc. GST]] / 1 + PO[[#This Row],[GST %]]) * PO[[#This Row],[GST %]], 0)</f>
        <v>0</v>
      </c>
      <c r="P878" s="31">
        <f>_xlfn.XLOOKUP(PO[[#This Row],[Supplier name]], Supplier_master[Supplier name], Supplier_master[EOM or Net], 0)</f>
        <v>0</v>
      </c>
      <c r="Q878" s="31">
        <f>_xlfn.XLOOKUP(PO[[#This Row],[Supplier name]], Supplier_master[Supplier name], Supplier_master[Terms days], 0)</f>
        <v>0</v>
      </c>
      <c r="R8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8" s="4"/>
      <c r="T878" s="46">
        <f>IF(PO[[#This Row],[Payment date - override (dd/mm/yyyy)]] &lt;&gt; "", PO[[#This Row],[Payment date - override (dd/mm/yyyy)]], PO[[#This Row],[Due date (dd/mm/yyyy)]])</f>
        <v>0</v>
      </c>
      <c r="U878" s="46">
        <f t="shared" si="13"/>
        <v>52</v>
      </c>
    </row>
    <row r="879" spans="3:21" x14ac:dyDescent="0.25">
      <c r="C879" s="24"/>
      <c r="D879" s="20"/>
      <c r="E879" s="4"/>
      <c r="F879" s="37"/>
      <c r="G879" s="38"/>
      <c r="H879" s="31">
        <f>_xlfn.XLOOKUP(PO[[#This Row],[Supplier name]], Supplier_master[Supplier name], Supplier_master[Category L1], 0)</f>
        <v>0</v>
      </c>
      <c r="I879" s="31">
        <f>_xlfn.XLOOKUP(PO[[#This Row],[Supplier name]], Supplier_master[Supplier name], Supplier_master[Category L2], 0)</f>
        <v>0</v>
      </c>
      <c r="J879" s="55"/>
      <c r="K879" s="55"/>
      <c r="L879" s="31">
        <f>IF(PO[[#This Row],[Spend category L1 - Override]] &lt;&gt; "", PO[[#This Row],[Spend category L1 - Override]], PO[[#This Row],[Spend category L1]])</f>
        <v>0</v>
      </c>
      <c r="M879" s="31">
        <f>IF(PO[[#This Row],[Spend category L2 - Override]] &lt;&gt; "", PO[[#This Row],[Spend category L2 - Override]], PO[[#This Row],[Spend category L2]])</f>
        <v>0</v>
      </c>
      <c r="N879" s="63">
        <f>Assumptions!$D$15</f>
        <v>0.1</v>
      </c>
      <c r="O879" s="45">
        <f>IF(PO[[#This Row],[GST applies?]] = "Yes", (PO[[#This Row],[Value inc. GST]] / 1 + PO[[#This Row],[GST %]]) * PO[[#This Row],[GST %]], 0)</f>
        <v>0</v>
      </c>
      <c r="P879" s="31">
        <f>_xlfn.XLOOKUP(PO[[#This Row],[Supplier name]], Supplier_master[Supplier name], Supplier_master[EOM or Net], 0)</f>
        <v>0</v>
      </c>
      <c r="Q879" s="31">
        <f>_xlfn.XLOOKUP(PO[[#This Row],[Supplier name]], Supplier_master[Supplier name], Supplier_master[Terms days], 0)</f>
        <v>0</v>
      </c>
      <c r="R8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9" s="4"/>
      <c r="T879" s="46">
        <f>IF(PO[[#This Row],[Payment date - override (dd/mm/yyyy)]] &lt;&gt; "", PO[[#This Row],[Payment date - override (dd/mm/yyyy)]], PO[[#This Row],[Due date (dd/mm/yyyy)]])</f>
        <v>0</v>
      </c>
      <c r="U879" s="46">
        <f t="shared" si="13"/>
        <v>52</v>
      </c>
    </row>
    <row r="880" spans="3:21" x14ac:dyDescent="0.25">
      <c r="C880" s="24"/>
      <c r="D880" s="20"/>
      <c r="E880" s="4"/>
      <c r="F880" s="37"/>
      <c r="G880" s="38"/>
      <c r="H880" s="31">
        <f>_xlfn.XLOOKUP(PO[[#This Row],[Supplier name]], Supplier_master[Supplier name], Supplier_master[Category L1], 0)</f>
        <v>0</v>
      </c>
      <c r="I880" s="31">
        <f>_xlfn.XLOOKUP(PO[[#This Row],[Supplier name]], Supplier_master[Supplier name], Supplier_master[Category L2], 0)</f>
        <v>0</v>
      </c>
      <c r="J880" s="55"/>
      <c r="K880" s="55"/>
      <c r="L880" s="31">
        <f>IF(PO[[#This Row],[Spend category L1 - Override]] &lt;&gt; "", PO[[#This Row],[Spend category L1 - Override]], PO[[#This Row],[Spend category L1]])</f>
        <v>0</v>
      </c>
      <c r="M880" s="31">
        <f>IF(PO[[#This Row],[Spend category L2 - Override]] &lt;&gt; "", PO[[#This Row],[Spend category L2 - Override]], PO[[#This Row],[Spend category L2]])</f>
        <v>0</v>
      </c>
      <c r="N880" s="63">
        <f>Assumptions!$D$15</f>
        <v>0.1</v>
      </c>
      <c r="O880" s="45">
        <f>IF(PO[[#This Row],[GST applies?]] = "Yes", (PO[[#This Row],[Value inc. GST]] / 1 + PO[[#This Row],[GST %]]) * PO[[#This Row],[GST %]], 0)</f>
        <v>0</v>
      </c>
      <c r="P880" s="31">
        <f>_xlfn.XLOOKUP(PO[[#This Row],[Supplier name]], Supplier_master[Supplier name], Supplier_master[EOM or Net], 0)</f>
        <v>0</v>
      </c>
      <c r="Q880" s="31">
        <f>_xlfn.XLOOKUP(PO[[#This Row],[Supplier name]], Supplier_master[Supplier name], Supplier_master[Terms days], 0)</f>
        <v>0</v>
      </c>
      <c r="R8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0" s="4"/>
      <c r="T880" s="46">
        <f>IF(PO[[#This Row],[Payment date - override (dd/mm/yyyy)]] &lt;&gt; "", PO[[#This Row],[Payment date - override (dd/mm/yyyy)]], PO[[#This Row],[Due date (dd/mm/yyyy)]])</f>
        <v>0</v>
      </c>
      <c r="U880" s="46">
        <f t="shared" si="13"/>
        <v>52</v>
      </c>
    </row>
    <row r="881" spans="3:21" x14ac:dyDescent="0.25">
      <c r="C881" s="24"/>
      <c r="D881" s="20"/>
      <c r="E881" s="4"/>
      <c r="F881" s="37"/>
      <c r="G881" s="38"/>
      <c r="H881" s="31">
        <f>_xlfn.XLOOKUP(PO[[#This Row],[Supplier name]], Supplier_master[Supplier name], Supplier_master[Category L1], 0)</f>
        <v>0</v>
      </c>
      <c r="I881" s="31">
        <f>_xlfn.XLOOKUP(PO[[#This Row],[Supplier name]], Supplier_master[Supplier name], Supplier_master[Category L2], 0)</f>
        <v>0</v>
      </c>
      <c r="J881" s="55"/>
      <c r="K881" s="55"/>
      <c r="L881" s="31">
        <f>IF(PO[[#This Row],[Spend category L1 - Override]] &lt;&gt; "", PO[[#This Row],[Spend category L1 - Override]], PO[[#This Row],[Spend category L1]])</f>
        <v>0</v>
      </c>
      <c r="M881" s="31">
        <f>IF(PO[[#This Row],[Spend category L2 - Override]] &lt;&gt; "", PO[[#This Row],[Spend category L2 - Override]], PO[[#This Row],[Spend category L2]])</f>
        <v>0</v>
      </c>
      <c r="N881" s="63">
        <f>Assumptions!$D$15</f>
        <v>0.1</v>
      </c>
      <c r="O881" s="45">
        <f>IF(PO[[#This Row],[GST applies?]] = "Yes", (PO[[#This Row],[Value inc. GST]] / 1 + PO[[#This Row],[GST %]]) * PO[[#This Row],[GST %]], 0)</f>
        <v>0</v>
      </c>
      <c r="P881" s="31">
        <f>_xlfn.XLOOKUP(PO[[#This Row],[Supplier name]], Supplier_master[Supplier name], Supplier_master[EOM or Net], 0)</f>
        <v>0</v>
      </c>
      <c r="Q881" s="31">
        <f>_xlfn.XLOOKUP(PO[[#This Row],[Supplier name]], Supplier_master[Supplier name], Supplier_master[Terms days], 0)</f>
        <v>0</v>
      </c>
      <c r="R8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1" s="4"/>
      <c r="T881" s="46">
        <f>IF(PO[[#This Row],[Payment date - override (dd/mm/yyyy)]] &lt;&gt; "", PO[[#This Row],[Payment date - override (dd/mm/yyyy)]], PO[[#This Row],[Due date (dd/mm/yyyy)]])</f>
        <v>0</v>
      </c>
      <c r="U881" s="46">
        <f t="shared" si="13"/>
        <v>52</v>
      </c>
    </row>
    <row r="882" spans="3:21" x14ac:dyDescent="0.25">
      <c r="C882" s="24"/>
      <c r="D882" s="20"/>
      <c r="E882" s="4"/>
      <c r="F882" s="37"/>
      <c r="G882" s="38"/>
      <c r="H882" s="31">
        <f>_xlfn.XLOOKUP(PO[[#This Row],[Supplier name]], Supplier_master[Supplier name], Supplier_master[Category L1], 0)</f>
        <v>0</v>
      </c>
      <c r="I882" s="31">
        <f>_xlfn.XLOOKUP(PO[[#This Row],[Supplier name]], Supplier_master[Supplier name], Supplier_master[Category L2], 0)</f>
        <v>0</v>
      </c>
      <c r="J882" s="55"/>
      <c r="K882" s="55"/>
      <c r="L882" s="31">
        <f>IF(PO[[#This Row],[Spend category L1 - Override]] &lt;&gt; "", PO[[#This Row],[Spend category L1 - Override]], PO[[#This Row],[Spend category L1]])</f>
        <v>0</v>
      </c>
      <c r="M882" s="31">
        <f>IF(PO[[#This Row],[Spend category L2 - Override]] &lt;&gt; "", PO[[#This Row],[Spend category L2 - Override]], PO[[#This Row],[Spend category L2]])</f>
        <v>0</v>
      </c>
      <c r="N882" s="63">
        <f>Assumptions!$D$15</f>
        <v>0.1</v>
      </c>
      <c r="O882" s="45">
        <f>IF(PO[[#This Row],[GST applies?]] = "Yes", (PO[[#This Row],[Value inc. GST]] / 1 + PO[[#This Row],[GST %]]) * PO[[#This Row],[GST %]], 0)</f>
        <v>0</v>
      </c>
      <c r="P882" s="31">
        <f>_xlfn.XLOOKUP(PO[[#This Row],[Supplier name]], Supplier_master[Supplier name], Supplier_master[EOM or Net], 0)</f>
        <v>0</v>
      </c>
      <c r="Q882" s="31">
        <f>_xlfn.XLOOKUP(PO[[#This Row],[Supplier name]], Supplier_master[Supplier name], Supplier_master[Terms days], 0)</f>
        <v>0</v>
      </c>
      <c r="R8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2" s="4"/>
      <c r="T882" s="46">
        <f>IF(PO[[#This Row],[Payment date - override (dd/mm/yyyy)]] &lt;&gt; "", PO[[#This Row],[Payment date - override (dd/mm/yyyy)]], PO[[#This Row],[Due date (dd/mm/yyyy)]])</f>
        <v>0</v>
      </c>
      <c r="U882" s="46">
        <f t="shared" si="13"/>
        <v>52</v>
      </c>
    </row>
    <row r="883" spans="3:21" x14ac:dyDescent="0.25">
      <c r="C883" s="24"/>
      <c r="D883" s="20"/>
      <c r="E883" s="4"/>
      <c r="F883" s="37"/>
      <c r="G883" s="38"/>
      <c r="H883" s="31">
        <f>_xlfn.XLOOKUP(PO[[#This Row],[Supplier name]], Supplier_master[Supplier name], Supplier_master[Category L1], 0)</f>
        <v>0</v>
      </c>
      <c r="I883" s="31">
        <f>_xlfn.XLOOKUP(PO[[#This Row],[Supplier name]], Supplier_master[Supplier name], Supplier_master[Category L2], 0)</f>
        <v>0</v>
      </c>
      <c r="J883" s="55"/>
      <c r="K883" s="55"/>
      <c r="L883" s="31">
        <f>IF(PO[[#This Row],[Spend category L1 - Override]] &lt;&gt; "", PO[[#This Row],[Spend category L1 - Override]], PO[[#This Row],[Spend category L1]])</f>
        <v>0</v>
      </c>
      <c r="M883" s="31">
        <f>IF(PO[[#This Row],[Spend category L2 - Override]] &lt;&gt; "", PO[[#This Row],[Spend category L2 - Override]], PO[[#This Row],[Spend category L2]])</f>
        <v>0</v>
      </c>
      <c r="N883" s="63">
        <f>Assumptions!$D$15</f>
        <v>0.1</v>
      </c>
      <c r="O883" s="45">
        <f>IF(PO[[#This Row],[GST applies?]] = "Yes", (PO[[#This Row],[Value inc. GST]] / 1 + PO[[#This Row],[GST %]]) * PO[[#This Row],[GST %]], 0)</f>
        <v>0</v>
      </c>
      <c r="P883" s="31">
        <f>_xlfn.XLOOKUP(PO[[#This Row],[Supplier name]], Supplier_master[Supplier name], Supplier_master[EOM or Net], 0)</f>
        <v>0</v>
      </c>
      <c r="Q883" s="31">
        <f>_xlfn.XLOOKUP(PO[[#This Row],[Supplier name]], Supplier_master[Supplier name], Supplier_master[Terms days], 0)</f>
        <v>0</v>
      </c>
      <c r="R8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3" s="4"/>
      <c r="T883" s="46">
        <f>IF(PO[[#This Row],[Payment date - override (dd/mm/yyyy)]] &lt;&gt; "", PO[[#This Row],[Payment date - override (dd/mm/yyyy)]], PO[[#This Row],[Due date (dd/mm/yyyy)]])</f>
        <v>0</v>
      </c>
      <c r="U883" s="46">
        <f t="shared" si="13"/>
        <v>52</v>
      </c>
    </row>
    <row r="884" spans="3:21" x14ac:dyDescent="0.25">
      <c r="C884" s="24"/>
      <c r="D884" s="20"/>
      <c r="E884" s="4"/>
      <c r="F884" s="37"/>
      <c r="G884" s="38"/>
      <c r="H884" s="31">
        <f>_xlfn.XLOOKUP(PO[[#This Row],[Supplier name]], Supplier_master[Supplier name], Supplier_master[Category L1], 0)</f>
        <v>0</v>
      </c>
      <c r="I884" s="31">
        <f>_xlfn.XLOOKUP(PO[[#This Row],[Supplier name]], Supplier_master[Supplier name], Supplier_master[Category L2], 0)</f>
        <v>0</v>
      </c>
      <c r="J884" s="55"/>
      <c r="K884" s="55"/>
      <c r="L884" s="31">
        <f>IF(PO[[#This Row],[Spend category L1 - Override]] &lt;&gt; "", PO[[#This Row],[Spend category L1 - Override]], PO[[#This Row],[Spend category L1]])</f>
        <v>0</v>
      </c>
      <c r="M884" s="31">
        <f>IF(PO[[#This Row],[Spend category L2 - Override]] &lt;&gt; "", PO[[#This Row],[Spend category L2 - Override]], PO[[#This Row],[Spend category L2]])</f>
        <v>0</v>
      </c>
      <c r="N884" s="63">
        <f>Assumptions!$D$15</f>
        <v>0.1</v>
      </c>
      <c r="O884" s="45">
        <f>IF(PO[[#This Row],[GST applies?]] = "Yes", (PO[[#This Row],[Value inc. GST]] / 1 + PO[[#This Row],[GST %]]) * PO[[#This Row],[GST %]], 0)</f>
        <v>0</v>
      </c>
      <c r="P884" s="31">
        <f>_xlfn.XLOOKUP(PO[[#This Row],[Supplier name]], Supplier_master[Supplier name], Supplier_master[EOM or Net], 0)</f>
        <v>0</v>
      </c>
      <c r="Q884" s="31">
        <f>_xlfn.XLOOKUP(PO[[#This Row],[Supplier name]], Supplier_master[Supplier name], Supplier_master[Terms days], 0)</f>
        <v>0</v>
      </c>
      <c r="R8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4" s="4"/>
      <c r="T884" s="46">
        <f>IF(PO[[#This Row],[Payment date - override (dd/mm/yyyy)]] &lt;&gt; "", PO[[#This Row],[Payment date - override (dd/mm/yyyy)]], PO[[#This Row],[Due date (dd/mm/yyyy)]])</f>
        <v>0</v>
      </c>
      <c r="U884" s="46">
        <f t="shared" si="13"/>
        <v>52</v>
      </c>
    </row>
    <row r="885" spans="3:21" x14ac:dyDescent="0.25">
      <c r="C885" s="24"/>
      <c r="D885" s="20"/>
      <c r="E885" s="4"/>
      <c r="F885" s="37"/>
      <c r="G885" s="38"/>
      <c r="H885" s="31">
        <f>_xlfn.XLOOKUP(PO[[#This Row],[Supplier name]], Supplier_master[Supplier name], Supplier_master[Category L1], 0)</f>
        <v>0</v>
      </c>
      <c r="I885" s="31">
        <f>_xlfn.XLOOKUP(PO[[#This Row],[Supplier name]], Supplier_master[Supplier name], Supplier_master[Category L2], 0)</f>
        <v>0</v>
      </c>
      <c r="J885" s="55"/>
      <c r="K885" s="55"/>
      <c r="L885" s="31">
        <f>IF(PO[[#This Row],[Spend category L1 - Override]] &lt;&gt; "", PO[[#This Row],[Spend category L1 - Override]], PO[[#This Row],[Spend category L1]])</f>
        <v>0</v>
      </c>
      <c r="M885" s="31">
        <f>IF(PO[[#This Row],[Spend category L2 - Override]] &lt;&gt; "", PO[[#This Row],[Spend category L2 - Override]], PO[[#This Row],[Spend category L2]])</f>
        <v>0</v>
      </c>
      <c r="N885" s="63">
        <f>Assumptions!$D$15</f>
        <v>0.1</v>
      </c>
      <c r="O885" s="45">
        <f>IF(PO[[#This Row],[GST applies?]] = "Yes", (PO[[#This Row],[Value inc. GST]] / 1 + PO[[#This Row],[GST %]]) * PO[[#This Row],[GST %]], 0)</f>
        <v>0</v>
      </c>
      <c r="P885" s="31">
        <f>_xlfn.XLOOKUP(PO[[#This Row],[Supplier name]], Supplier_master[Supplier name], Supplier_master[EOM or Net], 0)</f>
        <v>0</v>
      </c>
      <c r="Q885" s="31">
        <f>_xlfn.XLOOKUP(PO[[#This Row],[Supplier name]], Supplier_master[Supplier name], Supplier_master[Terms days], 0)</f>
        <v>0</v>
      </c>
      <c r="R8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5" s="4"/>
      <c r="T885" s="46">
        <f>IF(PO[[#This Row],[Payment date - override (dd/mm/yyyy)]] &lt;&gt; "", PO[[#This Row],[Payment date - override (dd/mm/yyyy)]], PO[[#This Row],[Due date (dd/mm/yyyy)]])</f>
        <v>0</v>
      </c>
      <c r="U885" s="46">
        <f t="shared" si="13"/>
        <v>52</v>
      </c>
    </row>
    <row r="886" spans="3:21" x14ac:dyDescent="0.25">
      <c r="C886" s="24"/>
      <c r="D886" s="20"/>
      <c r="E886" s="4"/>
      <c r="F886" s="37"/>
      <c r="G886" s="38"/>
      <c r="H886" s="31">
        <f>_xlfn.XLOOKUP(PO[[#This Row],[Supplier name]], Supplier_master[Supplier name], Supplier_master[Category L1], 0)</f>
        <v>0</v>
      </c>
      <c r="I886" s="31">
        <f>_xlfn.XLOOKUP(PO[[#This Row],[Supplier name]], Supplier_master[Supplier name], Supplier_master[Category L2], 0)</f>
        <v>0</v>
      </c>
      <c r="J886" s="55"/>
      <c r="K886" s="55"/>
      <c r="L886" s="31">
        <f>IF(PO[[#This Row],[Spend category L1 - Override]] &lt;&gt; "", PO[[#This Row],[Spend category L1 - Override]], PO[[#This Row],[Spend category L1]])</f>
        <v>0</v>
      </c>
      <c r="M886" s="31">
        <f>IF(PO[[#This Row],[Spend category L2 - Override]] &lt;&gt; "", PO[[#This Row],[Spend category L2 - Override]], PO[[#This Row],[Spend category L2]])</f>
        <v>0</v>
      </c>
      <c r="N886" s="63">
        <f>Assumptions!$D$15</f>
        <v>0.1</v>
      </c>
      <c r="O886" s="45">
        <f>IF(PO[[#This Row],[GST applies?]] = "Yes", (PO[[#This Row],[Value inc. GST]] / 1 + PO[[#This Row],[GST %]]) * PO[[#This Row],[GST %]], 0)</f>
        <v>0</v>
      </c>
      <c r="P886" s="31">
        <f>_xlfn.XLOOKUP(PO[[#This Row],[Supplier name]], Supplier_master[Supplier name], Supplier_master[EOM or Net], 0)</f>
        <v>0</v>
      </c>
      <c r="Q886" s="31">
        <f>_xlfn.XLOOKUP(PO[[#This Row],[Supplier name]], Supplier_master[Supplier name], Supplier_master[Terms days], 0)</f>
        <v>0</v>
      </c>
      <c r="R8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6" s="4"/>
      <c r="T886" s="46">
        <f>IF(PO[[#This Row],[Payment date - override (dd/mm/yyyy)]] &lt;&gt; "", PO[[#This Row],[Payment date - override (dd/mm/yyyy)]], PO[[#This Row],[Due date (dd/mm/yyyy)]])</f>
        <v>0</v>
      </c>
      <c r="U886" s="46">
        <f t="shared" si="13"/>
        <v>52</v>
      </c>
    </row>
    <row r="887" spans="3:21" x14ac:dyDescent="0.25">
      <c r="C887" s="24"/>
      <c r="D887" s="20"/>
      <c r="E887" s="4"/>
      <c r="F887" s="37"/>
      <c r="G887" s="38"/>
      <c r="H887" s="31">
        <f>_xlfn.XLOOKUP(PO[[#This Row],[Supplier name]], Supplier_master[Supplier name], Supplier_master[Category L1], 0)</f>
        <v>0</v>
      </c>
      <c r="I887" s="31">
        <f>_xlfn.XLOOKUP(PO[[#This Row],[Supplier name]], Supplier_master[Supplier name], Supplier_master[Category L2], 0)</f>
        <v>0</v>
      </c>
      <c r="J887" s="55"/>
      <c r="K887" s="55"/>
      <c r="L887" s="31">
        <f>IF(PO[[#This Row],[Spend category L1 - Override]] &lt;&gt; "", PO[[#This Row],[Spend category L1 - Override]], PO[[#This Row],[Spend category L1]])</f>
        <v>0</v>
      </c>
      <c r="M887" s="31">
        <f>IF(PO[[#This Row],[Spend category L2 - Override]] &lt;&gt; "", PO[[#This Row],[Spend category L2 - Override]], PO[[#This Row],[Spend category L2]])</f>
        <v>0</v>
      </c>
      <c r="N887" s="63">
        <f>Assumptions!$D$15</f>
        <v>0.1</v>
      </c>
      <c r="O887" s="45">
        <f>IF(PO[[#This Row],[GST applies?]] = "Yes", (PO[[#This Row],[Value inc. GST]] / 1 + PO[[#This Row],[GST %]]) * PO[[#This Row],[GST %]], 0)</f>
        <v>0</v>
      </c>
      <c r="P887" s="31">
        <f>_xlfn.XLOOKUP(PO[[#This Row],[Supplier name]], Supplier_master[Supplier name], Supplier_master[EOM or Net], 0)</f>
        <v>0</v>
      </c>
      <c r="Q887" s="31">
        <f>_xlfn.XLOOKUP(PO[[#This Row],[Supplier name]], Supplier_master[Supplier name], Supplier_master[Terms days], 0)</f>
        <v>0</v>
      </c>
      <c r="R8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7" s="4"/>
      <c r="T887" s="46">
        <f>IF(PO[[#This Row],[Payment date - override (dd/mm/yyyy)]] &lt;&gt; "", PO[[#This Row],[Payment date - override (dd/mm/yyyy)]], PO[[#This Row],[Due date (dd/mm/yyyy)]])</f>
        <v>0</v>
      </c>
      <c r="U887" s="46">
        <f t="shared" si="13"/>
        <v>52</v>
      </c>
    </row>
    <row r="888" spans="3:21" x14ac:dyDescent="0.25">
      <c r="C888" s="24"/>
      <c r="D888" s="20"/>
      <c r="E888" s="4"/>
      <c r="F888" s="37"/>
      <c r="G888" s="38"/>
      <c r="H888" s="31">
        <f>_xlfn.XLOOKUP(PO[[#This Row],[Supplier name]], Supplier_master[Supplier name], Supplier_master[Category L1], 0)</f>
        <v>0</v>
      </c>
      <c r="I888" s="31">
        <f>_xlfn.XLOOKUP(PO[[#This Row],[Supplier name]], Supplier_master[Supplier name], Supplier_master[Category L2], 0)</f>
        <v>0</v>
      </c>
      <c r="J888" s="55"/>
      <c r="K888" s="55"/>
      <c r="L888" s="31">
        <f>IF(PO[[#This Row],[Spend category L1 - Override]] &lt;&gt; "", PO[[#This Row],[Spend category L1 - Override]], PO[[#This Row],[Spend category L1]])</f>
        <v>0</v>
      </c>
      <c r="M888" s="31">
        <f>IF(PO[[#This Row],[Spend category L2 - Override]] &lt;&gt; "", PO[[#This Row],[Spend category L2 - Override]], PO[[#This Row],[Spend category L2]])</f>
        <v>0</v>
      </c>
      <c r="N888" s="63">
        <f>Assumptions!$D$15</f>
        <v>0.1</v>
      </c>
      <c r="O888" s="45">
        <f>IF(PO[[#This Row],[GST applies?]] = "Yes", (PO[[#This Row],[Value inc. GST]] / 1 + PO[[#This Row],[GST %]]) * PO[[#This Row],[GST %]], 0)</f>
        <v>0</v>
      </c>
      <c r="P888" s="31">
        <f>_xlfn.XLOOKUP(PO[[#This Row],[Supplier name]], Supplier_master[Supplier name], Supplier_master[EOM or Net], 0)</f>
        <v>0</v>
      </c>
      <c r="Q888" s="31">
        <f>_xlfn.XLOOKUP(PO[[#This Row],[Supplier name]], Supplier_master[Supplier name], Supplier_master[Terms days], 0)</f>
        <v>0</v>
      </c>
      <c r="R8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8" s="4"/>
      <c r="T888" s="46">
        <f>IF(PO[[#This Row],[Payment date - override (dd/mm/yyyy)]] &lt;&gt; "", PO[[#This Row],[Payment date - override (dd/mm/yyyy)]], PO[[#This Row],[Due date (dd/mm/yyyy)]])</f>
        <v>0</v>
      </c>
      <c r="U888" s="46">
        <f t="shared" si="13"/>
        <v>52</v>
      </c>
    </row>
    <row r="889" spans="3:21" x14ac:dyDescent="0.25">
      <c r="C889" s="24"/>
      <c r="D889" s="20"/>
      <c r="E889" s="4"/>
      <c r="F889" s="37"/>
      <c r="G889" s="38"/>
      <c r="H889" s="31">
        <f>_xlfn.XLOOKUP(PO[[#This Row],[Supplier name]], Supplier_master[Supplier name], Supplier_master[Category L1], 0)</f>
        <v>0</v>
      </c>
      <c r="I889" s="31">
        <f>_xlfn.XLOOKUP(PO[[#This Row],[Supplier name]], Supplier_master[Supplier name], Supplier_master[Category L2], 0)</f>
        <v>0</v>
      </c>
      <c r="J889" s="55"/>
      <c r="K889" s="55"/>
      <c r="L889" s="31">
        <f>IF(PO[[#This Row],[Spend category L1 - Override]] &lt;&gt; "", PO[[#This Row],[Spend category L1 - Override]], PO[[#This Row],[Spend category L1]])</f>
        <v>0</v>
      </c>
      <c r="M889" s="31">
        <f>IF(PO[[#This Row],[Spend category L2 - Override]] &lt;&gt; "", PO[[#This Row],[Spend category L2 - Override]], PO[[#This Row],[Spend category L2]])</f>
        <v>0</v>
      </c>
      <c r="N889" s="63">
        <f>Assumptions!$D$15</f>
        <v>0.1</v>
      </c>
      <c r="O889" s="45">
        <f>IF(PO[[#This Row],[GST applies?]] = "Yes", (PO[[#This Row],[Value inc. GST]] / 1 + PO[[#This Row],[GST %]]) * PO[[#This Row],[GST %]], 0)</f>
        <v>0</v>
      </c>
      <c r="P889" s="31">
        <f>_xlfn.XLOOKUP(PO[[#This Row],[Supplier name]], Supplier_master[Supplier name], Supplier_master[EOM or Net], 0)</f>
        <v>0</v>
      </c>
      <c r="Q889" s="31">
        <f>_xlfn.XLOOKUP(PO[[#This Row],[Supplier name]], Supplier_master[Supplier name], Supplier_master[Terms days], 0)</f>
        <v>0</v>
      </c>
      <c r="R8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9" s="4"/>
      <c r="T889" s="46">
        <f>IF(PO[[#This Row],[Payment date - override (dd/mm/yyyy)]] &lt;&gt; "", PO[[#This Row],[Payment date - override (dd/mm/yyyy)]], PO[[#This Row],[Due date (dd/mm/yyyy)]])</f>
        <v>0</v>
      </c>
      <c r="U889" s="46">
        <f t="shared" si="13"/>
        <v>52</v>
      </c>
    </row>
    <row r="890" spans="3:21" x14ac:dyDescent="0.25">
      <c r="C890" s="24"/>
      <c r="D890" s="20"/>
      <c r="E890" s="4"/>
      <c r="F890" s="37"/>
      <c r="G890" s="38"/>
      <c r="H890" s="31">
        <f>_xlfn.XLOOKUP(PO[[#This Row],[Supplier name]], Supplier_master[Supplier name], Supplier_master[Category L1], 0)</f>
        <v>0</v>
      </c>
      <c r="I890" s="31">
        <f>_xlfn.XLOOKUP(PO[[#This Row],[Supplier name]], Supplier_master[Supplier name], Supplier_master[Category L2], 0)</f>
        <v>0</v>
      </c>
      <c r="J890" s="55"/>
      <c r="K890" s="55"/>
      <c r="L890" s="31">
        <f>IF(PO[[#This Row],[Spend category L1 - Override]] &lt;&gt; "", PO[[#This Row],[Spend category L1 - Override]], PO[[#This Row],[Spend category L1]])</f>
        <v>0</v>
      </c>
      <c r="M890" s="31">
        <f>IF(PO[[#This Row],[Spend category L2 - Override]] &lt;&gt; "", PO[[#This Row],[Spend category L2 - Override]], PO[[#This Row],[Spend category L2]])</f>
        <v>0</v>
      </c>
      <c r="N890" s="63">
        <f>Assumptions!$D$15</f>
        <v>0.1</v>
      </c>
      <c r="O890" s="45">
        <f>IF(PO[[#This Row],[GST applies?]] = "Yes", (PO[[#This Row],[Value inc. GST]] / 1 + PO[[#This Row],[GST %]]) * PO[[#This Row],[GST %]], 0)</f>
        <v>0</v>
      </c>
      <c r="P890" s="31">
        <f>_xlfn.XLOOKUP(PO[[#This Row],[Supplier name]], Supplier_master[Supplier name], Supplier_master[EOM or Net], 0)</f>
        <v>0</v>
      </c>
      <c r="Q890" s="31">
        <f>_xlfn.XLOOKUP(PO[[#This Row],[Supplier name]], Supplier_master[Supplier name], Supplier_master[Terms days], 0)</f>
        <v>0</v>
      </c>
      <c r="R8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0" s="4"/>
      <c r="T890" s="46">
        <f>IF(PO[[#This Row],[Payment date - override (dd/mm/yyyy)]] &lt;&gt; "", PO[[#This Row],[Payment date - override (dd/mm/yyyy)]], PO[[#This Row],[Due date (dd/mm/yyyy)]])</f>
        <v>0</v>
      </c>
      <c r="U890" s="46">
        <f t="shared" si="13"/>
        <v>52</v>
      </c>
    </row>
    <row r="891" spans="3:21" x14ac:dyDescent="0.25">
      <c r="C891" s="24"/>
      <c r="D891" s="20"/>
      <c r="E891" s="4"/>
      <c r="F891" s="37"/>
      <c r="G891" s="38"/>
      <c r="H891" s="31">
        <f>_xlfn.XLOOKUP(PO[[#This Row],[Supplier name]], Supplier_master[Supplier name], Supplier_master[Category L1], 0)</f>
        <v>0</v>
      </c>
      <c r="I891" s="31">
        <f>_xlfn.XLOOKUP(PO[[#This Row],[Supplier name]], Supplier_master[Supplier name], Supplier_master[Category L2], 0)</f>
        <v>0</v>
      </c>
      <c r="J891" s="55"/>
      <c r="K891" s="55"/>
      <c r="L891" s="31">
        <f>IF(PO[[#This Row],[Spend category L1 - Override]] &lt;&gt; "", PO[[#This Row],[Spend category L1 - Override]], PO[[#This Row],[Spend category L1]])</f>
        <v>0</v>
      </c>
      <c r="M891" s="31">
        <f>IF(PO[[#This Row],[Spend category L2 - Override]] &lt;&gt; "", PO[[#This Row],[Spend category L2 - Override]], PO[[#This Row],[Spend category L2]])</f>
        <v>0</v>
      </c>
      <c r="N891" s="63">
        <f>Assumptions!$D$15</f>
        <v>0.1</v>
      </c>
      <c r="O891" s="45">
        <f>IF(PO[[#This Row],[GST applies?]] = "Yes", (PO[[#This Row],[Value inc. GST]] / 1 + PO[[#This Row],[GST %]]) * PO[[#This Row],[GST %]], 0)</f>
        <v>0</v>
      </c>
      <c r="P891" s="31">
        <f>_xlfn.XLOOKUP(PO[[#This Row],[Supplier name]], Supplier_master[Supplier name], Supplier_master[EOM or Net], 0)</f>
        <v>0</v>
      </c>
      <c r="Q891" s="31">
        <f>_xlfn.XLOOKUP(PO[[#This Row],[Supplier name]], Supplier_master[Supplier name], Supplier_master[Terms days], 0)</f>
        <v>0</v>
      </c>
      <c r="R8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1" s="4"/>
      <c r="T891" s="46">
        <f>IF(PO[[#This Row],[Payment date - override (dd/mm/yyyy)]] &lt;&gt; "", PO[[#This Row],[Payment date - override (dd/mm/yyyy)]], PO[[#This Row],[Due date (dd/mm/yyyy)]])</f>
        <v>0</v>
      </c>
      <c r="U891" s="46">
        <f t="shared" si="13"/>
        <v>52</v>
      </c>
    </row>
    <row r="892" spans="3:21" x14ac:dyDescent="0.25">
      <c r="C892" s="24"/>
      <c r="D892" s="20"/>
      <c r="E892" s="4"/>
      <c r="F892" s="37"/>
      <c r="G892" s="38"/>
      <c r="H892" s="31">
        <f>_xlfn.XLOOKUP(PO[[#This Row],[Supplier name]], Supplier_master[Supplier name], Supplier_master[Category L1], 0)</f>
        <v>0</v>
      </c>
      <c r="I892" s="31">
        <f>_xlfn.XLOOKUP(PO[[#This Row],[Supplier name]], Supplier_master[Supplier name], Supplier_master[Category L2], 0)</f>
        <v>0</v>
      </c>
      <c r="J892" s="55"/>
      <c r="K892" s="55"/>
      <c r="L892" s="31">
        <f>IF(PO[[#This Row],[Spend category L1 - Override]] &lt;&gt; "", PO[[#This Row],[Spend category L1 - Override]], PO[[#This Row],[Spend category L1]])</f>
        <v>0</v>
      </c>
      <c r="M892" s="31">
        <f>IF(PO[[#This Row],[Spend category L2 - Override]] &lt;&gt; "", PO[[#This Row],[Spend category L2 - Override]], PO[[#This Row],[Spend category L2]])</f>
        <v>0</v>
      </c>
      <c r="N892" s="63">
        <f>Assumptions!$D$15</f>
        <v>0.1</v>
      </c>
      <c r="O892" s="45">
        <f>IF(PO[[#This Row],[GST applies?]] = "Yes", (PO[[#This Row],[Value inc. GST]] / 1 + PO[[#This Row],[GST %]]) * PO[[#This Row],[GST %]], 0)</f>
        <v>0</v>
      </c>
      <c r="P892" s="31">
        <f>_xlfn.XLOOKUP(PO[[#This Row],[Supplier name]], Supplier_master[Supplier name], Supplier_master[EOM or Net], 0)</f>
        <v>0</v>
      </c>
      <c r="Q892" s="31">
        <f>_xlfn.XLOOKUP(PO[[#This Row],[Supplier name]], Supplier_master[Supplier name], Supplier_master[Terms days], 0)</f>
        <v>0</v>
      </c>
      <c r="R8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2" s="4"/>
      <c r="T892" s="46">
        <f>IF(PO[[#This Row],[Payment date - override (dd/mm/yyyy)]] &lt;&gt; "", PO[[#This Row],[Payment date - override (dd/mm/yyyy)]], PO[[#This Row],[Due date (dd/mm/yyyy)]])</f>
        <v>0</v>
      </c>
      <c r="U892" s="46">
        <f t="shared" si="13"/>
        <v>52</v>
      </c>
    </row>
    <row r="893" spans="3:21" x14ac:dyDescent="0.25">
      <c r="C893" s="24"/>
      <c r="D893" s="20"/>
      <c r="E893" s="4"/>
      <c r="F893" s="37"/>
      <c r="G893" s="38"/>
      <c r="H893" s="31">
        <f>_xlfn.XLOOKUP(PO[[#This Row],[Supplier name]], Supplier_master[Supplier name], Supplier_master[Category L1], 0)</f>
        <v>0</v>
      </c>
      <c r="I893" s="31">
        <f>_xlfn.XLOOKUP(PO[[#This Row],[Supplier name]], Supplier_master[Supplier name], Supplier_master[Category L2], 0)</f>
        <v>0</v>
      </c>
      <c r="J893" s="55"/>
      <c r="K893" s="55"/>
      <c r="L893" s="31">
        <f>IF(PO[[#This Row],[Spend category L1 - Override]] &lt;&gt; "", PO[[#This Row],[Spend category L1 - Override]], PO[[#This Row],[Spend category L1]])</f>
        <v>0</v>
      </c>
      <c r="M893" s="31">
        <f>IF(PO[[#This Row],[Spend category L2 - Override]] &lt;&gt; "", PO[[#This Row],[Spend category L2 - Override]], PO[[#This Row],[Spend category L2]])</f>
        <v>0</v>
      </c>
      <c r="N893" s="63">
        <f>Assumptions!$D$15</f>
        <v>0.1</v>
      </c>
      <c r="O893" s="45">
        <f>IF(PO[[#This Row],[GST applies?]] = "Yes", (PO[[#This Row],[Value inc. GST]] / 1 + PO[[#This Row],[GST %]]) * PO[[#This Row],[GST %]], 0)</f>
        <v>0</v>
      </c>
      <c r="P893" s="31">
        <f>_xlfn.XLOOKUP(PO[[#This Row],[Supplier name]], Supplier_master[Supplier name], Supplier_master[EOM or Net], 0)</f>
        <v>0</v>
      </c>
      <c r="Q893" s="31">
        <f>_xlfn.XLOOKUP(PO[[#This Row],[Supplier name]], Supplier_master[Supplier name], Supplier_master[Terms days], 0)</f>
        <v>0</v>
      </c>
      <c r="R8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3" s="4"/>
      <c r="T893" s="46">
        <f>IF(PO[[#This Row],[Payment date - override (dd/mm/yyyy)]] &lt;&gt; "", PO[[#This Row],[Payment date - override (dd/mm/yyyy)]], PO[[#This Row],[Due date (dd/mm/yyyy)]])</f>
        <v>0</v>
      </c>
      <c r="U893" s="46">
        <f t="shared" si="13"/>
        <v>52</v>
      </c>
    </row>
    <row r="894" spans="3:21" x14ac:dyDescent="0.25">
      <c r="C894" s="24"/>
      <c r="D894" s="20"/>
      <c r="E894" s="4"/>
      <c r="F894" s="37"/>
      <c r="G894" s="38"/>
      <c r="H894" s="31">
        <f>_xlfn.XLOOKUP(PO[[#This Row],[Supplier name]], Supplier_master[Supplier name], Supplier_master[Category L1], 0)</f>
        <v>0</v>
      </c>
      <c r="I894" s="31">
        <f>_xlfn.XLOOKUP(PO[[#This Row],[Supplier name]], Supplier_master[Supplier name], Supplier_master[Category L2], 0)</f>
        <v>0</v>
      </c>
      <c r="J894" s="55"/>
      <c r="K894" s="55"/>
      <c r="L894" s="31">
        <f>IF(PO[[#This Row],[Spend category L1 - Override]] &lt;&gt; "", PO[[#This Row],[Spend category L1 - Override]], PO[[#This Row],[Spend category L1]])</f>
        <v>0</v>
      </c>
      <c r="M894" s="31">
        <f>IF(PO[[#This Row],[Spend category L2 - Override]] &lt;&gt; "", PO[[#This Row],[Spend category L2 - Override]], PO[[#This Row],[Spend category L2]])</f>
        <v>0</v>
      </c>
      <c r="N894" s="63">
        <f>Assumptions!$D$15</f>
        <v>0.1</v>
      </c>
      <c r="O894" s="45">
        <f>IF(PO[[#This Row],[GST applies?]] = "Yes", (PO[[#This Row],[Value inc. GST]] / 1 + PO[[#This Row],[GST %]]) * PO[[#This Row],[GST %]], 0)</f>
        <v>0</v>
      </c>
      <c r="P894" s="31">
        <f>_xlfn.XLOOKUP(PO[[#This Row],[Supplier name]], Supplier_master[Supplier name], Supplier_master[EOM or Net], 0)</f>
        <v>0</v>
      </c>
      <c r="Q894" s="31">
        <f>_xlfn.XLOOKUP(PO[[#This Row],[Supplier name]], Supplier_master[Supplier name], Supplier_master[Terms days], 0)</f>
        <v>0</v>
      </c>
      <c r="R8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4" s="4"/>
      <c r="T894" s="46">
        <f>IF(PO[[#This Row],[Payment date - override (dd/mm/yyyy)]] &lt;&gt; "", PO[[#This Row],[Payment date - override (dd/mm/yyyy)]], PO[[#This Row],[Due date (dd/mm/yyyy)]])</f>
        <v>0</v>
      </c>
      <c r="U894" s="46">
        <f t="shared" si="13"/>
        <v>52</v>
      </c>
    </row>
    <row r="895" spans="3:21" x14ac:dyDescent="0.25">
      <c r="C895" s="24"/>
      <c r="D895" s="20"/>
      <c r="E895" s="4"/>
      <c r="F895" s="37"/>
      <c r="G895" s="38"/>
      <c r="H895" s="31">
        <f>_xlfn.XLOOKUP(PO[[#This Row],[Supplier name]], Supplier_master[Supplier name], Supplier_master[Category L1], 0)</f>
        <v>0</v>
      </c>
      <c r="I895" s="31">
        <f>_xlfn.XLOOKUP(PO[[#This Row],[Supplier name]], Supplier_master[Supplier name], Supplier_master[Category L2], 0)</f>
        <v>0</v>
      </c>
      <c r="J895" s="55"/>
      <c r="K895" s="55"/>
      <c r="L895" s="31">
        <f>IF(PO[[#This Row],[Spend category L1 - Override]] &lt;&gt; "", PO[[#This Row],[Spend category L1 - Override]], PO[[#This Row],[Spend category L1]])</f>
        <v>0</v>
      </c>
      <c r="M895" s="31">
        <f>IF(PO[[#This Row],[Spend category L2 - Override]] &lt;&gt; "", PO[[#This Row],[Spend category L2 - Override]], PO[[#This Row],[Spend category L2]])</f>
        <v>0</v>
      </c>
      <c r="N895" s="63">
        <f>Assumptions!$D$15</f>
        <v>0.1</v>
      </c>
      <c r="O895" s="45">
        <f>IF(PO[[#This Row],[GST applies?]] = "Yes", (PO[[#This Row],[Value inc. GST]] / 1 + PO[[#This Row],[GST %]]) * PO[[#This Row],[GST %]], 0)</f>
        <v>0</v>
      </c>
      <c r="P895" s="31">
        <f>_xlfn.XLOOKUP(PO[[#This Row],[Supplier name]], Supplier_master[Supplier name], Supplier_master[EOM or Net], 0)</f>
        <v>0</v>
      </c>
      <c r="Q895" s="31">
        <f>_xlfn.XLOOKUP(PO[[#This Row],[Supplier name]], Supplier_master[Supplier name], Supplier_master[Terms days], 0)</f>
        <v>0</v>
      </c>
      <c r="R8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5" s="4"/>
      <c r="T895" s="46">
        <f>IF(PO[[#This Row],[Payment date - override (dd/mm/yyyy)]] &lt;&gt; "", PO[[#This Row],[Payment date - override (dd/mm/yyyy)]], PO[[#This Row],[Due date (dd/mm/yyyy)]])</f>
        <v>0</v>
      </c>
      <c r="U895" s="46">
        <f t="shared" si="13"/>
        <v>52</v>
      </c>
    </row>
    <row r="896" spans="3:21" x14ac:dyDescent="0.25">
      <c r="C896" s="24"/>
      <c r="D896" s="20"/>
      <c r="E896" s="4"/>
      <c r="F896" s="37"/>
      <c r="G896" s="38"/>
      <c r="H896" s="31">
        <f>_xlfn.XLOOKUP(PO[[#This Row],[Supplier name]], Supplier_master[Supplier name], Supplier_master[Category L1], 0)</f>
        <v>0</v>
      </c>
      <c r="I896" s="31">
        <f>_xlfn.XLOOKUP(PO[[#This Row],[Supplier name]], Supplier_master[Supplier name], Supplier_master[Category L2], 0)</f>
        <v>0</v>
      </c>
      <c r="J896" s="55"/>
      <c r="K896" s="55"/>
      <c r="L896" s="31">
        <f>IF(PO[[#This Row],[Spend category L1 - Override]] &lt;&gt; "", PO[[#This Row],[Spend category L1 - Override]], PO[[#This Row],[Spend category L1]])</f>
        <v>0</v>
      </c>
      <c r="M896" s="31">
        <f>IF(PO[[#This Row],[Spend category L2 - Override]] &lt;&gt; "", PO[[#This Row],[Spend category L2 - Override]], PO[[#This Row],[Spend category L2]])</f>
        <v>0</v>
      </c>
      <c r="N896" s="63">
        <f>Assumptions!$D$15</f>
        <v>0.1</v>
      </c>
      <c r="O896" s="45">
        <f>IF(PO[[#This Row],[GST applies?]] = "Yes", (PO[[#This Row],[Value inc. GST]] / 1 + PO[[#This Row],[GST %]]) * PO[[#This Row],[GST %]], 0)</f>
        <v>0</v>
      </c>
      <c r="P896" s="31">
        <f>_xlfn.XLOOKUP(PO[[#This Row],[Supplier name]], Supplier_master[Supplier name], Supplier_master[EOM or Net], 0)</f>
        <v>0</v>
      </c>
      <c r="Q896" s="31">
        <f>_xlfn.XLOOKUP(PO[[#This Row],[Supplier name]], Supplier_master[Supplier name], Supplier_master[Terms days], 0)</f>
        <v>0</v>
      </c>
      <c r="R8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6" s="4"/>
      <c r="T896" s="46">
        <f>IF(PO[[#This Row],[Payment date - override (dd/mm/yyyy)]] &lt;&gt; "", PO[[#This Row],[Payment date - override (dd/mm/yyyy)]], PO[[#This Row],[Due date (dd/mm/yyyy)]])</f>
        <v>0</v>
      </c>
      <c r="U896" s="46">
        <f t="shared" si="13"/>
        <v>52</v>
      </c>
    </row>
    <row r="897" spans="3:21" x14ac:dyDescent="0.25">
      <c r="C897" s="24"/>
      <c r="D897" s="20"/>
      <c r="E897" s="4"/>
      <c r="F897" s="37"/>
      <c r="G897" s="38"/>
      <c r="H897" s="31">
        <f>_xlfn.XLOOKUP(PO[[#This Row],[Supplier name]], Supplier_master[Supplier name], Supplier_master[Category L1], 0)</f>
        <v>0</v>
      </c>
      <c r="I897" s="31">
        <f>_xlfn.XLOOKUP(PO[[#This Row],[Supplier name]], Supplier_master[Supplier name], Supplier_master[Category L2], 0)</f>
        <v>0</v>
      </c>
      <c r="J897" s="55"/>
      <c r="K897" s="55"/>
      <c r="L897" s="31">
        <f>IF(PO[[#This Row],[Spend category L1 - Override]] &lt;&gt; "", PO[[#This Row],[Spend category L1 - Override]], PO[[#This Row],[Spend category L1]])</f>
        <v>0</v>
      </c>
      <c r="M897" s="31">
        <f>IF(PO[[#This Row],[Spend category L2 - Override]] &lt;&gt; "", PO[[#This Row],[Spend category L2 - Override]], PO[[#This Row],[Spend category L2]])</f>
        <v>0</v>
      </c>
      <c r="N897" s="63">
        <f>Assumptions!$D$15</f>
        <v>0.1</v>
      </c>
      <c r="O897" s="45">
        <f>IF(PO[[#This Row],[GST applies?]] = "Yes", (PO[[#This Row],[Value inc. GST]] / 1 + PO[[#This Row],[GST %]]) * PO[[#This Row],[GST %]], 0)</f>
        <v>0</v>
      </c>
      <c r="P897" s="31">
        <f>_xlfn.XLOOKUP(PO[[#This Row],[Supplier name]], Supplier_master[Supplier name], Supplier_master[EOM or Net], 0)</f>
        <v>0</v>
      </c>
      <c r="Q897" s="31">
        <f>_xlfn.XLOOKUP(PO[[#This Row],[Supplier name]], Supplier_master[Supplier name], Supplier_master[Terms days], 0)</f>
        <v>0</v>
      </c>
      <c r="R8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7" s="4"/>
      <c r="T897" s="46">
        <f>IF(PO[[#This Row],[Payment date - override (dd/mm/yyyy)]] &lt;&gt; "", PO[[#This Row],[Payment date - override (dd/mm/yyyy)]], PO[[#This Row],[Due date (dd/mm/yyyy)]])</f>
        <v>0</v>
      </c>
      <c r="U897" s="46">
        <f t="shared" si="13"/>
        <v>52</v>
      </c>
    </row>
    <row r="898" spans="3:21" x14ac:dyDescent="0.25">
      <c r="C898" s="24"/>
      <c r="D898" s="20"/>
      <c r="E898" s="4"/>
      <c r="F898" s="37"/>
      <c r="G898" s="38"/>
      <c r="H898" s="31">
        <f>_xlfn.XLOOKUP(PO[[#This Row],[Supplier name]], Supplier_master[Supplier name], Supplier_master[Category L1], 0)</f>
        <v>0</v>
      </c>
      <c r="I898" s="31">
        <f>_xlfn.XLOOKUP(PO[[#This Row],[Supplier name]], Supplier_master[Supplier name], Supplier_master[Category L2], 0)</f>
        <v>0</v>
      </c>
      <c r="J898" s="55"/>
      <c r="K898" s="55"/>
      <c r="L898" s="31">
        <f>IF(PO[[#This Row],[Spend category L1 - Override]] &lt;&gt; "", PO[[#This Row],[Spend category L1 - Override]], PO[[#This Row],[Spend category L1]])</f>
        <v>0</v>
      </c>
      <c r="M898" s="31">
        <f>IF(PO[[#This Row],[Spend category L2 - Override]] &lt;&gt; "", PO[[#This Row],[Spend category L2 - Override]], PO[[#This Row],[Spend category L2]])</f>
        <v>0</v>
      </c>
      <c r="N898" s="63">
        <f>Assumptions!$D$15</f>
        <v>0.1</v>
      </c>
      <c r="O898" s="45">
        <f>IF(PO[[#This Row],[GST applies?]] = "Yes", (PO[[#This Row],[Value inc. GST]] / 1 + PO[[#This Row],[GST %]]) * PO[[#This Row],[GST %]], 0)</f>
        <v>0</v>
      </c>
      <c r="P898" s="31">
        <f>_xlfn.XLOOKUP(PO[[#This Row],[Supplier name]], Supplier_master[Supplier name], Supplier_master[EOM or Net], 0)</f>
        <v>0</v>
      </c>
      <c r="Q898" s="31">
        <f>_xlfn.XLOOKUP(PO[[#This Row],[Supplier name]], Supplier_master[Supplier name], Supplier_master[Terms days], 0)</f>
        <v>0</v>
      </c>
      <c r="R8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8" s="4"/>
      <c r="T898" s="46">
        <f>IF(PO[[#This Row],[Payment date - override (dd/mm/yyyy)]] &lt;&gt; "", PO[[#This Row],[Payment date - override (dd/mm/yyyy)]], PO[[#This Row],[Due date (dd/mm/yyyy)]])</f>
        <v>0</v>
      </c>
      <c r="U898" s="46">
        <f t="shared" si="13"/>
        <v>52</v>
      </c>
    </row>
    <row r="899" spans="3:21" x14ac:dyDescent="0.25">
      <c r="C899" s="24"/>
      <c r="D899" s="20"/>
      <c r="E899" s="4"/>
      <c r="F899" s="37"/>
      <c r="G899" s="38"/>
      <c r="H899" s="31">
        <f>_xlfn.XLOOKUP(PO[[#This Row],[Supplier name]], Supplier_master[Supplier name], Supplier_master[Category L1], 0)</f>
        <v>0</v>
      </c>
      <c r="I899" s="31">
        <f>_xlfn.XLOOKUP(PO[[#This Row],[Supplier name]], Supplier_master[Supplier name], Supplier_master[Category L2], 0)</f>
        <v>0</v>
      </c>
      <c r="J899" s="55"/>
      <c r="K899" s="55"/>
      <c r="L899" s="31">
        <f>IF(PO[[#This Row],[Spend category L1 - Override]] &lt;&gt; "", PO[[#This Row],[Spend category L1 - Override]], PO[[#This Row],[Spend category L1]])</f>
        <v>0</v>
      </c>
      <c r="M899" s="31">
        <f>IF(PO[[#This Row],[Spend category L2 - Override]] &lt;&gt; "", PO[[#This Row],[Spend category L2 - Override]], PO[[#This Row],[Spend category L2]])</f>
        <v>0</v>
      </c>
      <c r="N899" s="63">
        <f>Assumptions!$D$15</f>
        <v>0.1</v>
      </c>
      <c r="O899" s="45">
        <f>IF(PO[[#This Row],[GST applies?]] = "Yes", (PO[[#This Row],[Value inc. GST]] / 1 + PO[[#This Row],[GST %]]) * PO[[#This Row],[GST %]], 0)</f>
        <v>0</v>
      </c>
      <c r="P899" s="31">
        <f>_xlfn.XLOOKUP(PO[[#This Row],[Supplier name]], Supplier_master[Supplier name], Supplier_master[EOM or Net], 0)</f>
        <v>0</v>
      </c>
      <c r="Q899" s="31">
        <f>_xlfn.XLOOKUP(PO[[#This Row],[Supplier name]], Supplier_master[Supplier name], Supplier_master[Terms days], 0)</f>
        <v>0</v>
      </c>
      <c r="R8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9" s="4"/>
      <c r="T899" s="46">
        <f>IF(PO[[#This Row],[Payment date - override (dd/mm/yyyy)]] &lt;&gt; "", PO[[#This Row],[Payment date - override (dd/mm/yyyy)]], PO[[#This Row],[Due date (dd/mm/yyyy)]])</f>
        <v>0</v>
      </c>
      <c r="U899" s="46">
        <f t="shared" si="13"/>
        <v>52</v>
      </c>
    </row>
    <row r="900" spans="3:21" x14ac:dyDescent="0.25">
      <c r="C900" s="24"/>
      <c r="D900" s="20"/>
      <c r="E900" s="4"/>
      <c r="F900" s="37"/>
      <c r="G900" s="38"/>
      <c r="H900" s="31">
        <f>_xlfn.XLOOKUP(PO[[#This Row],[Supplier name]], Supplier_master[Supplier name], Supplier_master[Category L1], 0)</f>
        <v>0</v>
      </c>
      <c r="I900" s="31">
        <f>_xlfn.XLOOKUP(PO[[#This Row],[Supplier name]], Supplier_master[Supplier name], Supplier_master[Category L2], 0)</f>
        <v>0</v>
      </c>
      <c r="J900" s="55"/>
      <c r="K900" s="55"/>
      <c r="L900" s="31">
        <f>IF(PO[[#This Row],[Spend category L1 - Override]] &lt;&gt; "", PO[[#This Row],[Spend category L1 - Override]], PO[[#This Row],[Spend category L1]])</f>
        <v>0</v>
      </c>
      <c r="M900" s="31">
        <f>IF(PO[[#This Row],[Spend category L2 - Override]] &lt;&gt; "", PO[[#This Row],[Spend category L2 - Override]], PO[[#This Row],[Spend category L2]])</f>
        <v>0</v>
      </c>
      <c r="N900" s="63">
        <f>Assumptions!$D$15</f>
        <v>0.1</v>
      </c>
      <c r="O900" s="45">
        <f>IF(PO[[#This Row],[GST applies?]] = "Yes", (PO[[#This Row],[Value inc. GST]] / 1 + PO[[#This Row],[GST %]]) * PO[[#This Row],[GST %]], 0)</f>
        <v>0</v>
      </c>
      <c r="P900" s="31">
        <f>_xlfn.XLOOKUP(PO[[#This Row],[Supplier name]], Supplier_master[Supplier name], Supplier_master[EOM or Net], 0)</f>
        <v>0</v>
      </c>
      <c r="Q900" s="31">
        <f>_xlfn.XLOOKUP(PO[[#This Row],[Supplier name]], Supplier_master[Supplier name], Supplier_master[Terms days], 0)</f>
        <v>0</v>
      </c>
      <c r="R9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0" s="4"/>
      <c r="T900" s="46">
        <f>IF(PO[[#This Row],[Payment date - override (dd/mm/yyyy)]] &lt;&gt; "", PO[[#This Row],[Payment date - override (dd/mm/yyyy)]], PO[[#This Row],[Due date (dd/mm/yyyy)]])</f>
        <v>0</v>
      </c>
      <c r="U900" s="46">
        <f t="shared" si="13"/>
        <v>52</v>
      </c>
    </row>
    <row r="901" spans="3:21" x14ac:dyDescent="0.25">
      <c r="C901" s="24"/>
      <c r="D901" s="20"/>
      <c r="E901" s="4"/>
      <c r="F901" s="37"/>
      <c r="G901" s="38"/>
      <c r="H901" s="31">
        <f>_xlfn.XLOOKUP(PO[[#This Row],[Supplier name]], Supplier_master[Supplier name], Supplier_master[Category L1], 0)</f>
        <v>0</v>
      </c>
      <c r="I901" s="31">
        <f>_xlfn.XLOOKUP(PO[[#This Row],[Supplier name]], Supplier_master[Supplier name], Supplier_master[Category L2], 0)</f>
        <v>0</v>
      </c>
      <c r="J901" s="55"/>
      <c r="K901" s="55"/>
      <c r="L901" s="31">
        <f>IF(PO[[#This Row],[Spend category L1 - Override]] &lt;&gt; "", PO[[#This Row],[Spend category L1 - Override]], PO[[#This Row],[Spend category L1]])</f>
        <v>0</v>
      </c>
      <c r="M901" s="31">
        <f>IF(PO[[#This Row],[Spend category L2 - Override]] &lt;&gt; "", PO[[#This Row],[Spend category L2 - Override]], PO[[#This Row],[Spend category L2]])</f>
        <v>0</v>
      </c>
      <c r="N901" s="63">
        <f>Assumptions!$D$15</f>
        <v>0.1</v>
      </c>
      <c r="O901" s="45">
        <f>IF(PO[[#This Row],[GST applies?]] = "Yes", (PO[[#This Row],[Value inc. GST]] / 1 + PO[[#This Row],[GST %]]) * PO[[#This Row],[GST %]], 0)</f>
        <v>0</v>
      </c>
      <c r="P901" s="31">
        <f>_xlfn.XLOOKUP(PO[[#This Row],[Supplier name]], Supplier_master[Supplier name], Supplier_master[EOM or Net], 0)</f>
        <v>0</v>
      </c>
      <c r="Q901" s="31">
        <f>_xlfn.XLOOKUP(PO[[#This Row],[Supplier name]], Supplier_master[Supplier name], Supplier_master[Terms days], 0)</f>
        <v>0</v>
      </c>
      <c r="R9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1" s="4"/>
      <c r="T901" s="46">
        <f>IF(PO[[#This Row],[Payment date - override (dd/mm/yyyy)]] &lt;&gt; "", PO[[#This Row],[Payment date - override (dd/mm/yyyy)]], PO[[#This Row],[Due date (dd/mm/yyyy)]])</f>
        <v>0</v>
      </c>
      <c r="U901" s="46">
        <f t="shared" si="13"/>
        <v>52</v>
      </c>
    </row>
    <row r="902" spans="3:21" x14ac:dyDescent="0.25">
      <c r="C902" s="24"/>
      <c r="D902" s="20"/>
      <c r="E902" s="4"/>
      <c r="F902" s="37"/>
      <c r="G902" s="38"/>
      <c r="H902" s="31">
        <f>_xlfn.XLOOKUP(PO[[#This Row],[Supplier name]], Supplier_master[Supplier name], Supplier_master[Category L1], 0)</f>
        <v>0</v>
      </c>
      <c r="I902" s="31">
        <f>_xlfn.XLOOKUP(PO[[#This Row],[Supplier name]], Supplier_master[Supplier name], Supplier_master[Category L2], 0)</f>
        <v>0</v>
      </c>
      <c r="J902" s="55"/>
      <c r="K902" s="55"/>
      <c r="L902" s="31">
        <f>IF(PO[[#This Row],[Spend category L1 - Override]] &lt;&gt; "", PO[[#This Row],[Spend category L1 - Override]], PO[[#This Row],[Spend category L1]])</f>
        <v>0</v>
      </c>
      <c r="M902" s="31">
        <f>IF(PO[[#This Row],[Spend category L2 - Override]] &lt;&gt; "", PO[[#This Row],[Spend category L2 - Override]], PO[[#This Row],[Spend category L2]])</f>
        <v>0</v>
      </c>
      <c r="N902" s="63">
        <f>Assumptions!$D$15</f>
        <v>0.1</v>
      </c>
      <c r="O902" s="45">
        <f>IF(PO[[#This Row],[GST applies?]] = "Yes", (PO[[#This Row],[Value inc. GST]] / 1 + PO[[#This Row],[GST %]]) * PO[[#This Row],[GST %]], 0)</f>
        <v>0</v>
      </c>
      <c r="P902" s="31">
        <f>_xlfn.XLOOKUP(PO[[#This Row],[Supplier name]], Supplier_master[Supplier name], Supplier_master[EOM or Net], 0)</f>
        <v>0</v>
      </c>
      <c r="Q902" s="31">
        <f>_xlfn.XLOOKUP(PO[[#This Row],[Supplier name]], Supplier_master[Supplier name], Supplier_master[Terms days], 0)</f>
        <v>0</v>
      </c>
      <c r="R9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2" s="4"/>
      <c r="T902" s="46">
        <f>IF(PO[[#This Row],[Payment date - override (dd/mm/yyyy)]] &lt;&gt; "", PO[[#This Row],[Payment date - override (dd/mm/yyyy)]], PO[[#This Row],[Due date (dd/mm/yyyy)]])</f>
        <v>0</v>
      </c>
      <c r="U902" s="46">
        <f t="shared" si="13"/>
        <v>52</v>
      </c>
    </row>
    <row r="903" spans="3:21" x14ac:dyDescent="0.25">
      <c r="C903" s="24"/>
      <c r="D903" s="20"/>
      <c r="E903" s="4"/>
      <c r="F903" s="37"/>
      <c r="G903" s="38"/>
      <c r="H903" s="31">
        <f>_xlfn.XLOOKUP(PO[[#This Row],[Supplier name]], Supplier_master[Supplier name], Supplier_master[Category L1], 0)</f>
        <v>0</v>
      </c>
      <c r="I903" s="31">
        <f>_xlfn.XLOOKUP(PO[[#This Row],[Supplier name]], Supplier_master[Supplier name], Supplier_master[Category L2], 0)</f>
        <v>0</v>
      </c>
      <c r="J903" s="55"/>
      <c r="K903" s="55"/>
      <c r="L903" s="31">
        <f>IF(PO[[#This Row],[Spend category L1 - Override]] &lt;&gt; "", PO[[#This Row],[Spend category L1 - Override]], PO[[#This Row],[Spend category L1]])</f>
        <v>0</v>
      </c>
      <c r="M903" s="31">
        <f>IF(PO[[#This Row],[Spend category L2 - Override]] &lt;&gt; "", PO[[#This Row],[Spend category L2 - Override]], PO[[#This Row],[Spend category L2]])</f>
        <v>0</v>
      </c>
      <c r="N903" s="63">
        <f>Assumptions!$D$15</f>
        <v>0.1</v>
      </c>
      <c r="O903" s="45">
        <f>IF(PO[[#This Row],[GST applies?]] = "Yes", (PO[[#This Row],[Value inc. GST]] / 1 + PO[[#This Row],[GST %]]) * PO[[#This Row],[GST %]], 0)</f>
        <v>0</v>
      </c>
      <c r="P903" s="31">
        <f>_xlfn.XLOOKUP(PO[[#This Row],[Supplier name]], Supplier_master[Supplier name], Supplier_master[EOM or Net], 0)</f>
        <v>0</v>
      </c>
      <c r="Q903" s="31">
        <f>_xlfn.XLOOKUP(PO[[#This Row],[Supplier name]], Supplier_master[Supplier name], Supplier_master[Terms days], 0)</f>
        <v>0</v>
      </c>
      <c r="R9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3" s="4"/>
      <c r="T903" s="46">
        <f>IF(PO[[#This Row],[Payment date - override (dd/mm/yyyy)]] &lt;&gt; "", PO[[#This Row],[Payment date - override (dd/mm/yyyy)]], PO[[#This Row],[Due date (dd/mm/yyyy)]])</f>
        <v>0</v>
      </c>
      <c r="U903" s="46">
        <f t="shared" si="13"/>
        <v>52</v>
      </c>
    </row>
    <row r="904" spans="3:21" x14ac:dyDescent="0.25">
      <c r="C904" s="24"/>
      <c r="D904" s="20"/>
      <c r="E904" s="4"/>
      <c r="F904" s="37"/>
      <c r="G904" s="38"/>
      <c r="H904" s="31">
        <f>_xlfn.XLOOKUP(PO[[#This Row],[Supplier name]], Supplier_master[Supplier name], Supplier_master[Category L1], 0)</f>
        <v>0</v>
      </c>
      <c r="I904" s="31">
        <f>_xlfn.XLOOKUP(PO[[#This Row],[Supplier name]], Supplier_master[Supplier name], Supplier_master[Category L2], 0)</f>
        <v>0</v>
      </c>
      <c r="J904" s="55"/>
      <c r="K904" s="55"/>
      <c r="L904" s="31">
        <f>IF(PO[[#This Row],[Spend category L1 - Override]] &lt;&gt; "", PO[[#This Row],[Spend category L1 - Override]], PO[[#This Row],[Spend category L1]])</f>
        <v>0</v>
      </c>
      <c r="M904" s="31">
        <f>IF(PO[[#This Row],[Spend category L2 - Override]] &lt;&gt; "", PO[[#This Row],[Spend category L2 - Override]], PO[[#This Row],[Spend category L2]])</f>
        <v>0</v>
      </c>
      <c r="N904" s="63">
        <f>Assumptions!$D$15</f>
        <v>0.1</v>
      </c>
      <c r="O904" s="45">
        <f>IF(PO[[#This Row],[GST applies?]] = "Yes", (PO[[#This Row],[Value inc. GST]] / 1 + PO[[#This Row],[GST %]]) * PO[[#This Row],[GST %]], 0)</f>
        <v>0</v>
      </c>
      <c r="P904" s="31">
        <f>_xlfn.XLOOKUP(PO[[#This Row],[Supplier name]], Supplier_master[Supplier name], Supplier_master[EOM or Net], 0)</f>
        <v>0</v>
      </c>
      <c r="Q904" s="31">
        <f>_xlfn.XLOOKUP(PO[[#This Row],[Supplier name]], Supplier_master[Supplier name], Supplier_master[Terms days], 0)</f>
        <v>0</v>
      </c>
      <c r="R9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4" s="4"/>
      <c r="T904" s="46">
        <f>IF(PO[[#This Row],[Payment date - override (dd/mm/yyyy)]] &lt;&gt; "", PO[[#This Row],[Payment date - override (dd/mm/yyyy)]], PO[[#This Row],[Due date (dd/mm/yyyy)]])</f>
        <v>0</v>
      </c>
      <c r="U904" s="46">
        <f t="shared" si="13"/>
        <v>52</v>
      </c>
    </row>
    <row r="905" spans="3:21" x14ac:dyDescent="0.25">
      <c r="C905" s="24"/>
      <c r="D905" s="20"/>
      <c r="E905" s="4"/>
      <c r="F905" s="37"/>
      <c r="G905" s="38"/>
      <c r="H905" s="31">
        <f>_xlfn.XLOOKUP(PO[[#This Row],[Supplier name]], Supplier_master[Supplier name], Supplier_master[Category L1], 0)</f>
        <v>0</v>
      </c>
      <c r="I905" s="31">
        <f>_xlfn.XLOOKUP(PO[[#This Row],[Supplier name]], Supplier_master[Supplier name], Supplier_master[Category L2], 0)</f>
        <v>0</v>
      </c>
      <c r="J905" s="55"/>
      <c r="K905" s="55"/>
      <c r="L905" s="31">
        <f>IF(PO[[#This Row],[Spend category L1 - Override]] &lt;&gt; "", PO[[#This Row],[Spend category L1 - Override]], PO[[#This Row],[Spend category L1]])</f>
        <v>0</v>
      </c>
      <c r="M905" s="31">
        <f>IF(PO[[#This Row],[Spend category L2 - Override]] &lt;&gt; "", PO[[#This Row],[Spend category L2 - Override]], PO[[#This Row],[Spend category L2]])</f>
        <v>0</v>
      </c>
      <c r="N905" s="63">
        <f>Assumptions!$D$15</f>
        <v>0.1</v>
      </c>
      <c r="O905" s="45">
        <f>IF(PO[[#This Row],[GST applies?]] = "Yes", (PO[[#This Row],[Value inc. GST]] / 1 + PO[[#This Row],[GST %]]) * PO[[#This Row],[GST %]], 0)</f>
        <v>0</v>
      </c>
      <c r="P905" s="31">
        <f>_xlfn.XLOOKUP(PO[[#This Row],[Supplier name]], Supplier_master[Supplier name], Supplier_master[EOM or Net], 0)</f>
        <v>0</v>
      </c>
      <c r="Q905" s="31">
        <f>_xlfn.XLOOKUP(PO[[#This Row],[Supplier name]], Supplier_master[Supplier name], Supplier_master[Terms days], 0)</f>
        <v>0</v>
      </c>
      <c r="R9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5" s="4"/>
      <c r="T905" s="46">
        <f>IF(PO[[#This Row],[Payment date - override (dd/mm/yyyy)]] &lt;&gt; "", PO[[#This Row],[Payment date - override (dd/mm/yyyy)]], PO[[#This Row],[Due date (dd/mm/yyyy)]])</f>
        <v>0</v>
      </c>
      <c r="U905" s="46">
        <f t="shared" ref="U905:U968" si="14">IF(GST_Freq="Monthly",
    DATE(YEAR(E905), MONTH(E905) + 1, 21),
    IF(GST_Freq="Quarterly",
        IF(MOD(MONTH(E905) + 2 - MOD(MOD(MONTH(E905) - GST_First_Month, 12), 3), 12) = 0,
            DATE(YEAR(E905), MONTH(E905) + 4 - MOD(MOD(MONTH(E905) - GST_First_Month, 12), 3), 28),
            DATE(YEAR(E905), MONTH(E905) + 3 - MOD(MOD(MONTH(E905) - GST_First_Month, 12), 3), 28)
        ),
        "Invalid frequency"
    )
)</f>
        <v>52</v>
      </c>
    </row>
    <row r="906" spans="3:21" x14ac:dyDescent="0.25">
      <c r="C906" s="24"/>
      <c r="D906" s="20"/>
      <c r="E906" s="4"/>
      <c r="F906" s="37"/>
      <c r="G906" s="38"/>
      <c r="H906" s="31">
        <f>_xlfn.XLOOKUP(PO[[#This Row],[Supplier name]], Supplier_master[Supplier name], Supplier_master[Category L1], 0)</f>
        <v>0</v>
      </c>
      <c r="I906" s="31">
        <f>_xlfn.XLOOKUP(PO[[#This Row],[Supplier name]], Supplier_master[Supplier name], Supplier_master[Category L2], 0)</f>
        <v>0</v>
      </c>
      <c r="J906" s="55"/>
      <c r="K906" s="55"/>
      <c r="L906" s="31">
        <f>IF(PO[[#This Row],[Spend category L1 - Override]] &lt;&gt; "", PO[[#This Row],[Spend category L1 - Override]], PO[[#This Row],[Spend category L1]])</f>
        <v>0</v>
      </c>
      <c r="M906" s="31">
        <f>IF(PO[[#This Row],[Spend category L2 - Override]] &lt;&gt; "", PO[[#This Row],[Spend category L2 - Override]], PO[[#This Row],[Spend category L2]])</f>
        <v>0</v>
      </c>
      <c r="N906" s="63">
        <f>Assumptions!$D$15</f>
        <v>0.1</v>
      </c>
      <c r="O906" s="45">
        <f>IF(PO[[#This Row],[GST applies?]] = "Yes", (PO[[#This Row],[Value inc. GST]] / 1 + PO[[#This Row],[GST %]]) * PO[[#This Row],[GST %]], 0)</f>
        <v>0</v>
      </c>
      <c r="P906" s="31">
        <f>_xlfn.XLOOKUP(PO[[#This Row],[Supplier name]], Supplier_master[Supplier name], Supplier_master[EOM or Net], 0)</f>
        <v>0</v>
      </c>
      <c r="Q906" s="31">
        <f>_xlfn.XLOOKUP(PO[[#This Row],[Supplier name]], Supplier_master[Supplier name], Supplier_master[Terms days], 0)</f>
        <v>0</v>
      </c>
      <c r="R9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6" s="4"/>
      <c r="T906" s="46">
        <f>IF(PO[[#This Row],[Payment date - override (dd/mm/yyyy)]] &lt;&gt; "", PO[[#This Row],[Payment date - override (dd/mm/yyyy)]], PO[[#This Row],[Due date (dd/mm/yyyy)]])</f>
        <v>0</v>
      </c>
      <c r="U906" s="46">
        <f t="shared" si="14"/>
        <v>52</v>
      </c>
    </row>
    <row r="907" spans="3:21" x14ac:dyDescent="0.25">
      <c r="C907" s="24"/>
      <c r="D907" s="20"/>
      <c r="E907" s="4"/>
      <c r="F907" s="37"/>
      <c r="G907" s="38"/>
      <c r="H907" s="31">
        <f>_xlfn.XLOOKUP(PO[[#This Row],[Supplier name]], Supplier_master[Supplier name], Supplier_master[Category L1], 0)</f>
        <v>0</v>
      </c>
      <c r="I907" s="31">
        <f>_xlfn.XLOOKUP(PO[[#This Row],[Supplier name]], Supplier_master[Supplier name], Supplier_master[Category L2], 0)</f>
        <v>0</v>
      </c>
      <c r="J907" s="55"/>
      <c r="K907" s="55"/>
      <c r="L907" s="31">
        <f>IF(PO[[#This Row],[Spend category L1 - Override]] &lt;&gt; "", PO[[#This Row],[Spend category L1 - Override]], PO[[#This Row],[Spend category L1]])</f>
        <v>0</v>
      </c>
      <c r="M907" s="31">
        <f>IF(PO[[#This Row],[Spend category L2 - Override]] &lt;&gt; "", PO[[#This Row],[Spend category L2 - Override]], PO[[#This Row],[Spend category L2]])</f>
        <v>0</v>
      </c>
      <c r="N907" s="63">
        <f>Assumptions!$D$15</f>
        <v>0.1</v>
      </c>
      <c r="O907" s="45">
        <f>IF(PO[[#This Row],[GST applies?]] = "Yes", (PO[[#This Row],[Value inc. GST]] / 1 + PO[[#This Row],[GST %]]) * PO[[#This Row],[GST %]], 0)</f>
        <v>0</v>
      </c>
      <c r="P907" s="31">
        <f>_xlfn.XLOOKUP(PO[[#This Row],[Supplier name]], Supplier_master[Supplier name], Supplier_master[EOM or Net], 0)</f>
        <v>0</v>
      </c>
      <c r="Q907" s="31">
        <f>_xlfn.XLOOKUP(PO[[#This Row],[Supplier name]], Supplier_master[Supplier name], Supplier_master[Terms days], 0)</f>
        <v>0</v>
      </c>
      <c r="R9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7" s="4"/>
      <c r="T907" s="46">
        <f>IF(PO[[#This Row],[Payment date - override (dd/mm/yyyy)]] &lt;&gt; "", PO[[#This Row],[Payment date - override (dd/mm/yyyy)]], PO[[#This Row],[Due date (dd/mm/yyyy)]])</f>
        <v>0</v>
      </c>
      <c r="U907" s="46">
        <f t="shared" si="14"/>
        <v>52</v>
      </c>
    </row>
    <row r="908" spans="3:21" x14ac:dyDescent="0.25">
      <c r="C908" s="24"/>
      <c r="D908" s="20"/>
      <c r="E908" s="4"/>
      <c r="F908" s="37"/>
      <c r="G908" s="38"/>
      <c r="H908" s="31">
        <f>_xlfn.XLOOKUP(PO[[#This Row],[Supplier name]], Supplier_master[Supplier name], Supplier_master[Category L1], 0)</f>
        <v>0</v>
      </c>
      <c r="I908" s="31">
        <f>_xlfn.XLOOKUP(PO[[#This Row],[Supplier name]], Supplier_master[Supplier name], Supplier_master[Category L2], 0)</f>
        <v>0</v>
      </c>
      <c r="J908" s="55"/>
      <c r="K908" s="55"/>
      <c r="L908" s="31">
        <f>IF(PO[[#This Row],[Spend category L1 - Override]] &lt;&gt; "", PO[[#This Row],[Spend category L1 - Override]], PO[[#This Row],[Spend category L1]])</f>
        <v>0</v>
      </c>
      <c r="M908" s="31">
        <f>IF(PO[[#This Row],[Spend category L2 - Override]] &lt;&gt; "", PO[[#This Row],[Spend category L2 - Override]], PO[[#This Row],[Spend category L2]])</f>
        <v>0</v>
      </c>
      <c r="N908" s="63">
        <f>Assumptions!$D$15</f>
        <v>0.1</v>
      </c>
      <c r="O908" s="45">
        <f>IF(PO[[#This Row],[GST applies?]] = "Yes", (PO[[#This Row],[Value inc. GST]] / 1 + PO[[#This Row],[GST %]]) * PO[[#This Row],[GST %]], 0)</f>
        <v>0</v>
      </c>
      <c r="P908" s="31">
        <f>_xlfn.XLOOKUP(PO[[#This Row],[Supplier name]], Supplier_master[Supplier name], Supplier_master[EOM or Net], 0)</f>
        <v>0</v>
      </c>
      <c r="Q908" s="31">
        <f>_xlfn.XLOOKUP(PO[[#This Row],[Supplier name]], Supplier_master[Supplier name], Supplier_master[Terms days], 0)</f>
        <v>0</v>
      </c>
      <c r="R9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8" s="4"/>
      <c r="T908" s="46">
        <f>IF(PO[[#This Row],[Payment date - override (dd/mm/yyyy)]] &lt;&gt; "", PO[[#This Row],[Payment date - override (dd/mm/yyyy)]], PO[[#This Row],[Due date (dd/mm/yyyy)]])</f>
        <v>0</v>
      </c>
      <c r="U908" s="46">
        <f t="shared" si="14"/>
        <v>52</v>
      </c>
    </row>
    <row r="909" spans="3:21" x14ac:dyDescent="0.25">
      <c r="C909" s="24"/>
      <c r="D909" s="20"/>
      <c r="E909" s="4"/>
      <c r="F909" s="37"/>
      <c r="G909" s="38"/>
      <c r="H909" s="31">
        <f>_xlfn.XLOOKUP(PO[[#This Row],[Supplier name]], Supplier_master[Supplier name], Supplier_master[Category L1], 0)</f>
        <v>0</v>
      </c>
      <c r="I909" s="31">
        <f>_xlfn.XLOOKUP(PO[[#This Row],[Supplier name]], Supplier_master[Supplier name], Supplier_master[Category L2], 0)</f>
        <v>0</v>
      </c>
      <c r="J909" s="55"/>
      <c r="K909" s="55"/>
      <c r="L909" s="31">
        <f>IF(PO[[#This Row],[Spend category L1 - Override]] &lt;&gt; "", PO[[#This Row],[Spend category L1 - Override]], PO[[#This Row],[Spend category L1]])</f>
        <v>0</v>
      </c>
      <c r="M909" s="31">
        <f>IF(PO[[#This Row],[Spend category L2 - Override]] &lt;&gt; "", PO[[#This Row],[Spend category L2 - Override]], PO[[#This Row],[Spend category L2]])</f>
        <v>0</v>
      </c>
      <c r="N909" s="63">
        <f>Assumptions!$D$15</f>
        <v>0.1</v>
      </c>
      <c r="O909" s="45">
        <f>IF(PO[[#This Row],[GST applies?]] = "Yes", (PO[[#This Row],[Value inc. GST]] / 1 + PO[[#This Row],[GST %]]) * PO[[#This Row],[GST %]], 0)</f>
        <v>0</v>
      </c>
      <c r="P909" s="31">
        <f>_xlfn.XLOOKUP(PO[[#This Row],[Supplier name]], Supplier_master[Supplier name], Supplier_master[EOM or Net], 0)</f>
        <v>0</v>
      </c>
      <c r="Q909" s="31">
        <f>_xlfn.XLOOKUP(PO[[#This Row],[Supplier name]], Supplier_master[Supplier name], Supplier_master[Terms days], 0)</f>
        <v>0</v>
      </c>
      <c r="R9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9" s="4"/>
      <c r="T909" s="46">
        <f>IF(PO[[#This Row],[Payment date - override (dd/mm/yyyy)]] &lt;&gt; "", PO[[#This Row],[Payment date - override (dd/mm/yyyy)]], PO[[#This Row],[Due date (dd/mm/yyyy)]])</f>
        <v>0</v>
      </c>
      <c r="U909" s="46">
        <f t="shared" si="14"/>
        <v>52</v>
      </c>
    </row>
    <row r="910" spans="3:21" x14ac:dyDescent="0.25">
      <c r="C910" s="24"/>
      <c r="D910" s="20"/>
      <c r="E910" s="4"/>
      <c r="F910" s="37"/>
      <c r="G910" s="38"/>
      <c r="H910" s="31">
        <f>_xlfn.XLOOKUP(PO[[#This Row],[Supplier name]], Supplier_master[Supplier name], Supplier_master[Category L1], 0)</f>
        <v>0</v>
      </c>
      <c r="I910" s="31">
        <f>_xlfn.XLOOKUP(PO[[#This Row],[Supplier name]], Supplier_master[Supplier name], Supplier_master[Category L2], 0)</f>
        <v>0</v>
      </c>
      <c r="J910" s="55"/>
      <c r="K910" s="55"/>
      <c r="L910" s="31">
        <f>IF(PO[[#This Row],[Spend category L1 - Override]] &lt;&gt; "", PO[[#This Row],[Spend category L1 - Override]], PO[[#This Row],[Spend category L1]])</f>
        <v>0</v>
      </c>
      <c r="M910" s="31">
        <f>IF(PO[[#This Row],[Spend category L2 - Override]] &lt;&gt; "", PO[[#This Row],[Spend category L2 - Override]], PO[[#This Row],[Spend category L2]])</f>
        <v>0</v>
      </c>
      <c r="N910" s="63">
        <f>Assumptions!$D$15</f>
        <v>0.1</v>
      </c>
      <c r="O910" s="45">
        <f>IF(PO[[#This Row],[GST applies?]] = "Yes", (PO[[#This Row],[Value inc. GST]] / 1 + PO[[#This Row],[GST %]]) * PO[[#This Row],[GST %]], 0)</f>
        <v>0</v>
      </c>
      <c r="P910" s="31">
        <f>_xlfn.XLOOKUP(PO[[#This Row],[Supplier name]], Supplier_master[Supplier name], Supplier_master[EOM or Net], 0)</f>
        <v>0</v>
      </c>
      <c r="Q910" s="31">
        <f>_xlfn.XLOOKUP(PO[[#This Row],[Supplier name]], Supplier_master[Supplier name], Supplier_master[Terms days], 0)</f>
        <v>0</v>
      </c>
      <c r="R9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0" s="4"/>
      <c r="T910" s="46">
        <f>IF(PO[[#This Row],[Payment date - override (dd/mm/yyyy)]] &lt;&gt; "", PO[[#This Row],[Payment date - override (dd/mm/yyyy)]], PO[[#This Row],[Due date (dd/mm/yyyy)]])</f>
        <v>0</v>
      </c>
      <c r="U910" s="46">
        <f t="shared" si="14"/>
        <v>52</v>
      </c>
    </row>
    <row r="911" spans="3:21" x14ac:dyDescent="0.25">
      <c r="C911" s="24"/>
      <c r="D911" s="20"/>
      <c r="E911" s="4"/>
      <c r="F911" s="37"/>
      <c r="G911" s="38"/>
      <c r="H911" s="31">
        <f>_xlfn.XLOOKUP(PO[[#This Row],[Supplier name]], Supplier_master[Supplier name], Supplier_master[Category L1], 0)</f>
        <v>0</v>
      </c>
      <c r="I911" s="31">
        <f>_xlfn.XLOOKUP(PO[[#This Row],[Supplier name]], Supplier_master[Supplier name], Supplier_master[Category L2], 0)</f>
        <v>0</v>
      </c>
      <c r="J911" s="55"/>
      <c r="K911" s="55"/>
      <c r="L911" s="31">
        <f>IF(PO[[#This Row],[Spend category L1 - Override]] &lt;&gt; "", PO[[#This Row],[Spend category L1 - Override]], PO[[#This Row],[Spend category L1]])</f>
        <v>0</v>
      </c>
      <c r="M911" s="31">
        <f>IF(PO[[#This Row],[Spend category L2 - Override]] &lt;&gt; "", PO[[#This Row],[Spend category L2 - Override]], PO[[#This Row],[Spend category L2]])</f>
        <v>0</v>
      </c>
      <c r="N911" s="63">
        <f>Assumptions!$D$15</f>
        <v>0.1</v>
      </c>
      <c r="O911" s="45">
        <f>IF(PO[[#This Row],[GST applies?]] = "Yes", (PO[[#This Row],[Value inc. GST]] / 1 + PO[[#This Row],[GST %]]) * PO[[#This Row],[GST %]], 0)</f>
        <v>0</v>
      </c>
      <c r="P911" s="31">
        <f>_xlfn.XLOOKUP(PO[[#This Row],[Supplier name]], Supplier_master[Supplier name], Supplier_master[EOM or Net], 0)</f>
        <v>0</v>
      </c>
      <c r="Q911" s="31">
        <f>_xlfn.XLOOKUP(PO[[#This Row],[Supplier name]], Supplier_master[Supplier name], Supplier_master[Terms days], 0)</f>
        <v>0</v>
      </c>
      <c r="R9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1" s="4"/>
      <c r="T911" s="46">
        <f>IF(PO[[#This Row],[Payment date - override (dd/mm/yyyy)]] &lt;&gt; "", PO[[#This Row],[Payment date - override (dd/mm/yyyy)]], PO[[#This Row],[Due date (dd/mm/yyyy)]])</f>
        <v>0</v>
      </c>
      <c r="U911" s="46">
        <f t="shared" si="14"/>
        <v>52</v>
      </c>
    </row>
    <row r="912" spans="3:21" x14ac:dyDescent="0.25">
      <c r="C912" s="24"/>
      <c r="D912" s="20"/>
      <c r="E912" s="4"/>
      <c r="F912" s="37"/>
      <c r="G912" s="38"/>
      <c r="H912" s="31">
        <f>_xlfn.XLOOKUP(PO[[#This Row],[Supplier name]], Supplier_master[Supplier name], Supplier_master[Category L1], 0)</f>
        <v>0</v>
      </c>
      <c r="I912" s="31">
        <f>_xlfn.XLOOKUP(PO[[#This Row],[Supplier name]], Supplier_master[Supplier name], Supplier_master[Category L2], 0)</f>
        <v>0</v>
      </c>
      <c r="J912" s="55"/>
      <c r="K912" s="55"/>
      <c r="L912" s="31">
        <f>IF(PO[[#This Row],[Spend category L1 - Override]] &lt;&gt; "", PO[[#This Row],[Spend category L1 - Override]], PO[[#This Row],[Spend category L1]])</f>
        <v>0</v>
      </c>
      <c r="M912" s="31">
        <f>IF(PO[[#This Row],[Spend category L2 - Override]] &lt;&gt; "", PO[[#This Row],[Spend category L2 - Override]], PO[[#This Row],[Spend category L2]])</f>
        <v>0</v>
      </c>
      <c r="N912" s="63">
        <f>Assumptions!$D$15</f>
        <v>0.1</v>
      </c>
      <c r="O912" s="45">
        <f>IF(PO[[#This Row],[GST applies?]] = "Yes", (PO[[#This Row],[Value inc. GST]] / 1 + PO[[#This Row],[GST %]]) * PO[[#This Row],[GST %]], 0)</f>
        <v>0</v>
      </c>
      <c r="P912" s="31">
        <f>_xlfn.XLOOKUP(PO[[#This Row],[Supplier name]], Supplier_master[Supplier name], Supplier_master[EOM or Net], 0)</f>
        <v>0</v>
      </c>
      <c r="Q912" s="31">
        <f>_xlfn.XLOOKUP(PO[[#This Row],[Supplier name]], Supplier_master[Supplier name], Supplier_master[Terms days], 0)</f>
        <v>0</v>
      </c>
      <c r="R9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2" s="4"/>
      <c r="T912" s="46">
        <f>IF(PO[[#This Row],[Payment date - override (dd/mm/yyyy)]] &lt;&gt; "", PO[[#This Row],[Payment date - override (dd/mm/yyyy)]], PO[[#This Row],[Due date (dd/mm/yyyy)]])</f>
        <v>0</v>
      </c>
      <c r="U912" s="46">
        <f t="shared" si="14"/>
        <v>52</v>
      </c>
    </row>
    <row r="913" spans="3:21" x14ac:dyDescent="0.25">
      <c r="C913" s="24"/>
      <c r="D913" s="20"/>
      <c r="E913" s="4"/>
      <c r="F913" s="37"/>
      <c r="G913" s="38"/>
      <c r="H913" s="31">
        <f>_xlfn.XLOOKUP(PO[[#This Row],[Supplier name]], Supplier_master[Supplier name], Supplier_master[Category L1], 0)</f>
        <v>0</v>
      </c>
      <c r="I913" s="31">
        <f>_xlfn.XLOOKUP(PO[[#This Row],[Supplier name]], Supplier_master[Supplier name], Supplier_master[Category L2], 0)</f>
        <v>0</v>
      </c>
      <c r="J913" s="55"/>
      <c r="K913" s="55"/>
      <c r="L913" s="31">
        <f>IF(PO[[#This Row],[Spend category L1 - Override]] &lt;&gt; "", PO[[#This Row],[Spend category L1 - Override]], PO[[#This Row],[Spend category L1]])</f>
        <v>0</v>
      </c>
      <c r="M913" s="31">
        <f>IF(PO[[#This Row],[Spend category L2 - Override]] &lt;&gt; "", PO[[#This Row],[Spend category L2 - Override]], PO[[#This Row],[Spend category L2]])</f>
        <v>0</v>
      </c>
      <c r="N913" s="63">
        <f>Assumptions!$D$15</f>
        <v>0.1</v>
      </c>
      <c r="O913" s="45">
        <f>IF(PO[[#This Row],[GST applies?]] = "Yes", (PO[[#This Row],[Value inc. GST]] / 1 + PO[[#This Row],[GST %]]) * PO[[#This Row],[GST %]], 0)</f>
        <v>0</v>
      </c>
      <c r="P913" s="31">
        <f>_xlfn.XLOOKUP(PO[[#This Row],[Supplier name]], Supplier_master[Supplier name], Supplier_master[EOM or Net], 0)</f>
        <v>0</v>
      </c>
      <c r="Q913" s="31">
        <f>_xlfn.XLOOKUP(PO[[#This Row],[Supplier name]], Supplier_master[Supplier name], Supplier_master[Terms days], 0)</f>
        <v>0</v>
      </c>
      <c r="R9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3" s="4"/>
      <c r="T913" s="46">
        <f>IF(PO[[#This Row],[Payment date - override (dd/mm/yyyy)]] &lt;&gt; "", PO[[#This Row],[Payment date - override (dd/mm/yyyy)]], PO[[#This Row],[Due date (dd/mm/yyyy)]])</f>
        <v>0</v>
      </c>
      <c r="U913" s="46">
        <f t="shared" si="14"/>
        <v>52</v>
      </c>
    </row>
    <row r="914" spans="3:21" x14ac:dyDescent="0.25">
      <c r="C914" s="24"/>
      <c r="D914" s="20"/>
      <c r="E914" s="4"/>
      <c r="F914" s="37"/>
      <c r="G914" s="38"/>
      <c r="H914" s="31">
        <f>_xlfn.XLOOKUP(PO[[#This Row],[Supplier name]], Supplier_master[Supplier name], Supplier_master[Category L1], 0)</f>
        <v>0</v>
      </c>
      <c r="I914" s="31">
        <f>_xlfn.XLOOKUP(PO[[#This Row],[Supplier name]], Supplier_master[Supplier name], Supplier_master[Category L2], 0)</f>
        <v>0</v>
      </c>
      <c r="J914" s="55"/>
      <c r="K914" s="55"/>
      <c r="L914" s="31">
        <f>IF(PO[[#This Row],[Spend category L1 - Override]] &lt;&gt; "", PO[[#This Row],[Spend category L1 - Override]], PO[[#This Row],[Spend category L1]])</f>
        <v>0</v>
      </c>
      <c r="M914" s="31">
        <f>IF(PO[[#This Row],[Spend category L2 - Override]] &lt;&gt; "", PO[[#This Row],[Spend category L2 - Override]], PO[[#This Row],[Spend category L2]])</f>
        <v>0</v>
      </c>
      <c r="N914" s="63">
        <f>Assumptions!$D$15</f>
        <v>0.1</v>
      </c>
      <c r="O914" s="45">
        <f>IF(PO[[#This Row],[GST applies?]] = "Yes", (PO[[#This Row],[Value inc. GST]] / 1 + PO[[#This Row],[GST %]]) * PO[[#This Row],[GST %]], 0)</f>
        <v>0</v>
      </c>
      <c r="P914" s="31">
        <f>_xlfn.XLOOKUP(PO[[#This Row],[Supplier name]], Supplier_master[Supplier name], Supplier_master[EOM or Net], 0)</f>
        <v>0</v>
      </c>
      <c r="Q914" s="31">
        <f>_xlfn.XLOOKUP(PO[[#This Row],[Supplier name]], Supplier_master[Supplier name], Supplier_master[Terms days], 0)</f>
        <v>0</v>
      </c>
      <c r="R9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4" s="4"/>
      <c r="T914" s="46">
        <f>IF(PO[[#This Row],[Payment date - override (dd/mm/yyyy)]] &lt;&gt; "", PO[[#This Row],[Payment date - override (dd/mm/yyyy)]], PO[[#This Row],[Due date (dd/mm/yyyy)]])</f>
        <v>0</v>
      </c>
      <c r="U914" s="46">
        <f t="shared" si="14"/>
        <v>52</v>
      </c>
    </row>
    <row r="915" spans="3:21" x14ac:dyDescent="0.25">
      <c r="C915" s="24"/>
      <c r="D915" s="20"/>
      <c r="E915" s="4"/>
      <c r="F915" s="37"/>
      <c r="G915" s="38"/>
      <c r="H915" s="31">
        <f>_xlfn.XLOOKUP(PO[[#This Row],[Supplier name]], Supplier_master[Supplier name], Supplier_master[Category L1], 0)</f>
        <v>0</v>
      </c>
      <c r="I915" s="31">
        <f>_xlfn.XLOOKUP(PO[[#This Row],[Supplier name]], Supplier_master[Supplier name], Supplier_master[Category L2], 0)</f>
        <v>0</v>
      </c>
      <c r="J915" s="55"/>
      <c r="K915" s="55"/>
      <c r="L915" s="31">
        <f>IF(PO[[#This Row],[Spend category L1 - Override]] &lt;&gt; "", PO[[#This Row],[Spend category L1 - Override]], PO[[#This Row],[Spend category L1]])</f>
        <v>0</v>
      </c>
      <c r="M915" s="31">
        <f>IF(PO[[#This Row],[Spend category L2 - Override]] &lt;&gt; "", PO[[#This Row],[Spend category L2 - Override]], PO[[#This Row],[Spend category L2]])</f>
        <v>0</v>
      </c>
      <c r="N915" s="63">
        <f>Assumptions!$D$15</f>
        <v>0.1</v>
      </c>
      <c r="O915" s="45">
        <f>IF(PO[[#This Row],[GST applies?]] = "Yes", (PO[[#This Row],[Value inc. GST]] / 1 + PO[[#This Row],[GST %]]) * PO[[#This Row],[GST %]], 0)</f>
        <v>0</v>
      </c>
      <c r="P915" s="31">
        <f>_xlfn.XLOOKUP(PO[[#This Row],[Supplier name]], Supplier_master[Supplier name], Supplier_master[EOM or Net], 0)</f>
        <v>0</v>
      </c>
      <c r="Q915" s="31">
        <f>_xlfn.XLOOKUP(PO[[#This Row],[Supplier name]], Supplier_master[Supplier name], Supplier_master[Terms days], 0)</f>
        <v>0</v>
      </c>
      <c r="R9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5" s="4"/>
      <c r="T915" s="46">
        <f>IF(PO[[#This Row],[Payment date - override (dd/mm/yyyy)]] &lt;&gt; "", PO[[#This Row],[Payment date - override (dd/mm/yyyy)]], PO[[#This Row],[Due date (dd/mm/yyyy)]])</f>
        <v>0</v>
      </c>
      <c r="U915" s="46">
        <f t="shared" si="14"/>
        <v>52</v>
      </c>
    </row>
    <row r="916" spans="3:21" x14ac:dyDescent="0.25">
      <c r="C916" s="24"/>
      <c r="D916" s="20"/>
      <c r="E916" s="4"/>
      <c r="F916" s="37"/>
      <c r="G916" s="38"/>
      <c r="H916" s="31">
        <f>_xlfn.XLOOKUP(PO[[#This Row],[Supplier name]], Supplier_master[Supplier name], Supplier_master[Category L1], 0)</f>
        <v>0</v>
      </c>
      <c r="I916" s="31">
        <f>_xlfn.XLOOKUP(PO[[#This Row],[Supplier name]], Supplier_master[Supplier name], Supplier_master[Category L2], 0)</f>
        <v>0</v>
      </c>
      <c r="J916" s="55"/>
      <c r="K916" s="55"/>
      <c r="L916" s="31">
        <f>IF(PO[[#This Row],[Spend category L1 - Override]] &lt;&gt; "", PO[[#This Row],[Spend category L1 - Override]], PO[[#This Row],[Spend category L1]])</f>
        <v>0</v>
      </c>
      <c r="M916" s="31">
        <f>IF(PO[[#This Row],[Spend category L2 - Override]] &lt;&gt; "", PO[[#This Row],[Spend category L2 - Override]], PO[[#This Row],[Spend category L2]])</f>
        <v>0</v>
      </c>
      <c r="N916" s="63">
        <f>Assumptions!$D$15</f>
        <v>0.1</v>
      </c>
      <c r="O916" s="45">
        <f>IF(PO[[#This Row],[GST applies?]] = "Yes", (PO[[#This Row],[Value inc. GST]] / 1 + PO[[#This Row],[GST %]]) * PO[[#This Row],[GST %]], 0)</f>
        <v>0</v>
      </c>
      <c r="P916" s="31">
        <f>_xlfn.XLOOKUP(PO[[#This Row],[Supplier name]], Supplier_master[Supplier name], Supplier_master[EOM or Net], 0)</f>
        <v>0</v>
      </c>
      <c r="Q916" s="31">
        <f>_xlfn.XLOOKUP(PO[[#This Row],[Supplier name]], Supplier_master[Supplier name], Supplier_master[Terms days], 0)</f>
        <v>0</v>
      </c>
      <c r="R9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6" s="4"/>
      <c r="T916" s="46">
        <f>IF(PO[[#This Row],[Payment date - override (dd/mm/yyyy)]] &lt;&gt; "", PO[[#This Row],[Payment date - override (dd/mm/yyyy)]], PO[[#This Row],[Due date (dd/mm/yyyy)]])</f>
        <v>0</v>
      </c>
      <c r="U916" s="46">
        <f t="shared" si="14"/>
        <v>52</v>
      </c>
    </row>
    <row r="917" spans="3:21" x14ac:dyDescent="0.25">
      <c r="C917" s="24"/>
      <c r="D917" s="20"/>
      <c r="E917" s="4"/>
      <c r="F917" s="37"/>
      <c r="G917" s="38"/>
      <c r="H917" s="31">
        <f>_xlfn.XLOOKUP(PO[[#This Row],[Supplier name]], Supplier_master[Supplier name], Supplier_master[Category L1], 0)</f>
        <v>0</v>
      </c>
      <c r="I917" s="31">
        <f>_xlfn.XLOOKUP(PO[[#This Row],[Supplier name]], Supplier_master[Supplier name], Supplier_master[Category L2], 0)</f>
        <v>0</v>
      </c>
      <c r="J917" s="55"/>
      <c r="K917" s="55"/>
      <c r="L917" s="31">
        <f>IF(PO[[#This Row],[Spend category L1 - Override]] &lt;&gt; "", PO[[#This Row],[Spend category L1 - Override]], PO[[#This Row],[Spend category L1]])</f>
        <v>0</v>
      </c>
      <c r="M917" s="31">
        <f>IF(PO[[#This Row],[Spend category L2 - Override]] &lt;&gt; "", PO[[#This Row],[Spend category L2 - Override]], PO[[#This Row],[Spend category L2]])</f>
        <v>0</v>
      </c>
      <c r="N917" s="63">
        <f>Assumptions!$D$15</f>
        <v>0.1</v>
      </c>
      <c r="O917" s="45">
        <f>IF(PO[[#This Row],[GST applies?]] = "Yes", (PO[[#This Row],[Value inc. GST]] / 1 + PO[[#This Row],[GST %]]) * PO[[#This Row],[GST %]], 0)</f>
        <v>0</v>
      </c>
      <c r="P917" s="31">
        <f>_xlfn.XLOOKUP(PO[[#This Row],[Supplier name]], Supplier_master[Supplier name], Supplier_master[EOM or Net], 0)</f>
        <v>0</v>
      </c>
      <c r="Q917" s="31">
        <f>_xlfn.XLOOKUP(PO[[#This Row],[Supplier name]], Supplier_master[Supplier name], Supplier_master[Terms days], 0)</f>
        <v>0</v>
      </c>
      <c r="R9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7" s="4"/>
      <c r="T917" s="46">
        <f>IF(PO[[#This Row],[Payment date - override (dd/mm/yyyy)]] &lt;&gt; "", PO[[#This Row],[Payment date - override (dd/mm/yyyy)]], PO[[#This Row],[Due date (dd/mm/yyyy)]])</f>
        <v>0</v>
      </c>
      <c r="U917" s="46">
        <f t="shared" si="14"/>
        <v>52</v>
      </c>
    </row>
    <row r="918" spans="3:21" x14ac:dyDescent="0.25">
      <c r="C918" s="24"/>
      <c r="D918" s="20"/>
      <c r="E918" s="4"/>
      <c r="F918" s="37"/>
      <c r="G918" s="38"/>
      <c r="H918" s="31">
        <f>_xlfn.XLOOKUP(PO[[#This Row],[Supplier name]], Supplier_master[Supplier name], Supplier_master[Category L1], 0)</f>
        <v>0</v>
      </c>
      <c r="I918" s="31">
        <f>_xlfn.XLOOKUP(PO[[#This Row],[Supplier name]], Supplier_master[Supplier name], Supplier_master[Category L2], 0)</f>
        <v>0</v>
      </c>
      <c r="J918" s="55"/>
      <c r="K918" s="55"/>
      <c r="L918" s="31">
        <f>IF(PO[[#This Row],[Spend category L1 - Override]] &lt;&gt; "", PO[[#This Row],[Spend category L1 - Override]], PO[[#This Row],[Spend category L1]])</f>
        <v>0</v>
      </c>
      <c r="M918" s="31">
        <f>IF(PO[[#This Row],[Spend category L2 - Override]] &lt;&gt; "", PO[[#This Row],[Spend category L2 - Override]], PO[[#This Row],[Spend category L2]])</f>
        <v>0</v>
      </c>
      <c r="N918" s="63">
        <f>Assumptions!$D$15</f>
        <v>0.1</v>
      </c>
      <c r="O918" s="45">
        <f>IF(PO[[#This Row],[GST applies?]] = "Yes", (PO[[#This Row],[Value inc. GST]] / 1 + PO[[#This Row],[GST %]]) * PO[[#This Row],[GST %]], 0)</f>
        <v>0</v>
      </c>
      <c r="P918" s="31">
        <f>_xlfn.XLOOKUP(PO[[#This Row],[Supplier name]], Supplier_master[Supplier name], Supplier_master[EOM or Net], 0)</f>
        <v>0</v>
      </c>
      <c r="Q918" s="31">
        <f>_xlfn.XLOOKUP(PO[[#This Row],[Supplier name]], Supplier_master[Supplier name], Supplier_master[Terms days], 0)</f>
        <v>0</v>
      </c>
      <c r="R9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8" s="4"/>
      <c r="T918" s="46">
        <f>IF(PO[[#This Row],[Payment date - override (dd/mm/yyyy)]] &lt;&gt; "", PO[[#This Row],[Payment date - override (dd/mm/yyyy)]], PO[[#This Row],[Due date (dd/mm/yyyy)]])</f>
        <v>0</v>
      </c>
      <c r="U918" s="46">
        <f t="shared" si="14"/>
        <v>52</v>
      </c>
    </row>
    <row r="919" spans="3:21" x14ac:dyDescent="0.25">
      <c r="C919" s="24"/>
      <c r="D919" s="20"/>
      <c r="E919" s="4"/>
      <c r="F919" s="37"/>
      <c r="G919" s="38"/>
      <c r="H919" s="31">
        <f>_xlfn.XLOOKUP(PO[[#This Row],[Supplier name]], Supplier_master[Supplier name], Supplier_master[Category L1], 0)</f>
        <v>0</v>
      </c>
      <c r="I919" s="31">
        <f>_xlfn.XLOOKUP(PO[[#This Row],[Supplier name]], Supplier_master[Supplier name], Supplier_master[Category L2], 0)</f>
        <v>0</v>
      </c>
      <c r="J919" s="55"/>
      <c r="K919" s="55"/>
      <c r="L919" s="31">
        <f>IF(PO[[#This Row],[Spend category L1 - Override]] &lt;&gt; "", PO[[#This Row],[Spend category L1 - Override]], PO[[#This Row],[Spend category L1]])</f>
        <v>0</v>
      </c>
      <c r="M919" s="31">
        <f>IF(PO[[#This Row],[Spend category L2 - Override]] &lt;&gt; "", PO[[#This Row],[Spend category L2 - Override]], PO[[#This Row],[Spend category L2]])</f>
        <v>0</v>
      </c>
      <c r="N919" s="63">
        <f>Assumptions!$D$15</f>
        <v>0.1</v>
      </c>
      <c r="O919" s="45">
        <f>IF(PO[[#This Row],[GST applies?]] = "Yes", (PO[[#This Row],[Value inc. GST]] / 1 + PO[[#This Row],[GST %]]) * PO[[#This Row],[GST %]], 0)</f>
        <v>0</v>
      </c>
      <c r="P919" s="31">
        <f>_xlfn.XLOOKUP(PO[[#This Row],[Supplier name]], Supplier_master[Supplier name], Supplier_master[EOM or Net], 0)</f>
        <v>0</v>
      </c>
      <c r="Q919" s="31">
        <f>_xlfn.XLOOKUP(PO[[#This Row],[Supplier name]], Supplier_master[Supplier name], Supplier_master[Terms days], 0)</f>
        <v>0</v>
      </c>
      <c r="R9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9" s="4"/>
      <c r="T919" s="46">
        <f>IF(PO[[#This Row],[Payment date - override (dd/mm/yyyy)]] &lt;&gt; "", PO[[#This Row],[Payment date - override (dd/mm/yyyy)]], PO[[#This Row],[Due date (dd/mm/yyyy)]])</f>
        <v>0</v>
      </c>
      <c r="U919" s="46">
        <f t="shared" si="14"/>
        <v>52</v>
      </c>
    </row>
    <row r="920" spans="3:21" x14ac:dyDescent="0.25">
      <c r="C920" s="24"/>
      <c r="D920" s="20"/>
      <c r="E920" s="4"/>
      <c r="F920" s="37"/>
      <c r="G920" s="38"/>
      <c r="H920" s="31">
        <f>_xlfn.XLOOKUP(PO[[#This Row],[Supplier name]], Supplier_master[Supplier name], Supplier_master[Category L1], 0)</f>
        <v>0</v>
      </c>
      <c r="I920" s="31">
        <f>_xlfn.XLOOKUP(PO[[#This Row],[Supplier name]], Supplier_master[Supplier name], Supplier_master[Category L2], 0)</f>
        <v>0</v>
      </c>
      <c r="J920" s="55"/>
      <c r="K920" s="55"/>
      <c r="L920" s="31">
        <f>IF(PO[[#This Row],[Spend category L1 - Override]] &lt;&gt; "", PO[[#This Row],[Spend category L1 - Override]], PO[[#This Row],[Spend category L1]])</f>
        <v>0</v>
      </c>
      <c r="M920" s="31">
        <f>IF(PO[[#This Row],[Spend category L2 - Override]] &lt;&gt; "", PO[[#This Row],[Spend category L2 - Override]], PO[[#This Row],[Spend category L2]])</f>
        <v>0</v>
      </c>
      <c r="N920" s="63">
        <f>Assumptions!$D$15</f>
        <v>0.1</v>
      </c>
      <c r="O920" s="45">
        <f>IF(PO[[#This Row],[GST applies?]] = "Yes", (PO[[#This Row],[Value inc. GST]] / 1 + PO[[#This Row],[GST %]]) * PO[[#This Row],[GST %]], 0)</f>
        <v>0</v>
      </c>
      <c r="P920" s="31">
        <f>_xlfn.XLOOKUP(PO[[#This Row],[Supplier name]], Supplier_master[Supplier name], Supplier_master[EOM or Net], 0)</f>
        <v>0</v>
      </c>
      <c r="Q920" s="31">
        <f>_xlfn.XLOOKUP(PO[[#This Row],[Supplier name]], Supplier_master[Supplier name], Supplier_master[Terms days], 0)</f>
        <v>0</v>
      </c>
      <c r="R9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0" s="4"/>
      <c r="T920" s="46">
        <f>IF(PO[[#This Row],[Payment date - override (dd/mm/yyyy)]] &lt;&gt; "", PO[[#This Row],[Payment date - override (dd/mm/yyyy)]], PO[[#This Row],[Due date (dd/mm/yyyy)]])</f>
        <v>0</v>
      </c>
      <c r="U920" s="46">
        <f t="shared" si="14"/>
        <v>52</v>
      </c>
    </row>
    <row r="921" spans="3:21" x14ac:dyDescent="0.25">
      <c r="C921" s="24"/>
      <c r="D921" s="20"/>
      <c r="E921" s="4"/>
      <c r="F921" s="37"/>
      <c r="G921" s="38"/>
      <c r="H921" s="31">
        <f>_xlfn.XLOOKUP(PO[[#This Row],[Supplier name]], Supplier_master[Supplier name], Supplier_master[Category L1], 0)</f>
        <v>0</v>
      </c>
      <c r="I921" s="31">
        <f>_xlfn.XLOOKUP(PO[[#This Row],[Supplier name]], Supplier_master[Supplier name], Supplier_master[Category L2], 0)</f>
        <v>0</v>
      </c>
      <c r="J921" s="55"/>
      <c r="K921" s="55"/>
      <c r="L921" s="31">
        <f>IF(PO[[#This Row],[Spend category L1 - Override]] &lt;&gt; "", PO[[#This Row],[Spend category L1 - Override]], PO[[#This Row],[Spend category L1]])</f>
        <v>0</v>
      </c>
      <c r="M921" s="31">
        <f>IF(PO[[#This Row],[Spend category L2 - Override]] &lt;&gt; "", PO[[#This Row],[Spend category L2 - Override]], PO[[#This Row],[Spend category L2]])</f>
        <v>0</v>
      </c>
      <c r="N921" s="63">
        <f>Assumptions!$D$15</f>
        <v>0.1</v>
      </c>
      <c r="O921" s="45">
        <f>IF(PO[[#This Row],[GST applies?]] = "Yes", (PO[[#This Row],[Value inc. GST]] / 1 + PO[[#This Row],[GST %]]) * PO[[#This Row],[GST %]], 0)</f>
        <v>0</v>
      </c>
      <c r="P921" s="31">
        <f>_xlfn.XLOOKUP(PO[[#This Row],[Supplier name]], Supplier_master[Supplier name], Supplier_master[EOM or Net], 0)</f>
        <v>0</v>
      </c>
      <c r="Q921" s="31">
        <f>_xlfn.XLOOKUP(PO[[#This Row],[Supplier name]], Supplier_master[Supplier name], Supplier_master[Terms days], 0)</f>
        <v>0</v>
      </c>
      <c r="R9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1" s="4"/>
      <c r="T921" s="46">
        <f>IF(PO[[#This Row],[Payment date - override (dd/mm/yyyy)]] &lt;&gt; "", PO[[#This Row],[Payment date - override (dd/mm/yyyy)]], PO[[#This Row],[Due date (dd/mm/yyyy)]])</f>
        <v>0</v>
      </c>
      <c r="U921" s="46">
        <f t="shared" si="14"/>
        <v>52</v>
      </c>
    </row>
    <row r="922" spans="3:21" x14ac:dyDescent="0.25">
      <c r="C922" s="24"/>
      <c r="D922" s="20"/>
      <c r="E922" s="4"/>
      <c r="F922" s="37"/>
      <c r="G922" s="38"/>
      <c r="H922" s="31">
        <f>_xlfn.XLOOKUP(PO[[#This Row],[Supplier name]], Supplier_master[Supplier name], Supplier_master[Category L1], 0)</f>
        <v>0</v>
      </c>
      <c r="I922" s="31">
        <f>_xlfn.XLOOKUP(PO[[#This Row],[Supplier name]], Supplier_master[Supplier name], Supplier_master[Category L2], 0)</f>
        <v>0</v>
      </c>
      <c r="J922" s="55"/>
      <c r="K922" s="55"/>
      <c r="L922" s="31">
        <f>IF(PO[[#This Row],[Spend category L1 - Override]] &lt;&gt; "", PO[[#This Row],[Spend category L1 - Override]], PO[[#This Row],[Spend category L1]])</f>
        <v>0</v>
      </c>
      <c r="M922" s="31">
        <f>IF(PO[[#This Row],[Spend category L2 - Override]] &lt;&gt; "", PO[[#This Row],[Spend category L2 - Override]], PO[[#This Row],[Spend category L2]])</f>
        <v>0</v>
      </c>
      <c r="N922" s="63">
        <f>Assumptions!$D$15</f>
        <v>0.1</v>
      </c>
      <c r="O922" s="45">
        <f>IF(PO[[#This Row],[GST applies?]] = "Yes", (PO[[#This Row],[Value inc. GST]] / 1 + PO[[#This Row],[GST %]]) * PO[[#This Row],[GST %]], 0)</f>
        <v>0</v>
      </c>
      <c r="P922" s="31">
        <f>_xlfn.XLOOKUP(PO[[#This Row],[Supplier name]], Supplier_master[Supplier name], Supplier_master[EOM or Net], 0)</f>
        <v>0</v>
      </c>
      <c r="Q922" s="31">
        <f>_xlfn.XLOOKUP(PO[[#This Row],[Supplier name]], Supplier_master[Supplier name], Supplier_master[Terms days], 0)</f>
        <v>0</v>
      </c>
      <c r="R9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2" s="4"/>
      <c r="T922" s="46">
        <f>IF(PO[[#This Row],[Payment date - override (dd/mm/yyyy)]] &lt;&gt; "", PO[[#This Row],[Payment date - override (dd/mm/yyyy)]], PO[[#This Row],[Due date (dd/mm/yyyy)]])</f>
        <v>0</v>
      </c>
      <c r="U922" s="46">
        <f t="shared" si="14"/>
        <v>52</v>
      </c>
    </row>
    <row r="923" spans="3:21" x14ac:dyDescent="0.25">
      <c r="C923" s="24"/>
      <c r="D923" s="20"/>
      <c r="E923" s="4"/>
      <c r="F923" s="37"/>
      <c r="G923" s="38"/>
      <c r="H923" s="31">
        <f>_xlfn.XLOOKUP(PO[[#This Row],[Supplier name]], Supplier_master[Supplier name], Supplier_master[Category L1], 0)</f>
        <v>0</v>
      </c>
      <c r="I923" s="31">
        <f>_xlfn.XLOOKUP(PO[[#This Row],[Supplier name]], Supplier_master[Supplier name], Supplier_master[Category L2], 0)</f>
        <v>0</v>
      </c>
      <c r="J923" s="55"/>
      <c r="K923" s="55"/>
      <c r="L923" s="31">
        <f>IF(PO[[#This Row],[Spend category L1 - Override]] &lt;&gt; "", PO[[#This Row],[Spend category L1 - Override]], PO[[#This Row],[Spend category L1]])</f>
        <v>0</v>
      </c>
      <c r="M923" s="31">
        <f>IF(PO[[#This Row],[Spend category L2 - Override]] &lt;&gt; "", PO[[#This Row],[Spend category L2 - Override]], PO[[#This Row],[Spend category L2]])</f>
        <v>0</v>
      </c>
      <c r="N923" s="63">
        <f>Assumptions!$D$15</f>
        <v>0.1</v>
      </c>
      <c r="O923" s="45">
        <f>IF(PO[[#This Row],[GST applies?]] = "Yes", (PO[[#This Row],[Value inc. GST]] / 1 + PO[[#This Row],[GST %]]) * PO[[#This Row],[GST %]], 0)</f>
        <v>0</v>
      </c>
      <c r="P923" s="31">
        <f>_xlfn.XLOOKUP(PO[[#This Row],[Supplier name]], Supplier_master[Supplier name], Supplier_master[EOM or Net], 0)</f>
        <v>0</v>
      </c>
      <c r="Q923" s="31">
        <f>_xlfn.XLOOKUP(PO[[#This Row],[Supplier name]], Supplier_master[Supplier name], Supplier_master[Terms days], 0)</f>
        <v>0</v>
      </c>
      <c r="R9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3" s="4"/>
      <c r="T923" s="46">
        <f>IF(PO[[#This Row],[Payment date - override (dd/mm/yyyy)]] &lt;&gt; "", PO[[#This Row],[Payment date - override (dd/mm/yyyy)]], PO[[#This Row],[Due date (dd/mm/yyyy)]])</f>
        <v>0</v>
      </c>
      <c r="U923" s="46">
        <f t="shared" si="14"/>
        <v>52</v>
      </c>
    </row>
    <row r="924" spans="3:21" x14ac:dyDescent="0.25">
      <c r="C924" s="24"/>
      <c r="D924" s="20"/>
      <c r="E924" s="4"/>
      <c r="F924" s="37"/>
      <c r="G924" s="38"/>
      <c r="H924" s="31">
        <f>_xlfn.XLOOKUP(PO[[#This Row],[Supplier name]], Supplier_master[Supplier name], Supplier_master[Category L1], 0)</f>
        <v>0</v>
      </c>
      <c r="I924" s="31">
        <f>_xlfn.XLOOKUP(PO[[#This Row],[Supplier name]], Supplier_master[Supplier name], Supplier_master[Category L2], 0)</f>
        <v>0</v>
      </c>
      <c r="J924" s="55"/>
      <c r="K924" s="55"/>
      <c r="L924" s="31">
        <f>IF(PO[[#This Row],[Spend category L1 - Override]] &lt;&gt; "", PO[[#This Row],[Spend category L1 - Override]], PO[[#This Row],[Spend category L1]])</f>
        <v>0</v>
      </c>
      <c r="M924" s="31">
        <f>IF(PO[[#This Row],[Spend category L2 - Override]] &lt;&gt; "", PO[[#This Row],[Spend category L2 - Override]], PO[[#This Row],[Spend category L2]])</f>
        <v>0</v>
      </c>
      <c r="N924" s="63">
        <f>Assumptions!$D$15</f>
        <v>0.1</v>
      </c>
      <c r="O924" s="45">
        <f>IF(PO[[#This Row],[GST applies?]] = "Yes", (PO[[#This Row],[Value inc. GST]] / 1 + PO[[#This Row],[GST %]]) * PO[[#This Row],[GST %]], 0)</f>
        <v>0</v>
      </c>
      <c r="P924" s="31">
        <f>_xlfn.XLOOKUP(PO[[#This Row],[Supplier name]], Supplier_master[Supplier name], Supplier_master[EOM or Net], 0)</f>
        <v>0</v>
      </c>
      <c r="Q924" s="31">
        <f>_xlfn.XLOOKUP(PO[[#This Row],[Supplier name]], Supplier_master[Supplier name], Supplier_master[Terms days], 0)</f>
        <v>0</v>
      </c>
      <c r="R9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4" s="4"/>
      <c r="T924" s="46">
        <f>IF(PO[[#This Row],[Payment date - override (dd/mm/yyyy)]] &lt;&gt; "", PO[[#This Row],[Payment date - override (dd/mm/yyyy)]], PO[[#This Row],[Due date (dd/mm/yyyy)]])</f>
        <v>0</v>
      </c>
      <c r="U924" s="46">
        <f t="shared" si="14"/>
        <v>52</v>
      </c>
    </row>
    <row r="925" spans="3:21" x14ac:dyDescent="0.25">
      <c r="C925" s="24"/>
      <c r="D925" s="20"/>
      <c r="E925" s="4"/>
      <c r="F925" s="37"/>
      <c r="G925" s="38"/>
      <c r="H925" s="31">
        <f>_xlfn.XLOOKUP(PO[[#This Row],[Supplier name]], Supplier_master[Supplier name], Supplier_master[Category L1], 0)</f>
        <v>0</v>
      </c>
      <c r="I925" s="31">
        <f>_xlfn.XLOOKUP(PO[[#This Row],[Supplier name]], Supplier_master[Supplier name], Supplier_master[Category L2], 0)</f>
        <v>0</v>
      </c>
      <c r="J925" s="55"/>
      <c r="K925" s="55"/>
      <c r="L925" s="31">
        <f>IF(PO[[#This Row],[Spend category L1 - Override]] &lt;&gt; "", PO[[#This Row],[Spend category L1 - Override]], PO[[#This Row],[Spend category L1]])</f>
        <v>0</v>
      </c>
      <c r="M925" s="31">
        <f>IF(PO[[#This Row],[Spend category L2 - Override]] &lt;&gt; "", PO[[#This Row],[Spend category L2 - Override]], PO[[#This Row],[Spend category L2]])</f>
        <v>0</v>
      </c>
      <c r="N925" s="63">
        <f>Assumptions!$D$15</f>
        <v>0.1</v>
      </c>
      <c r="O925" s="45">
        <f>IF(PO[[#This Row],[GST applies?]] = "Yes", (PO[[#This Row],[Value inc. GST]] / 1 + PO[[#This Row],[GST %]]) * PO[[#This Row],[GST %]], 0)</f>
        <v>0</v>
      </c>
      <c r="P925" s="31">
        <f>_xlfn.XLOOKUP(PO[[#This Row],[Supplier name]], Supplier_master[Supplier name], Supplier_master[EOM or Net], 0)</f>
        <v>0</v>
      </c>
      <c r="Q925" s="31">
        <f>_xlfn.XLOOKUP(PO[[#This Row],[Supplier name]], Supplier_master[Supplier name], Supplier_master[Terms days], 0)</f>
        <v>0</v>
      </c>
      <c r="R9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5" s="4"/>
      <c r="T925" s="46">
        <f>IF(PO[[#This Row],[Payment date - override (dd/mm/yyyy)]] &lt;&gt; "", PO[[#This Row],[Payment date - override (dd/mm/yyyy)]], PO[[#This Row],[Due date (dd/mm/yyyy)]])</f>
        <v>0</v>
      </c>
      <c r="U925" s="46">
        <f t="shared" si="14"/>
        <v>52</v>
      </c>
    </row>
    <row r="926" spans="3:21" x14ac:dyDescent="0.25">
      <c r="C926" s="24"/>
      <c r="D926" s="20"/>
      <c r="E926" s="4"/>
      <c r="F926" s="37"/>
      <c r="G926" s="38"/>
      <c r="H926" s="31">
        <f>_xlfn.XLOOKUP(PO[[#This Row],[Supplier name]], Supplier_master[Supplier name], Supplier_master[Category L1], 0)</f>
        <v>0</v>
      </c>
      <c r="I926" s="31">
        <f>_xlfn.XLOOKUP(PO[[#This Row],[Supplier name]], Supplier_master[Supplier name], Supplier_master[Category L2], 0)</f>
        <v>0</v>
      </c>
      <c r="J926" s="55"/>
      <c r="K926" s="55"/>
      <c r="L926" s="31">
        <f>IF(PO[[#This Row],[Spend category L1 - Override]] &lt;&gt; "", PO[[#This Row],[Spend category L1 - Override]], PO[[#This Row],[Spend category L1]])</f>
        <v>0</v>
      </c>
      <c r="M926" s="31">
        <f>IF(PO[[#This Row],[Spend category L2 - Override]] &lt;&gt; "", PO[[#This Row],[Spend category L2 - Override]], PO[[#This Row],[Spend category L2]])</f>
        <v>0</v>
      </c>
      <c r="N926" s="63">
        <f>Assumptions!$D$15</f>
        <v>0.1</v>
      </c>
      <c r="O926" s="45">
        <f>IF(PO[[#This Row],[GST applies?]] = "Yes", (PO[[#This Row],[Value inc. GST]] / 1 + PO[[#This Row],[GST %]]) * PO[[#This Row],[GST %]], 0)</f>
        <v>0</v>
      </c>
      <c r="P926" s="31">
        <f>_xlfn.XLOOKUP(PO[[#This Row],[Supplier name]], Supplier_master[Supplier name], Supplier_master[EOM or Net], 0)</f>
        <v>0</v>
      </c>
      <c r="Q926" s="31">
        <f>_xlfn.XLOOKUP(PO[[#This Row],[Supplier name]], Supplier_master[Supplier name], Supplier_master[Terms days], 0)</f>
        <v>0</v>
      </c>
      <c r="R9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6" s="4"/>
      <c r="T926" s="46">
        <f>IF(PO[[#This Row],[Payment date - override (dd/mm/yyyy)]] &lt;&gt; "", PO[[#This Row],[Payment date - override (dd/mm/yyyy)]], PO[[#This Row],[Due date (dd/mm/yyyy)]])</f>
        <v>0</v>
      </c>
      <c r="U926" s="46">
        <f t="shared" si="14"/>
        <v>52</v>
      </c>
    </row>
    <row r="927" spans="3:21" x14ac:dyDescent="0.25">
      <c r="C927" s="24"/>
      <c r="D927" s="20"/>
      <c r="E927" s="4"/>
      <c r="F927" s="37"/>
      <c r="G927" s="38"/>
      <c r="H927" s="31">
        <f>_xlfn.XLOOKUP(PO[[#This Row],[Supplier name]], Supplier_master[Supplier name], Supplier_master[Category L1], 0)</f>
        <v>0</v>
      </c>
      <c r="I927" s="31">
        <f>_xlfn.XLOOKUP(PO[[#This Row],[Supplier name]], Supplier_master[Supplier name], Supplier_master[Category L2], 0)</f>
        <v>0</v>
      </c>
      <c r="J927" s="55"/>
      <c r="K927" s="55"/>
      <c r="L927" s="31">
        <f>IF(PO[[#This Row],[Spend category L1 - Override]] &lt;&gt; "", PO[[#This Row],[Spend category L1 - Override]], PO[[#This Row],[Spend category L1]])</f>
        <v>0</v>
      </c>
      <c r="M927" s="31">
        <f>IF(PO[[#This Row],[Spend category L2 - Override]] &lt;&gt; "", PO[[#This Row],[Spend category L2 - Override]], PO[[#This Row],[Spend category L2]])</f>
        <v>0</v>
      </c>
      <c r="N927" s="63">
        <f>Assumptions!$D$15</f>
        <v>0.1</v>
      </c>
      <c r="O927" s="45">
        <f>IF(PO[[#This Row],[GST applies?]] = "Yes", (PO[[#This Row],[Value inc. GST]] / 1 + PO[[#This Row],[GST %]]) * PO[[#This Row],[GST %]], 0)</f>
        <v>0</v>
      </c>
      <c r="P927" s="31">
        <f>_xlfn.XLOOKUP(PO[[#This Row],[Supplier name]], Supplier_master[Supplier name], Supplier_master[EOM or Net], 0)</f>
        <v>0</v>
      </c>
      <c r="Q927" s="31">
        <f>_xlfn.XLOOKUP(PO[[#This Row],[Supplier name]], Supplier_master[Supplier name], Supplier_master[Terms days], 0)</f>
        <v>0</v>
      </c>
      <c r="R9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7" s="4"/>
      <c r="T927" s="46">
        <f>IF(PO[[#This Row],[Payment date - override (dd/mm/yyyy)]] &lt;&gt; "", PO[[#This Row],[Payment date - override (dd/mm/yyyy)]], PO[[#This Row],[Due date (dd/mm/yyyy)]])</f>
        <v>0</v>
      </c>
      <c r="U927" s="46">
        <f t="shared" si="14"/>
        <v>52</v>
      </c>
    </row>
    <row r="928" spans="3:21" x14ac:dyDescent="0.25">
      <c r="C928" s="24"/>
      <c r="D928" s="20"/>
      <c r="E928" s="4"/>
      <c r="F928" s="37"/>
      <c r="G928" s="38"/>
      <c r="H928" s="31">
        <f>_xlfn.XLOOKUP(PO[[#This Row],[Supplier name]], Supplier_master[Supplier name], Supplier_master[Category L1], 0)</f>
        <v>0</v>
      </c>
      <c r="I928" s="31">
        <f>_xlfn.XLOOKUP(PO[[#This Row],[Supplier name]], Supplier_master[Supplier name], Supplier_master[Category L2], 0)</f>
        <v>0</v>
      </c>
      <c r="J928" s="55"/>
      <c r="K928" s="55"/>
      <c r="L928" s="31">
        <f>IF(PO[[#This Row],[Spend category L1 - Override]] &lt;&gt; "", PO[[#This Row],[Spend category L1 - Override]], PO[[#This Row],[Spend category L1]])</f>
        <v>0</v>
      </c>
      <c r="M928" s="31">
        <f>IF(PO[[#This Row],[Spend category L2 - Override]] &lt;&gt; "", PO[[#This Row],[Spend category L2 - Override]], PO[[#This Row],[Spend category L2]])</f>
        <v>0</v>
      </c>
      <c r="N928" s="63">
        <f>Assumptions!$D$15</f>
        <v>0.1</v>
      </c>
      <c r="O928" s="45">
        <f>IF(PO[[#This Row],[GST applies?]] = "Yes", (PO[[#This Row],[Value inc. GST]] / 1 + PO[[#This Row],[GST %]]) * PO[[#This Row],[GST %]], 0)</f>
        <v>0</v>
      </c>
      <c r="P928" s="31">
        <f>_xlfn.XLOOKUP(PO[[#This Row],[Supplier name]], Supplier_master[Supplier name], Supplier_master[EOM or Net], 0)</f>
        <v>0</v>
      </c>
      <c r="Q928" s="31">
        <f>_xlfn.XLOOKUP(PO[[#This Row],[Supplier name]], Supplier_master[Supplier name], Supplier_master[Terms days], 0)</f>
        <v>0</v>
      </c>
      <c r="R9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8" s="4"/>
      <c r="T928" s="46">
        <f>IF(PO[[#This Row],[Payment date - override (dd/mm/yyyy)]] &lt;&gt; "", PO[[#This Row],[Payment date - override (dd/mm/yyyy)]], PO[[#This Row],[Due date (dd/mm/yyyy)]])</f>
        <v>0</v>
      </c>
      <c r="U928" s="46">
        <f t="shared" si="14"/>
        <v>52</v>
      </c>
    </row>
    <row r="929" spans="3:21" x14ac:dyDescent="0.25">
      <c r="C929" s="24"/>
      <c r="D929" s="20"/>
      <c r="E929" s="4"/>
      <c r="F929" s="37"/>
      <c r="G929" s="38"/>
      <c r="H929" s="31">
        <f>_xlfn.XLOOKUP(PO[[#This Row],[Supplier name]], Supplier_master[Supplier name], Supplier_master[Category L1], 0)</f>
        <v>0</v>
      </c>
      <c r="I929" s="31">
        <f>_xlfn.XLOOKUP(PO[[#This Row],[Supplier name]], Supplier_master[Supplier name], Supplier_master[Category L2], 0)</f>
        <v>0</v>
      </c>
      <c r="J929" s="55"/>
      <c r="K929" s="55"/>
      <c r="L929" s="31">
        <f>IF(PO[[#This Row],[Spend category L1 - Override]] &lt;&gt; "", PO[[#This Row],[Spend category L1 - Override]], PO[[#This Row],[Spend category L1]])</f>
        <v>0</v>
      </c>
      <c r="M929" s="31">
        <f>IF(PO[[#This Row],[Spend category L2 - Override]] &lt;&gt; "", PO[[#This Row],[Spend category L2 - Override]], PO[[#This Row],[Spend category L2]])</f>
        <v>0</v>
      </c>
      <c r="N929" s="63">
        <f>Assumptions!$D$15</f>
        <v>0.1</v>
      </c>
      <c r="O929" s="45">
        <f>IF(PO[[#This Row],[GST applies?]] = "Yes", (PO[[#This Row],[Value inc. GST]] / 1 + PO[[#This Row],[GST %]]) * PO[[#This Row],[GST %]], 0)</f>
        <v>0</v>
      </c>
      <c r="P929" s="31">
        <f>_xlfn.XLOOKUP(PO[[#This Row],[Supplier name]], Supplier_master[Supplier name], Supplier_master[EOM or Net], 0)</f>
        <v>0</v>
      </c>
      <c r="Q929" s="31">
        <f>_xlfn.XLOOKUP(PO[[#This Row],[Supplier name]], Supplier_master[Supplier name], Supplier_master[Terms days], 0)</f>
        <v>0</v>
      </c>
      <c r="R9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9" s="4"/>
      <c r="T929" s="46">
        <f>IF(PO[[#This Row],[Payment date - override (dd/mm/yyyy)]] &lt;&gt; "", PO[[#This Row],[Payment date - override (dd/mm/yyyy)]], PO[[#This Row],[Due date (dd/mm/yyyy)]])</f>
        <v>0</v>
      </c>
      <c r="U929" s="46">
        <f t="shared" si="14"/>
        <v>52</v>
      </c>
    </row>
    <row r="930" spans="3:21" x14ac:dyDescent="0.25">
      <c r="C930" s="24"/>
      <c r="D930" s="20"/>
      <c r="E930" s="4"/>
      <c r="F930" s="37"/>
      <c r="G930" s="38"/>
      <c r="H930" s="31">
        <f>_xlfn.XLOOKUP(PO[[#This Row],[Supplier name]], Supplier_master[Supplier name], Supplier_master[Category L1], 0)</f>
        <v>0</v>
      </c>
      <c r="I930" s="31">
        <f>_xlfn.XLOOKUP(PO[[#This Row],[Supplier name]], Supplier_master[Supplier name], Supplier_master[Category L2], 0)</f>
        <v>0</v>
      </c>
      <c r="J930" s="55"/>
      <c r="K930" s="55"/>
      <c r="L930" s="31">
        <f>IF(PO[[#This Row],[Spend category L1 - Override]] &lt;&gt; "", PO[[#This Row],[Spend category L1 - Override]], PO[[#This Row],[Spend category L1]])</f>
        <v>0</v>
      </c>
      <c r="M930" s="31">
        <f>IF(PO[[#This Row],[Spend category L2 - Override]] &lt;&gt; "", PO[[#This Row],[Spend category L2 - Override]], PO[[#This Row],[Spend category L2]])</f>
        <v>0</v>
      </c>
      <c r="N930" s="63">
        <f>Assumptions!$D$15</f>
        <v>0.1</v>
      </c>
      <c r="O930" s="45">
        <f>IF(PO[[#This Row],[GST applies?]] = "Yes", (PO[[#This Row],[Value inc. GST]] / 1 + PO[[#This Row],[GST %]]) * PO[[#This Row],[GST %]], 0)</f>
        <v>0</v>
      </c>
      <c r="P930" s="31">
        <f>_xlfn.XLOOKUP(PO[[#This Row],[Supplier name]], Supplier_master[Supplier name], Supplier_master[EOM or Net], 0)</f>
        <v>0</v>
      </c>
      <c r="Q930" s="31">
        <f>_xlfn.XLOOKUP(PO[[#This Row],[Supplier name]], Supplier_master[Supplier name], Supplier_master[Terms days], 0)</f>
        <v>0</v>
      </c>
      <c r="R9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0" s="4"/>
      <c r="T930" s="46">
        <f>IF(PO[[#This Row],[Payment date - override (dd/mm/yyyy)]] &lt;&gt; "", PO[[#This Row],[Payment date - override (dd/mm/yyyy)]], PO[[#This Row],[Due date (dd/mm/yyyy)]])</f>
        <v>0</v>
      </c>
      <c r="U930" s="46">
        <f t="shared" si="14"/>
        <v>52</v>
      </c>
    </row>
    <row r="931" spans="3:21" x14ac:dyDescent="0.25">
      <c r="C931" s="24"/>
      <c r="D931" s="20"/>
      <c r="E931" s="4"/>
      <c r="F931" s="37"/>
      <c r="G931" s="38"/>
      <c r="H931" s="31">
        <f>_xlfn.XLOOKUP(PO[[#This Row],[Supplier name]], Supplier_master[Supplier name], Supplier_master[Category L1], 0)</f>
        <v>0</v>
      </c>
      <c r="I931" s="31">
        <f>_xlfn.XLOOKUP(PO[[#This Row],[Supplier name]], Supplier_master[Supplier name], Supplier_master[Category L2], 0)</f>
        <v>0</v>
      </c>
      <c r="J931" s="55"/>
      <c r="K931" s="55"/>
      <c r="L931" s="31">
        <f>IF(PO[[#This Row],[Spend category L1 - Override]] &lt;&gt; "", PO[[#This Row],[Spend category L1 - Override]], PO[[#This Row],[Spend category L1]])</f>
        <v>0</v>
      </c>
      <c r="M931" s="31">
        <f>IF(PO[[#This Row],[Spend category L2 - Override]] &lt;&gt; "", PO[[#This Row],[Spend category L2 - Override]], PO[[#This Row],[Spend category L2]])</f>
        <v>0</v>
      </c>
      <c r="N931" s="63">
        <f>Assumptions!$D$15</f>
        <v>0.1</v>
      </c>
      <c r="O931" s="45">
        <f>IF(PO[[#This Row],[GST applies?]] = "Yes", (PO[[#This Row],[Value inc. GST]] / 1 + PO[[#This Row],[GST %]]) * PO[[#This Row],[GST %]], 0)</f>
        <v>0</v>
      </c>
      <c r="P931" s="31">
        <f>_xlfn.XLOOKUP(PO[[#This Row],[Supplier name]], Supplier_master[Supplier name], Supplier_master[EOM or Net], 0)</f>
        <v>0</v>
      </c>
      <c r="Q931" s="31">
        <f>_xlfn.XLOOKUP(PO[[#This Row],[Supplier name]], Supplier_master[Supplier name], Supplier_master[Terms days], 0)</f>
        <v>0</v>
      </c>
      <c r="R9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1" s="4"/>
      <c r="T931" s="46">
        <f>IF(PO[[#This Row],[Payment date - override (dd/mm/yyyy)]] &lt;&gt; "", PO[[#This Row],[Payment date - override (dd/mm/yyyy)]], PO[[#This Row],[Due date (dd/mm/yyyy)]])</f>
        <v>0</v>
      </c>
      <c r="U931" s="46">
        <f t="shared" si="14"/>
        <v>52</v>
      </c>
    </row>
    <row r="932" spans="3:21" x14ac:dyDescent="0.25">
      <c r="C932" s="24"/>
      <c r="D932" s="20"/>
      <c r="E932" s="4"/>
      <c r="F932" s="37"/>
      <c r="G932" s="38"/>
      <c r="H932" s="31">
        <f>_xlfn.XLOOKUP(PO[[#This Row],[Supplier name]], Supplier_master[Supplier name], Supplier_master[Category L1], 0)</f>
        <v>0</v>
      </c>
      <c r="I932" s="31">
        <f>_xlfn.XLOOKUP(PO[[#This Row],[Supplier name]], Supplier_master[Supplier name], Supplier_master[Category L2], 0)</f>
        <v>0</v>
      </c>
      <c r="J932" s="55"/>
      <c r="K932" s="55"/>
      <c r="L932" s="31">
        <f>IF(PO[[#This Row],[Spend category L1 - Override]] &lt;&gt; "", PO[[#This Row],[Spend category L1 - Override]], PO[[#This Row],[Spend category L1]])</f>
        <v>0</v>
      </c>
      <c r="M932" s="31">
        <f>IF(PO[[#This Row],[Spend category L2 - Override]] &lt;&gt; "", PO[[#This Row],[Spend category L2 - Override]], PO[[#This Row],[Spend category L2]])</f>
        <v>0</v>
      </c>
      <c r="N932" s="63">
        <f>Assumptions!$D$15</f>
        <v>0.1</v>
      </c>
      <c r="O932" s="45">
        <f>IF(PO[[#This Row],[GST applies?]] = "Yes", (PO[[#This Row],[Value inc. GST]] / 1 + PO[[#This Row],[GST %]]) * PO[[#This Row],[GST %]], 0)</f>
        <v>0</v>
      </c>
      <c r="P932" s="31">
        <f>_xlfn.XLOOKUP(PO[[#This Row],[Supplier name]], Supplier_master[Supplier name], Supplier_master[EOM or Net], 0)</f>
        <v>0</v>
      </c>
      <c r="Q932" s="31">
        <f>_xlfn.XLOOKUP(PO[[#This Row],[Supplier name]], Supplier_master[Supplier name], Supplier_master[Terms days], 0)</f>
        <v>0</v>
      </c>
      <c r="R9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2" s="4"/>
      <c r="T932" s="46">
        <f>IF(PO[[#This Row],[Payment date - override (dd/mm/yyyy)]] &lt;&gt; "", PO[[#This Row],[Payment date - override (dd/mm/yyyy)]], PO[[#This Row],[Due date (dd/mm/yyyy)]])</f>
        <v>0</v>
      </c>
      <c r="U932" s="46">
        <f t="shared" si="14"/>
        <v>52</v>
      </c>
    </row>
    <row r="933" spans="3:21" x14ac:dyDescent="0.25">
      <c r="C933" s="24"/>
      <c r="D933" s="20"/>
      <c r="E933" s="4"/>
      <c r="F933" s="37"/>
      <c r="G933" s="38"/>
      <c r="H933" s="31">
        <f>_xlfn.XLOOKUP(PO[[#This Row],[Supplier name]], Supplier_master[Supplier name], Supplier_master[Category L1], 0)</f>
        <v>0</v>
      </c>
      <c r="I933" s="31">
        <f>_xlfn.XLOOKUP(PO[[#This Row],[Supplier name]], Supplier_master[Supplier name], Supplier_master[Category L2], 0)</f>
        <v>0</v>
      </c>
      <c r="J933" s="55"/>
      <c r="K933" s="55"/>
      <c r="L933" s="31">
        <f>IF(PO[[#This Row],[Spend category L1 - Override]] &lt;&gt; "", PO[[#This Row],[Spend category L1 - Override]], PO[[#This Row],[Spend category L1]])</f>
        <v>0</v>
      </c>
      <c r="M933" s="31">
        <f>IF(PO[[#This Row],[Spend category L2 - Override]] &lt;&gt; "", PO[[#This Row],[Spend category L2 - Override]], PO[[#This Row],[Spend category L2]])</f>
        <v>0</v>
      </c>
      <c r="N933" s="63">
        <f>Assumptions!$D$15</f>
        <v>0.1</v>
      </c>
      <c r="O933" s="45">
        <f>IF(PO[[#This Row],[GST applies?]] = "Yes", (PO[[#This Row],[Value inc. GST]] / 1 + PO[[#This Row],[GST %]]) * PO[[#This Row],[GST %]], 0)</f>
        <v>0</v>
      </c>
      <c r="P933" s="31">
        <f>_xlfn.XLOOKUP(PO[[#This Row],[Supplier name]], Supplier_master[Supplier name], Supplier_master[EOM or Net], 0)</f>
        <v>0</v>
      </c>
      <c r="Q933" s="31">
        <f>_xlfn.XLOOKUP(PO[[#This Row],[Supplier name]], Supplier_master[Supplier name], Supplier_master[Terms days], 0)</f>
        <v>0</v>
      </c>
      <c r="R9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3" s="4"/>
      <c r="T933" s="46">
        <f>IF(PO[[#This Row],[Payment date - override (dd/mm/yyyy)]] &lt;&gt; "", PO[[#This Row],[Payment date - override (dd/mm/yyyy)]], PO[[#This Row],[Due date (dd/mm/yyyy)]])</f>
        <v>0</v>
      </c>
      <c r="U933" s="46">
        <f t="shared" si="14"/>
        <v>52</v>
      </c>
    </row>
    <row r="934" spans="3:21" x14ac:dyDescent="0.25">
      <c r="C934" s="24"/>
      <c r="D934" s="20"/>
      <c r="E934" s="4"/>
      <c r="F934" s="37"/>
      <c r="G934" s="38"/>
      <c r="H934" s="31">
        <f>_xlfn.XLOOKUP(PO[[#This Row],[Supplier name]], Supplier_master[Supplier name], Supplier_master[Category L1], 0)</f>
        <v>0</v>
      </c>
      <c r="I934" s="31">
        <f>_xlfn.XLOOKUP(PO[[#This Row],[Supplier name]], Supplier_master[Supplier name], Supplier_master[Category L2], 0)</f>
        <v>0</v>
      </c>
      <c r="J934" s="55"/>
      <c r="K934" s="55"/>
      <c r="L934" s="31">
        <f>IF(PO[[#This Row],[Spend category L1 - Override]] &lt;&gt; "", PO[[#This Row],[Spend category L1 - Override]], PO[[#This Row],[Spend category L1]])</f>
        <v>0</v>
      </c>
      <c r="M934" s="31">
        <f>IF(PO[[#This Row],[Spend category L2 - Override]] &lt;&gt; "", PO[[#This Row],[Spend category L2 - Override]], PO[[#This Row],[Spend category L2]])</f>
        <v>0</v>
      </c>
      <c r="N934" s="63">
        <f>Assumptions!$D$15</f>
        <v>0.1</v>
      </c>
      <c r="O934" s="45">
        <f>IF(PO[[#This Row],[GST applies?]] = "Yes", (PO[[#This Row],[Value inc. GST]] / 1 + PO[[#This Row],[GST %]]) * PO[[#This Row],[GST %]], 0)</f>
        <v>0</v>
      </c>
      <c r="P934" s="31">
        <f>_xlfn.XLOOKUP(PO[[#This Row],[Supplier name]], Supplier_master[Supplier name], Supplier_master[EOM or Net], 0)</f>
        <v>0</v>
      </c>
      <c r="Q934" s="31">
        <f>_xlfn.XLOOKUP(PO[[#This Row],[Supplier name]], Supplier_master[Supplier name], Supplier_master[Terms days], 0)</f>
        <v>0</v>
      </c>
      <c r="R9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4" s="4"/>
      <c r="T934" s="46">
        <f>IF(PO[[#This Row],[Payment date - override (dd/mm/yyyy)]] &lt;&gt; "", PO[[#This Row],[Payment date - override (dd/mm/yyyy)]], PO[[#This Row],[Due date (dd/mm/yyyy)]])</f>
        <v>0</v>
      </c>
      <c r="U934" s="46">
        <f t="shared" si="14"/>
        <v>52</v>
      </c>
    </row>
    <row r="935" spans="3:21" x14ac:dyDescent="0.25">
      <c r="C935" s="24"/>
      <c r="D935" s="20"/>
      <c r="E935" s="4"/>
      <c r="F935" s="37"/>
      <c r="G935" s="38"/>
      <c r="H935" s="31">
        <f>_xlfn.XLOOKUP(PO[[#This Row],[Supplier name]], Supplier_master[Supplier name], Supplier_master[Category L1], 0)</f>
        <v>0</v>
      </c>
      <c r="I935" s="31">
        <f>_xlfn.XLOOKUP(PO[[#This Row],[Supplier name]], Supplier_master[Supplier name], Supplier_master[Category L2], 0)</f>
        <v>0</v>
      </c>
      <c r="J935" s="55"/>
      <c r="K935" s="55"/>
      <c r="L935" s="31">
        <f>IF(PO[[#This Row],[Spend category L1 - Override]] &lt;&gt; "", PO[[#This Row],[Spend category L1 - Override]], PO[[#This Row],[Spend category L1]])</f>
        <v>0</v>
      </c>
      <c r="M935" s="31">
        <f>IF(PO[[#This Row],[Spend category L2 - Override]] &lt;&gt; "", PO[[#This Row],[Spend category L2 - Override]], PO[[#This Row],[Spend category L2]])</f>
        <v>0</v>
      </c>
      <c r="N935" s="63">
        <f>Assumptions!$D$15</f>
        <v>0.1</v>
      </c>
      <c r="O935" s="45">
        <f>IF(PO[[#This Row],[GST applies?]] = "Yes", (PO[[#This Row],[Value inc. GST]] / 1 + PO[[#This Row],[GST %]]) * PO[[#This Row],[GST %]], 0)</f>
        <v>0</v>
      </c>
      <c r="P935" s="31">
        <f>_xlfn.XLOOKUP(PO[[#This Row],[Supplier name]], Supplier_master[Supplier name], Supplier_master[EOM or Net], 0)</f>
        <v>0</v>
      </c>
      <c r="Q935" s="31">
        <f>_xlfn.XLOOKUP(PO[[#This Row],[Supplier name]], Supplier_master[Supplier name], Supplier_master[Terms days], 0)</f>
        <v>0</v>
      </c>
      <c r="R9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5" s="4"/>
      <c r="T935" s="46">
        <f>IF(PO[[#This Row],[Payment date - override (dd/mm/yyyy)]] &lt;&gt; "", PO[[#This Row],[Payment date - override (dd/mm/yyyy)]], PO[[#This Row],[Due date (dd/mm/yyyy)]])</f>
        <v>0</v>
      </c>
      <c r="U935" s="46">
        <f t="shared" si="14"/>
        <v>52</v>
      </c>
    </row>
    <row r="936" spans="3:21" x14ac:dyDescent="0.25">
      <c r="C936" s="24"/>
      <c r="D936" s="20"/>
      <c r="E936" s="4"/>
      <c r="F936" s="37"/>
      <c r="G936" s="38"/>
      <c r="H936" s="31">
        <f>_xlfn.XLOOKUP(PO[[#This Row],[Supplier name]], Supplier_master[Supplier name], Supplier_master[Category L1], 0)</f>
        <v>0</v>
      </c>
      <c r="I936" s="31">
        <f>_xlfn.XLOOKUP(PO[[#This Row],[Supplier name]], Supplier_master[Supplier name], Supplier_master[Category L2], 0)</f>
        <v>0</v>
      </c>
      <c r="J936" s="55"/>
      <c r="K936" s="55"/>
      <c r="L936" s="31">
        <f>IF(PO[[#This Row],[Spend category L1 - Override]] &lt;&gt; "", PO[[#This Row],[Spend category L1 - Override]], PO[[#This Row],[Spend category L1]])</f>
        <v>0</v>
      </c>
      <c r="M936" s="31">
        <f>IF(PO[[#This Row],[Spend category L2 - Override]] &lt;&gt; "", PO[[#This Row],[Spend category L2 - Override]], PO[[#This Row],[Spend category L2]])</f>
        <v>0</v>
      </c>
      <c r="N936" s="63">
        <f>Assumptions!$D$15</f>
        <v>0.1</v>
      </c>
      <c r="O936" s="45">
        <f>IF(PO[[#This Row],[GST applies?]] = "Yes", (PO[[#This Row],[Value inc. GST]] / 1 + PO[[#This Row],[GST %]]) * PO[[#This Row],[GST %]], 0)</f>
        <v>0</v>
      </c>
      <c r="P936" s="31">
        <f>_xlfn.XLOOKUP(PO[[#This Row],[Supplier name]], Supplier_master[Supplier name], Supplier_master[EOM or Net], 0)</f>
        <v>0</v>
      </c>
      <c r="Q936" s="31">
        <f>_xlfn.XLOOKUP(PO[[#This Row],[Supplier name]], Supplier_master[Supplier name], Supplier_master[Terms days], 0)</f>
        <v>0</v>
      </c>
      <c r="R9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6" s="4"/>
      <c r="T936" s="46">
        <f>IF(PO[[#This Row],[Payment date - override (dd/mm/yyyy)]] &lt;&gt; "", PO[[#This Row],[Payment date - override (dd/mm/yyyy)]], PO[[#This Row],[Due date (dd/mm/yyyy)]])</f>
        <v>0</v>
      </c>
      <c r="U936" s="46">
        <f t="shared" si="14"/>
        <v>52</v>
      </c>
    </row>
    <row r="937" spans="3:21" x14ac:dyDescent="0.25">
      <c r="C937" s="24"/>
      <c r="D937" s="20"/>
      <c r="E937" s="4"/>
      <c r="F937" s="37"/>
      <c r="G937" s="38"/>
      <c r="H937" s="31">
        <f>_xlfn.XLOOKUP(PO[[#This Row],[Supplier name]], Supplier_master[Supplier name], Supplier_master[Category L1], 0)</f>
        <v>0</v>
      </c>
      <c r="I937" s="31">
        <f>_xlfn.XLOOKUP(PO[[#This Row],[Supplier name]], Supplier_master[Supplier name], Supplier_master[Category L2], 0)</f>
        <v>0</v>
      </c>
      <c r="J937" s="55"/>
      <c r="K937" s="55"/>
      <c r="L937" s="31">
        <f>IF(PO[[#This Row],[Spend category L1 - Override]] &lt;&gt; "", PO[[#This Row],[Spend category L1 - Override]], PO[[#This Row],[Spend category L1]])</f>
        <v>0</v>
      </c>
      <c r="M937" s="31">
        <f>IF(PO[[#This Row],[Spend category L2 - Override]] &lt;&gt; "", PO[[#This Row],[Spend category L2 - Override]], PO[[#This Row],[Spend category L2]])</f>
        <v>0</v>
      </c>
      <c r="N937" s="63">
        <f>Assumptions!$D$15</f>
        <v>0.1</v>
      </c>
      <c r="O937" s="45">
        <f>IF(PO[[#This Row],[GST applies?]] = "Yes", (PO[[#This Row],[Value inc. GST]] / 1 + PO[[#This Row],[GST %]]) * PO[[#This Row],[GST %]], 0)</f>
        <v>0</v>
      </c>
      <c r="P937" s="31">
        <f>_xlfn.XLOOKUP(PO[[#This Row],[Supplier name]], Supplier_master[Supplier name], Supplier_master[EOM or Net], 0)</f>
        <v>0</v>
      </c>
      <c r="Q937" s="31">
        <f>_xlfn.XLOOKUP(PO[[#This Row],[Supplier name]], Supplier_master[Supplier name], Supplier_master[Terms days], 0)</f>
        <v>0</v>
      </c>
      <c r="R9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7" s="4"/>
      <c r="T937" s="46">
        <f>IF(PO[[#This Row],[Payment date - override (dd/mm/yyyy)]] &lt;&gt; "", PO[[#This Row],[Payment date - override (dd/mm/yyyy)]], PO[[#This Row],[Due date (dd/mm/yyyy)]])</f>
        <v>0</v>
      </c>
      <c r="U937" s="46">
        <f t="shared" si="14"/>
        <v>52</v>
      </c>
    </row>
    <row r="938" spans="3:21" x14ac:dyDescent="0.25">
      <c r="C938" s="24"/>
      <c r="D938" s="20"/>
      <c r="E938" s="4"/>
      <c r="F938" s="37"/>
      <c r="G938" s="38"/>
      <c r="H938" s="31">
        <f>_xlfn.XLOOKUP(PO[[#This Row],[Supplier name]], Supplier_master[Supplier name], Supplier_master[Category L1], 0)</f>
        <v>0</v>
      </c>
      <c r="I938" s="31">
        <f>_xlfn.XLOOKUP(PO[[#This Row],[Supplier name]], Supplier_master[Supplier name], Supplier_master[Category L2], 0)</f>
        <v>0</v>
      </c>
      <c r="J938" s="55"/>
      <c r="K938" s="55"/>
      <c r="L938" s="31">
        <f>IF(PO[[#This Row],[Spend category L1 - Override]] &lt;&gt; "", PO[[#This Row],[Spend category L1 - Override]], PO[[#This Row],[Spend category L1]])</f>
        <v>0</v>
      </c>
      <c r="M938" s="31">
        <f>IF(PO[[#This Row],[Spend category L2 - Override]] &lt;&gt; "", PO[[#This Row],[Spend category L2 - Override]], PO[[#This Row],[Spend category L2]])</f>
        <v>0</v>
      </c>
      <c r="N938" s="63">
        <f>Assumptions!$D$15</f>
        <v>0.1</v>
      </c>
      <c r="O938" s="45">
        <f>IF(PO[[#This Row],[GST applies?]] = "Yes", (PO[[#This Row],[Value inc. GST]] / 1 + PO[[#This Row],[GST %]]) * PO[[#This Row],[GST %]], 0)</f>
        <v>0</v>
      </c>
      <c r="P938" s="31">
        <f>_xlfn.XLOOKUP(PO[[#This Row],[Supplier name]], Supplier_master[Supplier name], Supplier_master[EOM or Net], 0)</f>
        <v>0</v>
      </c>
      <c r="Q938" s="31">
        <f>_xlfn.XLOOKUP(PO[[#This Row],[Supplier name]], Supplier_master[Supplier name], Supplier_master[Terms days], 0)</f>
        <v>0</v>
      </c>
      <c r="R9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8" s="4"/>
      <c r="T938" s="46">
        <f>IF(PO[[#This Row],[Payment date - override (dd/mm/yyyy)]] &lt;&gt; "", PO[[#This Row],[Payment date - override (dd/mm/yyyy)]], PO[[#This Row],[Due date (dd/mm/yyyy)]])</f>
        <v>0</v>
      </c>
      <c r="U938" s="46">
        <f t="shared" si="14"/>
        <v>52</v>
      </c>
    </row>
    <row r="939" spans="3:21" x14ac:dyDescent="0.25">
      <c r="C939" s="24"/>
      <c r="D939" s="20"/>
      <c r="E939" s="4"/>
      <c r="F939" s="37"/>
      <c r="G939" s="38"/>
      <c r="H939" s="31">
        <f>_xlfn.XLOOKUP(PO[[#This Row],[Supplier name]], Supplier_master[Supplier name], Supplier_master[Category L1], 0)</f>
        <v>0</v>
      </c>
      <c r="I939" s="31">
        <f>_xlfn.XLOOKUP(PO[[#This Row],[Supplier name]], Supplier_master[Supplier name], Supplier_master[Category L2], 0)</f>
        <v>0</v>
      </c>
      <c r="J939" s="55"/>
      <c r="K939" s="55"/>
      <c r="L939" s="31">
        <f>IF(PO[[#This Row],[Spend category L1 - Override]] &lt;&gt; "", PO[[#This Row],[Spend category L1 - Override]], PO[[#This Row],[Spend category L1]])</f>
        <v>0</v>
      </c>
      <c r="M939" s="31">
        <f>IF(PO[[#This Row],[Spend category L2 - Override]] &lt;&gt; "", PO[[#This Row],[Spend category L2 - Override]], PO[[#This Row],[Spend category L2]])</f>
        <v>0</v>
      </c>
      <c r="N939" s="63">
        <f>Assumptions!$D$15</f>
        <v>0.1</v>
      </c>
      <c r="O939" s="45">
        <f>IF(PO[[#This Row],[GST applies?]] = "Yes", (PO[[#This Row],[Value inc. GST]] / 1 + PO[[#This Row],[GST %]]) * PO[[#This Row],[GST %]], 0)</f>
        <v>0</v>
      </c>
      <c r="P939" s="31">
        <f>_xlfn.XLOOKUP(PO[[#This Row],[Supplier name]], Supplier_master[Supplier name], Supplier_master[EOM or Net], 0)</f>
        <v>0</v>
      </c>
      <c r="Q939" s="31">
        <f>_xlfn.XLOOKUP(PO[[#This Row],[Supplier name]], Supplier_master[Supplier name], Supplier_master[Terms days], 0)</f>
        <v>0</v>
      </c>
      <c r="R9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9" s="4"/>
      <c r="T939" s="46">
        <f>IF(PO[[#This Row],[Payment date - override (dd/mm/yyyy)]] &lt;&gt; "", PO[[#This Row],[Payment date - override (dd/mm/yyyy)]], PO[[#This Row],[Due date (dd/mm/yyyy)]])</f>
        <v>0</v>
      </c>
      <c r="U939" s="46">
        <f t="shared" si="14"/>
        <v>52</v>
      </c>
    </row>
    <row r="940" spans="3:21" x14ac:dyDescent="0.25">
      <c r="C940" s="24"/>
      <c r="D940" s="20"/>
      <c r="E940" s="4"/>
      <c r="F940" s="37"/>
      <c r="G940" s="38"/>
      <c r="H940" s="31">
        <f>_xlfn.XLOOKUP(PO[[#This Row],[Supplier name]], Supplier_master[Supplier name], Supplier_master[Category L1], 0)</f>
        <v>0</v>
      </c>
      <c r="I940" s="31">
        <f>_xlfn.XLOOKUP(PO[[#This Row],[Supplier name]], Supplier_master[Supplier name], Supplier_master[Category L2], 0)</f>
        <v>0</v>
      </c>
      <c r="J940" s="55"/>
      <c r="K940" s="55"/>
      <c r="L940" s="31">
        <f>IF(PO[[#This Row],[Spend category L1 - Override]] &lt;&gt; "", PO[[#This Row],[Spend category L1 - Override]], PO[[#This Row],[Spend category L1]])</f>
        <v>0</v>
      </c>
      <c r="M940" s="31">
        <f>IF(PO[[#This Row],[Spend category L2 - Override]] &lt;&gt; "", PO[[#This Row],[Spend category L2 - Override]], PO[[#This Row],[Spend category L2]])</f>
        <v>0</v>
      </c>
      <c r="N940" s="63">
        <f>Assumptions!$D$15</f>
        <v>0.1</v>
      </c>
      <c r="O940" s="45">
        <f>IF(PO[[#This Row],[GST applies?]] = "Yes", (PO[[#This Row],[Value inc. GST]] / 1 + PO[[#This Row],[GST %]]) * PO[[#This Row],[GST %]], 0)</f>
        <v>0</v>
      </c>
      <c r="P940" s="31">
        <f>_xlfn.XLOOKUP(PO[[#This Row],[Supplier name]], Supplier_master[Supplier name], Supplier_master[EOM or Net], 0)</f>
        <v>0</v>
      </c>
      <c r="Q940" s="31">
        <f>_xlfn.XLOOKUP(PO[[#This Row],[Supplier name]], Supplier_master[Supplier name], Supplier_master[Terms days], 0)</f>
        <v>0</v>
      </c>
      <c r="R9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0" s="4"/>
      <c r="T940" s="46">
        <f>IF(PO[[#This Row],[Payment date - override (dd/mm/yyyy)]] &lt;&gt; "", PO[[#This Row],[Payment date - override (dd/mm/yyyy)]], PO[[#This Row],[Due date (dd/mm/yyyy)]])</f>
        <v>0</v>
      </c>
      <c r="U940" s="46">
        <f t="shared" si="14"/>
        <v>52</v>
      </c>
    </row>
    <row r="941" spans="3:21" x14ac:dyDescent="0.25">
      <c r="C941" s="24"/>
      <c r="D941" s="20"/>
      <c r="E941" s="4"/>
      <c r="F941" s="37"/>
      <c r="G941" s="38"/>
      <c r="H941" s="31">
        <f>_xlfn.XLOOKUP(PO[[#This Row],[Supplier name]], Supplier_master[Supplier name], Supplier_master[Category L1], 0)</f>
        <v>0</v>
      </c>
      <c r="I941" s="31">
        <f>_xlfn.XLOOKUP(PO[[#This Row],[Supplier name]], Supplier_master[Supplier name], Supplier_master[Category L2], 0)</f>
        <v>0</v>
      </c>
      <c r="J941" s="55"/>
      <c r="K941" s="55"/>
      <c r="L941" s="31">
        <f>IF(PO[[#This Row],[Spend category L1 - Override]] &lt;&gt; "", PO[[#This Row],[Spend category L1 - Override]], PO[[#This Row],[Spend category L1]])</f>
        <v>0</v>
      </c>
      <c r="M941" s="31">
        <f>IF(PO[[#This Row],[Spend category L2 - Override]] &lt;&gt; "", PO[[#This Row],[Spend category L2 - Override]], PO[[#This Row],[Spend category L2]])</f>
        <v>0</v>
      </c>
      <c r="N941" s="63">
        <f>Assumptions!$D$15</f>
        <v>0.1</v>
      </c>
      <c r="O941" s="45">
        <f>IF(PO[[#This Row],[GST applies?]] = "Yes", (PO[[#This Row],[Value inc. GST]] / 1 + PO[[#This Row],[GST %]]) * PO[[#This Row],[GST %]], 0)</f>
        <v>0</v>
      </c>
      <c r="P941" s="31">
        <f>_xlfn.XLOOKUP(PO[[#This Row],[Supplier name]], Supplier_master[Supplier name], Supplier_master[EOM or Net], 0)</f>
        <v>0</v>
      </c>
      <c r="Q941" s="31">
        <f>_xlfn.XLOOKUP(PO[[#This Row],[Supplier name]], Supplier_master[Supplier name], Supplier_master[Terms days], 0)</f>
        <v>0</v>
      </c>
      <c r="R9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1" s="4"/>
      <c r="T941" s="46">
        <f>IF(PO[[#This Row],[Payment date - override (dd/mm/yyyy)]] &lt;&gt; "", PO[[#This Row],[Payment date - override (dd/mm/yyyy)]], PO[[#This Row],[Due date (dd/mm/yyyy)]])</f>
        <v>0</v>
      </c>
      <c r="U941" s="46">
        <f t="shared" si="14"/>
        <v>52</v>
      </c>
    </row>
    <row r="942" spans="3:21" x14ac:dyDescent="0.25">
      <c r="C942" s="24"/>
      <c r="D942" s="20"/>
      <c r="E942" s="4"/>
      <c r="F942" s="37"/>
      <c r="G942" s="38"/>
      <c r="H942" s="31">
        <f>_xlfn.XLOOKUP(PO[[#This Row],[Supplier name]], Supplier_master[Supplier name], Supplier_master[Category L1], 0)</f>
        <v>0</v>
      </c>
      <c r="I942" s="31">
        <f>_xlfn.XLOOKUP(PO[[#This Row],[Supplier name]], Supplier_master[Supplier name], Supplier_master[Category L2], 0)</f>
        <v>0</v>
      </c>
      <c r="J942" s="55"/>
      <c r="K942" s="55"/>
      <c r="L942" s="31">
        <f>IF(PO[[#This Row],[Spend category L1 - Override]] &lt;&gt; "", PO[[#This Row],[Spend category L1 - Override]], PO[[#This Row],[Spend category L1]])</f>
        <v>0</v>
      </c>
      <c r="M942" s="31">
        <f>IF(PO[[#This Row],[Spend category L2 - Override]] &lt;&gt; "", PO[[#This Row],[Spend category L2 - Override]], PO[[#This Row],[Spend category L2]])</f>
        <v>0</v>
      </c>
      <c r="N942" s="63">
        <f>Assumptions!$D$15</f>
        <v>0.1</v>
      </c>
      <c r="O942" s="45">
        <f>IF(PO[[#This Row],[GST applies?]] = "Yes", (PO[[#This Row],[Value inc. GST]] / 1 + PO[[#This Row],[GST %]]) * PO[[#This Row],[GST %]], 0)</f>
        <v>0</v>
      </c>
      <c r="P942" s="31">
        <f>_xlfn.XLOOKUP(PO[[#This Row],[Supplier name]], Supplier_master[Supplier name], Supplier_master[EOM or Net], 0)</f>
        <v>0</v>
      </c>
      <c r="Q942" s="31">
        <f>_xlfn.XLOOKUP(PO[[#This Row],[Supplier name]], Supplier_master[Supplier name], Supplier_master[Terms days], 0)</f>
        <v>0</v>
      </c>
      <c r="R9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2" s="4"/>
      <c r="T942" s="46">
        <f>IF(PO[[#This Row],[Payment date - override (dd/mm/yyyy)]] &lt;&gt; "", PO[[#This Row],[Payment date - override (dd/mm/yyyy)]], PO[[#This Row],[Due date (dd/mm/yyyy)]])</f>
        <v>0</v>
      </c>
      <c r="U942" s="46">
        <f t="shared" si="14"/>
        <v>52</v>
      </c>
    </row>
    <row r="943" spans="3:21" x14ac:dyDescent="0.25">
      <c r="C943" s="24"/>
      <c r="D943" s="20"/>
      <c r="E943" s="4"/>
      <c r="F943" s="37"/>
      <c r="G943" s="38"/>
      <c r="H943" s="31">
        <f>_xlfn.XLOOKUP(PO[[#This Row],[Supplier name]], Supplier_master[Supplier name], Supplier_master[Category L1], 0)</f>
        <v>0</v>
      </c>
      <c r="I943" s="31">
        <f>_xlfn.XLOOKUP(PO[[#This Row],[Supplier name]], Supplier_master[Supplier name], Supplier_master[Category L2], 0)</f>
        <v>0</v>
      </c>
      <c r="J943" s="55"/>
      <c r="K943" s="55"/>
      <c r="L943" s="31">
        <f>IF(PO[[#This Row],[Spend category L1 - Override]] &lt;&gt; "", PO[[#This Row],[Spend category L1 - Override]], PO[[#This Row],[Spend category L1]])</f>
        <v>0</v>
      </c>
      <c r="M943" s="31">
        <f>IF(PO[[#This Row],[Spend category L2 - Override]] &lt;&gt; "", PO[[#This Row],[Spend category L2 - Override]], PO[[#This Row],[Spend category L2]])</f>
        <v>0</v>
      </c>
      <c r="N943" s="63">
        <f>Assumptions!$D$15</f>
        <v>0.1</v>
      </c>
      <c r="O943" s="45">
        <f>IF(PO[[#This Row],[GST applies?]] = "Yes", (PO[[#This Row],[Value inc. GST]] / 1 + PO[[#This Row],[GST %]]) * PO[[#This Row],[GST %]], 0)</f>
        <v>0</v>
      </c>
      <c r="P943" s="31">
        <f>_xlfn.XLOOKUP(PO[[#This Row],[Supplier name]], Supplier_master[Supplier name], Supplier_master[EOM or Net], 0)</f>
        <v>0</v>
      </c>
      <c r="Q943" s="31">
        <f>_xlfn.XLOOKUP(PO[[#This Row],[Supplier name]], Supplier_master[Supplier name], Supplier_master[Terms days], 0)</f>
        <v>0</v>
      </c>
      <c r="R9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3" s="4"/>
      <c r="T943" s="46">
        <f>IF(PO[[#This Row],[Payment date - override (dd/mm/yyyy)]] &lt;&gt; "", PO[[#This Row],[Payment date - override (dd/mm/yyyy)]], PO[[#This Row],[Due date (dd/mm/yyyy)]])</f>
        <v>0</v>
      </c>
      <c r="U943" s="46">
        <f t="shared" si="14"/>
        <v>52</v>
      </c>
    </row>
    <row r="944" spans="3:21" x14ac:dyDescent="0.25">
      <c r="C944" s="24"/>
      <c r="D944" s="20"/>
      <c r="E944" s="4"/>
      <c r="F944" s="37"/>
      <c r="G944" s="38"/>
      <c r="H944" s="31">
        <f>_xlfn.XLOOKUP(PO[[#This Row],[Supplier name]], Supplier_master[Supplier name], Supplier_master[Category L1], 0)</f>
        <v>0</v>
      </c>
      <c r="I944" s="31">
        <f>_xlfn.XLOOKUP(PO[[#This Row],[Supplier name]], Supplier_master[Supplier name], Supplier_master[Category L2], 0)</f>
        <v>0</v>
      </c>
      <c r="J944" s="55"/>
      <c r="K944" s="55"/>
      <c r="L944" s="31">
        <f>IF(PO[[#This Row],[Spend category L1 - Override]] &lt;&gt; "", PO[[#This Row],[Spend category L1 - Override]], PO[[#This Row],[Spend category L1]])</f>
        <v>0</v>
      </c>
      <c r="M944" s="31">
        <f>IF(PO[[#This Row],[Spend category L2 - Override]] &lt;&gt; "", PO[[#This Row],[Spend category L2 - Override]], PO[[#This Row],[Spend category L2]])</f>
        <v>0</v>
      </c>
      <c r="N944" s="63">
        <f>Assumptions!$D$15</f>
        <v>0.1</v>
      </c>
      <c r="O944" s="45">
        <f>IF(PO[[#This Row],[GST applies?]] = "Yes", (PO[[#This Row],[Value inc. GST]] / 1 + PO[[#This Row],[GST %]]) * PO[[#This Row],[GST %]], 0)</f>
        <v>0</v>
      </c>
      <c r="P944" s="31">
        <f>_xlfn.XLOOKUP(PO[[#This Row],[Supplier name]], Supplier_master[Supplier name], Supplier_master[EOM or Net], 0)</f>
        <v>0</v>
      </c>
      <c r="Q944" s="31">
        <f>_xlfn.XLOOKUP(PO[[#This Row],[Supplier name]], Supplier_master[Supplier name], Supplier_master[Terms days], 0)</f>
        <v>0</v>
      </c>
      <c r="R9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4" s="4"/>
      <c r="T944" s="46">
        <f>IF(PO[[#This Row],[Payment date - override (dd/mm/yyyy)]] &lt;&gt; "", PO[[#This Row],[Payment date - override (dd/mm/yyyy)]], PO[[#This Row],[Due date (dd/mm/yyyy)]])</f>
        <v>0</v>
      </c>
      <c r="U944" s="46">
        <f t="shared" si="14"/>
        <v>52</v>
      </c>
    </row>
    <row r="945" spans="3:21" x14ac:dyDescent="0.25">
      <c r="C945" s="24"/>
      <c r="D945" s="20"/>
      <c r="E945" s="4"/>
      <c r="F945" s="37"/>
      <c r="G945" s="38"/>
      <c r="H945" s="31">
        <f>_xlfn.XLOOKUP(PO[[#This Row],[Supplier name]], Supplier_master[Supplier name], Supplier_master[Category L1], 0)</f>
        <v>0</v>
      </c>
      <c r="I945" s="31">
        <f>_xlfn.XLOOKUP(PO[[#This Row],[Supplier name]], Supplier_master[Supplier name], Supplier_master[Category L2], 0)</f>
        <v>0</v>
      </c>
      <c r="J945" s="55"/>
      <c r="K945" s="55"/>
      <c r="L945" s="31">
        <f>IF(PO[[#This Row],[Spend category L1 - Override]] &lt;&gt; "", PO[[#This Row],[Spend category L1 - Override]], PO[[#This Row],[Spend category L1]])</f>
        <v>0</v>
      </c>
      <c r="M945" s="31">
        <f>IF(PO[[#This Row],[Spend category L2 - Override]] &lt;&gt; "", PO[[#This Row],[Spend category L2 - Override]], PO[[#This Row],[Spend category L2]])</f>
        <v>0</v>
      </c>
      <c r="N945" s="63">
        <f>Assumptions!$D$15</f>
        <v>0.1</v>
      </c>
      <c r="O945" s="45">
        <f>IF(PO[[#This Row],[GST applies?]] = "Yes", (PO[[#This Row],[Value inc. GST]] / 1 + PO[[#This Row],[GST %]]) * PO[[#This Row],[GST %]], 0)</f>
        <v>0</v>
      </c>
      <c r="P945" s="31">
        <f>_xlfn.XLOOKUP(PO[[#This Row],[Supplier name]], Supplier_master[Supplier name], Supplier_master[EOM or Net], 0)</f>
        <v>0</v>
      </c>
      <c r="Q945" s="31">
        <f>_xlfn.XLOOKUP(PO[[#This Row],[Supplier name]], Supplier_master[Supplier name], Supplier_master[Terms days], 0)</f>
        <v>0</v>
      </c>
      <c r="R9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5" s="4"/>
      <c r="T945" s="46">
        <f>IF(PO[[#This Row],[Payment date - override (dd/mm/yyyy)]] &lt;&gt; "", PO[[#This Row],[Payment date - override (dd/mm/yyyy)]], PO[[#This Row],[Due date (dd/mm/yyyy)]])</f>
        <v>0</v>
      </c>
      <c r="U945" s="46">
        <f t="shared" si="14"/>
        <v>52</v>
      </c>
    </row>
    <row r="946" spans="3:21" x14ac:dyDescent="0.25">
      <c r="C946" s="24"/>
      <c r="D946" s="20"/>
      <c r="E946" s="4"/>
      <c r="F946" s="37"/>
      <c r="G946" s="38"/>
      <c r="H946" s="31">
        <f>_xlfn.XLOOKUP(PO[[#This Row],[Supplier name]], Supplier_master[Supplier name], Supplier_master[Category L1], 0)</f>
        <v>0</v>
      </c>
      <c r="I946" s="31">
        <f>_xlfn.XLOOKUP(PO[[#This Row],[Supplier name]], Supplier_master[Supplier name], Supplier_master[Category L2], 0)</f>
        <v>0</v>
      </c>
      <c r="J946" s="55"/>
      <c r="K946" s="55"/>
      <c r="L946" s="31">
        <f>IF(PO[[#This Row],[Spend category L1 - Override]] &lt;&gt; "", PO[[#This Row],[Spend category L1 - Override]], PO[[#This Row],[Spend category L1]])</f>
        <v>0</v>
      </c>
      <c r="M946" s="31">
        <f>IF(PO[[#This Row],[Spend category L2 - Override]] &lt;&gt; "", PO[[#This Row],[Spend category L2 - Override]], PO[[#This Row],[Spend category L2]])</f>
        <v>0</v>
      </c>
      <c r="N946" s="63">
        <f>Assumptions!$D$15</f>
        <v>0.1</v>
      </c>
      <c r="O946" s="45">
        <f>IF(PO[[#This Row],[GST applies?]] = "Yes", (PO[[#This Row],[Value inc. GST]] / 1 + PO[[#This Row],[GST %]]) * PO[[#This Row],[GST %]], 0)</f>
        <v>0</v>
      </c>
      <c r="P946" s="31">
        <f>_xlfn.XLOOKUP(PO[[#This Row],[Supplier name]], Supplier_master[Supplier name], Supplier_master[EOM or Net], 0)</f>
        <v>0</v>
      </c>
      <c r="Q946" s="31">
        <f>_xlfn.XLOOKUP(PO[[#This Row],[Supplier name]], Supplier_master[Supplier name], Supplier_master[Terms days], 0)</f>
        <v>0</v>
      </c>
      <c r="R9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6" s="4"/>
      <c r="T946" s="46">
        <f>IF(PO[[#This Row],[Payment date - override (dd/mm/yyyy)]] &lt;&gt; "", PO[[#This Row],[Payment date - override (dd/mm/yyyy)]], PO[[#This Row],[Due date (dd/mm/yyyy)]])</f>
        <v>0</v>
      </c>
      <c r="U946" s="46">
        <f t="shared" si="14"/>
        <v>52</v>
      </c>
    </row>
    <row r="947" spans="3:21" x14ac:dyDescent="0.25">
      <c r="C947" s="24"/>
      <c r="D947" s="20"/>
      <c r="E947" s="4"/>
      <c r="F947" s="37"/>
      <c r="G947" s="38"/>
      <c r="H947" s="31">
        <f>_xlfn.XLOOKUP(PO[[#This Row],[Supplier name]], Supplier_master[Supplier name], Supplier_master[Category L1], 0)</f>
        <v>0</v>
      </c>
      <c r="I947" s="31">
        <f>_xlfn.XLOOKUP(PO[[#This Row],[Supplier name]], Supplier_master[Supplier name], Supplier_master[Category L2], 0)</f>
        <v>0</v>
      </c>
      <c r="J947" s="55"/>
      <c r="K947" s="55"/>
      <c r="L947" s="31">
        <f>IF(PO[[#This Row],[Spend category L1 - Override]] &lt;&gt; "", PO[[#This Row],[Spend category L1 - Override]], PO[[#This Row],[Spend category L1]])</f>
        <v>0</v>
      </c>
      <c r="M947" s="31">
        <f>IF(PO[[#This Row],[Spend category L2 - Override]] &lt;&gt; "", PO[[#This Row],[Spend category L2 - Override]], PO[[#This Row],[Spend category L2]])</f>
        <v>0</v>
      </c>
      <c r="N947" s="63">
        <f>Assumptions!$D$15</f>
        <v>0.1</v>
      </c>
      <c r="O947" s="45">
        <f>IF(PO[[#This Row],[GST applies?]] = "Yes", (PO[[#This Row],[Value inc. GST]] / 1 + PO[[#This Row],[GST %]]) * PO[[#This Row],[GST %]], 0)</f>
        <v>0</v>
      </c>
      <c r="P947" s="31">
        <f>_xlfn.XLOOKUP(PO[[#This Row],[Supplier name]], Supplier_master[Supplier name], Supplier_master[EOM or Net], 0)</f>
        <v>0</v>
      </c>
      <c r="Q947" s="31">
        <f>_xlfn.XLOOKUP(PO[[#This Row],[Supplier name]], Supplier_master[Supplier name], Supplier_master[Terms days], 0)</f>
        <v>0</v>
      </c>
      <c r="R9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7" s="4"/>
      <c r="T947" s="46">
        <f>IF(PO[[#This Row],[Payment date - override (dd/mm/yyyy)]] &lt;&gt; "", PO[[#This Row],[Payment date - override (dd/mm/yyyy)]], PO[[#This Row],[Due date (dd/mm/yyyy)]])</f>
        <v>0</v>
      </c>
      <c r="U947" s="46">
        <f t="shared" si="14"/>
        <v>52</v>
      </c>
    </row>
    <row r="948" spans="3:21" x14ac:dyDescent="0.25">
      <c r="C948" s="24"/>
      <c r="D948" s="20"/>
      <c r="E948" s="4"/>
      <c r="F948" s="37"/>
      <c r="G948" s="38"/>
      <c r="H948" s="31">
        <f>_xlfn.XLOOKUP(PO[[#This Row],[Supplier name]], Supplier_master[Supplier name], Supplier_master[Category L1], 0)</f>
        <v>0</v>
      </c>
      <c r="I948" s="31">
        <f>_xlfn.XLOOKUP(PO[[#This Row],[Supplier name]], Supplier_master[Supplier name], Supplier_master[Category L2], 0)</f>
        <v>0</v>
      </c>
      <c r="J948" s="55"/>
      <c r="K948" s="55"/>
      <c r="L948" s="31">
        <f>IF(PO[[#This Row],[Spend category L1 - Override]] &lt;&gt; "", PO[[#This Row],[Spend category L1 - Override]], PO[[#This Row],[Spend category L1]])</f>
        <v>0</v>
      </c>
      <c r="M948" s="31">
        <f>IF(PO[[#This Row],[Spend category L2 - Override]] &lt;&gt; "", PO[[#This Row],[Spend category L2 - Override]], PO[[#This Row],[Spend category L2]])</f>
        <v>0</v>
      </c>
      <c r="N948" s="63">
        <f>Assumptions!$D$15</f>
        <v>0.1</v>
      </c>
      <c r="O948" s="45">
        <f>IF(PO[[#This Row],[GST applies?]] = "Yes", (PO[[#This Row],[Value inc. GST]] / 1 + PO[[#This Row],[GST %]]) * PO[[#This Row],[GST %]], 0)</f>
        <v>0</v>
      </c>
      <c r="P948" s="31">
        <f>_xlfn.XLOOKUP(PO[[#This Row],[Supplier name]], Supplier_master[Supplier name], Supplier_master[EOM or Net], 0)</f>
        <v>0</v>
      </c>
      <c r="Q948" s="31">
        <f>_xlfn.XLOOKUP(PO[[#This Row],[Supplier name]], Supplier_master[Supplier name], Supplier_master[Terms days], 0)</f>
        <v>0</v>
      </c>
      <c r="R9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8" s="4"/>
      <c r="T948" s="46">
        <f>IF(PO[[#This Row],[Payment date - override (dd/mm/yyyy)]] &lt;&gt; "", PO[[#This Row],[Payment date - override (dd/mm/yyyy)]], PO[[#This Row],[Due date (dd/mm/yyyy)]])</f>
        <v>0</v>
      </c>
      <c r="U948" s="46">
        <f t="shared" si="14"/>
        <v>52</v>
      </c>
    </row>
    <row r="949" spans="3:21" x14ac:dyDescent="0.25">
      <c r="C949" s="24"/>
      <c r="D949" s="20"/>
      <c r="E949" s="4"/>
      <c r="F949" s="37"/>
      <c r="G949" s="38"/>
      <c r="H949" s="31">
        <f>_xlfn.XLOOKUP(PO[[#This Row],[Supplier name]], Supplier_master[Supplier name], Supplier_master[Category L1], 0)</f>
        <v>0</v>
      </c>
      <c r="I949" s="31">
        <f>_xlfn.XLOOKUP(PO[[#This Row],[Supplier name]], Supplier_master[Supplier name], Supplier_master[Category L2], 0)</f>
        <v>0</v>
      </c>
      <c r="J949" s="55"/>
      <c r="K949" s="55"/>
      <c r="L949" s="31">
        <f>IF(PO[[#This Row],[Spend category L1 - Override]] &lt;&gt; "", PO[[#This Row],[Spend category L1 - Override]], PO[[#This Row],[Spend category L1]])</f>
        <v>0</v>
      </c>
      <c r="M949" s="31">
        <f>IF(PO[[#This Row],[Spend category L2 - Override]] &lt;&gt; "", PO[[#This Row],[Spend category L2 - Override]], PO[[#This Row],[Spend category L2]])</f>
        <v>0</v>
      </c>
      <c r="N949" s="63">
        <f>Assumptions!$D$15</f>
        <v>0.1</v>
      </c>
      <c r="O949" s="45">
        <f>IF(PO[[#This Row],[GST applies?]] = "Yes", (PO[[#This Row],[Value inc. GST]] / 1 + PO[[#This Row],[GST %]]) * PO[[#This Row],[GST %]], 0)</f>
        <v>0</v>
      </c>
      <c r="P949" s="31">
        <f>_xlfn.XLOOKUP(PO[[#This Row],[Supplier name]], Supplier_master[Supplier name], Supplier_master[EOM or Net], 0)</f>
        <v>0</v>
      </c>
      <c r="Q949" s="31">
        <f>_xlfn.XLOOKUP(PO[[#This Row],[Supplier name]], Supplier_master[Supplier name], Supplier_master[Terms days], 0)</f>
        <v>0</v>
      </c>
      <c r="R9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9" s="4"/>
      <c r="T949" s="46">
        <f>IF(PO[[#This Row],[Payment date - override (dd/mm/yyyy)]] &lt;&gt; "", PO[[#This Row],[Payment date - override (dd/mm/yyyy)]], PO[[#This Row],[Due date (dd/mm/yyyy)]])</f>
        <v>0</v>
      </c>
      <c r="U949" s="46">
        <f t="shared" si="14"/>
        <v>52</v>
      </c>
    </row>
    <row r="950" spans="3:21" x14ac:dyDescent="0.25">
      <c r="C950" s="24"/>
      <c r="D950" s="20"/>
      <c r="E950" s="4"/>
      <c r="F950" s="37"/>
      <c r="G950" s="38"/>
      <c r="H950" s="31">
        <f>_xlfn.XLOOKUP(PO[[#This Row],[Supplier name]], Supplier_master[Supplier name], Supplier_master[Category L1], 0)</f>
        <v>0</v>
      </c>
      <c r="I950" s="31">
        <f>_xlfn.XLOOKUP(PO[[#This Row],[Supplier name]], Supplier_master[Supplier name], Supplier_master[Category L2], 0)</f>
        <v>0</v>
      </c>
      <c r="J950" s="55"/>
      <c r="K950" s="55"/>
      <c r="L950" s="31">
        <f>IF(PO[[#This Row],[Spend category L1 - Override]] &lt;&gt; "", PO[[#This Row],[Spend category L1 - Override]], PO[[#This Row],[Spend category L1]])</f>
        <v>0</v>
      </c>
      <c r="M950" s="31">
        <f>IF(PO[[#This Row],[Spend category L2 - Override]] &lt;&gt; "", PO[[#This Row],[Spend category L2 - Override]], PO[[#This Row],[Spend category L2]])</f>
        <v>0</v>
      </c>
      <c r="N950" s="63">
        <f>Assumptions!$D$15</f>
        <v>0.1</v>
      </c>
      <c r="O950" s="45">
        <f>IF(PO[[#This Row],[GST applies?]] = "Yes", (PO[[#This Row],[Value inc. GST]] / 1 + PO[[#This Row],[GST %]]) * PO[[#This Row],[GST %]], 0)</f>
        <v>0</v>
      </c>
      <c r="P950" s="31">
        <f>_xlfn.XLOOKUP(PO[[#This Row],[Supplier name]], Supplier_master[Supplier name], Supplier_master[EOM or Net], 0)</f>
        <v>0</v>
      </c>
      <c r="Q950" s="31">
        <f>_xlfn.XLOOKUP(PO[[#This Row],[Supplier name]], Supplier_master[Supplier name], Supplier_master[Terms days], 0)</f>
        <v>0</v>
      </c>
      <c r="R9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0" s="4"/>
      <c r="T950" s="46">
        <f>IF(PO[[#This Row],[Payment date - override (dd/mm/yyyy)]] &lt;&gt; "", PO[[#This Row],[Payment date - override (dd/mm/yyyy)]], PO[[#This Row],[Due date (dd/mm/yyyy)]])</f>
        <v>0</v>
      </c>
      <c r="U950" s="46">
        <f t="shared" si="14"/>
        <v>52</v>
      </c>
    </row>
    <row r="951" spans="3:21" x14ac:dyDescent="0.25">
      <c r="C951" s="24"/>
      <c r="D951" s="20"/>
      <c r="E951" s="4"/>
      <c r="F951" s="37"/>
      <c r="G951" s="38"/>
      <c r="H951" s="31">
        <f>_xlfn.XLOOKUP(PO[[#This Row],[Supplier name]], Supplier_master[Supplier name], Supplier_master[Category L1], 0)</f>
        <v>0</v>
      </c>
      <c r="I951" s="31">
        <f>_xlfn.XLOOKUP(PO[[#This Row],[Supplier name]], Supplier_master[Supplier name], Supplier_master[Category L2], 0)</f>
        <v>0</v>
      </c>
      <c r="J951" s="55"/>
      <c r="K951" s="55"/>
      <c r="L951" s="31">
        <f>IF(PO[[#This Row],[Spend category L1 - Override]] &lt;&gt; "", PO[[#This Row],[Spend category L1 - Override]], PO[[#This Row],[Spend category L1]])</f>
        <v>0</v>
      </c>
      <c r="M951" s="31">
        <f>IF(PO[[#This Row],[Spend category L2 - Override]] &lt;&gt; "", PO[[#This Row],[Spend category L2 - Override]], PO[[#This Row],[Spend category L2]])</f>
        <v>0</v>
      </c>
      <c r="N951" s="63">
        <f>Assumptions!$D$15</f>
        <v>0.1</v>
      </c>
      <c r="O951" s="45">
        <f>IF(PO[[#This Row],[GST applies?]] = "Yes", (PO[[#This Row],[Value inc. GST]] / 1 + PO[[#This Row],[GST %]]) * PO[[#This Row],[GST %]], 0)</f>
        <v>0</v>
      </c>
      <c r="P951" s="31">
        <f>_xlfn.XLOOKUP(PO[[#This Row],[Supplier name]], Supplier_master[Supplier name], Supplier_master[EOM or Net], 0)</f>
        <v>0</v>
      </c>
      <c r="Q951" s="31">
        <f>_xlfn.XLOOKUP(PO[[#This Row],[Supplier name]], Supplier_master[Supplier name], Supplier_master[Terms days], 0)</f>
        <v>0</v>
      </c>
      <c r="R9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1" s="4"/>
      <c r="T951" s="46">
        <f>IF(PO[[#This Row],[Payment date - override (dd/mm/yyyy)]] &lt;&gt; "", PO[[#This Row],[Payment date - override (dd/mm/yyyy)]], PO[[#This Row],[Due date (dd/mm/yyyy)]])</f>
        <v>0</v>
      </c>
      <c r="U951" s="46">
        <f t="shared" si="14"/>
        <v>52</v>
      </c>
    </row>
    <row r="952" spans="3:21" x14ac:dyDescent="0.25">
      <c r="C952" s="24"/>
      <c r="D952" s="20"/>
      <c r="E952" s="4"/>
      <c r="F952" s="37"/>
      <c r="G952" s="38"/>
      <c r="H952" s="31">
        <f>_xlfn.XLOOKUP(PO[[#This Row],[Supplier name]], Supplier_master[Supplier name], Supplier_master[Category L1], 0)</f>
        <v>0</v>
      </c>
      <c r="I952" s="31">
        <f>_xlfn.XLOOKUP(PO[[#This Row],[Supplier name]], Supplier_master[Supplier name], Supplier_master[Category L2], 0)</f>
        <v>0</v>
      </c>
      <c r="J952" s="55"/>
      <c r="K952" s="55"/>
      <c r="L952" s="31">
        <f>IF(PO[[#This Row],[Spend category L1 - Override]] &lt;&gt; "", PO[[#This Row],[Spend category L1 - Override]], PO[[#This Row],[Spend category L1]])</f>
        <v>0</v>
      </c>
      <c r="M952" s="31">
        <f>IF(PO[[#This Row],[Spend category L2 - Override]] &lt;&gt; "", PO[[#This Row],[Spend category L2 - Override]], PO[[#This Row],[Spend category L2]])</f>
        <v>0</v>
      </c>
      <c r="N952" s="63">
        <f>Assumptions!$D$15</f>
        <v>0.1</v>
      </c>
      <c r="O952" s="45">
        <f>IF(PO[[#This Row],[GST applies?]] = "Yes", (PO[[#This Row],[Value inc. GST]] / 1 + PO[[#This Row],[GST %]]) * PO[[#This Row],[GST %]], 0)</f>
        <v>0</v>
      </c>
      <c r="P952" s="31">
        <f>_xlfn.XLOOKUP(PO[[#This Row],[Supplier name]], Supplier_master[Supplier name], Supplier_master[EOM or Net], 0)</f>
        <v>0</v>
      </c>
      <c r="Q952" s="31">
        <f>_xlfn.XLOOKUP(PO[[#This Row],[Supplier name]], Supplier_master[Supplier name], Supplier_master[Terms days], 0)</f>
        <v>0</v>
      </c>
      <c r="R9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2" s="4"/>
      <c r="T952" s="46">
        <f>IF(PO[[#This Row],[Payment date - override (dd/mm/yyyy)]] &lt;&gt; "", PO[[#This Row],[Payment date - override (dd/mm/yyyy)]], PO[[#This Row],[Due date (dd/mm/yyyy)]])</f>
        <v>0</v>
      </c>
      <c r="U952" s="46">
        <f t="shared" si="14"/>
        <v>52</v>
      </c>
    </row>
    <row r="953" spans="3:21" x14ac:dyDescent="0.25">
      <c r="C953" s="24"/>
      <c r="D953" s="20"/>
      <c r="E953" s="4"/>
      <c r="F953" s="37"/>
      <c r="G953" s="38"/>
      <c r="H953" s="31">
        <f>_xlfn.XLOOKUP(PO[[#This Row],[Supplier name]], Supplier_master[Supplier name], Supplier_master[Category L1], 0)</f>
        <v>0</v>
      </c>
      <c r="I953" s="31">
        <f>_xlfn.XLOOKUP(PO[[#This Row],[Supplier name]], Supplier_master[Supplier name], Supplier_master[Category L2], 0)</f>
        <v>0</v>
      </c>
      <c r="J953" s="55"/>
      <c r="K953" s="55"/>
      <c r="L953" s="31">
        <f>IF(PO[[#This Row],[Spend category L1 - Override]] &lt;&gt; "", PO[[#This Row],[Spend category L1 - Override]], PO[[#This Row],[Spend category L1]])</f>
        <v>0</v>
      </c>
      <c r="M953" s="31">
        <f>IF(PO[[#This Row],[Spend category L2 - Override]] &lt;&gt; "", PO[[#This Row],[Spend category L2 - Override]], PO[[#This Row],[Spend category L2]])</f>
        <v>0</v>
      </c>
      <c r="N953" s="63">
        <f>Assumptions!$D$15</f>
        <v>0.1</v>
      </c>
      <c r="O953" s="45">
        <f>IF(PO[[#This Row],[GST applies?]] = "Yes", (PO[[#This Row],[Value inc. GST]] / 1 + PO[[#This Row],[GST %]]) * PO[[#This Row],[GST %]], 0)</f>
        <v>0</v>
      </c>
      <c r="P953" s="31">
        <f>_xlfn.XLOOKUP(PO[[#This Row],[Supplier name]], Supplier_master[Supplier name], Supplier_master[EOM or Net], 0)</f>
        <v>0</v>
      </c>
      <c r="Q953" s="31">
        <f>_xlfn.XLOOKUP(PO[[#This Row],[Supplier name]], Supplier_master[Supplier name], Supplier_master[Terms days], 0)</f>
        <v>0</v>
      </c>
      <c r="R9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3" s="4"/>
      <c r="T953" s="46">
        <f>IF(PO[[#This Row],[Payment date - override (dd/mm/yyyy)]] &lt;&gt; "", PO[[#This Row],[Payment date - override (dd/mm/yyyy)]], PO[[#This Row],[Due date (dd/mm/yyyy)]])</f>
        <v>0</v>
      </c>
      <c r="U953" s="46">
        <f t="shared" si="14"/>
        <v>52</v>
      </c>
    </row>
    <row r="954" spans="3:21" x14ac:dyDescent="0.25">
      <c r="C954" s="24"/>
      <c r="D954" s="20"/>
      <c r="E954" s="4"/>
      <c r="F954" s="37"/>
      <c r="G954" s="38"/>
      <c r="H954" s="31">
        <f>_xlfn.XLOOKUP(PO[[#This Row],[Supplier name]], Supplier_master[Supplier name], Supplier_master[Category L1], 0)</f>
        <v>0</v>
      </c>
      <c r="I954" s="31">
        <f>_xlfn.XLOOKUP(PO[[#This Row],[Supplier name]], Supplier_master[Supplier name], Supplier_master[Category L2], 0)</f>
        <v>0</v>
      </c>
      <c r="J954" s="55"/>
      <c r="K954" s="55"/>
      <c r="L954" s="31">
        <f>IF(PO[[#This Row],[Spend category L1 - Override]] &lt;&gt; "", PO[[#This Row],[Spend category L1 - Override]], PO[[#This Row],[Spend category L1]])</f>
        <v>0</v>
      </c>
      <c r="M954" s="31">
        <f>IF(PO[[#This Row],[Spend category L2 - Override]] &lt;&gt; "", PO[[#This Row],[Spend category L2 - Override]], PO[[#This Row],[Spend category L2]])</f>
        <v>0</v>
      </c>
      <c r="N954" s="63">
        <f>Assumptions!$D$15</f>
        <v>0.1</v>
      </c>
      <c r="O954" s="45">
        <f>IF(PO[[#This Row],[GST applies?]] = "Yes", (PO[[#This Row],[Value inc. GST]] / 1 + PO[[#This Row],[GST %]]) * PO[[#This Row],[GST %]], 0)</f>
        <v>0</v>
      </c>
      <c r="P954" s="31">
        <f>_xlfn.XLOOKUP(PO[[#This Row],[Supplier name]], Supplier_master[Supplier name], Supplier_master[EOM or Net], 0)</f>
        <v>0</v>
      </c>
      <c r="Q954" s="31">
        <f>_xlfn.XLOOKUP(PO[[#This Row],[Supplier name]], Supplier_master[Supplier name], Supplier_master[Terms days], 0)</f>
        <v>0</v>
      </c>
      <c r="R9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4" s="4"/>
      <c r="T954" s="46">
        <f>IF(PO[[#This Row],[Payment date - override (dd/mm/yyyy)]] &lt;&gt; "", PO[[#This Row],[Payment date - override (dd/mm/yyyy)]], PO[[#This Row],[Due date (dd/mm/yyyy)]])</f>
        <v>0</v>
      </c>
      <c r="U954" s="46">
        <f t="shared" si="14"/>
        <v>52</v>
      </c>
    </row>
    <row r="955" spans="3:21" x14ac:dyDescent="0.25">
      <c r="C955" s="24"/>
      <c r="D955" s="20"/>
      <c r="E955" s="4"/>
      <c r="F955" s="37"/>
      <c r="G955" s="38"/>
      <c r="H955" s="31">
        <f>_xlfn.XLOOKUP(PO[[#This Row],[Supplier name]], Supplier_master[Supplier name], Supplier_master[Category L1], 0)</f>
        <v>0</v>
      </c>
      <c r="I955" s="31">
        <f>_xlfn.XLOOKUP(PO[[#This Row],[Supplier name]], Supplier_master[Supplier name], Supplier_master[Category L2], 0)</f>
        <v>0</v>
      </c>
      <c r="J955" s="55"/>
      <c r="K955" s="55"/>
      <c r="L955" s="31">
        <f>IF(PO[[#This Row],[Spend category L1 - Override]] &lt;&gt; "", PO[[#This Row],[Spend category L1 - Override]], PO[[#This Row],[Spend category L1]])</f>
        <v>0</v>
      </c>
      <c r="M955" s="31">
        <f>IF(PO[[#This Row],[Spend category L2 - Override]] &lt;&gt; "", PO[[#This Row],[Spend category L2 - Override]], PO[[#This Row],[Spend category L2]])</f>
        <v>0</v>
      </c>
      <c r="N955" s="63">
        <f>Assumptions!$D$15</f>
        <v>0.1</v>
      </c>
      <c r="O955" s="45">
        <f>IF(PO[[#This Row],[GST applies?]] = "Yes", (PO[[#This Row],[Value inc. GST]] / 1 + PO[[#This Row],[GST %]]) * PO[[#This Row],[GST %]], 0)</f>
        <v>0</v>
      </c>
      <c r="P955" s="31">
        <f>_xlfn.XLOOKUP(PO[[#This Row],[Supplier name]], Supplier_master[Supplier name], Supplier_master[EOM or Net], 0)</f>
        <v>0</v>
      </c>
      <c r="Q955" s="31">
        <f>_xlfn.XLOOKUP(PO[[#This Row],[Supplier name]], Supplier_master[Supplier name], Supplier_master[Terms days], 0)</f>
        <v>0</v>
      </c>
      <c r="R9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5" s="4"/>
      <c r="T955" s="46">
        <f>IF(PO[[#This Row],[Payment date - override (dd/mm/yyyy)]] &lt;&gt; "", PO[[#This Row],[Payment date - override (dd/mm/yyyy)]], PO[[#This Row],[Due date (dd/mm/yyyy)]])</f>
        <v>0</v>
      </c>
      <c r="U955" s="46">
        <f t="shared" si="14"/>
        <v>52</v>
      </c>
    </row>
    <row r="956" spans="3:21" x14ac:dyDescent="0.25">
      <c r="C956" s="24"/>
      <c r="D956" s="20"/>
      <c r="E956" s="4"/>
      <c r="F956" s="37"/>
      <c r="G956" s="38"/>
      <c r="H956" s="31">
        <f>_xlfn.XLOOKUP(PO[[#This Row],[Supplier name]], Supplier_master[Supplier name], Supplier_master[Category L1], 0)</f>
        <v>0</v>
      </c>
      <c r="I956" s="31">
        <f>_xlfn.XLOOKUP(PO[[#This Row],[Supplier name]], Supplier_master[Supplier name], Supplier_master[Category L2], 0)</f>
        <v>0</v>
      </c>
      <c r="J956" s="55"/>
      <c r="K956" s="55"/>
      <c r="L956" s="31">
        <f>IF(PO[[#This Row],[Spend category L1 - Override]] &lt;&gt; "", PO[[#This Row],[Spend category L1 - Override]], PO[[#This Row],[Spend category L1]])</f>
        <v>0</v>
      </c>
      <c r="M956" s="31">
        <f>IF(PO[[#This Row],[Spend category L2 - Override]] &lt;&gt; "", PO[[#This Row],[Spend category L2 - Override]], PO[[#This Row],[Spend category L2]])</f>
        <v>0</v>
      </c>
      <c r="N956" s="63">
        <f>Assumptions!$D$15</f>
        <v>0.1</v>
      </c>
      <c r="O956" s="45">
        <f>IF(PO[[#This Row],[GST applies?]] = "Yes", (PO[[#This Row],[Value inc. GST]] / 1 + PO[[#This Row],[GST %]]) * PO[[#This Row],[GST %]], 0)</f>
        <v>0</v>
      </c>
      <c r="P956" s="31">
        <f>_xlfn.XLOOKUP(PO[[#This Row],[Supplier name]], Supplier_master[Supplier name], Supplier_master[EOM or Net], 0)</f>
        <v>0</v>
      </c>
      <c r="Q956" s="31">
        <f>_xlfn.XLOOKUP(PO[[#This Row],[Supplier name]], Supplier_master[Supplier name], Supplier_master[Terms days], 0)</f>
        <v>0</v>
      </c>
      <c r="R9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6" s="4"/>
      <c r="T956" s="46">
        <f>IF(PO[[#This Row],[Payment date - override (dd/mm/yyyy)]] &lt;&gt; "", PO[[#This Row],[Payment date - override (dd/mm/yyyy)]], PO[[#This Row],[Due date (dd/mm/yyyy)]])</f>
        <v>0</v>
      </c>
      <c r="U956" s="46">
        <f t="shared" si="14"/>
        <v>52</v>
      </c>
    </row>
    <row r="957" spans="3:21" x14ac:dyDescent="0.25">
      <c r="C957" s="24"/>
      <c r="D957" s="20"/>
      <c r="E957" s="4"/>
      <c r="F957" s="37"/>
      <c r="G957" s="38"/>
      <c r="H957" s="31">
        <f>_xlfn.XLOOKUP(PO[[#This Row],[Supplier name]], Supplier_master[Supplier name], Supplier_master[Category L1], 0)</f>
        <v>0</v>
      </c>
      <c r="I957" s="31">
        <f>_xlfn.XLOOKUP(PO[[#This Row],[Supplier name]], Supplier_master[Supplier name], Supplier_master[Category L2], 0)</f>
        <v>0</v>
      </c>
      <c r="J957" s="55"/>
      <c r="K957" s="55"/>
      <c r="L957" s="31">
        <f>IF(PO[[#This Row],[Spend category L1 - Override]] &lt;&gt; "", PO[[#This Row],[Spend category L1 - Override]], PO[[#This Row],[Spend category L1]])</f>
        <v>0</v>
      </c>
      <c r="M957" s="31">
        <f>IF(PO[[#This Row],[Spend category L2 - Override]] &lt;&gt; "", PO[[#This Row],[Spend category L2 - Override]], PO[[#This Row],[Spend category L2]])</f>
        <v>0</v>
      </c>
      <c r="N957" s="63">
        <f>Assumptions!$D$15</f>
        <v>0.1</v>
      </c>
      <c r="O957" s="45">
        <f>IF(PO[[#This Row],[GST applies?]] = "Yes", (PO[[#This Row],[Value inc. GST]] / 1 + PO[[#This Row],[GST %]]) * PO[[#This Row],[GST %]], 0)</f>
        <v>0</v>
      </c>
      <c r="P957" s="31">
        <f>_xlfn.XLOOKUP(PO[[#This Row],[Supplier name]], Supplier_master[Supplier name], Supplier_master[EOM or Net], 0)</f>
        <v>0</v>
      </c>
      <c r="Q957" s="31">
        <f>_xlfn.XLOOKUP(PO[[#This Row],[Supplier name]], Supplier_master[Supplier name], Supplier_master[Terms days], 0)</f>
        <v>0</v>
      </c>
      <c r="R9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7" s="4"/>
      <c r="T957" s="46">
        <f>IF(PO[[#This Row],[Payment date - override (dd/mm/yyyy)]] &lt;&gt; "", PO[[#This Row],[Payment date - override (dd/mm/yyyy)]], PO[[#This Row],[Due date (dd/mm/yyyy)]])</f>
        <v>0</v>
      </c>
      <c r="U957" s="46">
        <f t="shared" si="14"/>
        <v>52</v>
      </c>
    </row>
    <row r="958" spans="3:21" x14ac:dyDescent="0.25">
      <c r="C958" s="24"/>
      <c r="D958" s="20"/>
      <c r="E958" s="4"/>
      <c r="F958" s="37"/>
      <c r="G958" s="38"/>
      <c r="H958" s="31">
        <f>_xlfn.XLOOKUP(PO[[#This Row],[Supplier name]], Supplier_master[Supplier name], Supplier_master[Category L1], 0)</f>
        <v>0</v>
      </c>
      <c r="I958" s="31">
        <f>_xlfn.XLOOKUP(PO[[#This Row],[Supplier name]], Supplier_master[Supplier name], Supplier_master[Category L2], 0)</f>
        <v>0</v>
      </c>
      <c r="J958" s="55"/>
      <c r="K958" s="55"/>
      <c r="L958" s="31">
        <f>IF(PO[[#This Row],[Spend category L1 - Override]] &lt;&gt; "", PO[[#This Row],[Spend category L1 - Override]], PO[[#This Row],[Spend category L1]])</f>
        <v>0</v>
      </c>
      <c r="M958" s="31">
        <f>IF(PO[[#This Row],[Spend category L2 - Override]] &lt;&gt; "", PO[[#This Row],[Spend category L2 - Override]], PO[[#This Row],[Spend category L2]])</f>
        <v>0</v>
      </c>
      <c r="N958" s="63">
        <f>Assumptions!$D$15</f>
        <v>0.1</v>
      </c>
      <c r="O958" s="45">
        <f>IF(PO[[#This Row],[GST applies?]] = "Yes", (PO[[#This Row],[Value inc. GST]] / 1 + PO[[#This Row],[GST %]]) * PO[[#This Row],[GST %]], 0)</f>
        <v>0</v>
      </c>
      <c r="P958" s="31">
        <f>_xlfn.XLOOKUP(PO[[#This Row],[Supplier name]], Supplier_master[Supplier name], Supplier_master[EOM or Net], 0)</f>
        <v>0</v>
      </c>
      <c r="Q958" s="31">
        <f>_xlfn.XLOOKUP(PO[[#This Row],[Supplier name]], Supplier_master[Supplier name], Supplier_master[Terms days], 0)</f>
        <v>0</v>
      </c>
      <c r="R9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8" s="4"/>
      <c r="T958" s="46">
        <f>IF(PO[[#This Row],[Payment date - override (dd/mm/yyyy)]] &lt;&gt; "", PO[[#This Row],[Payment date - override (dd/mm/yyyy)]], PO[[#This Row],[Due date (dd/mm/yyyy)]])</f>
        <v>0</v>
      </c>
      <c r="U958" s="46">
        <f t="shared" si="14"/>
        <v>52</v>
      </c>
    </row>
    <row r="959" spans="3:21" x14ac:dyDescent="0.25">
      <c r="C959" s="24"/>
      <c r="D959" s="20"/>
      <c r="E959" s="4"/>
      <c r="F959" s="37"/>
      <c r="G959" s="38"/>
      <c r="H959" s="31">
        <f>_xlfn.XLOOKUP(PO[[#This Row],[Supplier name]], Supplier_master[Supplier name], Supplier_master[Category L1], 0)</f>
        <v>0</v>
      </c>
      <c r="I959" s="31">
        <f>_xlfn.XLOOKUP(PO[[#This Row],[Supplier name]], Supplier_master[Supplier name], Supplier_master[Category L2], 0)</f>
        <v>0</v>
      </c>
      <c r="J959" s="55"/>
      <c r="K959" s="55"/>
      <c r="L959" s="31">
        <f>IF(PO[[#This Row],[Spend category L1 - Override]] &lt;&gt; "", PO[[#This Row],[Spend category L1 - Override]], PO[[#This Row],[Spend category L1]])</f>
        <v>0</v>
      </c>
      <c r="M959" s="31">
        <f>IF(PO[[#This Row],[Spend category L2 - Override]] &lt;&gt; "", PO[[#This Row],[Spend category L2 - Override]], PO[[#This Row],[Spend category L2]])</f>
        <v>0</v>
      </c>
      <c r="N959" s="63">
        <f>Assumptions!$D$15</f>
        <v>0.1</v>
      </c>
      <c r="O959" s="45">
        <f>IF(PO[[#This Row],[GST applies?]] = "Yes", (PO[[#This Row],[Value inc. GST]] / 1 + PO[[#This Row],[GST %]]) * PO[[#This Row],[GST %]], 0)</f>
        <v>0</v>
      </c>
      <c r="P959" s="31">
        <f>_xlfn.XLOOKUP(PO[[#This Row],[Supplier name]], Supplier_master[Supplier name], Supplier_master[EOM or Net], 0)</f>
        <v>0</v>
      </c>
      <c r="Q959" s="31">
        <f>_xlfn.XLOOKUP(PO[[#This Row],[Supplier name]], Supplier_master[Supplier name], Supplier_master[Terms days], 0)</f>
        <v>0</v>
      </c>
      <c r="R9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9" s="4"/>
      <c r="T959" s="46">
        <f>IF(PO[[#This Row],[Payment date - override (dd/mm/yyyy)]] &lt;&gt; "", PO[[#This Row],[Payment date - override (dd/mm/yyyy)]], PO[[#This Row],[Due date (dd/mm/yyyy)]])</f>
        <v>0</v>
      </c>
      <c r="U959" s="46">
        <f t="shared" si="14"/>
        <v>52</v>
      </c>
    </row>
    <row r="960" spans="3:21" x14ac:dyDescent="0.25">
      <c r="C960" s="24"/>
      <c r="D960" s="20"/>
      <c r="E960" s="4"/>
      <c r="F960" s="37"/>
      <c r="G960" s="38"/>
      <c r="H960" s="31">
        <f>_xlfn.XLOOKUP(PO[[#This Row],[Supplier name]], Supplier_master[Supplier name], Supplier_master[Category L1], 0)</f>
        <v>0</v>
      </c>
      <c r="I960" s="31">
        <f>_xlfn.XLOOKUP(PO[[#This Row],[Supplier name]], Supplier_master[Supplier name], Supplier_master[Category L2], 0)</f>
        <v>0</v>
      </c>
      <c r="J960" s="55"/>
      <c r="K960" s="55"/>
      <c r="L960" s="31">
        <f>IF(PO[[#This Row],[Spend category L1 - Override]] &lt;&gt; "", PO[[#This Row],[Spend category L1 - Override]], PO[[#This Row],[Spend category L1]])</f>
        <v>0</v>
      </c>
      <c r="M960" s="31">
        <f>IF(PO[[#This Row],[Spend category L2 - Override]] &lt;&gt; "", PO[[#This Row],[Spend category L2 - Override]], PO[[#This Row],[Spend category L2]])</f>
        <v>0</v>
      </c>
      <c r="N960" s="63">
        <f>Assumptions!$D$15</f>
        <v>0.1</v>
      </c>
      <c r="O960" s="45">
        <f>IF(PO[[#This Row],[GST applies?]] = "Yes", (PO[[#This Row],[Value inc. GST]] / 1 + PO[[#This Row],[GST %]]) * PO[[#This Row],[GST %]], 0)</f>
        <v>0</v>
      </c>
      <c r="P960" s="31">
        <f>_xlfn.XLOOKUP(PO[[#This Row],[Supplier name]], Supplier_master[Supplier name], Supplier_master[EOM or Net], 0)</f>
        <v>0</v>
      </c>
      <c r="Q960" s="31">
        <f>_xlfn.XLOOKUP(PO[[#This Row],[Supplier name]], Supplier_master[Supplier name], Supplier_master[Terms days], 0)</f>
        <v>0</v>
      </c>
      <c r="R9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0" s="4"/>
      <c r="T960" s="46">
        <f>IF(PO[[#This Row],[Payment date - override (dd/mm/yyyy)]] &lt;&gt; "", PO[[#This Row],[Payment date - override (dd/mm/yyyy)]], PO[[#This Row],[Due date (dd/mm/yyyy)]])</f>
        <v>0</v>
      </c>
      <c r="U960" s="46">
        <f t="shared" si="14"/>
        <v>52</v>
      </c>
    </row>
    <row r="961" spans="3:21" x14ac:dyDescent="0.25">
      <c r="C961" s="24"/>
      <c r="D961" s="20"/>
      <c r="E961" s="4"/>
      <c r="F961" s="37"/>
      <c r="G961" s="38"/>
      <c r="H961" s="31">
        <f>_xlfn.XLOOKUP(PO[[#This Row],[Supplier name]], Supplier_master[Supplier name], Supplier_master[Category L1], 0)</f>
        <v>0</v>
      </c>
      <c r="I961" s="31">
        <f>_xlfn.XLOOKUP(PO[[#This Row],[Supplier name]], Supplier_master[Supplier name], Supplier_master[Category L2], 0)</f>
        <v>0</v>
      </c>
      <c r="J961" s="55"/>
      <c r="K961" s="55"/>
      <c r="L961" s="31">
        <f>IF(PO[[#This Row],[Spend category L1 - Override]] &lt;&gt; "", PO[[#This Row],[Spend category L1 - Override]], PO[[#This Row],[Spend category L1]])</f>
        <v>0</v>
      </c>
      <c r="M961" s="31">
        <f>IF(PO[[#This Row],[Spend category L2 - Override]] &lt;&gt; "", PO[[#This Row],[Spend category L2 - Override]], PO[[#This Row],[Spend category L2]])</f>
        <v>0</v>
      </c>
      <c r="N961" s="63">
        <f>Assumptions!$D$15</f>
        <v>0.1</v>
      </c>
      <c r="O961" s="45">
        <f>IF(PO[[#This Row],[GST applies?]] = "Yes", (PO[[#This Row],[Value inc. GST]] / 1 + PO[[#This Row],[GST %]]) * PO[[#This Row],[GST %]], 0)</f>
        <v>0</v>
      </c>
      <c r="P961" s="31">
        <f>_xlfn.XLOOKUP(PO[[#This Row],[Supplier name]], Supplier_master[Supplier name], Supplier_master[EOM or Net], 0)</f>
        <v>0</v>
      </c>
      <c r="Q961" s="31">
        <f>_xlfn.XLOOKUP(PO[[#This Row],[Supplier name]], Supplier_master[Supplier name], Supplier_master[Terms days], 0)</f>
        <v>0</v>
      </c>
      <c r="R9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1" s="4"/>
      <c r="T961" s="46">
        <f>IF(PO[[#This Row],[Payment date - override (dd/mm/yyyy)]] &lt;&gt; "", PO[[#This Row],[Payment date - override (dd/mm/yyyy)]], PO[[#This Row],[Due date (dd/mm/yyyy)]])</f>
        <v>0</v>
      </c>
      <c r="U961" s="46">
        <f t="shared" si="14"/>
        <v>52</v>
      </c>
    </row>
    <row r="962" spans="3:21" x14ac:dyDescent="0.25">
      <c r="C962" s="24"/>
      <c r="D962" s="20"/>
      <c r="E962" s="4"/>
      <c r="F962" s="37"/>
      <c r="G962" s="38"/>
      <c r="H962" s="31">
        <f>_xlfn.XLOOKUP(PO[[#This Row],[Supplier name]], Supplier_master[Supplier name], Supplier_master[Category L1], 0)</f>
        <v>0</v>
      </c>
      <c r="I962" s="31">
        <f>_xlfn.XLOOKUP(PO[[#This Row],[Supplier name]], Supplier_master[Supplier name], Supplier_master[Category L2], 0)</f>
        <v>0</v>
      </c>
      <c r="J962" s="55"/>
      <c r="K962" s="55"/>
      <c r="L962" s="31">
        <f>IF(PO[[#This Row],[Spend category L1 - Override]] &lt;&gt; "", PO[[#This Row],[Spend category L1 - Override]], PO[[#This Row],[Spend category L1]])</f>
        <v>0</v>
      </c>
      <c r="M962" s="31">
        <f>IF(PO[[#This Row],[Spend category L2 - Override]] &lt;&gt; "", PO[[#This Row],[Spend category L2 - Override]], PO[[#This Row],[Spend category L2]])</f>
        <v>0</v>
      </c>
      <c r="N962" s="63">
        <f>Assumptions!$D$15</f>
        <v>0.1</v>
      </c>
      <c r="O962" s="45">
        <f>IF(PO[[#This Row],[GST applies?]] = "Yes", (PO[[#This Row],[Value inc. GST]] / 1 + PO[[#This Row],[GST %]]) * PO[[#This Row],[GST %]], 0)</f>
        <v>0</v>
      </c>
      <c r="P962" s="31">
        <f>_xlfn.XLOOKUP(PO[[#This Row],[Supplier name]], Supplier_master[Supplier name], Supplier_master[EOM or Net], 0)</f>
        <v>0</v>
      </c>
      <c r="Q962" s="31">
        <f>_xlfn.XLOOKUP(PO[[#This Row],[Supplier name]], Supplier_master[Supplier name], Supplier_master[Terms days], 0)</f>
        <v>0</v>
      </c>
      <c r="R9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2" s="4"/>
      <c r="T962" s="46">
        <f>IF(PO[[#This Row],[Payment date - override (dd/mm/yyyy)]] &lt;&gt; "", PO[[#This Row],[Payment date - override (dd/mm/yyyy)]], PO[[#This Row],[Due date (dd/mm/yyyy)]])</f>
        <v>0</v>
      </c>
      <c r="U962" s="46">
        <f t="shared" si="14"/>
        <v>52</v>
      </c>
    </row>
    <row r="963" spans="3:21" x14ac:dyDescent="0.25">
      <c r="C963" s="24"/>
      <c r="D963" s="20"/>
      <c r="E963" s="4"/>
      <c r="F963" s="37"/>
      <c r="G963" s="38"/>
      <c r="H963" s="31">
        <f>_xlfn.XLOOKUP(PO[[#This Row],[Supplier name]], Supplier_master[Supplier name], Supplier_master[Category L1], 0)</f>
        <v>0</v>
      </c>
      <c r="I963" s="31">
        <f>_xlfn.XLOOKUP(PO[[#This Row],[Supplier name]], Supplier_master[Supplier name], Supplier_master[Category L2], 0)</f>
        <v>0</v>
      </c>
      <c r="J963" s="55"/>
      <c r="K963" s="55"/>
      <c r="L963" s="31">
        <f>IF(PO[[#This Row],[Spend category L1 - Override]] &lt;&gt; "", PO[[#This Row],[Spend category L1 - Override]], PO[[#This Row],[Spend category L1]])</f>
        <v>0</v>
      </c>
      <c r="M963" s="31">
        <f>IF(PO[[#This Row],[Spend category L2 - Override]] &lt;&gt; "", PO[[#This Row],[Spend category L2 - Override]], PO[[#This Row],[Spend category L2]])</f>
        <v>0</v>
      </c>
      <c r="N963" s="63">
        <f>Assumptions!$D$15</f>
        <v>0.1</v>
      </c>
      <c r="O963" s="45">
        <f>IF(PO[[#This Row],[GST applies?]] = "Yes", (PO[[#This Row],[Value inc. GST]] / 1 + PO[[#This Row],[GST %]]) * PO[[#This Row],[GST %]], 0)</f>
        <v>0</v>
      </c>
      <c r="P963" s="31">
        <f>_xlfn.XLOOKUP(PO[[#This Row],[Supplier name]], Supplier_master[Supplier name], Supplier_master[EOM or Net], 0)</f>
        <v>0</v>
      </c>
      <c r="Q963" s="31">
        <f>_xlfn.XLOOKUP(PO[[#This Row],[Supplier name]], Supplier_master[Supplier name], Supplier_master[Terms days], 0)</f>
        <v>0</v>
      </c>
      <c r="R9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3" s="4"/>
      <c r="T963" s="46">
        <f>IF(PO[[#This Row],[Payment date - override (dd/mm/yyyy)]] &lt;&gt; "", PO[[#This Row],[Payment date - override (dd/mm/yyyy)]], PO[[#This Row],[Due date (dd/mm/yyyy)]])</f>
        <v>0</v>
      </c>
      <c r="U963" s="46">
        <f t="shared" si="14"/>
        <v>52</v>
      </c>
    </row>
    <row r="964" spans="3:21" x14ac:dyDescent="0.25">
      <c r="C964" s="24"/>
      <c r="D964" s="20"/>
      <c r="E964" s="4"/>
      <c r="F964" s="37"/>
      <c r="G964" s="38"/>
      <c r="H964" s="31">
        <f>_xlfn.XLOOKUP(PO[[#This Row],[Supplier name]], Supplier_master[Supplier name], Supplier_master[Category L1], 0)</f>
        <v>0</v>
      </c>
      <c r="I964" s="31">
        <f>_xlfn.XLOOKUP(PO[[#This Row],[Supplier name]], Supplier_master[Supplier name], Supplier_master[Category L2], 0)</f>
        <v>0</v>
      </c>
      <c r="J964" s="55"/>
      <c r="K964" s="55"/>
      <c r="L964" s="31">
        <f>IF(PO[[#This Row],[Spend category L1 - Override]] &lt;&gt; "", PO[[#This Row],[Spend category L1 - Override]], PO[[#This Row],[Spend category L1]])</f>
        <v>0</v>
      </c>
      <c r="M964" s="31">
        <f>IF(PO[[#This Row],[Spend category L2 - Override]] &lt;&gt; "", PO[[#This Row],[Spend category L2 - Override]], PO[[#This Row],[Spend category L2]])</f>
        <v>0</v>
      </c>
      <c r="N964" s="63">
        <f>Assumptions!$D$15</f>
        <v>0.1</v>
      </c>
      <c r="O964" s="45">
        <f>IF(PO[[#This Row],[GST applies?]] = "Yes", (PO[[#This Row],[Value inc. GST]] / 1 + PO[[#This Row],[GST %]]) * PO[[#This Row],[GST %]], 0)</f>
        <v>0</v>
      </c>
      <c r="P964" s="31">
        <f>_xlfn.XLOOKUP(PO[[#This Row],[Supplier name]], Supplier_master[Supplier name], Supplier_master[EOM or Net], 0)</f>
        <v>0</v>
      </c>
      <c r="Q964" s="31">
        <f>_xlfn.XLOOKUP(PO[[#This Row],[Supplier name]], Supplier_master[Supplier name], Supplier_master[Terms days], 0)</f>
        <v>0</v>
      </c>
      <c r="R9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4" s="4"/>
      <c r="T964" s="46">
        <f>IF(PO[[#This Row],[Payment date - override (dd/mm/yyyy)]] &lt;&gt; "", PO[[#This Row],[Payment date - override (dd/mm/yyyy)]], PO[[#This Row],[Due date (dd/mm/yyyy)]])</f>
        <v>0</v>
      </c>
      <c r="U964" s="46">
        <f t="shared" si="14"/>
        <v>52</v>
      </c>
    </row>
    <row r="965" spans="3:21" x14ac:dyDescent="0.25">
      <c r="C965" s="24"/>
      <c r="D965" s="20"/>
      <c r="E965" s="4"/>
      <c r="F965" s="37"/>
      <c r="G965" s="38"/>
      <c r="H965" s="31">
        <f>_xlfn.XLOOKUP(PO[[#This Row],[Supplier name]], Supplier_master[Supplier name], Supplier_master[Category L1], 0)</f>
        <v>0</v>
      </c>
      <c r="I965" s="31">
        <f>_xlfn.XLOOKUP(PO[[#This Row],[Supplier name]], Supplier_master[Supplier name], Supplier_master[Category L2], 0)</f>
        <v>0</v>
      </c>
      <c r="J965" s="55"/>
      <c r="K965" s="55"/>
      <c r="L965" s="31">
        <f>IF(PO[[#This Row],[Spend category L1 - Override]] &lt;&gt; "", PO[[#This Row],[Spend category L1 - Override]], PO[[#This Row],[Spend category L1]])</f>
        <v>0</v>
      </c>
      <c r="M965" s="31">
        <f>IF(PO[[#This Row],[Spend category L2 - Override]] &lt;&gt; "", PO[[#This Row],[Spend category L2 - Override]], PO[[#This Row],[Spend category L2]])</f>
        <v>0</v>
      </c>
      <c r="N965" s="63">
        <f>Assumptions!$D$15</f>
        <v>0.1</v>
      </c>
      <c r="O965" s="45">
        <f>IF(PO[[#This Row],[GST applies?]] = "Yes", (PO[[#This Row],[Value inc. GST]] / 1 + PO[[#This Row],[GST %]]) * PO[[#This Row],[GST %]], 0)</f>
        <v>0</v>
      </c>
      <c r="P965" s="31">
        <f>_xlfn.XLOOKUP(PO[[#This Row],[Supplier name]], Supplier_master[Supplier name], Supplier_master[EOM or Net], 0)</f>
        <v>0</v>
      </c>
      <c r="Q965" s="31">
        <f>_xlfn.XLOOKUP(PO[[#This Row],[Supplier name]], Supplier_master[Supplier name], Supplier_master[Terms days], 0)</f>
        <v>0</v>
      </c>
      <c r="R9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5" s="4"/>
      <c r="T965" s="46">
        <f>IF(PO[[#This Row],[Payment date - override (dd/mm/yyyy)]] &lt;&gt; "", PO[[#This Row],[Payment date - override (dd/mm/yyyy)]], PO[[#This Row],[Due date (dd/mm/yyyy)]])</f>
        <v>0</v>
      </c>
      <c r="U965" s="46">
        <f t="shared" si="14"/>
        <v>52</v>
      </c>
    </row>
    <row r="966" spans="3:21" x14ac:dyDescent="0.25">
      <c r="C966" s="24"/>
      <c r="D966" s="20"/>
      <c r="E966" s="4"/>
      <c r="F966" s="37"/>
      <c r="G966" s="38"/>
      <c r="H966" s="31">
        <f>_xlfn.XLOOKUP(PO[[#This Row],[Supplier name]], Supplier_master[Supplier name], Supplier_master[Category L1], 0)</f>
        <v>0</v>
      </c>
      <c r="I966" s="31">
        <f>_xlfn.XLOOKUP(PO[[#This Row],[Supplier name]], Supplier_master[Supplier name], Supplier_master[Category L2], 0)</f>
        <v>0</v>
      </c>
      <c r="J966" s="55"/>
      <c r="K966" s="55"/>
      <c r="L966" s="31">
        <f>IF(PO[[#This Row],[Spend category L1 - Override]] &lt;&gt; "", PO[[#This Row],[Spend category L1 - Override]], PO[[#This Row],[Spend category L1]])</f>
        <v>0</v>
      </c>
      <c r="M966" s="31">
        <f>IF(PO[[#This Row],[Spend category L2 - Override]] &lt;&gt; "", PO[[#This Row],[Spend category L2 - Override]], PO[[#This Row],[Spend category L2]])</f>
        <v>0</v>
      </c>
      <c r="N966" s="63">
        <f>Assumptions!$D$15</f>
        <v>0.1</v>
      </c>
      <c r="O966" s="45">
        <f>IF(PO[[#This Row],[GST applies?]] = "Yes", (PO[[#This Row],[Value inc. GST]] / 1 + PO[[#This Row],[GST %]]) * PO[[#This Row],[GST %]], 0)</f>
        <v>0</v>
      </c>
      <c r="P966" s="31">
        <f>_xlfn.XLOOKUP(PO[[#This Row],[Supplier name]], Supplier_master[Supplier name], Supplier_master[EOM or Net], 0)</f>
        <v>0</v>
      </c>
      <c r="Q966" s="31">
        <f>_xlfn.XLOOKUP(PO[[#This Row],[Supplier name]], Supplier_master[Supplier name], Supplier_master[Terms days], 0)</f>
        <v>0</v>
      </c>
      <c r="R9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6" s="4"/>
      <c r="T966" s="46">
        <f>IF(PO[[#This Row],[Payment date - override (dd/mm/yyyy)]] &lt;&gt; "", PO[[#This Row],[Payment date - override (dd/mm/yyyy)]], PO[[#This Row],[Due date (dd/mm/yyyy)]])</f>
        <v>0</v>
      </c>
      <c r="U966" s="46">
        <f t="shared" si="14"/>
        <v>52</v>
      </c>
    </row>
    <row r="967" spans="3:21" x14ac:dyDescent="0.25">
      <c r="C967" s="24"/>
      <c r="D967" s="20"/>
      <c r="E967" s="4"/>
      <c r="F967" s="37"/>
      <c r="G967" s="38"/>
      <c r="H967" s="31">
        <f>_xlfn.XLOOKUP(PO[[#This Row],[Supplier name]], Supplier_master[Supplier name], Supplier_master[Category L1], 0)</f>
        <v>0</v>
      </c>
      <c r="I967" s="31">
        <f>_xlfn.XLOOKUP(PO[[#This Row],[Supplier name]], Supplier_master[Supplier name], Supplier_master[Category L2], 0)</f>
        <v>0</v>
      </c>
      <c r="J967" s="55"/>
      <c r="K967" s="55"/>
      <c r="L967" s="31">
        <f>IF(PO[[#This Row],[Spend category L1 - Override]] &lt;&gt; "", PO[[#This Row],[Spend category L1 - Override]], PO[[#This Row],[Spend category L1]])</f>
        <v>0</v>
      </c>
      <c r="M967" s="31">
        <f>IF(PO[[#This Row],[Spend category L2 - Override]] &lt;&gt; "", PO[[#This Row],[Spend category L2 - Override]], PO[[#This Row],[Spend category L2]])</f>
        <v>0</v>
      </c>
      <c r="N967" s="63">
        <f>Assumptions!$D$15</f>
        <v>0.1</v>
      </c>
      <c r="O967" s="45">
        <f>IF(PO[[#This Row],[GST applies?]] = "Yes", (PO[[#This Row],[Value inc. GST]] / 1 + PO[[#This Row],[GST %]]) * PO[[#This Row],[GST %]], 0)</f>
        <v>0</v>
      </c>
      <c r="P967" s="31">
        <f>_xlfn.XLOOKUP(PO[[#This Row],[Supplier name]], Supplier_master[Supplier name], Supplier_master[EOM or Net], 0)</f>
        <v>0</v>
      </c>
      <c r="Q967" s="31">
        <f>_xlfn.XLOOKUP(PO[[#This Row],[Supplier name]], Supplier_master[Supplier name], Supplier_master[Terms days], 0)</f>
        <v>0</v>
      </c>
      <c r="R9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7" s="4"/>
      <c r="T967" s="46">
        <f>IF(PO[[#This Row],[Payment date - override (dd/mm/yyyy)]] &lt;&gt; "", PO[[#This Row],[Payment date - override (dd/mm/yyyy)]], PO[[#This Row],[Due date (dd/mm/yyyy)]])</f>
        <v>0</v>
      </c>
      <c r="U967" s="46">
        <f t="shared" si="14"/>
        <v>52</v>
      </c>
    </row>
    <row r="968" spans="3:21" x14ac:dyDescent="0.25">
      <c r="C968" s="24"/>
      <c r="D968" s="20"/>
      <c r="E968" s="4"/>
      <c r="F968" s="37"/>
      <c r="G968" s="38"/>
      <c r="H968" s="31">
        <f>_xlfn.XLOOKUP(PO[[#This Row],[Supplier name]], Supplier_master[Supplier name], Supplier_master[Category L1], 0)</f>
        <v>0</v>
      </c>
      <c r="I968" s="31">
        <f>_xlfn.XLOOKUP(PO[[#This Row],[Supplier name]], Supplier_master[Supplier name], Supplier_master[Category L2], 0)</f>
        <v>0</v>
      </c>
      <c r="J968" s="55"/>
      <c r="K968" s="55"/>
      <c r="L968" s="31">
        <f>IF(PO[[#This Row],[Spend category L1 - Override]] &lt;&gt; "", PO[[#This Row],[Spend category L1 - Override]], PO[[#This Row],[Spend category L1]])</f>
        <v>0</v>
      </c>
      <c r="M968" s="31">
        <f>IF(PO[[#This Row],[Spend category L2 - Override]] &lt;&gt; "", PO[[#This Row],[Spend category L2 - Override]], PO[[#This Row],[Spend category L2]])</f>
        <v>0</v>
      </c>
      <c r="N968" s="63">
        <f>Assumptions!$D$15</f>
        <v>0.1</v>
      </c>
      <c r="O968" s="45">
        <f>IF(PO[[#This Row],[GST applies?]] = "Yes", (PO[[#This Row],[Value inc. GST]] / 1 + PO[[#This Row],[GST %]]) * PO[[#This Row],[GST %]], 0)</f>
        <v>0</v>
      </c>
      <c r="P968" s="31">
        <f>_xlfn.XLOOKUP(PO[[#This Row],[Supplier name]], Supplier_master[Supplier name], Supplier_master[EOM or Net], 0)</f>
        <v>0</v>
      </c>
      <c r="Q968" s="31">
        <f>_xlfn.XLOOKUP(PO[[#This Row],[Supplier name]], Supplier_master[Supplier name], Supplier_master[Terms days], 0)</f>
        <v>0</v>
      </c>
      <c r="R9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8" s="4"/>
      <c r="T968" s="46">
        <f>IF(PO[[#This Row],[Payment date - override (dd/mm/yyyy)]] &lt;&gt; "", PO[[#This Row],[Payment date - override (dd/mm/yyyy)]], PO[[#This Row],[Due date (dd/mm/yyyy)]])</f>
        <v>0</v>
      </c>
      <c r="U968" s="46">
        <f t="shared" si="14"/>
        <v>52</v>
      </c>
    </row>
    <row r="969" spans="3:21" x14ac:dyDescent="0.25">
      <c r="C969" s="24"/>
      <c r="D969" s="20"/>
      <c r="E969" s="4"/>
      <c r="F969" s="37"/>
      <c r="G969" s="38"/>
      <c r="H969" s="31">
        <f>_xlfn.XLOOKUP(PO[[#This Row],[Supplier name]], Supplier_master[Supplier name], Supplier_master[Category L1], 0)</f>
        <v>0</v>
      </c>
      <c r="I969" s="31">
        <f>_xlfn.XLOOKUP(PO[[#This Row],[Supplier name]], Supplier_master[Supplier name], Supplier_master[Category L2], 0)</f>
        <v>0</v>
      </c>
      <c r="J969" s="55"/>
      <c r="K969" s="55"/>
      <c r="L969" s="31">
        <f>IF(PO[[#This Row],[Spend category L1 - Override]] &lt;&gt; "", PO[[#This Row],[Spend category L1 - Override]], PO[[#This Row],[Spend category L1]])</f>
        <v>0</v>
      </c>
      <c r="M969" s="31">
        <f>IF(PO[[#This Row],[Spend category L2 - Override]] &lt;&gt; "", PO[[#This Row],[Spend category L2 - Override]], PO[[#This Row],[Spend category L2]])</f>
        <v>0</v>
      </c>
      <c r="N969" s="63">
        <f>Assumptions!$D$15</f>
        <v>0.1</v>
      </c>
      <c r="O969" s="45">
        <f>IF(PO[[#This Row],[GST applies?]] = "Yes", (PO[[#This Row],[Value inc. GST]] / 1 + PO[[#This Row],[GST %]]) * PO[[#This Row],[GST %]], 0)</f>
        <v>0</v>
      </c>
      <c r="P969" s="31">
        <f>_xlfn.XLOOKUP(PO[[#This Row],[Supplier name]], Supplier_master[Supplier name], Supplier_master[EOM or Net], 0)</f>
        <v>0</v>
      </c>
      <c r="Q969" s="31">
        <f>_xlfn.XLOOKUP(PO[[#This Row],[Supplier name]], Supplier_master[Supplier name], Supplier_master[Terms days], 0)</f>
        <v>0</v>
      </c>
      <c r="R9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9" s="4"/>
      <c r="T969" s="46">
        <f>IF(PO[[#This Row],[Payment date - override (dd/mm/yyyy)]] &lt;&gt; "", PO[[#This Row],[Payment date - override (dd/mm/yyyy)]], PO[[#This Row],[Due date (dd/mm/yyyy)]])</f>
        <v>0</v>
      </c>
      <c r="U969" s="46">
        <f t="shared" ref="U969:U1000" si="15">IF(GST_Freq="Monthly",
    DATE(YEAR(E969), MONTH(E969) + 1, 21),
    IF(GST_Freq="Quarterly",
        IF(MOD(MONTH(E969) + 2 - MOD(MOD(MONTH(E969) - GST_First_Month, 12), 3), 12) = 0,
            DATE(YEAR(E969), MONTH(E969) + 4 - MOD(MOD(MONTH(E969) - GST_First_Month, 12), 3), 28),
            DATE(YEAR(E969), MONTH(E969) + 3 - MOD(MOD(MONTH(E969) - GST_First_Month, 12), 3), 28)
        ),
        "Invalid frequency"
    )
)</f>
        <v>52</v>
      </c>
    </row>
    <row r="970" spans="3:21" x14ac:dyDescent="0.25">
      <c r="C970" s="24"/>
      <c r="D970" s="20"/>
      <c r="E970" s="4"/>
      <c r="F970" s="37"/>
      <c r="G970" s="38"/>
      <c r="H970" s="31">
        <f>_xlfn.XLOOKUP(PO[[#This Row],[Supplier name]], Supplier_master[Supplier name], Supplier_master[Category L1], 0)</f>
        <v>0</v>
      </c>
      <c r="I970" s="31">
        <f>_xlfn.XLOOKUP(PO[[#This Row],[Supplier name]], Supplier_master[Supplier name], Supplier_master[Category L2], 0)</f>
        <v>0</v>
      </c>
      <c r="J970" s="55"/>
      <c r="K970" s="55"/>
      <c r="L970" s="31">
        <f>IF(PO[[#This Row],[Spend category L1 - Override]] &lt;&gt; "", PO[[#This Row],[Spend category L1 - Override]], PO[[#This Row],[Spend category L1]])</f>
        <v>0</v>
      </c>
      <c r="M970" s="31">
        <f>IF(PO[[#This Row],[Spend category L2 - Override]] &lt;&gt; "", PO[[#This Row],[Spend category L2 - Override]], PO[[#This Row],[Spend category L2]])</f>
        <v>0</v>
      </c>
      <c r="N970" s="63">
        <f>Assumptions!$D$15</f>
        <v>0.1</v>
      </c>
      <c r="O970" s="45">
        <f>IF(PO[[#This Row],[GST applies?]] = "Yes", (PO[[#This Row],[Value inc. GST]] / 1 + PO[[#This Row],[GST %]]) * PO[[#This Row],[GST %]], 0)</f>
        <v>0</v>
      </c>
      <c r="P970" s="31">
        <f>_xlfn.XLOOKUP(PO[[#This Row],[Supplier name]], Supplier_master[Supplier name], Supplier_master[EOM or Net], 0)</f>
        <v>0</v>
      </c>
      <c r="Q970" s="31">
        <f>_xlfn.XLOOKUP(PO[[#This Row],[Supplier name]], Supplier_master[Supplier name], Supplier_master[Terms days], 0)</f>
        <v>0</v>
      </c>
      <c r="R9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0" s="4"/>
      <c r="T970" s="46">
        <f>IF(PO[[#This Row],[Payment date - override (dd/mm/yyyy)]] &lt;&gt; "", PO[[#This Row],[Payment date - override (dd/mm/yyyy)]], PO[[#This Row],[Due date (dd/mm/yyyy)]])</f>
        <v>0</v>
      </c>
      <c r="U970" s="46">
        <f t="shared" si="15"/>
        <v>52</v>
      </c>
    </row>
    <row r="971" spans="3:21" x14ac:dyDescent="0.25">
      <c r="C971" s="24"/>
      <c r="D971" s="20"/>
      <c r="E971" s="4"/>
      <c r="F971" s="37"/>
      <c r="G971" s="38"/>
      <c r="H971" s="31">
        <f>_xlfn.XLOOKUP(PO[[#This Row],[Supplier name]], Supplier_master[Supplier name], Supplier_master[Category L1], 0)</f>
        <v>0</v>
      </c>
      <c r="I971" s="31">
        <f>_xlfn.XLOOKUP(PO[[#This Row],[Supplier name]], Supplier_master[Supplier name], Supplier_master[Category L2], 0)</f>
        <v>0</v>
      </c>
      <c r="J971" s="55"/>
      <c r="K971" s="55"/>
      <c r="L971" s="31">
        <f>IF(PO[[#This Row],[Spend category L1 - Override]] &lt;&gt; "", PO[[#This Row],[Spend category L1 - Override]], PO[[#This Row],[Spend category L1]])</f>
        <v>0</v>
      </c>
      <c r="M971" s="31">
        <f>IF(PO[[#This Row],[Spend category L2 - Override]] &lt;&gt; "", PO[[#This Row],[Spend category L2 - Override]], PO[[#This Row],[Spend category L2]])</f>
        <v>0</v>
      </c>
      <c r="N971" s="63">
        <f>Assumptions!$D$15</f>
        <v>0.1</v>
      </c>
      <c r="O971" s="45">
        <f>IF(PO[[#This Row],[GST applies?]] = "Yes", (PO[[#This Row],[Value inc. GST]] / 1 + PO[[#This Row],[GST %]]) * PO[[#This Row],[GST %]], 0)</f>
        <v>0</v>
      </c>
      <c r="P971" s="31">
        <f>_xlfn.XLOOKUP(PO[[#This Row],[Supplier name]], Supplier_master[Supplier name], Supplier_master[EOM or Net], 0)</f>
        <v>0</v>
      </c>
      <c r="Q971" s="31">
        <f>_xlfn.XLOOKUP(PO[[#This Row],[Supplier name]], Supplier_master[Supplier name], Supplier_master[Terms days], 0)</f>
        <v>0</v>
      </c>
      <c r="R9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1" s="4"/>
      <c r="T971" s="46">
        <f>IF(PO[[#This Row],[Payment date - override (dd/mm/yyyy)]] &lt;&gt; "", PO[[#This Row],[Payment date - override (dd/mm/yyyy)]], PO[[#This Row],[Due date (dd/mm/yyyy)]])</f>
        <v>0</v>
      </c>
      <c r="U971" s="46">
        <f t="shared" si="15"/>
        <v>52</v>
      </c>
    </row>
    <row r="972" spans="3:21" x14ac:dyDescent="0.25">
      <c r="C972" s="24"/>
      <c r="D972" s="20"/>
      <c r="E972" s="4"/>
      <c r="F972" s="37"/>
      <c r="G972" s="38"/>
      <c r="H972" s="31">
        <f>_xlfn.XLOOKUP(PO[[#This Row],[Supplier name]], Supplier_master[Supplier name], Supplier_master[Category L1], 0)</f>
        <v>0</v>
      </c>
      <c r="I972" s="31">
        <f>_xlfn.XLOOKUP(PO[[#This Row],[Supplier name]], Supplier_master[Supplier name], Supplier_master[Category L2], 0)</f>
        <v>0</v>
      </c>
      <c r="J972" s="55"/>
      <c r="K972" s="55"/>
      <c r="L972" s="31">
        <f>IF(PO[[#This Row],[Spend category L1 - Override]] &lt;&gt; "", PO[[#This Row],[Spend category L1 - Override]], PO[[#This Row],[Spend category L1]])</f>
        <v>0</v>
      </c>
      <c r="M972" s="31">
        <f>IF(PO[[#This Row],[Spend category L2 - Override]] &lt;&gt; "", PO[[#This Row],[Spend category L2 - Override]], PO[[#This Row],[Spend category L2]])</f>
        <v>0</v>
      </c>
      <c r="N972" s="63">
        <f>Assumptions!$D$15</f>
        <v>0.1</v>
      </c>
      <c r="O972" s="45">
        <f>IF(PO[[#This Row],[GST applies?]] = "Yes", (PO[[#This Row],[Value inc. GST]] / 1 + PO[[#This Row],[GST %]]) * PO[[#This Row],[GST %]], 0)</f>
        <v>0</v>
      </c>
      <c r="P972" s="31">
        <f>_xlfn.XLOOKUP(PO[[#This Row],[Supplier name]], Supplier_master[Supplier name], Supplier_master[EOM or Net], 0)</f>
        <v>0</v>
      </c>
      <c r="Q972" s="31">
        <f>_xlfn.XLOOKUP(PO[[#This Row],[Supplier name]], Supplier_master[Supplier name], Supplier_master[Terms days], 0)</f>
        <v>0</v>
      </c>
      <c r="R9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2" s="4"/>
      <c r="T972" s="46">
        <f>IF(PO[[#This Row],[Payment date - override (dd/mm/yyyy)]] &lt;&gt; "", PO[[#This Row],[Payment date - override (dd/mm/yyyy)]], PO[[#This Row],[Due date (dd/mm/yyyy)]])</f>
        <v>0</v>
      </c>
      <c r="U972" s="46">
        <f t="shared" si="15"/>
        <v>52</v>
      </c>
    </row>
    <row r="973" spans="3:21" x14ac:dyDescent="0.25">
      <c r="C973" s="24"/>
      <c r="D973" s="20"/>
      <c r="E973" s="4"/>
      <c r="F973" s="37"/>
      <c r="G973" s="38"/>
      <c r="H973" s="31">
        <f>_xlfn.XLOOKUP(PO[[#This Row],[Supplier name]], Supplier_master[Supplier name], Supplier_master[Category L1], 0)</f>
        <v>0</v>
      </c>
      <c r="I973" s="31">
        <f>_xlfn.XLOOKUP(PO[[#This Row],[Supplier name]], Supplier_master[Supplier name], Supplier_master[Category L2], 0)</f>
        <v>0</v>
      </c>
      <c r="J973" s="55"/>
      <c r="K973" s="55"/>
      <c r="L973" s="31">
        <f>IF(PO[[#This Row],[Spend category L1 - Override]] &lt;&gt; "", PO[[#This Row],[Spend category L1 - Override]], PO[[#This Row],[Spend category L1]])</f>
        <v>0</v>
      </c>
      <c r="M973" s="31">
        <f>IF(PO[[#This Row],[Spend category L2 - Override]] &lt;&gt; "", PO[[#This Row],[Spend category L2 - Override]], PO[[#This Row],[Spend category L2]])</f>
        <v>0</v>
      </c>
      <c r="N973" s="63">
        <f>Assumptions!$D$15</f>
        <v>0.1</v>
      </c>
      <c r="O973" s="45">
        <f>IF(PO[[#This Row],[GST applies?]] = "Yes", (PO[[#This Row],[Value inc. GST]] / 1 + PO[[#This Row],[GST %]]) * PO[[#This Row],[GST %]], 0)</f>
        <v>0</v>
      </c>
      <c r="P973" s="31">
        <f>_xlfn.XLOOKUP(PO[[#This Row],[Supplier name]], Supplier_master[Supplier name], Supplier_master[EOM or Net], 0)</f>
        <v>0</v>
      </c>
      <c r="Q973" s="31">
        <f>_xlfn.XLOOKUP(PO[[#This Row],[Supplier name]], Supplier_master[Supplier name], Supplier_master[Terms days], 0)</f>
        <v>0</v>
      </c>
      <c r="R9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3" s="4"/>
      <c r="T973" s="46">
        <f>IF(PO[[#This Row],[Payment date - override (dd/mm/yyyy)]] &lt;&gt; "", PO[[#This Row],[Payment date - override (dd/mm/yyyy)]], PO[[#This Row],[Due date (dd/mm/yyyy)]])</f>
        <v>0</v>
      </c>
      <c r="U973" s="46">
        <f t="shared" si="15"/>
        <v>52</v>
      </c>
    </row>
    <row r="974" spans="3:21" x14ac:dyDescent="0.25">
      <c r="C974" s="24"/>
      <c r="D974" s="20"/>
      <c r="E974" s="4"/>
      <c r="F974" s="37"/>
      <c r="G974" s="38"/>
      <c r="H974" s="31">
        <f>_xlfn.XLOOKUP(PO[[#This Row],[Supplier name]], Supplier_master[Supplier name], Supplier_master[Category L1], 0)</f>
        <v>0</v>
      </c>
      <c r="I974" s="31">
        <f>_xlfn.XLOOKUP(PO[[#This Row],[Supplier name]], Supplier_master[Supplier name], Supplier_master[Category L2], 0)</f>
        <v>0</v>
      </c>
      <c r="J974" s="55"/>
      <c r="K974" s="55"/>
      <c r="L974" s="31">
        <f>IF(PO[[#This Row],[Spend category L1 - Override]] &lt;&gt; "", PO[[#This Row],[Spend category L1 - Override]], PO[[#This Row],[Spend category L1]])</f>
        <v>0</v>
      </c>
      <c r="M974" s="31">
        <f>IF(PO[[#This Row],[Spend category L2 - Override]] &lt;&gt; "", PO[[#This Row],[Spend category L2 - Override]], PO[[#This Row],[Spend category L2]])</f>
        <v>0</v>
      </c>
      <c r="N974" s="63">
        <f>Assumptions!$D$15</f>
        <v>0.1</v>
      </c>
      <c r="O974" s="45">
        <f>IF(PO[[#This Row],[GST applies?]] = "Yes", (PO[[#This Row],[Value inc. GST]] / 1 + PO[[#This Row],[GST %]]) * PO[[#This Row],[GST %]], 0)</f>
        <v>0</v>
      </c>
      <c r="P974" s="31">
        <f>_xlfn.XLOOKUP(PO[[#This Row],[Supplier name]], Supplier_master[Supplier name], Supplier_master[EOM or Net], 0)</f>
        <v>0</v>
      </c>
      <c r="Q974" s="31">
        <f>_xlfn.XLOOKUP(PO[[#This Row],[Supplier name]], Supplier_master[Supplier name], Supplier_master[Terms days], 0)</f>
        <v>0</v>
      </c>
      <c r="R9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4" s="4"/>
      <c r="T974" s="46">
        <f>IF(PO[[#This Row],[Payment date - override (dd/mm/yyyy)]] &lt;&gt; "", PO[[#This Row],[Payment date - override (dd/mm/yyyy)]], PO[[#This Row],[Due date (dd/mm/yyyy)]])</f>
        <v>0</v>
      </c>
      <c r="U974" s="46">
        <f t="shared" si="15"/>
        <v>52</v>
      </c>
    </row>
    <row r="975" spans="3:21" x14ac:dyDescent="0.25">
      <c r="C975" s="24"/>
      <c r="D975" s="20"/>
      <c r="E975" s="4"/>
      <c r="F975" s="37"/>
      <c r="G975" s="38"/>
      <c r="H975" s="31">
        <f>_xlfn.XLOOKUP(PO[[#This Row],[Supplier name]], Supplier_master[Supplier name], Supplier_master[Category L1], 0)</f>
        <v>0</v>
      </c>
      <c r="I975" s="31">
        <f>_xlfn.XLOOKUP(PO[[#This Row],[Supplier name]], Supplier_master[Supplier name], Supplier_master[Category L2], 0)</f>
        <v>0</v>
      </c>
      <c r="J975" s="55"/>
      <c r="K975" s="55"/>
      <c r="L975" s="31">
        <f>IF(PO[[#This Row],[Spend category L1 - Override]] &lt;&gt; "", PO[[#This Row],[Spend category L1 - Override]], PO[[#This Row],[Spend category L1]])</f>
        <v>0</v>
      </c>
      <c r="M975" s="31">
        <f>IF(PO[[#This Row],[Spend category L2 - Override]] &lt;&gt; "", PO[[#This Row],[Spend category L2 - Override]], PO[[#This Row],[Spend category L2]])</f>
        <v>0</v>
      </c>
      <c r="N975" s="63">
        <f>Assumptions!$D$15</f>
        <v>0.1</v>
      </c>
      <c r="O975" s="45">
        <f>IF(PO[[#This Row],[GST applies?]] = "Yes", (PO[[#This Row],[Value inc. GST]] / 1 + PO[[#This Row],[GST %]]) * PO[[#This Row],[GST %]], 0)</f>
        <v>0</v>
      </c>
      <c r="P975" s="31">
        <f>_xlfn.XLOOKUP(PO[[#This Row],[Supplier name]], Supplier_master[Supplier name], Supplier_master[EOM or Net], 0)</f>
        <v>0</v>
      </c>
      <c r="Q975" s="31">
        <f>_xlfn.XLOOKUP(PO[[#This Row],[Supplier name]], Supplier_master[Supplier name], Supplier_master[Terms days], 0)</f>
        <v>0</v>
      </c>
      <c r="R9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5" s="4"/>
      <c r="T975" s="46">
        <f>IF(PO[[#This Row],[Payment date - override (dd/mm/yyyy)]] &lt;&gt; "", PO[[#This Row],[Payment date - override (dd/mm/yyyy)]], PO[[#This Row],[Due date (dd/mm/yyyy)]])</f>
        <v>0</v>
      </c>
      <c r="U975" s="46">
        <f t="shared" si="15"/>
        <v>52</v>
      </c>
    </row>
    <row r="976" spans="3:21" x14ac:dyDescent="0.25">
      <c r="C976" s="24"/>
      <c r="D976" s="20"/>
      <c r="E976" s="4"/>
      <c r="F976" s="37"/>
      <c r="G976" s="38"/>
      <c r="H976" s="31">
        <f>_xlfn.XLOOKUP(PO[[#This Row],[Supplier name]], Supplier_master[Supplier name], Supplier_master[Category L1], 0)</f>
        <v>0</v>
      </c>
      <c r="I976" s="31">
        <f>_xlfn.XLOOKUP(PO[[#This Row],[Supplier name]], Supplier_master[Supplier name], Supplier_master[Category L2], 0)</f>
        <v>0</v>
      </c>
      <c r="J976" s="55"/>
      <c r="K976" s="55"/>
      <c r="L976" s="31">
        <f>IF(PO[[#This Row],[Spend category L1 - Override]] &lt;&gt; "", PO[[#This Row],[Spend category L1 - Override]], PO[[#This Row],[Spend category L1]])</f>
        <v>0</v>
      </c>
      <c r="M976" s="31">
        <f>IF(PO[[#This Row],[Spend category L2 - Override]] &lt;&gt; "", PO[[#This Row],[Spend category L2 - Override]], PO[[#This Row],[Spend category L2]])</f>
        <v>0</v>
      </c>
      <c r="N976" s="63">
        <f>Assumptions!$D$15</f>
        <v>0.1</v>
      </c>
      <c r="O976" s="45">
        <f>IF(PO[[#This Row],[GST applies?]] = "Yes", (PO[[#This Row],[Value inc. GST]] / 1 + PO[[#This Row],[GST %]]) * PO[[#This Row],[GST %]], 0)</f>
        <v>0</v>
      </c>
      <c r="P976" s="31">
        <f>_xlfn.XLOOKUP(PO[[#This Row],[Supplier name]], Supplier_master[Supplier name], Supplier_master[EOM or Net], 0)</f>
        <v>0</v>
      </c>
      <c r="Q976" s="31">
        <f>_xlfn.XLOOKUP(PO[[#This Row],[Supplier name]], Supplier_master[Supplier name], Supplier_master[Terms days], 0)</f>
        <v>0</v>
      </c>
      <c r="R9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6" s="4"/>
      <c r="T976" s="46">
        <f>IF(PO[[#This Row],[Payment date - override (dd/mm/yyyy)]] &lt;&gt; "", PO[[#This Row],[Payment date - override (dd/mm/yyyy)]], PO[[#This Row],[Due date (dd/mm/yyyy)]])</f>
        <v>0</v>
      </c>
      <c r="U976" s="46">
        <f t="shared" si="15"/>
        <v>52</v>
      </c>
    </row>
    <row r="977" spans="3:21" x14ac:dyDescent="0.25">
      <c r="C977" s="24"/>
      <c r="D977" s="20"/>
      <c r="E977" s="4"/>
      <c r="F977" s="37"/>
      <c r="G977" s="38"/>
      <c r="H977" s="31">
        <f>_xlfn.XLOOKUP(PO[[#This Row],[Supplier name]], Supplier_master[Supplier name], Supplier_master[Category L1], 0)</f>
        <v>0</v>
      </c>
      <c r="I977" s="31">
        <f>_xlfn.XLOOKUP(PO[[#This Row],[Supplier name]], Supplier_master[Supplier name], Supplier_master[Category L2], 0)</f>
        <v>0</v>
      </c>
      <c r="J977" s="55"/>
      <c r="K977" s="55"/>
      <c r="L977" s="31">
        <f>IF(PO[[#This Row],[Spend category L1 - Override]] &lt;&gt; "", PO[[#This Row],[Spend category L1 - Override]], PO[[#This Row],[Spend category L1]])</f>
        <v>0</v>
      </c>
      <c r="M977" s="31">
        <f>IF(PO[[#This Row],[Spend category L2 - Override]] &lt;&gt; "", PO[[#This Row],[Spend category L2 - Override]], PO[[#This Row],[Spend category L2]])</f>
        <v>0</v>
      </c>
      <c r="N977" s="63">
        <f>Assumptions!$D$15</f>
        <v>0.1</v>
      </c>
      <c r="O977" s="45">
        <f>IF(PO[[#This Row],[GST applies?]] = "Yes", (PO[[#This Row],[Value inc. GST]] / 1 + PO[[#This Row],[GST %]]) * PO[[#This Row],[GST %]], 0)</f>
        <v>0</v>
      </c>
      <c r="P977" s="31">
        <f>_xlfn.XLOOKUP(PO[[#This Row],[Supplier name]], Supplier_master[Supplier name], Supplier_master[EOM or Net], 0)</f>
        <v>0</v>
      </c>
      <c r="Q977" s="31">
        <f>_xlfn.XLOOKUP(PO[[#This Row],[Supplier name]], Supplier_master[Supplier name], Supplier_master[Terms days], 0)</f>
        <v>0</v>
      </c>
      <c r="R9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7" s="4"/>
      <c r="T977" s="46">
        <f>IF(PO[[#This Row],[Payment date - override (dd/mm/yyyy)]] &lt;&gt; "", PO[[#This Row],[Payment date - override (dd/mm/yyyy)]], PO[[#This Row],[Due date (dd/mm/yyyy)]])</f>
        <v>0</v>
      </c>
      <c r="U977" s="46">
        <f t="shared" si="15"/>
        <v>52</v>
      </c>
    </row>
    <row r="978" spans="3:21" x14ac:dyDescent="0.25">
      <c r="C978" s="24"/>
      <c r="D978" s="20"/>
      <c r="E978" s="4"/>
      <c r="F978" s="37"/>
      <c r="G978" s="38"/>
      <c r="H978" s="31">
        <f>_xlfn.XLOOKUP(PO[[#This Row],[Supplier name]], Supplier_master[Supplier name], Supplier_master[Category L1], 0)</f>
        <v>0</v>
      </c>
      <c r="I978" s="31">
        <f>_xlfn.XLOOKUP(PO[[#This Row],[Supplier name]], Supplier_master[Supplier name], Supplier_master[Category L2], 0)</f>
        <v>0</v>
      </c>
      <c r="J978" s="55"/>
      <c r="K978" s="55"/>
      <c r="L978" s="31">
        <f>IF(PO[[#This Row],[Spend category L1 - Override]] &lt;&gt; "", PO[[#This Row],[Spend category L1 - Override]], PO[[#This Row],[Spend category L1]])</f>
        <v>0</v>
      </c>
      <c r="M978" s="31">
        <f>IF(PO[[#This Row],[Spend category L2 - Override]] &lt;&gt; "", PO[[#This Row],[Spend category L2 - Override]], PO[[#This Row],[Spend category L2]])</f>
        <v>0</v>
      </c>
      <c r="N978" s="63">
        <f>Assumptions!$D$15</f>
        <v>0.1</v>
      </c>
      <c r="O978" s="45">
        <f>IF(PO[[#This Row],[GST applies?]] = "Yes", (PO[[#This Row],[Value inc. GST]] / 1 + PO[[#This Row],[GST %]]) * PO[[#This Row],[GST %]], 0)</f>
        <v>0</v>
      </c>
      <c r="P978" s="31">
        <f>_xlfn.XLOOKUP(PO[[#This Row],[Supplier name]], Supplier_master[Supplier name], Supplier_master[EOM or Net], 0)</f>
        <v>0</v>
      </c>
      <c r="Q978" s="31">
        <f>_xlfn.XLOOKUP(PO[[#This Row],[Supplier name]], Supplier_master[Supplier name], Supplier_master[Terms days], 0)</f>
        <v>0</v>
      </c>
      <c r="R9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8" s="4"/>
      <c r="T978" s="46">
        <f>IF(PO[[#This Row],[Payment date - override (dd/mm/yyyy)]] &lt;&gt; "", PO[[#This Row],[Payment date - override (dd/mm/yyyy)]], PO[[#This Row],[Due date (dd/mm/yyyy)]])</f>
        <v>0</v>
      </c>
      <c r="U978" s="46">
        <f t="shared" si="15"/>
        <v>52</v>
      </c>
    </row>
    <row r="979" spans="3:21" x14ac:dyDescent="0.25">
      <c r="C979" s="24"/>
      <c r="D979" s="20"/>
      <c r="E979" s="4"/>
      <c r="F979" s="37"/>
      <c r="G979" s="38"/>
      <c r="H979" s="31">
        <f>_xlfn.XLOOKUP(PO[[#This Row],[Supplier name]], Supplier_master[Supplier name], Supplier_master[Category L1], 0)</f>
        <v>0</v>
      </c>
      <c r="I979" s="31">
        <f>_xlfn.XLOOKUP(PO[[#This Row],[Supplier name]], Supplier_master[Supplier name], Supplier_master[Category L2], 0)</f>
        <v>0</v>
      </c>
      <c r="J979" s="55"/>
      <c r="K979" s="55"/>
      <c r="L979" s="31">
        <f>IF(PO[[#This Row],[Spend category L1 - Override]] &lt;&gt; "", PO[[#This Row],[Spend category L1 - Override]], PO[[#This Row],[Spend category L1]])</f>
        <v>0</v>
      </c>
      <c r="M979" s="31">
        <f>IF(PO[[#This Row],[Spend category L2 - Override]] &lt;&gt; "", PO[[#This Row],[Spend category L2 - Override]], PO[[#This Row],[Spend category L2]])</f>
        <v>0</v>
      </c>
      <c r="N979" s="63">
        <f>Assumptions!$D$15</f>
        <v>0.1</v>
      </c>
      <c r="O979" s="45">
        <f>IF(PO[[#This Row],[GST applies?]] = "Yes", (PO[[#This Row],[Value inc. GST]] / 1 + PO[[#This Row],[GST %]]) * PO[[#This Row],[GST %]], 0)</f>
        <v>0</v>
      </c>
      <c r="P979" s="31">
        <f>_xlfn.XLOOKUP(PO[[#This Row],[Supplier name]], Supplier_master[Supplier name], Supplier_master[EOM or Net], 0)</f>
        <v>0</v>
      </c>
      <c r="Q979" s="31">
        <f>_xlfn.XLOOKUP(PO[[#This Row],[Supplier name]], Supplier_master[Supplier name], Supplier_master[Terms days], 0)</f>
        <v>0</v>
      </c>
      <c r="R9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9" s="4"/>
      <c r="T979" s="46">
        <f>IF(PO[[#This Row],[Payment date - override (dd/mm/yyyy)]] &lt;&gt; "", PO[[#This Row],[Payment date - override (dd/mm/yyyy)]], PO[[#This Row],[Due date (dd/mm/yyyy)]])</f>
        <v>0</v>
      </c>
      <c r="U979" s="46">
        <f t="shared" si="15"/>
        <v>52</v>
      </c>
    </row>
    <row r="980" spans="3:21" x14ac:dyDescent="0.25">
      <c r="C980" s="24"/>
      <c r="D980" s="20"/>
      <c r="E980" s="4"/>
      <c r="F980" s="37"/>
      <c r="G980" s="38"/>
      <c r="H980" s="31">
        <f>_xlfn.XLOOKUP(PO[[#This Row],[Supplier name]], Supplier_master[Supplier name], Supplier_master[Category L1], 0)</f>
        <v>0</v>
      </c>
      <c r="I980" s="31">
        <f>_xlfn.XLOOKUP(PO[[#This Row],[Supplier name]], Supplier_master[Supplier name], Supplier_master[Category L2], 0)</f>
        <v>0</v>
      </c>
      <c r="J980" s="55"/>
      <c r="K980" s="55"/>
      <c r="L980" s="31">
        <f>IF(PO[[#This Row],[Spend category L1 - Override]] &lt;&gt; "", PO[[#This Row],[Spend category L1 - Override]], PO[[#This Row],[Spend category L1]])</f>
        <v>0</v>
      </c>
      <c r="M980" s="31">
        <f>IF(PO[[#This Row],[Spend category L2 - Override]] &lt;&gt; "", PO[[#This Row],[Spend category L2 - Override]], PO[[#This Row],[Spend category L2]])</f>
        <v>0</v>
      </c>
      <c r="N980" s="63">
        <f>Assumptions!$D$15</f>
        <v>0.1</v>
      </c>
      <c r="O980" s="45">
        <f>IF(PO[[#This Row],[GST applies?]] = "Yes", (PO[[#This Row],[Value inc. GST]] / 1 + PO[[#This Row],[GST %]]) * PO[[#This Row],[GST %]], 0)</f>
        <v>0</v>
      </c>
      <c r="P980" s="31">
        <f>_xlfn.XLOOKUP(PO[[#This Row],[Supplier name]], Supplier_master[Supplier name], Supplier_master[EOM or Net], 0)</f>
        <v>0</v>
      </c>
      <c r="Q980" s="31">
        <f>_xlfn.XLOOKUP(PO[[#This Row],[Supplier name]], Supplier_master[Supplier name], Supplier_master[Terms days], 0)</f>
        <v>0</v>
      </c>
      <c r="R9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0" s="4"/>
      <c r="T980" s="46">
        <f>IF(PO[[#This Row],[Payment date - override (dd/mm/yyyy)]] &lt;&gt; "", PO[[#This Row],[Payment date - override (dd/mm/yyyy)]], PO[[#This Row],[Due date (dd/mm/yyyy)]])</f>
        <v>0</v>
      </c>
      <c r="U980" s="46">
        <f t="shared" si="15"/>
        <v>52</v>
      </c>
    </row>
    <row r="981" spans="3:21" x14ac:dyDescent="0.25">
      <c r="C981" s="24"/>
      <c r="D981" s="20"/>
      <c r="E981" s="4"/>
      <c r="F981" s="37"/>
      <c r="G981" s="38"/>
      <c r="H981" s="31">
        <f>_xlfn.XLOOKUP(PO[[#This Row],[Supplier name]], Supplier_master[Supplier name], Supplier_master[Category L1], 0)</f>
        <v>0</v>
      </c>
      <c r="I981" s="31">
        <f>_xlfn.XLOOKUP(PO[[#This Row],[Supplier name]], Supplier_master[Supplier name], Supplier_master[Category L2], 0)</f>
        <v>0</v>
      </c>
      <c r="J981" s="55"/>
      <c r="K981" s="55"/>
      <c r="L981" s="31">
        <f>IF(PO[[#This Row],[Spend category L1 - Override]] &lt;&gt; "", PO[[#This Row],[Spend category L1 - Override]], PO[[#This Row],[Spend category L1]])</f>
        <v>0</v>
      </c>
      <c r="M981" s="31">
        <f>IF(PO[[#This Row],[Spend category L2 - Override]] &lt;&gt; "", PO[[#This Row],[Spend category L2 - Override]], PO[[#This Row],[Spend category L2]])</f>
        <v>0</v>
      </c>
      <c r="N981" s="63">
        <f>Assumptions!$D$15</f>
        <v>0.1</v>
      </c>
      <c r="O981" s="45">
        <f>IF(PO[[#This Row],[GST applies?]] = "Yes", (PO[[#This Row],[Value inc. GST]] / 1 + PO[[#This Row],[GST %]]) * PO[[#This Row],[GST %]], 0)</f>
        <v>0</v>
      </c>
      <c r="P981" s="31">
        <f>_xlfn.XLOOKUP(PO[[#This Row],[Supplier name]], Supplier_master[Supplier name], Supplier_master[EOM or Net], 0)</f>
        <v>0</v>
      </c>
      <c r="Q981" s="31">
        <f>_xlfn.XLOOKUP(PO[[#This Row],[Supplier name]], Supplier_master[Supplier name], Supplier_master[Terms days], 0)</f>
        <v>0</v>
      </c>
      <c r="R9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1" s="4"/>
      <c r="T981" s="46">
        <f>IF(PO[[#This Row],[Payment date - override (dd/mm/yyyy)]] &lt;&gt; "", PO[[#This Row],[Payment date - override (dd/mm/yyyy)]], PO[[#This Row],[Due date (dd/mm/yyyy)]])</f>
        <v>0</v>
      </c>
      <c r="U981" s="46">
        <f t="shared" si="15"/>
        <v>52</v>
      </c>
    </row>
    <row r="982" spans="3:21" x14ac:dyDescent="0.25">
      <c r="C982" s="24"/>
      <c r="D982" s="20"/>
      <c r="E982" s="4"/>
      <c r="F982" s="37"/>
      <c r="G982" s="38"/>
      <c r="H982" s="31">
        <f>_xlfn.XLOOKUP(PO[[#This Row],[Supplier name]], Supplier_master[Supplier name], Supplier_master[Category L1], 0)</f>
        <v>0</v>
      </c>
      <c r="I982" s="31">
        <f>_xlfn.XLOOKUP(PO[[#This Row],[Supplier name]], Supplier_master[Supplier name], Supplier_master[Category L2], 0)</f>
        <v>0</v>
      </c>
      <c r="J982" s="55"/>
      <c r="K982" s="55"/>
      <c r="L982" s="31">
        <f>IF(PO[[#This Row],[Spend category L1 - Override]] &lt;&gt; "", PO[[#This Row],[Spend category L1 - Override]], PO[[#This Row],[Spend category L1]])</f>
        <v>0</v>
      </c>
      <c r="M982" s="31">
        <f>IF(PO[[#This Row],[Spend category L2 - Override]] &lt;&gt; "", PO[[#This Row],[Spend category L2 - Override]], PO[[#This Row],[Spend category L2]])</f>
        <v>0</v>
      </c>
      <c r="N982" s="63">
        <f>Assumptions!$D$15</f>
        <v>0.1</v>
      </c>
      <c r="O982" s="45">
        <f>IF(PO[[#This Row],[GST applies?]] = "Yes", (PO[[#This Row],[Value inc. GST]] / 1 + PO[[#This Row],[GST %]]) * PO[[#This Row],[GST %]], 0)</f>
        <v>0</v>
      </c>
      <c r="P982" s="31">
        <f>_xlfn.XLOOKUP(PO[[#This Row],[Supplier name]], Supplier_master[Supplier name], Supplier_master[EOM or Net], 0)</f>
        <v>0</v>
      </c>
      <c r="Q982" s="31">
        <f>_xlfn.XLOOKUP(PO[[#This Row],[Supplier name]], Supplier_master[Supplier name], Supplier_master[Terms days], 0)</f>
        <v>0</v>
      </c>
      <c r="R9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2" s="4"/>
      <c r="T982" s="46">
        <f>IF(PO[[#This Row],[Payment date - override (dd/mm/yyyy)]] &lt;&gt; "", PO[[#This Row],[Payment date - override (dd/mm/yyyy)]], PO[[#This Row],[Due date (dd/mm/yyyy)]])</f>
        <v>0</v>
      </c>
      <c r="U982" s="46">
        <f t="shared" si="15"/>
        <v>52</v>
      </c>
    </row>
    <row r="983" spans="3:21" x14ac:dyDescent="0.25">
      <c r="C983" s="24"/>
      <c r="D983" s="20"/>
      <c r="E983" s="4"/>
      <c r="F983" s="37"/>
      <c r="G983" s="38"/>
      <c r="H983" s="31">
        <f>_xlfn.XLOOKUP(PO[[#This Row],[Supplier name]], Supplier_master[Supplier name], Supplier_master[Category L1], 0)</f>
        <v>0</v>
      </c>
      <c r="I983" s="31">
        <f>_xlfn.XLOOKUP(PO[[#This Row],[Supplier name]], Supplier_master[Supplier name], Supplier_master[Category L2], 0)</f>
        <v>0</v>
      </c>
      <c r="J983" s="55"/>
      <c r="K983" s="55"/>
      <c r="L983" s="31">
        <f>IF(PO[[#This Row],[Spend category L1 - Override]] &lt;&gt; "", PO[[#This Row],[Spend category L1 - Override]], PO[[#This Row],[Spend category L1]])</f>
        <v>0</v>
      </c>
      <c r="M983" s="31">
        <f>IF(PO[[#This Row],[Spend category L2 - Override]] &lt;&gt; "", PO[[#This Row],[Spend category L2 - Override]], PO[[#This Row],[Spend category L2]])</f>
        <v>0</v>
      </c>
      <c r="N983" s="63">
        <f>Assumptions!$D$15</f>
        <v>0.1</v>
      </c>
      <c r="O983" s="45">
        <f>IF(PO[[#This Row],[GST applies?]] = "Yes", (PO[[#This Row],[Value inc. GST]] / 1 + PO[[#This Row],[GST %]]) * PO[[#This Row],[GST %]], 0)</f>
        <v>0</v>
      </c>
      <c r="P983" s="31">
        <f>_xlfn.XLOOKUP(PO[[#This Row],[Supplier name]], Supplier_master[Supplier name], Supplier_master[EOM or Net], 0)</f>
        <v>0</v>
      </c>
      <c r="Q983" s="31">
        <f>_xlfn.XLOOKUP(PO[[#This Row],[Supplier name]], Supplier_master[Supplier name], Supplier_master[Terms days], 0)</f>
        <v>0</v>
      </c>
      <c r="R9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3" s="4"/>
      <c r="T983" s="46">
        <f>IF(PO[[#This Row],[Payment date - override (dd/mm/yyyy)]] &lt;&gt; "", PO[[#This Row],[Payment date - override (dd/mm/yyyy)]], PO[[#This Row],[Due date (dd/mm/yyyy)]])</f>
        <v>0</v>
      </c>
      <c r="U983" s="46">
        <f t="shared" si="15"/>
        <v>52</v>
      </c>
    </row>
    <row r="984" spans="3:21" x14ac:dyDescent="0.25">
      <c r="C984" s="24"/>
      <c r="D984" s="20"/>
      <c r="E984" s="4"/>
      <c r="F984" s="37"/>
      <c r="G984" s="38"/>
      <c r="H984" s="31">
        <f>_xlfn.XLOOKUP(PO[[#This Row],[Supplier name]], Supplier_master[Supplier name], Supplier_master[Category L1], 0)</f>
        <v>0</v>
      </c>
      <c r="I984" s="31">
        <f>_xlfn.XLOOKUP(PO[[#This Row],[Supplier name]], Supplier_master[Supplier name], Supplier_master[Category L2], 0)</f>
        <v>0</v>
      </c>
      <c r="J984" s="55"/>
      <c r="K984" s="55"/>
      <c r="L984" s="31">
        <f>IF(PO[[#This Row],[Spend category L1 - Override]] &lt;&gt; "", PO[[#This Row],[Spend category L1 - Override]], PO[[#This Row],[Spend category L1]])</f>
        <v>0</v>
      </c>
      <c r="M984" s="31">
        <f>IF(PO[[#This Row],[Spend category L2 - Override]] &lt;&gt; "", PO[[#This Row],[Spend category L2 - Override]], PO[[#This Row],[Spend category L2]])</f>
        <v>0</v>
      </c>
      <c r="N984" s="63">
        <f>Assumptions!$D$15</f>
        <v>0.1</v>
      </c>
      <c r="O984" s="45">
        <f>IF(PO[[#This Row],[GST applies?]] = "Yes", (PO[[#This Row],[Value inc. GST]] / 1 + PO[[#This Row],[GST %]]) * PO[[#This Row],[GST %]], 0)</f>
        <v>0</v>
      </c>
      <c r="P984" s="31">
        <f>_xlfn.XLOOKUP(PO[[#This Row],[Supplier name]], Supplier_master[Supplier name], Supplier_master[EOM or Net], 0)</f>
        <v>0</v>
      </c>
      <c r="Q984" s="31">
        <f>_xlfn.XLOOKUP(PO[[#This Row],[Supplier name]], Supplier_master[Supplier name], Supplier_master[Terms days], 0)</f>
        <v>0</v>
      </c>
      <c r="R9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4" s="4"/>
      <c r="T984" s="46">
        <f>IF(PO[[#This Row],[Payment date - override (dd/mm/yyyy)]] &lt;&gt; "", PO[[#This Row],[Payment date - override (dd/mm/yyyy)]], PO[[#This Row],[Due date (dd/mm/yyyy)]])</f>
        <v>0</v>
      </c>
      <c r="U984" s="46">
        <f t="shared" si="15"/>
        <v>52</v>
      </c>
    </row>
    <row r="985" spans="3:21" x14ac:dyDescent="0.25">
      <c r="C985" s="24"/>
      <c r="D985" s="20"/>
      <c r="E985" s="4"/>
      <c r="F985" s="37"/>
      <c r="G985" s="38"/>
      <c r="H985" s="31">
        <f>_xlfn.XLOOKUP(PO[[#This Row],[Supplier name]], Supplier_master[Supplier name], Supplier_master[Category L1], 0)</f>
        <v>0</v>
      </c>
      <c r="I985" s="31">
        <f>_xlfn.XLOOKUP(PO[[#This Row],[Supplier name]], Supplier_master[Supplier name], Supplier_master[Category L2], 0)</f>
        <v>0</v>
      </c>
      <c r="J985" s="55"/>
      <c r="K985" s="55"/>
      <c r="L985" s="31">
        <f>IF(PO[[#This Row],[Spend category L1 - Override]] &lt;&gt; "", PO[[#This Row],[Spend category L1 - Override]], PO[[#This Row],[Spend category L1]])</f>
        <v>0</v>
      </c>
      <c r="M985" s="31">
        <f>IF(PO[[#This Row],[Spend category L2 - Override]] &lt;&gt; "", PO[[#This Row],[Spend category L2 - Override]], PO[[#This Row],[Spend category L2]])</f>
        <v>0</v>
      </c>
      <c r="N985" s="63">
        <f>Assumptions!$D$15</f>
        <v>0.1</v>
      </c>
      <c r="O985" s="45">
        <f>IF(PO[[#This Row],[GST applies?]] = "Yes", (PO[[#This Row],[Value inc. GST]] / 1 + PO[[#This Row],[GST %]]) * PO[[#This Row],[GST %]], 0)</f>
        <v>0</v>
      </c>
      <c r="P985" s="31">
        <f>_xlfn.XLOOKUP(PO[[#This Row],[Supplier name]], Supplier_master[Supplier name], Supplier_master[EOM or Net], 0)</f>
        <v>0</v>
      </c>
      <c r="Q985" s="31">
        <f>_xlfn.XLOOKUP(PO[[#This Row],[Supplier name]], Supplier_master[Supplier name], Supplier_master[Terms days], 0)</f>
        <v>0</v>
      </c>
      <c r="R9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5" s="4"/>
      <c r="T985" s="46">
        <f>IF(PO[[#This Row],[Payment date - override (dd/mm/yyyy)]] &lt;&gt; "", PO[[#This Row],[Payment date - override (dd/mm/yyyy)]], PO[[#This Row],[Due date (dd/mm/yyyy)]])</f>
        <v>0</v>
      </c>
      <c r="U985" s="46">
        <f t="shared" si="15"/>
        <v>52</v>
      </c>
    </row>
    <row r="986" spans="3:21" x14ac:dyDescent="0.25">
      <c r="C986" s="24"/>
      <c r="D986" s="20"/>
      <c r="E986" s="4"/>
      <c r="F986" s="37"/>
      <c r="G986" s="38"/>
      <c r="H986" s="31">
        <f>_xlfn.XLOOKUP(PO[[#This Row],[Supplier name]], Supplier_master[Supplier name], Supplier_master[Category L1], 0)</f>
        <v>0</v>
      </c>
      <c r="I986" s="31">
        <f>_xlfn.XLOOKUP(PO[[#This Row],[Supplier name]], Supplier_master[Supplier name], Supplier_master[Category L2], 0)</f>
        <v>0</v>
      </c>
      <c r="J986" s="55"/>
      <c r="K986" s="55"/>
      <c r="L986" s="31">
        <f>IF(PO[[#This Row],[Spend category L1 - Override]] &lt;&gt; "", PO[[#This Row],[Spend category L1 - Override]], PO[[#This Row],[Spend category L1]])</f>
        <v>0</v>
      </c>
      <c r="M986" s="31">
        <f>IF(PO[[#This Row],[Spend category L2 - Override]] &lt;&gt; "", PO[[#This Row],[Spend category L2 - Override]], PO[[#This Row],[Spend category L2]])</f>
        <v>0</v>
      </c>
      <c r="N986" s="63">
        <f>Assumptions!$D$15</f>
        <v>0.1</v>
      </c>
      <c r="O986" s="45">
        <f>IF(PO[[#This Row],[GST applies?]] = "Yes", (PO[[#This Row],[Value inc. GST]] / 1 + PO[[#This Row],[GST %]]) * PO[[#This Row],[GST %]], 0)</f>
        <v>0</v>
      </c>
      <c r="P986" s="31">
        <f>_xlfn.XLOOKUP(PO[[#This Row],[Supplier name]], Supplier_master[Supplier name], Supplier_master[EOM or Net], 0)</f>
        <v>0</v>
      </c>
      <c r="Q986" s="31">
        <f>_xlfn.XLOOKUP(PO[[#This Row],[Supplier name]], Supplier_master[Supplier name], Supplier_master[Terms days], 0)</f>
        <v>0</v>
      </c>
      <c r="R9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6" s="4"/>
      <c r="T986" s="46">
        <f>IF(PO[[#This Row],[Payment date - override (dd/mm/yyyy)]] &lt;&gt; "", PO[[#This Row],[Payment date - override (dd/mm/yyyy)]], PO[[#This Row],[Due date (dd/mm/yyyy)]])</f>
        <v>0</v>
      </c>
      <c r="U986" s="46">
        <f t="shared" si="15"/>
        <v>52</v>
      </c>
    </row>
    <row r="987" spans="3:21" x14ac:dyDescent="0.25">
      <c r="C987" s="24"/>
      <c r="D987" s="20"/>
      <c r="E987" s="4"/>
      <c r="F987" s="37"/>
      <c r="G987" s="38"/>
      <c r="H987" s="31">
        <f>_xlfn.XLOOKUP(PO[[#This Row],[Supplier name]], Supplier_master[Supplier name], Supplier_master[Category L1], 0)</f>
        <v>0</v>
      </c>
      <c r="I987" s="31">
        <f>_xlfn.XLOOKUP(PO[[#This Row],[Supplier name]], Supplier_master[Supplier name], Supplier_master[Category L2], 0)</f>
        <v>0</v>
      </c>
      <c r="J987" s="55"/>
      <c r="K987" s="55"/>
      <c r="L987" s="31">
        <f>IF(PO[[#This Row],[Spend category L1 - Override]] &lt;&gt; "", PO[[#This Row],[Spend category L1 - Override]], PO[[#This Row],[Spend category L1]])</f>
        <v>0</v>
      </c>
      <c r="M987" s="31">
        <f>IF(PO[[#This Row],[Spend category L2 - Override]] &lt;&gt; "", PO[[#This Row],[Spend category L2 - Override]], PO[[#This Row],[Spend category L2]])</f>
        <v>0</v>
      </c>
      <c r="N987" s="63">
        <f>Assumptions!$D$15</f>
        <v>0.1</v>
      </c>
      <c r="O987" s="45">
        <f>IF(PO[[#This Row],[GST applies?]] = "Yes", (PO[[#This Row],[Value inc. GST]] / 1 + PO[[#This Row],[GST %]]) * PO[[#This Row],[GST %]], 0)</f>
        <v>0</v>
      </c>
      <c r="P987" s="31">
        <f>_xlfn.XLOOKUP(PO[[#This Row],[Supplier name]], Supplier_master[Supplier name], Supplier_master[EOM or Net], 0)</f>
        <v>0</v>
      </c>
      <c r="Q987" s="31">
        <f>_xlfn.XLOOKUP(PO[[#This Row],[Supplier name]], Supplier_master[Supplier name], Supplier_master[Terms days], 0)</f>
        <v>0</v>
      </c>
      <c r="R9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7" s="4"/>
      <c r="T987" s="46">
        <f>IF(PO[[#This Row],[Payment date - override (dd/mm/yyyy)]] &lt;&gt; "", PO[[#This Row],[Payment date - override (dd/mm/yyyy)]], PO[[#This Row],[Due date (dd/mm/yyyy)]])</f>
        <v>0</v>
      </c>
      <c r="U987" s="46">
        <f t="shared" si="15"/>
        <v>52</v>
      </c>
    </row>
    <row r="988" spans="3:21" x14ac:dyDescent="0.25">
      <c r="C988" s="24"/>
      <c r="D988" s="20"/>
      <c r="E988" s="4"/>
      <c r="F988" s="37"/>
      <c r="G988" s="38"/>
      <c r="H988" s="31">
        <f>_xlfn.XLOOKUP(PO[[#This Row],[Supplier name]], Supplier_master[Supplier name], Supplier_master[Category L1], 0)</f>
        <v>0</v>
      </c>
      <c r="I988" s="31">
        <f>_xlfn.XLOOKUP(PO[[#This Row],[Supplier name]], Supplier_master[Supplier name], Supplier_master[Category L2], 0)</f>
        <v>0</v>
      </c>
      <c r="J988" s="55"/>
      <c r="K988" s="55"/>
      <c r="L988" s="31">
        <f>IF(PO[[#This Row],[Spend category L1 - Override]] &lt;&gt; "", PO[[#This Row],[Spend category L1 - Override]], PO[[#This Row],[Spend category L1]])</f>
        <v>0</v>
      </c>
      <c r="M988" s="31">
        <f>IF(PO[[#This Row],[Spend category L2 - Override]] &lt;&gt; "", PO[[#This Row],[Spend category L2 - Override]], PO[[#This Row],[Spend category L2]])</f>
        <v>0</v>
      </c>
      <c r="N988" s="63">
        <f>Assumptions!$D$15</f>
        <v>0.1</v>
      </c>
      <c r="O988" s="45">
        <f>IF(PO[[#This Row],[GST applies?]] = "Yes", (PO[[#This Row],[Value inc. GST]] / 1 + PO[[#This Row],[GST %]]) * PO[[#This Row],[GST %]], 0)</f>
        <v>0</v>
      </c>
      <c r="P988" s="31">
        <f>_xlfn.XLOOKUP(PO[[#This Row],[Supplier name]], Supplier_master[Supplier name], Supplier_master[EOM or Net], 0)</f>
        <v>0</v>
      </c>
      <c r="Q988" s="31">
        <f>_xlfn.XLOOKUP(PO[[#This Row],[Supplier name]], Supplier_master[Supplier name], Supplier_master[Terms days], 0)</f>
        <v>0</v>
      </c>
      <c r="R9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8" s="4"/>
      <c r="T988" s="46">
        <f>IF(PO[[#This Row],[Payment date - override (dd/mm/yyyy)]] &lt;&gt; "", PO[[#This Row],[Payment date - override (dd/mm/yyyy)]], PO[[#This Row],[Due date (dd/mm/yyyy)]])</f>
        <v>0</v>
      </c>
      <c r="U988" s="46">
        <f t="shared" si="15"/>
        <v>52</v>
      </c>
    </row>
    <row r="989" spans="3:21" x14ac:dyDescent="0.25">
      <c r="C989" s="24"/>
      <c r="D989" s="20"/>
      <c r="E989" s="4"/>
      <c r="F989" s="37"/>
      <c r="G989" s="38"/>
      <c r="H989" s="31">
        <f>_xlfn.XLOOKUP(PO[[#This Row],[Supplier name]], Supplier_master[Supplier name], Supplier_master[Category L1], 0)</f>
        <v>0</v>
      </c>
      <c r="I989" s="31">
        <f>_xlfn.XLOOKUP(PO[[#This Row],[Supplier name]], Supplier_master[Supplier name], Supplier_master[Category L2], 0)</f>
        <v>0</v>
      </c>
      <c r="J989" s="55"/>
      <c r="K989" s="55"/>
      <c r="L989" s="31">
        <f>IF(PO[[#This Row],[Spend category L1 - Override]] &lt;&gt; "", PO[[#This Row],[Spend category L1 - Override]], PO[[#This Row],[Spend category L1]])</f>
        <v>0</v>
      </c>
      <c r="M989" s="31">
        <f>IF(PO[[#This Row],[Spend category L2 - Override]] &lt;&gt; "", PO[[#This Row],[Spend category L2 - Override]], PO[[#This Row],[Spend category L2]])</f>
        <v>0</v>
      </c>
      <c r="N989" s="63">
        <f>Assumptions!$D$15</f>
        <v>0.1</v>
      </c>
      <c r="O989" s="45">
        <f>IF(PO[[#This Row],[GST applies?]] = "Yes", (PO[[#This Row],[Value inc. GST]] / 1 + PO[[#This Row],[GST %]]) * PO[[#This Row],[GST %]], 0)</f>
        <v>0</v>
      </c>
      <c r="P989" s="31">
        <f>_xlfn.XLOOKUP(PO[[#This Row],[Supplier name]], Supplier_master[Supplier name], Supplier_master[EOM or Net], 0)</f>
        <v>0</v>
      </c>
      <c r="Q989" s="31">
        <f>_xlfn.XLOOKUP(PO[[#This Row],[Supplier name]], Supplier_master[Supplier name], Supplier_master[Terms days], 0)</f>
        <v>0</v>
      </c>
      <c r="R9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9" s="4"/>
      <c r="T989" s="46">
        <f>IF(PO[[#This Row],[Payment date - override (dd/mm/yyyy)]] &lt;&gt; "", PO[[#This Row],[Payment date - override (dd/mm/yyyy)]], PO[[#This Row],[Due date (dd/mm/yyyy)]])</f>
        <v>0</v>
      </c>
      <c r="U989" s="46">
        <f t="shared" si="15"/>
        <v>52</v>
      </c>
    </row>
    <row r="990" spans="3:21" x14ac:dyDescent="0.25">
      <c r="C990" s="24"/>
      <c r="D990" s="20"/>
      <c r="E990" s="4"/>
      <c r="F990" s="37"/>
      <c r="G990" s="38"/>
      <c r="H990" s="31">
        <f>_xlfn.XLOOKUP(PO[[#This Row],[Supplier name]], Supplier_master[Supplier name], Supplier_master[Category L1], 0)</f>
        <v>0</v>
      </c>
      <c r="I990" s="31">
        <f>_xlfn.XLOOKUP(PO[[#This Row],[Supplier name]], Supplier_master[Supplier name], Supplier_master[Category L2], 0)</f>
        <v>0</v>
      </c>
      <c r="J990" s="55"/>
      <c r="K990" s="55"/>
      <c r="L990" s="31">
        <f>IF(PO[[#This Row],[Spend category L1 - Override]] &lt;&gt; "", PO[[#This Row],[Spend category L1 - Override]], PO[[#This Row],[Spend category L1]])</f>
        <v>0</v>
      </c>
      <c r="M990" s="31">
        <f>IF(PO[[#This Row],[Spend category L2 - Override]] &lt;&gt; "", PO[[#This Row],[Spend category L2 - Override]], PO[[#This Row],[Spend category L2]])</f>
        <v>0</v>
      </c>
      <c r="N990" s="63">
        <f>Assumptions!$D$15</f>
        <v>0.1</v>
      </c>
      <c r="O990" s="45">
        <f>IF(PO[[#This Row],[GST applies?]] = "Yes", (PO[[#This Row],[Value inc. GST]] / 1 + PO[[#This Row],[GST %]]) * PO[[#This Row],[GST %]], 0)</f>
        <v>0</v>
      </c>
      <c r="P990" s="31">
        <f>_xlfn.XLOOKUP(PO[[#This Row],[Supplier name]], Supplier_master[Supplier name], Supplier_master[EOM or Net], 0)</f>
        <v>0</v>
      </c>
      <c r="Q990" s="31">
        <f>_xlfn.XLOOKUP(PO[[#This Row],[Supplier name]], Supplier_master[Supplier name], Supplier_master[Terms days], 0)</f>
        <v>0</v>
      </c>
      <c r="R9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0" s="4"/>
      <c r="T990" s="46">
        <f>IF(PO[[#This Row],[Payment date - override (dd/mm/yyyy)]] &lt;&gt; "", PO[[#This Row],[Payment date - override (dd/mm/yyyy)]], PO[[#This Row],[Due date (dd/mm/yyyy)]])</f>
        <v>0</v>
      </c>
      <c r="U990" s="46">
        <f t="shared" si="15"/>
        <v>52</v>
      </c>
    </row>
    <row r="991" spans="3:21" x14ac:dyDescent="0.25">
      <c r="C991" s="24"/>
      <c r="D991" s="20"/>
      <c r="E991" s="4"/>
      <c r="F991" s="37"/>
      <c r="G991" s="38"/>
      <c r="H991" s="31">
        <f>_xlfn.XLOOKUP(PO[[#This Row],[Supplier name]], Supplier_master[Supplier name], Supplier_master[Category L1], 0)</f>
        <v>0</v>
      </c>
      <c r="I991" s="31">
        <f>_xlfn.XLOOKUP(PO[[#This Row],[Supplier name]], Supplier_master[Supplier name], Supplier_master[Category L2], 0)</f>
        <v>0</v>
      </c>
      <c r="J991" s="55"/>
      <c r="K991" s="55"/>
      <c r="L991" s="31">
        <f>IF(PO[[#This Row],[Spend category L1 - Override]] &lt;&gt; "", PO[[#This Row],[Spend category L1 - Override]], PO[[#This Row],[Spend category L1]])</f>
        <v>0</v>
      </c>
      <c r="M991" s="31">
        <f>IF(PO[[#This Row],[Spend category L2 - Override]] &lt;&gt; "", PO[[#This Row],[Spend category L2 - Override]], PO[[#This Row],[Spend category L2]])</f>
        <v>0</v>
      </c>
      <c r="N991" s="63">
        <f>Assumptions!$D$15</f>
        <v>0.1</v>
      </c>
      <c r="O991" s="45">
        <f>IF(PO[[#This Row],[GST applies?]] = "Yes", (PO[[#This Row],[Value inc. GST]] / 1 + PO[[#This Row],[GST %]]) * PO[[#This Row],[GST %]], 0)</f>
        <v>0</v>
      </c>
      <c r="P991" s="31">
        <f>_xlfn.XLOOKUP(PO[[#This Row],[Supplier name]], Supplier_master[Supplier name], Supplier_master[EOM or Net], 0)</f>
        <v>0</v>
      </c>
      <c r="Q991" s="31">
        <f>_xlfn.XLOOKUP(PO[[#This Row],[Supplier name]], Supplier_master[Supplier name], Supplier_master[Terms days], 0)</f>
        <v>0</v>
      </c>
      <c r="R9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1" s="4"/>
      <c r="T991" s="46">
        <f>IF(PO[[#This Row],[Payment date - override (dd/mm/yyyy)]] &lt;&gt; "", PO[[#This Row],[Payment date - override (dd/mm/yyyy)]], PO[[#This Row],[Due date (dd/mm/yyyy)]])</f>
        <v>0</v>
      </c>
      <c r="U991" s="46">
        <f t="shared" si="15"/>
        <v>52</v>
      </c>
    </row>
    <row r="992" spans="3:21" x14ac:dyDescent="0.25">
      <c r="C992" s="24"/>
      <c r="D992" s="20"/>
      <c r="E992" s="4"/>
      <c r="F992" s="37"/>
      <c r="G992" s="38"/>
      <c r="H992" s="31">
        <f>_xlfn.XLOOKUP(PO[[#This Row],[Supplier name]], Supplier_master[Supplier name], Supplier_master[Category L1], 0)</f>
        <v>0</v>
      </c>
      <c r="I992" s="31">
        <f>_xlfn.XLOOKUP(PO[[#This Row],[Supplier name]], Supplier_master[Supplier name], Supplier_master[Category L2], 0)</f>
        <v>0</v>
      </c>
      <c r="J992" s="55"/>
      <c r="K992" s="55"/>
      <c r="L992" s="31">
        <f>IF(PO[[#This Row],[Spend category L1 - Override]] &lt;&gt; "", PO[[#This Row],[Spend category L1 - Override]], PO[[#This Row],[Spend category L1]])</f>
        <v>0</v>
      </c>
      <c r="M992" s="31">
        <f>IF(PO[[#This Row],[Spend category L2 - Override]] &lt;&gt; "", PO[[#This Row],[Spend category L2 - Override]], PO[[#This Row],[Spend category L2]])</f>
        <v>0</v>
      </c>
      <c r="N992" s="63">
        <f>Assumptions!$D$15</f>
        <v>0.1</v>
      </c>
      <c r="O992" s="45">
        <f>IF(PO[[#This Row],[GST applies?]] = "Yes", (PO[[#This Row],[Value inc. GST]] / 1 + PO[[#This Row],[GST %]]) * PO[[#This Row],[GST %]], 0)</f>
        <v>0</v>
      </c>
      <c r="P992" s="31">
        <f>_xlfn.XLOOKUP(PO[[#This Row],[Supplier name]], Supplier_master[Supplier name], Supplier_master[EOM or Net], 0)</f>
        <v>0</v>
      </c>
      <c r="Q992" s="31">
        <f>_xlfn.XLOOKUP(PO[[#This Row],[Supplier name]], Supplier_master[Supplier name], Supplier_master[Terms days], 0)</f>
        <v>0</v>
      </c>
      <c r="R9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2" s="4"/>
      <c r="T992" s="46">
        <f>IF(PO[[#This Row],[Payment date - override (dd/mm/yyyy)]] &lt;&gt; "", PO[[#This Row],[Payment date - override (dd/mm/yyyy)]], PO[[#This Row],[Due date (dd/mm/yyyy)]])</f>
        <v>0</v>
      </c>
      <c r="U992" s="46">
        <f t="shared" si="15"/>
        <v>52</v>
      </c>
    </row>
    <row r="993" spans="3:21" x14ac:dyDescent="0.25">
      <c r="C993" s="24"/>
      <c r="D993" s="20"/>
      <c r="E993" s="4"/>
      <c r="F993" s="37"/>
      <c r="G993" s="38"/>
      <c r="H993" s="31">
        <f>_xlfn.XLOOKUP(PO[[#This Row],[Supplier name]], Supplier_master[Supplier name], Supplier_master[Category L1], 0)</f>
        <v>0</v>
      </c>
      <c r="I993" s="31">
        <f>_xlfn.XLOOKUP(PO[[#This Row],[Supplier name]], Supplier_master[Supplier name], Supplier_master[Category L2], 0)</f>
        <v>0</v>
      </c>
      <c r="J993" s="55"/>
      <c r="K993" s="55"/>
      <c r="L993" s="31">
        <f>IF(PO[[#This Row],[Spend category L1 - Override]] &lt;&gt; "", PO[[#This Row],[Spend category L1 - Override]], PO[[#This Row],[Spend category L1]])</f>
        <v>0</v>
      </c>
      <c r="M993" s="31">
        <f>IF(PO[[#This Row],[Spend category L2 - Override]] &lt;&gt; "", PO[[#This Row],[Spend category L2 - Override]], PO[[#This Row],[Spend category L2]])</f>
        <v>0</v>
      </c>
      <c r="N993" s="63">
        <f>Assumptions!$D$15</f>
        <v>0.1</v>
      </c>
      <c r="O993" s="45">
        <f>IF(PO[[#This Row],[GST applies?]] = "Yes", (PO[[#This Row],[Value inc. GST]] / 1 + PO[[#This Row],[GST %]]) * PO[[#This Row],[GST %]], 0)</f>
        <v>0</v>
      </c>
      <c r="P993" s="31">
        <f>_xlfn.XLOOKUP(PO[[#This Row],[Supplier name]], Supplier_master[Supplier name], Supplier_master[EOM or Net], 0)</f>
        <v>0</v>
      </c>
      <c r="Q993" s="31">
        <f>_xlfn.XLOOKUP(PO[[#This Row],[Supplier name]], Supplier_master[Supplier name], Supplier_master[Terms days], 0)</f>
        <v>0</v>
      </c>
      <c r="R9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3" s="4"/>
      <c r="T993" s="46">
        <f>IF(PO[[#This Row],[Payment date - override (dd/mm/yyyy)]] &lt;&gt; "", PO[[#This Row],[Payment date - override (dd/mm/yyyy)]], PO[[#This Row],[Due date (dd/mm/yyyy)]])</f>
        <v>0</v>
      </c>
      <c r="U993" s="46">
        <f t="shared" si="15"/>
        <v>52</v>
      </c>
    </row>
    <row r="994" spans="3:21" x14ac:dyDescent="0.25">
      <c r="C994" s="24"/>
      <c r="D994" s="20"/>
      <c r="E994" s="4"/>
      <c r="F994" s="37"/>
      <c r="G994" s="38"/>
      <c r="H994" s="31">
        <f>_xlfn.XLOOKUP(PO[[#This Row],[Supplier name]], Supplier_master[Supplier name], Supplier_master[Category L1], 0)</f>
        <v>0</v>
      </c>
      <c r="I994" s="31">
        <f>_xlfn.XLOOKUP(PO[[#This Row],[Supplier name]], Supplier_master[Supplier name], Supplier_master[Category L2], 0)</f>
        <v>0</v>
      </c>
      <c r="J994" s="55"/>
      <c r="K994" s="55"/>
      <c r="L994" s="31">
        <f>IF(PO[[#This Row],[Spend category L1 - Override]] &lt;&gt; "", PO[[#This Row],[Spend category L1 - Override]], PO[[#This Row],[Spend category L1]])</f>
        <v>0</v>
      </c>
      <c r="M994" s="31">
        <f>IF(PO[[#This Row],[Spend category L2 - Override]] &lt;&gt; "", PO[[#This Row],[Spend category L2 - Override]], PO[[#This Row],[Spend category L2]])</f>
        <v>0</v>
      </c>
      <c r="N994" s="63">
        <f>Assumptions!$D$15</f>
        <v>0.1</v>
      </c>
      <c r="O994" s="45">
        <f>IF(PO[[#This Row],[GST applies?]] = "Yes", (PO[[#This Row],[Value inc. GST]] / 1 + PO[[#This Row],[GST %]]) * PO[[#This Row],[GST %]], 0)</f>
        <v>0</v>
      </c>
      <c r="P994" s="31">
        <f>_xlfn.XLOOKUP(PO[[#This Row],[Supplier name]], Supplier_master[Supplier name], Supplier_master[EOM or Net], 0)</f>
        <v>0</v>
      </c>
      <c r="Q994" s="31">
        <f>_xlfn.XLOOKUP(PO[[#This Row],[Supplier name]], Supplier_master[Supplier name], Supplier_master[Terms days], 0)</f>
        <v>0</v>
      </c>
      <c r="R9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4" s="4"/>
      <c r="T994" s="46">
        <f>IF(PO[[#This Row],[Payment date - override (dd/mm/yyyy)]] &lt;&gt; "", PO[[#This Row],[Payment date - override (dd/mm/yyyy)]], PO[[#This Row],[Due date (dd/mm/yyyy)]])</f>
        <v>0</v>
      </c>
      <c r="U994" s="46">
        <f t="shared" si="15"/>
        <v>52</v>
      </c>
    </row>
    <row r="995" spans="3:21" x14ac:dyDescent="0.25">
      <c r="C995" s="24"/>
      <c r="D995" s="20"/>
      <c r="E995" s="4"/>
      <c r="F995" s="37"/>
      <c r="G995" s="38"/>
      <c r="H995" s="31">
        <f>_xlfn.XLOOKUP(PO[[#This Row],[Supplier name]], Supplier_master[Supplier name], Supplier_master[Category L1], 0)</f>
        <v>0</v>
      </c>
      <c r="I995" s="31">
        <f>_xlfn.XLOOKUP(PO[[#This Row],[Supplier name]], Supplier_master[Supplier name], Supplier_master[Category L2], 0)</f>
        <v>0</v>
      </c>
      <c r="J995" s="55"/>
      <c r="K995" s="55"/>
      <c r="L995" s="31">
        <f>IF(PO[[#This Row],[Spend category L1 - Override]] &lt;&gt; "", PO[[#This Row],[Spend category L1 - Override]], PO[[#This Row],[Spend category L1]])</f>
        <v>0</v>
      </c>
      <c r="M995" s="31">
        <f>IF(PO[[#This Row],[Spend category L2 - Override]] &lt;&gt; "", PO[[#This Row],[Spend category L2 - Override]], PO[[#This Row],[Spend category L2]])</f>
        <v>0</v>
      </c>
      <c r="N995" s="63">
        <f>Assumptions!$D$15</f>
        <v>0.1</v>
      </c>
      <c r="O995" s="45">
        <f>IF(PO[[#This Row],[GST applies?]] = "Yes", (PO[[#This Row],[Value inc. GST]] / 1 + PO[[#This Row],[GST %]]) * PO[[#This Row],[GST %]], 0)</f>
        <v>0</v>
      </c>
      <c r="P995" s="31">
        <f>_xlfn.XLOOKUP(PO[[#This Row],[Supplier name]], Supplier_master[Supplier name], Supplier_master[EOM or Net], 0)</f>
        <v>0</v>
      </c>
      <c r="Q995" s="31">
        <f>_xlfn.XLOOKUP(PO[[#This Row],[Supplier name]], Supplier_master[Supplier name], Supplier_master[Terms days], 0)</f>
        <v>0</v>
      </c>
      <c r="R9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5" s="4"/>
      <c r="T995" s="46">
        <f>IF(PO[[#This Row],[Payment date - override (dd/mm/yyyy)]] &lt;&gt; "", PO[[#This Row],[Payment date - override (dd/mm/yyyy)]], PO[[#This Row],[Due date (dd/mm/yyyy)]])</f>
        <v>0</v>
      </c>
      <c r="U995" s="46">
        <f t="shared" si="15"/>
        <v>52</v>
      </c>
    </row>
    <row r="996" spans="3:21" x14ac:dyDescent="0.25">
      <c r="C996" s="24"/>
      <c r="D996" s="20"/>
      <c r="E996" s="4"/>
      <c r="F996" s="37"/>
      <c r="G996" s="38"/>
      <c r="H996" s="31">
        <f>_xlfn.XLOOKUP(PO[[#This Row],[Supplier name]], Supplier_master[Supplier name], Supplier_master[Category L1], 0)</f>
        <v>0</v>
      </c>
      <c r="I996" s="31">
        <f>_xlfn.XLOOKUP(PO[[#This Row],[Supplier name]], Supplier_master[Supplier name], Supplier_master[Category L2], 0)</f>
        <v>0</v>
      </c>
      <c r="J996" s="55"/>
      <c r="K996" s="55"/>
      <c r="L996" s="31">
        <f>IF(PO[[#This Row],[Spend category L1 - Override]] &lt;&gt; "", PO[[#This Row],[Spend category L1 - Override]], PO[[#This Row],[Spend category L1]])</f>
        <v>0</v>
      </c>
      <c r="M996" s="31">
        <f>IF(PO[[#This Row],[Spend category L2 - Override]] &lt;&gt; "", PO[[#This Row],[Spend category L2 - Override]], PO[[#This Row],[Spend category L2]])</f>
        <v>0</v>
      </c>
      <c r="N996" s="63">
        <f>Assumptions!$D$15</f>
        <v>0.1</v>
      </c>
      <c r="O996" s="45">
        <f>IF(PO[[#This Row],[GST applies?]] = "Yes", (PO[[#This Row],[Value inc. GST]] / 1 + PO[[#This Row],[GST %]]) * PO[[#This Row],[GST %]], 0)</f>
        <v>0</v>
      </c>
      <c r="P996" s="31">
        <f>_xlfn.XLOOKUP(PO[[#This Row],[Supplier name]], Supplier_master[Supplier name], Supplier_master[EOM or Net], 0)</f>
        <v>0</v>
      </c>
      <c r="Q996" s="31">
        <f>_xlfn.XLOOKUP(PO[[#This Row],[Supplier name]], Supplier_master[Supplier name], Supplier_master[Terms days], 0)</f>
        <v>0</v>
      </c>
      <c r="R9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6" s="4"/>
      <c r="T996" s="46">
        <f>IF(PO[[#This Row],[Payment date - override (dd/mm/yyyy)]] &lt;&gt; "", PO[[#This Row],[Payment date - override (dd/mm/yyyy)]], PO[[#This Row],[Due date (dd/mm/yyyy)]])</f>
        <v>0</v>
      </c>
      <c r="U996" s="46">
        <f t="shared" si="15"/>
        <v>52</v>
      </c>
    </row>
    <row r="997" spans="3:21" x14ac:dyDescent="0.25">
      <c r="C997" s="24"/>
      <c r="D997" s="20"/>
      <c r="E997" s="4"/>
      <c r="F997" s="37"/>
      <c r="G997" s="38"/>
      <c r="H997" s="31">
        <f>_xlfn.XLOOKUP(PO[[#This Row],[Supplier name]], Supplier_master[Supplier name], Supplier_master[Category L1], 0)</f>
        <v>0</v>
      </c>
      <c r="I997" s="31">
        <f>_xlfn.XLOOKUP(PO[[#This Row],[Supplier name]], Supplier_master[Supplier name], Supplier_master[Category L2], 0)</f>
        <v>0</v>
      </c>
      <c r="J997" s="55"/>
      <c r="K997" s="55"/>
      <c r="L997" s="31">
        <f>IF(PO[[#This Row],[Spend category L1 - Override]] &lt;&gt; "", PO[[#This Row],[Spend category L1 - Override]], PO[[#This Row],[Spend category L1]])</f>
        <v>0</v>
      </c>
      <c r="M997" s="31">
        <f>IF(PO[[#This Row],[Spend category L2 - Override]] &lt;&gt; "", PO[[#This Row],[Spend category L2 - Override]], PO[[#This Row],[Spend category L2]])</f>
        <v>0</v>
      </c>
      <c r="N997" s="63">
        <f>Assumptions!$D$15</f>
        <v>0.1</v>
      </c>
      <c r="O997" s="45">
        <f>IF(PO[[#This Row],[GST applies?]] = "Yes", (PO[[#This Row],[Value inc. GST]] / 1 + PO[[#This Row],[GST %]]) * PO[[#This Row],[GST %]], 0)</f>
        <v>0</v>
      </c>
      <c r="P997" s="31">
        <f>_xlfn.XLOOKUP(PO[[#This Row],[Supplier name]], Supplier_master[Supplier name], Supplier_master[EOM or Net], 0)</f>
        <v>0</v>
      </c>
      <c r="Q997" s="31">
        <f>_xlfn.XLOOKUP(PO[[#This Row],[Supplier name]], Supplier_master[Supplier name], Supplier_master[Terms days], 0)</f>
        <v>0</v>
      </c>
      <c r="R9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7" s="4"/>
      <c r="T997" s="46">
        <f>IF(PO[[#This Row],[Payment date - override (dd/mm/yyyy)]] &lt;&gt; "", PO[[#This Row],[Payment date - override (dd/mm/yyyy)]], PO[[#This Row],[Due date (dd/mm/yyyy)]])</f>
        <v>0</v>
      </c>
      <c r="U997" s="46">
        <f t="shared" si="15"/>
        <v>52</v>
      </c>
    </row>
    <row r="998" spans="3:21" x14ac:dyDescent="0.25">
      <c r="C998" s="24"/>
      <c r="D998" s="20"/>
      <c r="E998" s="4"/>
      <c r="F998" s="37"/>
      <c r="G998" s="38"/>
      <c r="H998" s="31">
        <f>_xlfn.XLOOKUP(PO[[#This Row],[Supplier name]], Supplier_master[Supplier name], Supplier_master[Category L1], 0)</f>
        <v>0</v>
      </c>
      <c r="I998" s="31">
        <f>_xlfn.XLOOKUP(PO[[#This Row],[Supplier name]], Supplier_master[Supplier name], Supplier_master[Category L2], 0)</f>
        <v>0</v>
      </c>
      <c r="J998" s="55"/>
      <c r="K998" s="55"/>
      <c r="L998" s="31">
        <f>IF(PO[[#This Row],[Spend category L1 - Override]] &lt;&gt; "", PO[[#This Row],[Spend category L1 - Override]], PO[[#This Row],[Spend category L1]])</f>
        <v>0</v>
      </c>
      <c r="M998" s="31">
        <f>IF(PO[[#This Row],[Spend category L2 - Override]] &lt;&gt; "", PO[[#This Row],[Spend category L2 - Override]], PO[[#This Row],[Spend category L2]])</f>
        <v>0</v>
      </c>
      <c r="N998" s="63">
        <f>Assumptions!$D$15</f>
        <v>0.1</v>
      </c>
      <c r="O998" s="45">
        <f>IF(PO[[#This Row],[GST applies?]] = "Yes", (PO[[#This Row],[Value inc. GST]] / 1 + PO[[#This Row],[GST %]]) * PO[[#This Row],[GST %]], 0)</f>
        <v>0</v>
      </c>
      <c r="P998" s="31">
        <f>_xlfn.XLOOKUP(PO[[#This Row],[Supplier name]], Supplier_master[Supplier name], Supplier_master[EOM or Net], 0)</f>
        <v>0</v>
      </c>
      <c r="Q998" s="31">
        <f>_xlfn.XLOOKUP(PO[[#This Row],[Supplier name]], Supplier_master[Supplier name], Supplier_master[Terms days], 0)</f>
        <v>0</v>
      </c>
      <c r="R9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8" s="4"/>
      <c r="T998" s="46">
        <f>IF(PO[[#This Row],[Payment date - override (dd/mm/yyyy)]] &lt;&gt; "", PO[[#This Row],[Payment date - override (dd/mm/yyyy)]], PO[[#This Row],[Due date (dd/mm/yyyy)]])</f>
        <v>0</v>
      </c>
      <c r="U998" s="46">
        <f t="shared" si="15"/>
        <v>52</v>
      </c>
    </row>
    <row r="999" spans="3:21" x14ac:dyDescent="0.25">
      <c r="C999" s="24"/>
      <c r="D999" s="20"/>
      <c r="E999" s="4"/>
      <c r="F999" s="37"/>
      <c r="G999" s="38"/>
      <c r="H999" s="31">
        <f>_xlfn.XLOOKUP(PO[[#This Row],[Supplier name]], Supplier_master[Supplier name], Supplier_master[Category L1], 0)</f>
        <v>0</v>
      </c>
      <c r="I999" s="31">
        <f>_xlfn.XLOOKUP(PO[[#This Row],[Supplier name]], Supplier_master[Supplier name], Supplier_master[Category L2], 0)</f>
        <v>0</v>
      </c>
      <c r="J999" s="55"/>
      <c r="K999" s="55"/>
      <c r="L999" s="31">
        <f>IF(PO[[#This Row],[Spend category L1 - Override]] &lt;&gt; "", PO[[#This Row],[Spend category L1 - Override]], PO[[#This Row],[Spend category L1]])</f>
        <v>0</v>
      </c>
      <c r="M999" s="31">
        <f>IF(PO[[#This Row],[Spend category L2 - Override]] &lt;&gt; "", PO[[#This Row],[Spend category L2 - Override]], PO[[#This Row],[Spend category L2]])</f>
        <v>0</v>
      </c>
      <c r="N999" s="63">
        <f>Assumptions!$D$15</f>
        <v>0.1</v>
      </c>
      <c r="O999" s="45">
        <f>IF(PO[[#This Row],[GST applies?]] = "Yes", (PO[[#This Row],[Value inc. GST]] / 1 + PO[[#This Row],[GST %]]) * PO[[#This Row],[GST %]], 0)</f>
        <v>0</v>
      </c>
      <c r="P999" s="31">
        <f>_xlfn.XLOOKUP(PO[[#This Row],[Supplier name]], Supplier_master[Supplier name], Supplier_master[EOM or Net], 0)</f>
        <v>0</v>
      </c>
      <c r="Q999" s="31">
        <f>_xlfn.XLOOKUP(PO[[#This Row],[Supplier name]], Supplier_master[Supplier name], Supplier_master[Terms days], 0)</f>
        <v>0</v>
      </c>
      <c r="R9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9" s="4"/>
      <c r="T999" s="46">
        <f>IF(PO[[#This Row],[Payment date - override (dd/mm/yyyy)]] &lt;&gt; "", PO[[#This Row],[Payment date - override (dd/mm/yyyy)]], PO[[#This Row],[Due date (dd/mm/yyyy)]])</f>
        <v>0</v>
      </c>
      <c r="U999" s="46">
        <f t="shared" si="15"/>
        <v>52</v>
      </c>
    </row>
    <row r="1000" spans="3:21" x14ac:dyDescent="0.25">
      <c r="C1000" s="24"/>
      <c r="D1000" s="20"/>
      <c r="E1000" s="4"/>
      <c r="F1000" s="37"/>
      <c r="G1000" s="38"/>
      <c r="H1000" s="31">
        <f>_xlfn.XLOOKUP(PO[[#This Row],[Supplier name]], Supplier_master[Supplier name], Supplier_master[Category L1], 0)</f>
        <v>0</v>
      </c>
      <c r="I1000" s="31">
        <f>_xlfn.XLOOKUP(PO[[#This Row],[Supplier name]], Supplier_master[Supplier name], Supplier_master[Category L2], 0)</f>
        <v>0</v>
      </c>
      <c r="J1000" s="55"/>
      <c r="K1000" s="55"/>
      <c r="L1000" s="31">
        <f>IF(PO[[#This Row],[Spend category L1 - Override]] &lt;&gt; "", PO[[#This Row],[Spend category L1 - Override]], PO[[#This Row],[Spend category L1]])</f>
        <v>0</v>
      </c>
      <c r="M1000" s="31">
        <f>IF(PO[[#This Row],[Spend category L2 - Override]] &lt;&gt; "", PO[[#This Row],[Spend category L2 - Override]], PO[[#This Row],[Spend category L2]])</f>
        <v>0</v>
      </c>
      <c r="N1000" s="63">
        <f>Assumptions!$D$15</f>
        <v>0.1</v>
      </c>
      <c r="O1000" s="45">
        <f>IF(PO[[#This Row],[GST applies?]] = "Yes", (PO[[#This Row],[Value inc. GST]] / 1 + PO[[#This Row],[GST %]]) * PO[[#This Row],[GST %]], 0)</f>
        <v>0</v>
      </c>
      <c r="P1000" s="31">
        <f>_xlfn.XLOOKUP(PO[[#This Row],[Supplier name]], Supplier_master[Supplier name], Supplier_master[EOM or Net], 0)</f>
        <v>0</v>
      </c>
      <c r="Q1000" s="31">
        <f>_xlfn.XLOOKUP(PO[[#This Row],[Supplier name]], Supplier_master[Supplier name], Supplier_master[Terms days], 0)</f>
        <v>0</v>
      </c>
      <c r="R10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00" s="4"/>
      <c r="T1000" s="46">
        <f>IF(PO[[#This Row],[Payment date - override (dd/mm/yyyy)]] &lt;&gt; "", PO[[#This Row],[Payment date - override (dd/mm/yyyy)]], PO[[#This Row],[Due date (dd/mm/yyyy)]])</f>
        <v>0</v>
      </c>
      <c r="U1000" s="46">
        <f t="shared" si="15"/>
        <v>52</v>
      </c>
    </row>
  </sheetData>
  <dataValidations count="2">
    <dataValidation type="list" allowBlank="1" showInputMessage="1" showErrorMessage="1" sqref="G9:G1000" xr:uid="{D3F88E11-C24D-4CF8-9953-79E5C7217F25}">
      <formula1>"Yes, No"</formula1>
    </dataValidation>
    <dataValidation type="list" allowBlank="1" showInputMessage="1" showErrorMessage="1" sqref="K9:K1000" xr:uid="{29E8AE8A-AE6A-440D-9785-50CEA0419235}">
      <formula1>INDIRECT(J9)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5957EB2-779A-4052-BAC8-81B882F4F0C8}">
          <x14:formula1>
            <xm:f>'Customer master data'!$B$9:$B$1000</xm:f>
          </x14:formula1>
          <xm:sqref>D34:D1000</xm:sqref>
        </x14:dataValidation>
        <x14:dataValidation type="list" allowBlank="1" showInputMessage="1" showErrorMessage="1" xr:uid="{F69CCE5F-5142-4F39-B37D-9D7B76537704}">
          <x14:formula1>
            <xm:f>'Supplier master data'!$C$9:$C$1000</xm:f>
          </x14:formula1>
          <xm:sqref>D9:D33</xm:sqref>
        </x14:dataValidation>
        <x14:dataValidation type="list" allowBlank="1" showInputMessage="1" showErrorMessage="1" xr:uid="{F39EBE34-8B56-4B40-8989-19BA882F5A44}">
          <x14:formula1>
            <xm:f>'Category lookups'!$C$9:$C$14</xm:f>
          </x14:formula1>
          <xm:sqref>J9:J1000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1870-BC3F-4AE3-A327-45ADCEC9332B}">
  <sheetPr>
    <tabColor theme="9" tint="0.79998168889431442"/>
  </sheetPr>
  <dimension ref="A1:U100"/>
  <sheetViews>
    <sheetView showGridLines="0" workbookViewId="0"/>
  </sheetViews>
  <sheetFormatPr defaultColWidth="0" defaultRowHeight="13.5" x14ac:dyDescent="0.25"/>
  <cols>
    <col min="1" max="1" width="1.7109375" style="1" customWidth="1"/>
    <col min="2" max="5" width="30.7109375" style="1" customWidth="1"/>
    <col min="6" max="6" width="1.7109375" style="1" customWidth="1"/>
    <col min="7" max="21" width="0" style="1" hidden="1" customWidth="1"/>
    <col min="22" max="16384" width="9.140625" style="1" hidden="1"/>
  </cols>
  <sheetData>
    <row r="1" spans="1:6" x14ac:dyDescent="0.25">
      <c r="A1" s="2"/>
      <c r="B1" s="2"/>
      <c r="C1" s="2"/>
      <c r="D1" s="2"/>
      <c r="E1" s="2"/>
      <c r="F1" s="2"/>
    </row>
    <row r="2" spans="1:6" ht="21" x14ac:dyDescent="0.35">
      <c r="A2" s="2"/>
      <c r="B2" s="17" t="str">
        <f>Assumptions!$D$9</f>
        <v>Example Company Australia</v>
      </c>
      <c r="C2" s="2"/>
      <c r="D2" s="2"/>
      <c r="E2" s="2"/>
      <c r="F2" s="2"/>
    </row>
    <row r="3" spans="1:6" ht="15.75" x14ac:dyDescent="0.25">
      <c r="A3" s="2"/>
      <c r="B3" s="16" t="s">
        <v>28</v>
      </c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7" spans="1:6" x14ac:dyDescent="0.25">
      <c r="B7" s="3" t="s">
        <v>32</v>
      </c>
      <c r="C7" s="3" t="s">
        <v>33</v>
      </c>
      <c r="D7" s="3" t="s">
        <v>32</v>
      </c>
      <c r="E7" s="3" t="s">
        <v>34</v>
      </c>
    </row>
    <row r="8" spans="1:6" x14ac:dyDescent="0.25">
      <c r="B8" s="25" t="s">
        <v>26</v>
      </c>
      <c r="C8" s="26" t="s">
        <v>29</v>
      </c>
      <c r="D8" s="26" t="s">
        <v>30</v>
      </c>
      <c r="E8" s="27" t="s">
        <v>31</v>
      </c>
    </row>
    <row r="9" spans="1:6" x14ac:dyDescent="0.25">
      <c r="B9" s="24"/>
      <c r="C9" s="20"/>
      <c r="D9" s="20"/>
      <c r="E9" s="21"/>
    </row>
    <row r="10" spans="1:6" x14ac:dyDescent="0.25">
      <c r="B10" s="24"/>
      <c r="C10" s="20"/>
      <c r="D10" s="20"/>
      <c r="E10" s="21"/>
    </row>
    <row r="11" spans="1:6" x14ac:dyDescent="0.25">
      <c r="B11" s="24"/>
      <c r="C11" s="20"/>
      <c r="D11" s="20"/>
      <c r="E11" s="21"/>
    </row>
    <row r="12" spans="1:6" x14ac:dyDescent="0.25">
      <c r="B12" s="24"/>
      <c r="C12" s="20"/>
      <c r="D12" s="20"/>
      <c r="E12" s="21"/>
    </row>
    <row r="13" spans="1:6" x14ac:dyDescent="0.25">
      <c r="B13" s="24"/>
      <c r="C13" s="20"/>
      <c r="D13" s="20"/>
      <c r="E13" s="21"/>
    </row>
    <row r="14" spans="1:6" x14ac:dyDescent="0.25">
      <c r="B14" s="24"/>
      <c r="C14" s="20"/>
      <c r="D14" s="20"/>
      <c r="E14" s="21"/>
    </row>
    <row r="15" spans="1:6" x14ac:dyDescent="0.25">
      <c r="B15" s="24"/>
      <c r="C15" s="20"/>
      <c r="D15" s="20"/>
      <c r="E15" s="21"/>
    </row>
    <row r="16" spans="1:6" x14ac:dyDescent="0.25">
      <c r="B16" s="24"/>
      <c r="C16" s="20"/>
      <c r="D16" s="20"/>
      <c r="E16" s="21"/>
    </row>
    <row r="17" spans="2:5" x14ac:dyDescent="0.25">
      <c r="B17" s="24"/>
      <c r="C17" s="20"/>
      <c r="D17" s="20"/>
      <c r="E17" s="21"/>
    </row>
    <row r="18" spans="2:5" x14ac:dyDescent="0.25">
      <c r="B18" s="24"/>
      <c r="C18" s="20"/>
      <c r="D18" s="20"/>
      <c r="E18" s="21"/>
    </row>
    <row r="19" spans="2:5" x14ac:dyDescent="0.25">
      <c r="B19" s="24"/>
      <c r="C19" s="20"/>
      <c r="D19" s="20"/>
      <c r="E19" s="21"/>
    </row>
    <row r="20" spans="2:5" x14ac:dyDescent="0.25">
      <c r="B20" s="24"/>
      <c r="C20" s="20"/>
      <c r="D20" s="20"/>
      <c r="E20" s="21"/>
    </row>
    <row r="21" spans="2:5" x14ac:dyDescent="0.25">
      <c r="B21" s="24"/>
      <c r="C21" s="20"/>
      <c r="D21" s="20"/>
      <c r="E21" s="21"/>
    </row>
    <row r="22" spans="2:5" x14ac:dyDescent="0.25">
      <c r="B22" s="24"/>
      <c r="C22" s="20"/>
      <c r="D22" s="20"/>
      <c r="E22" s="21"/>
    </row>
    <row r="23" spans="2:5" x14ac:dyDescent="0.25">
      <c r="B23" s="24"/>
      <c r="C23" s="20"/>
      <c r="D23" s="20"/>
      <c r="E23" s="21"/>
    </row>
    <row r="24" spans="2:5" x14ac:dyDescent="0.25">
      <c r="B24" s="24"/>
      <c r="C24" s="20"/>
      <c r="D24" s="20"/>
      <c r="E24" s="21"/>
    </row>
    <row r="25" spans="2:5" x14ac:dyDescent="0.25">
      <c r="B25" s="24"/>
      <c r="C25" s="20"/>
      <c r="D25" s="20"/>
      <c r="E25" s="21"/>
    </row>
    <row r="26" spans="2:5" x14ac:dyDescent="0.25">
      <c r="B26" s="24"/>
      <c r="C26" s="20"/>
      <c r="D26" s="20"/>
      <c r="E26" s="21"/>
    </row>
    <row r="27" spans="2:5" x14ac:dyDescent="0.25">
      <c r="B27" s="24"/>
      <c r="C27" s="20"/>
      <c r="D27" s="20"/>
      <c r="E27" s="21"/>
    </row>
    <row r="28" spans="2:5" x14ac:dyDescent="0.25">
      <c r="B28" s="24"/>
      <c r="C28" s="20"/>
      <c r="D28" s="20"/>
      <c r="E28" s="21"/>
    </row>
    <row r="29" spans="2:5" x14ac:dyDescent="0.25">
      <c r="B29" s="24"/>
      <c r="C29" s="20"/>
      <c r="D29" s="20"/>
      <c r="E29" s="21"/>
    </row>
    <row r="30" spans="2:5" x14ac:dyDescent="0.25">
      <c r="B30" s="24"/>
      <c r="C30" s="20"/>
      <c r="D30" s="20"/>
      <c r="E30" s="21"/>
    </row>
    <row r="31" spans="2:5" x14ac:dyDescent="0.25">
      <c r="B31" s="24"/>
      <c r="C31" s="20"/>
      <c r="D31" s="20"/>
      <c r="E31" s="21"/>
    </row>
    <row r="32" spans="2:5" x14ac:dyDescent="0.25">
      <c r="B32" s="24"/>
      <c r="C32" s="20"/>
      <c r="D32" s="20"/>
      <c r="E32" s="21"/>
    </row>
    <row r="33" spans="2:5" x14ac:dyDescent="0.25">
      <c r="B33" s="24"/>
      <c r="C33" s="20"/>
      <c r="D33" s="20"/>
      <c r="E33" s="21"/>
    </row>
    <row r="34" spans="2:5" x14ac:dyDescent="0.25">
      <c r="B34" s="24"/>
      <c r="C34" s="20"/>
      <c r="D34" s="20"/>
      <c r="E34" s="21"/>
    </row>
    <row r="35" spans="2:5" x14ac:dyDescent="0.25">
      <c r="B35" s="24"/>
      <c r="C35" s="20"/>
      <c r="D35" s="20"/>
      <c r="E35" s="21"/>
    </row>
    <row r="36" spans="2:5" x14ac:dyDescent="0.25">
      <c r="B36" s="24"/>
      <c r="C36" s="20"/>
      <c r="D36" s="20"/>
      <c r="E36" s="21"/>
    </row>
    <row r="37" spans="2:5" x14ac:dyDescent="0.25">
      <c r="B37" s="24"/>
      <c r="C37" s="20"/>
      <c r="D37" s="20"/>
      <c r="E37" s="21"/>
    </row>
    <row r="38" spans="2:5" x14ac:dyDescent="0.25">
      <c r="B38" s="24"/>
      <c r="C38" s="20"/>
      <c r="D38" s="20"/>
      <c r="E38" s="21"/>
    </row>
    <row r="39" spans="2:5" x14ac:dyDescent="0.25">
      <c r="B39" s="24"/>
      <c r="C39" s="20"/>
      <c r="D39" s="20"/>
      <c r="E39" s="21"/>
    </row>
    <row r="40" spans="2:5" x14ac:dyDescent="0.25">
      <c r="B40" s="24"/>
      <c r="C40" s="20"/>
      <c r="D40" s="20"/>
      <c r="E40" s="21"/>
    </row>
    <row r="41" spans="2:5" x14ac:dyDescent="0.25">
      <c r="B41" s="24"/>
      <c r="C41" s="20"/>
      <c r="D41" s="20"/>
      <c r="E41" s="21"/>
    </row>
    <row r="42" spans="2:5" x14ac:dyDescent="0.25">
      <c r="B42" s="24"/>
      <c r="C42" s="20"/>
      <c r="D42" s="20"/>
      <c r="E42" s="21"/>
    </row>
    <row r="43" spans="2:5" x14ac:dyDescent="0.25">
      <c r="B43" s="24"/>
      <c r="C43" s="20"/>
      <c r="D43" s="20"/>
      <c r="E43" s="21"/>
    </row>
    <row r="44" spans="2:5" x14ac:dyDescent="0.25">
      <c r="B44" s="24"/>
      <c r="C44" s="20"/>
      <c r="D44" s="20"/>
      <c r="E44" s="21"/>
    </row>
    <row r="45" spans="2:5" x14ac:dyDescent="0.25">
      <c r="B45" s="24"/>
      <c r="C45" s="20"/>
      <c r="D45" s="20"/>
      <c r="E45" s="21"/>
    </row>
    <row r="46" spans="2:5" x14ac:dyDescent="0.25">
      <c r="B46" s="24"/>
      <c r="C46" s="20"/>
      <c r="D46" s="20"/>
      <c r="E46" s="21"/>
    </row>
    <row r="47" spans="2:5" x14ac:dyDescent="0.25">
      <c r="B47" s="24"/>
      <c r="C47" s="20"/>
      <c r="D47" s="20"/>
      <c r="E47" s="21"/>
    </row>
    <row r="48" spans="2:5" x14ac:dyDescent="0.25">
      <c r="B48" s="24"/>
      <c r="C48" s="20"/>
      <c r="D48" s="20"/>
      <c r="E48" s="21"/>
    </row>
    <row r="49" spans="2:5" x14ac:dyDescent="0.25">
      <c r="B49" s="24"/>
      <c r="C49" s="20"/>
      <c r="D49" s="20"/>
      <c r="E49" s="21"/>
    </row>
    <row r="50" spans="2:5" x14ac:dyDescent="0.25">
      <c r="B50" s="24"/>
      <c r="C50" s="20"/>
      <c r="D50" s="20"/>
      <c r="E50" s="21"/>
    </row>
    <row r="51" spans="2:5" x14ac:dyDescent="0.25">
      <c r="B51" s="24"/>
      <c r="C51" s="20"/>
      <c r="D51" s="20"/>
      <c r="E51" s="21"/>
    </row>
    <row r="52" spans="2:5" x14ac:dyDescent="0.25">
      <c r="B52" s="24"/>
      <c r="C52" s="20"/>
      <c r="D52" s="20"/>
      <c r="E52" s="21"/>
    </row>
    <row r="53" spans="2:5" x14ac:dyDescent="0.25">
      <c r="B53" s="24"/>
      <c r="C53" s="20"/>
      <c r="D53" s="20"/>
      <c r="E53" s="21"/>
    </row>
    <row r="54" spans="2:5" x14ac:dyDescent="0.25">
      <c r="B54" s="24"/>
      <c r="C54" s="20"/>
      <c r="D54" s="20"/>
      <c r="E54" s="21"/>
    </row>
    <row r="55" spans="2:5" x14ac:dyDescent="0.25">
      <c r="B55" s="24"/>
      <c r="C55" s="20"/>
      <c r="D55" s="20"/>
      <c r="E55" s="21"/>
    </row>
    <row r="56" spans="2:5" x14ac:dyDescent="0.25">
      <c r="B56" s="24"/>
      <c r="C56" s="20"/>
      <c r="D56" s="20"/>
      <c r="E56" s="21"/>
    </row>
    <row r="57" spans="2:5" x14ac:dyDescent="0.25">
      <c r="B57" s="24"/>
      <c r="C57" s="20"/>
      <c r="D57" s="20"/>
      <c r="E57" s="21"/>
    </row>
    <row r="58" spans="2:5" x14ac:dyDescent="0.25">
      <c r="B58" s="24"/>
      <c r="C58" s="20"/>
      <c r="D58" s="20"/>
      <c r="E58" s="21"/>
    </row>
    <row r="59" spans="2:5" x14ac:dyDescent="0.25">
      <c r="B59" s="24"/>
      <c r="C59" s="20"/>
      <c r="D59" s="20"/>
      <c r="E59" s="21"/>
    </row>
    <row r="60" spans="2:5" x14ac:dyDescent="0.25">
      <c r="B60" s="24"/>
      <c r="C60" s="20"/>
      <c r="D60" s="20"/>
      <c r="E60" s="21"/>
    </row>
    <row r="61" spans="2:5" x14ac:dyDescent="0.25">
      <c r="B61" s="24"/>
      <c r="C61" s="20"/>
      <c r="D61" s="20"/>
      <c r="E61" s="21"/>
    </row>
    <row r="62" spans="2:5" x14ac:dyDescent="0.25">
      <c r="B62" s="24"/>
      <c r="C62" s="20"/>
      <c r="D62" s="20"/>
      <c r="E62" s="21"/>
    </row>
    <row r="63" spans="2:5" x14ac:dyDescent="0.25">
      <c r="B63" s="24"/>
      <c r="C63" s="20"/>
      <c r="D63" s="20"/>
      <c r="E63" s="21"/>
    </row>
    <row r="64" spans="2:5" x14ac:dyDescent="0.25">
      <c r="B64" s="24"/>
      <c r="C64" s="20"/>
      <c r="D64" s="20"/>
      <c r="E64" s="21"/>
    </row>
    <row r="65" spans="2:5" x14ac:dyDescent="0.25">
      <c r="B65" s="24"/>
      <c r="C65" s="20"/>
      <c r="D65" s="20"/>
      <c r="E65" s="21"/>
    </row>
    <row r="66" spans="2:5" x14ac:dyDescent="0.25">
      <c r="B66" s="24"/>
      <c r="C66" s="20"/>
      <c r="D66" s="20"/>
      <c r="E66" s="21"/>
    </row>
    <row r="67" spans="2:5" x14ac:dyDescent="0.25">
      <c r="B67" s="24"/>
      <c r="C67" s="20"/>
      <c r="D67" s="20"/>
      <c r="E67" s="21"/>
    </row>
    <row r="68" spans="2:5" x14ac:dyDescent="0.25">
      <c r="B68" s="24"/>
      <c r="C68" s="20"/>
      <c r="D68" s="20"/>
      <c r="E68" s="21"/>
    </row>
    <row r="69" spans="2:5" x14ac:dyDescent="0.25">
      <c r="B69" s="24"/>
      <c r="C69" s="20"/>
      <c r="D69" s="20"/>
      <c r="E69" s="21"/>
    </row>
    <row r="70" spans="2:5" x14ac:dyDescent="0.25">
      <c r="B70" s="24"/>
      <c r="C70" s="20"/>
      <c r="D70" s="20"/>
      <c r="E70" s="21"/>
    </row>
    <row r="71" spans="2:5" x14ac:dyDescent="0.25">
      <c r="B71" s="24"/>
      <c r="C71" s="20"/>
      <c r="D71" s="20"/>
      <c r="E71" s="21"/>
    </row>
    <row r="72" spans="2:5" x14ac:dyDescent="0.25">
      <c r="B72" s="24"/>
      <c r="C72" s="20"/>
      <c r="D72" s="20"/>
      <c r="E72" s="21"/>
    </row>
    <row r="73" spans="2:5" x14ac:dyDescent="0.25">
      <c r="B73" s="24"/>
      <c r="C73" s="20"/>
      <c r="D73" s="20"/>
      <c r="E73" s="21"/>
    </row>
    <row r="74" spans="2:5" x14ac:dyDescent="0.25">
      <c r="B74" s="24"/>
      <c r="C74" s="20"/>
      <c r="D74" s="20"/>
      <c r="E74" s="21"/>
    </row>
    <row r="75" spans="2:5" x14ac:dyDescent="0.25">
      <c r="B75" s="24"/>
      <c r="C75" s="20"/>
      <c r="D75" s="20"/>
      <c r="E75" s="21"/>
    </row>
    <row r="76" spans="2:5" x14ac:dyDescent="0.25">
      <c r="B76" s="24"/>
      <c r="C76" s="20"/>
      <c r="D76" s="20"/>
      <c r="E76" s="21"/>
    </row>
    <row r="77" spans="2:5" x14ac:dyDescent="0.25">
      <c r="B77" s="24"/>
      <c r="C77" s="20"/>
      <c r="D77" s="20"/>
      <c r="E77" s="21"/>
    </row>
    <row r="78" spans="2:5" x14ac:dyDescent="0.25">
      <c r="B78" s="24"/>
      <c r="C78" s="20"/>
      <c r="D78" s="20"/>
      <c r="E78" s="21"/>
    </row>
    <row r="79" spans="2:5" x14ac:dyDescent="0.25">
      <c r="B79" s="24"/>
      <c r="C79" s="20"/>
      <c r="D79" s="20"/>
      <c r="E79" s="21"/>
    </row>
    <row r="80" spans="2:5" x14ac:dyDescent="0.25">
      <c r="B80" s="24"/>
      <c r="C80" s="20"/>
      <c r="D80" s="20"/>
      <c r="E80" s="21"/>
    </row>
    <row r="81" spans="2:5" x14ac:dyDescent="0.25">
      <c r="B81" s="24"/>
      <c r="C81" s="20"/>
      <c r="D81" s="20"/>
      <c r="E81" s="21"/>
    </row>
    <row r="82" spans="2:5" x14ac:dyDescent="0.25">
      <c r="B82" s="24"/>
      <c r="C82" s="20"/>
      <c r="D82" s="20"/>
      <c r="E82" s="21"/>
    </row>
    <row r="83" spans="2:5" x14ac:dyDescent="0.25">
      <c r="B83" s="24"/>
      <c r="C83" s="20"/>
      <c r="D83" s="20"/>
      <c r="E83" s="21"/>
    </row>
    <row r="84" spans="2:5" x14ac:dyDescent="0.25">
      <c r="B84" s="24"/>
      <c r="C84" s="20"/>
      <c r="D84" s="20"/>
      <c r="E84" s="21"/>
    </row>
    <row r="85" spans="2:5" x14ac:dyDescent="0.25">
      <c r="B85" s="24"/>
      <c r="C85" s="20"/>
      <c r="D85" s="20"/>
      <c r="E85" s="21"/>
    </row>
    <row r="86" spans="2:5" x14ac:dyDescent="0.25">
      <c r="B86" s="24"/>
      <c r="C86" s="20"/>
      <c r="D86" s="20"/>
      <c r="E86" s="21"/>
    </row>
    <row r="87" spans="2:5" x14ac:dyDescent="0.25">
      <c r="B87" s="24"/>
      <c r="C87" s="20"/>
      <c r="D87" s="20"/>
      <c r="E87" s="21"/>
    </row>
    <row r="88" spans="2:5" x14ac:dyDescent="0.25">
      <c r="B88" s="24"/>
      <c r="C88" s="20"/>
      <c r="D88" s="20"/>
      <c r="E88" s="21"/>
    </row>
    <row r="89" spans="2:5" x14ac:dyDescent="0.25">
      <c r="B89" s="24"/>
      <c r="C89" s="20"/>
      <c r="D89" s="20"/>
      <c r="E89" s="21"/>
    </row>
    <row r="90" spans="2:5" x14ac:dyDescent="0.25">
      <c r="B90" s="24"/>
      <c r="C90" s="20"/>
      <c r="D90" s="20"/>
      <c r="E90" s="21"/>
    </row>
    <row r="91" spans="2:5" x14ac:dyDescent="0.25">
      <c r="B91" s="24"/>
      <c r="C91" s="20"/>
      <c r="D91" s="20"/>
      <c r="E91" s="21"/>
    </row>
    <row r="92" spans="2:5" x14ac:dyDescent="0.25">
      <c r="B92" s="24"/>
      <c r="C92" s="20"/>
      <c r="D92" s="20"/>
      <c r="E92" s="21"/>
    </row>
    <row r="93" spans="2:5" x14ac:dyDescent="0.25">
      <c r="B93" s="24"/>
      <c r="C93" s="20"/>
      <c r="D93" s="20"/>
      <c r="E93" s="21"/>
    </row>
    <row r="94" spans="2:5" x14ac:dyDescent="0.25">
      <c r="B94" s="24"/>
      <c r="C94" s="20"/>
      <c r="D94" s="20"/>
      <c r="E94" s="21"/>
    </row>
    <row r="95" spans="2:5" x14ac:dyDescent="0.25">
      <c r="B95" s="24"/>
      <c r="C95" s="20"/>
      <c r="D95" s="20"/>
      <c r="E95" s="21"/>
    </row>
    <row r="96" spans="2:5" x14ac:dyDescent="0.25">
      <c r="B96" s="24"/>
      <c r="C96" s="20"/>
      <c r="D96" s="20"/>
      <c r="E96" s="21"/>
    </row>
    <row r="97" spans="2:5" x14ac:dyDescent="0.25">
      <c r="B97" s="24"/>
      <c r="C97" s="20"/>
      <c r="D97" s="20"/>
      <c r="E97" s="21"/>
    </row>
    <row r="98" spans="2:5" x14ac:dyDescent="0.25">
      <c r="B98" s="24"/>
      <c r="C98" s="20"/>
      <c r="D98" s="20"/>
      <c r="E98" s="21"/>
    </row>
    <row r="99" spans="2:5" x14ac:dyDescent="0.25">
      <c r="B99" s="24"/>
      <c r="C99" s="20"/>
      <c r="D99" s="20"/>
      <c r="E99" s="21"/>
    </row>
    <row r="100" spans="2:5" x14ac:dyDescent="0.25">
      <c r="B100" s="28"/>
      <c r="C100" s="29"/>
      <c r="D100" s="29"/>
      <c r="E100" s="30"/>
    </row>
  </sheetData>
  <dataValidations count="1">
    <dataValidation type="list" allowBlank="1" showInputMessage="1" showErrorMessage="1" sqref="D9:D100" xr:uid="{AA9BF237-E958-4C8B-8FC4-1FD161F53257}">
      <formula1>"EOM, Net"</formula1>
    </dataValidation>
  </dataValidation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CBA4-DC55-4068-B678-D8F338208852}">
  <sheetPr>
    <tabColor theme="9" tint="0.79998168889431442"/>
  </sheetPr>
  <dimension ref="A1:K100"/>
  <sheetViews>
    <sheetView showGridLines="0" workbookViewId="0"/>
  </sheetViews>
  <sheetFormatPr defaultColWidth="0" defaultRowHeight="13.5" x14ac:dyDescent="0.25"/>
  <cols>
    <col min="1" max="2" width="1.7109375" style="1" customWidth="1"/>
    <col min="3" max="8" width="30.7109375" style="1" customWidth="1"/>
    <col min="9" max="9" width="1.7109375" style="1" customWidth="1"/>
    <col min="10" max="11" width="0" style="1" hidden="1" customWidth="1"/>
    <col min="12" max="16384" width="9.140625" style="1" hidden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</row>
    <row r="3" spans="1:9" ht="15.75" x14ac:dyDescent="0.25">
      <c r="A3" s="2"/>
      <c r="B3" s="16" t="s">
        <v>201</v>
      </c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7" spans="1:9" x14ac:dyDescent="0.25">
      <c r="C7" s="3" t="s">
        <v>32</v>
      </c>
      <c r="D7" s="3" t="s">
        <v>32</v>
      </c>
      <c r="E7" s="3"/>
      <c r="F7" s="3" t="s">
        <v>33</v>
      </c>
      <c r="G7" s="3" t="s">
        <v>32</v>
      </c>
      <c r="H7" s="3" t="s">
        <v>34</v>
      </c>
    </row>
    <row r="8" spans="1:9" x14ac:dyDescent="0.25">
      <c r="C8" s="25" t="s">
        <v>35</v>
      </c>
      <c r="D8" s="25" t="s">
        <v>68</v>
      </c>
      <c r="E8" s="25" t="s">
        <v>69</v>
      </c>
      <c r="F8" s="26" t="s">
        <v>29</v>
      </c>
      <c r="G8" s="26" t="s">
        <v>30</v>
      </c>
      <c r="H8" s="27" t="s">
        <v>31</v>
      </c>
    </row>
    <row r="9" spans="1:9" x14ac:dyDescent="0.25">
      <c r="C9" s="20"/>
      <c r="D9" s="20"/>
      <c r="E9" s="20"/>
      <c r="F9" s="20"/>
      <c r="G9" s="20"/>
      <c r="H9" s="20"/>
    </row>
    <row r="10" spans="1:9" x14ac:dyDescent="0.25">
      <c r="C10" s="20"/>
      <c r="D10" s="20"/>
      <c r="E10" s="20"/>
      <c r="F10" s="20"/>
      <c r="G10" s="20"/>
      <c r="H10" s="20"/>
    </row>
    <row r="11" spans="1:9" x14ac:dyDescent="0.25">
      <c r="C11" s="20"/>
      <c r="D11" s="20"/>
      <c r="E11" s="20"/>
      <c r="F11" s="20"/>
      <c r="G11" s="20"/>
      <c r="H11" s="20"/>
    </row>
    <row r="12" spans="1:9" x14ac:dyDescent="0.25">
      <c r="C12" s="20"/>
      <c r="D12" s="20"/>
      <c r="E12" s="20"/>
      <c r="F12" s="20"/>
      <c r="G12" s="20"/>
      <c r="H12" s="20"/>
    </row>
    <row r="13" spans="1:9" x14ac:dyDescent="0.25">
      <c r="C13" s="20"/>
      <c r="D13" s="20"/>
      <c r="E13" s="20"/>
      <c r="F13" s="20"/>
      <c r="G13" s="20"/>
      <c r="H13" s="20"/>
    </row>
    <row r="14" spans="1:9" x14ac:dyDescent="0.25">
      <c r="C14" s="20"/>
      <c r="D14" s="20"/>
      <c r="E14" s="20"/>
      <c r="F14" s="20"/>
      <c r="G14" s="20"/>
      <c r="H14" s="20"/>
    </row>
    <row r="15" spans="1:9" x14ac:dyDescent="0.25">
      <c r="C15" s="20"/>
      <c r="D15" s="20"/>
      <c r="E15" s="20"/>
      <c r="F15" s="20"/>
      <c r="G15" s="20"/>
      <c r="H15" s="20"/>
    </row>
    <row r="16" spans="1:9" x14ac:dyDescent="0.25">
      <c r="C16" s="20"/>
      <c r="D16" s="20"/>
      <c r="E16" s="20"/>
      <c r="F16" s="20"/>
      <c r="G16" s="20"/>
      <c r="H16" s="20"/>
    </row>
    <row r="17" spans="3:8" x14ac:dyDescent="0.25">
      <c r="C17" s="20"/>
      <c r="D17" s="20"/>
      <c r="E17" s="20"/>
      <c r="F17" s="20"/>
      <c r="G17" s="20"/>
      <c r="H17" s="20"/>
    </row>
    <row r="18" spans="3:8" x14ac:dyDescent="0.25">
      <c r="C18" s="20"/>
      <c r="D18" s="20"/>
      <c r="E18" s="20"/>
      <c r="F18" s="20"/>
      <c r="G18" s="20"/>
      <c r="H18" s="20"/>
    </row>
    <row r="19" spans="3:8" x14ac:dyDescent="0.25">
      <c r="C19" s="20"/>
      <c r="D19" s="20"/>
      <c r="E19" s="20"/>
      <c r="F19" s="20"/>
      <c r="G19" s="20"/>
      <c r="H19" s="20"/>
    </row>
    <row r="20" spans="3:8" x14ac:dyDescent="0.25">
      <c r="C20" s="20"/>
      <c r="D20" s="20"/>
      <c r="E20" s="20"/>
      <c r="F20" s="20"/>
      <c r="G20" s="20"/>
      <c r="H20" s="20"/>
    </row>
    <row r="21" spans="3:8" x14ac:dyDescent="0.25">
      <c r="C21" s="20"/>
      <c r="D21" s="20"/>
      <c r="E21" s="20"/>
      <c r="F21" s="20"/>
      <c r="G21" s="20"/>
      <c r="H21" s="20"/>
    </row>
    <row r="22" spans="3:8" x14ac:dyDescent="0.25">
      <c r="C22" s="20"/>
      <c r="D22" s="20"/>
      <c r="E22" s="20"/>
      <c r="F22" s="20"/>
      <c r="G22" s="20"/>
      <c r="H22" s="20"/>
    </row>
    <row r="23" spans="3:8" x14ac:dyDescent="0.25">
      <c r="C23" s="20"/>
      <c r="D23" s="20"/>
      <c r="E23" s="20"/>
      <c r="F23" s="20"/>
      <c r="G23" s="20"/>
      <c r="H23" s="20"/>
    </row>
    <row r="24" spans="3:8" x14ac:dyDescent="0.25">
      <c r="C24" s="20"/>
      <c r="D24" s="20"/>
      <c r="E24" s="20"/>
      <c r="F24" s="20"/>
      <c r="G24" s="20"/>
      <c r="H24" s="20"/>
    </row>
    <row r="25" spans="3:8" x14ac:dyDescent="0.25">
      <c r="C25" s="20"/>
      <c r="D25" s="20"/>
      <c r="E25" s="20"/>
      <c r="F25" s="20"/>
      <c r="G25" s="20"/>
      <c r="H25" s="20"/>
    </row>
    <row r="26" spans="3:8" x14ac:dyDescent="0.25">
      <c r="C26" s="20"/>
      <c r="D26" s="20"/>
      <c r="E26" s="20"/>
      <c r="F26" s="20"/>
      <c r="G26" s="20"/>
      <c r="H26" s="20"/>
    </row>
    <row r="27" spans="3:8" x14ac:dyDescent="0.25">
      <c r="C27" s="20"/>
      <c r="D27" s="20"/>
      <c r="E27" s="20"/>
      <c r="F27" s="20"/>
      <c r="G27" s="20"/>
      <c r="H27" s="20"/>
    </row>
    <row r="28" spans="3:8" x14ac:dyDescent="0.25">
      <c r="C28" s="20"/>
      <c r="D28" s="20"/>
      <c r="E28" s="20"/>
      <c r="F28" s="20"/>
      <c r="G28" s="20"/>
      <c r="H28" s="20"/>
    </row>
    <row r="29" spans="3:8" x14ac:dyDescent="0.25">
      <c r="C29" s="20"/>
      <c r="D29" s="20"/>
      <c r="E29" s="20"/>
      <c r="F29" s="20"/>
      <c r="G29" s="20"/>
      <c r="H29" s="20"/>
    </row>
    <row r="30" spans="3:8" x14ac:dyDescent="0.25">
      <c r="C30" s="20"/>
      <c r="D30" s="20"/>
      <c r="E30" s="20"/>
      <c r="F30" s="20"/>
      <c r="G30" s="20"/>
      <c r="H30" s="20"/>
    </row>
    <row r="31" spans="3:8" x14ac:dyDescent="0.25">
      <c r="C31" s="20"/>
      <c r="D31" s="20"/>
      <c r="E31" s="20"/>
      <c r="F31" s="20"/>
      <c r="G31" s="20"/>
      <c r="H31" s="20"/>
    </row>
    <row r="32" spans="3:8" x14ac:dyDescent="0.25">
      <c r="C32" s="20"/>
      <c r="D32" s="20"/>
      <c r="E32" s="20"/>
      <c r="F32" s="20"/>
      <c r="G32" s="20"/>
      <c r="H32" s="20"/>
    </row>
    <row r="33" spans="3:8" x14ac:dyDescent="0.25">
      <c r="C33" s="20"/>
      <c r="D33" s="20"/>
      <c r="E33" s="20"/>
      <c r="F33" s="20"/>
      <c r="G33" s="20"/>
      <c r="H33" s="20"/>
    </row>
    <row r="34" spans="3:8" x14ac:dyDescent="0.25">
      <c r="C34" s="20"/>
      <c r="D34" s="20"/>
      <c r="E34" s="20"/>
      <c r="F34" s="20"/>
      <c r="G34" s="20"/>
      <c r="H34" s="20"/>
    </row>
    <row r="35" spans="3:8" x14ac:dyDescent="0.25">
      <c r="C35" s="20"/>
      <c r="D35" s="20"/>
      <c r="E35" s="20"/>
      <c r="F35" s="20"/>
      <c r="G35" s="20"/>
      <c r="H35" s="20"/>
    </row>
    <row r="36" spans="3:8" x14ac:dyDescent="0.25">
      <c r="C36" s="20"/>
      <c r="D36" s="20"/>
      <c r="E36" s="20"/>
      <c r="F36" s="20"/>
      <c r="G36" s="20"/>
      <c r="H36" s="20"/>
    </row>
    <row r="37" spans="3:8" x14ac:dyDescent="0.25">
      <c r="C37" s="20"/>
      <c r="D37" s="20"/>
      <c r="E37" s="20"/>
      <c r="F37" s="20"/>
      <c r="G37" s="20"/>
      <c r="H37" s="20"/>
    </row>
    <row r="38" spans="3:8" x14ac:dyDescent="0.25">
      <c r="C38" s="20"/>
      <c r="D38" s="20"/>
      <c r="E38" s="20"/>
      <c r="F38" s="20"/>
      <c r="G38" s="20"/>
      <c r="H38" s="20"/>
    </row>
    <row r="39" spans="3:8" x14ac:dyDescent="0.25">
      <c r="C39" s="20"/>
      <c r="D39" s="20"/>
      <c r="E39" s="20"/>
      <c r="F39" s="20"/>
      <c r="G39" s="20"/>
      <c r="H39" s="20"/>
    </row>
    <row r="40" spans="3:8" x14ac:dyDescent="0.25">
      <c r="C40" s="20"/>
      <c r="D40" s="20"/>
      <c r="E40" s="20"/>
      <c r="F40" s="20"/>
      <c r="G40" s="20"/>
      <c r="H40" s="20"/>
    </row>
    <row r="41" spans="3:8" x14ac:dyDescent="0.25">
      <c r="C41" s="20"/>
      <c r="D41" s="20"/>
      <c r="E41" s="20"/>
      <c r="F41" s="20"/>
      <c r="G41" s="20"/>
      <c r="H41" s="20"/>
    </row>
    <row r="42" spans="3:8" x14ac:dyDescent="0.25">
      <c r="C42" s="20"/>
      <c r="D42" s="20"/>
      <c r="E42" s="20"/>
      <c r="F42" s="20"/>
      <c r="G42" s="20"/>
      <c r="H42" s="20"/>
    </row>
    <row r="43" spans="3:8" x14ac:dyDescent="0.25">
      <c r="C43" s="20"/>
      <c r="D43" s="20"/>
      <c r="E43" s="20"/>
      <c r="F43" s="20"/>
      <c r="G43" s="20"/>
      <c r="H43" s="20"/>
    </row>
    <row r="44" spans="3:8" x14ac:dyDescent="0.25">
      <c r="C44" s="20"/>
      <c r="D44" s="20"/>
      <c r="E44" s="20"/>
      <c r="F44" s="20"/>
      <c r="G44" s="20"/>
      <c r="H44" s="20"/>
    </row>
    <row r="45" spans="3:8" x14ac:dyDescent="0.25">
      <c r="C45" s="20"/>
      <c r="D45" s="20"/>
      <c r="E45" s="20"/>
      <c r="F45" s="20"/>
      <c r="G45" s="20"/>
      <c r="H45" s="20"/>
    </row>
    <row r="46" spans="3:8" x14ac:dyDescent="0.25">
      <c r="C46" s="20"/>
      <c r="D46" s="20"/>
      <c r="E46" s="20"/>
      <c r="F46" s="20"/>
      <c r="G46" s="20"/>
      <c r="H46" s="20"/>
    </row>
    <row r="47" spans="3:8" x14ac:dyDescent="0.25">
      <c r="C47" s="20"/>
      <c r="D47" s="20"/>
      <c r="E47" s="20"/>
      <c r="F47" s="20"/>
      <c r="G47" s="20"/>
      <c r="H47" s="20"/>
    </row>
    <row r="48" spans="3:8" x14ac:dyDescent="0.25">
      <c r="C48" s="20"/>
      <c r="D48" s="20"/>
      <c r="E48" s="20"/>
      <c r="F48" s="20"/>
      <c r="G48" s="20"/>
      <c r="H48" s="20"/>
    </row>
    <row r="49" spans="3:8" x14ac:dyDescent="0.25">
      <c r="C49" s="20"/>
      <c r="D49" s="20"/>
      <c r="E49" s="20"/>
      <c r="F49" s="20"/>
      <c r="G49" s="20"/>
      <c r="H49" s="20"/>
    </row>
    <row r="50" spans="3:8" x14ac:dyDescent="0.25">
      <c r="C50" s="20"/>
      <c r="D50" s="20"/>
      <c r="E50" s="20"/>
      <c r="F50" s="20"/>
      <c r="G50" s="20"/>
      <c r="H50" s="20"/>
    </row>
    <row r="51" spans="3:8" x14ac:dyDescent="0.25">
      <c r="C51" s="20"/>
      <c r="D51" s="20"/>
      <c r="E51" s="20"/>
      <c r="F51" s="20"/>
      <c r="G51" s="20"/>
      <c r="H51" s="20"/>
    </row>
    <row r="52" spans="3:8" x14ac:dyDescent="0.25">
      <c r="C52" s="20"/>
      <c r="D52" s="20"/>
      <c r="E52" s="20"/>
      <c r="F52" s="20"/>
      <c r="G52" s="20"/>
      <c r="H52" s="20"/>
    </row>
    <row r="53" spans="3:8" x14ac:dyDescent="0.25">
      <c r="C53" s="20"/>
      <c r="D53" s="20"/>
      <c r="E53" s="20"/>
      <c r="F53" s="20"/>
      <c r="G53" s="20"/>
      <c r="H53" s="20"/>
    </row>
    <row r="54" spans="3:8" x14ac:dyDescent="0.25">
      <c r="C54" s="20"/>
      <c r="D54" s="20"/>
      <c r="E54" s="20"/>
      <c r="F54" s="20"/>
      <c r="G54" s="20"/>
      <c r="H54" s="20"/>
    </row>
    <row r="55" spans="3:8" x14ac:dyDescent="0.25">
      <c r="C55" s="20"/>
      <c r="D55" s="20"/>
      <c r="E55" s="20"/>
      <c r="F55" s="20"/>
      <c r="G55" s="20"/>
      <c r="H55" s="20"/>
    </row>
    <row r="56" spans="3:8" x14ac:dyDescent="0.25">
      <c r="C56" s="20"/>
      <c r="D56" s="20"/>
      <c r="E56" s="20"/>
      <c r="F56" s="20"/>
      <c r="G56" s="20"/>
      <c r="H56" s="20"/>
    </row>
    <row r="57" spans="3:8" x14ac:dyDescent="0.25">
      <c r="C57" s="20"/>
      <c r="D57" s="20"/>
      <c r="E57" s="20"/>
      <c r="F57" s="20"/>
      <c r="G57" s="20"/>
      <c r="H57" s="20"/>
    </row>
    <row r="58" spans="3:8" x14ac:dyDescent="0.25">
      <c r="C58" s="29"/>
      <c r="D58" s="29"/>
      <c r="E58" s="29"/>
      <c r="F58" s="29"/>
      <c r="G58" s="29"/>
      <c r="H58" s="29"/>
    </row>
    <row r="59" spans="3:8" x14ac:dyDescent="0.25">
      <c r="C59" s="20"/>
      <c r="D59" s="20"/>
      <c r="E59" s="20"/>
      <c r="F59" s="20"/>
      <c r="G59" s="20"/>
      <c r="H59" s="20"/>
    </row>
    <row r="60" spans="3:8" x14ac:dyDescent="0.25">
      <c r="C60" s="20"/>
      <c r="D60" s="20"/>
      <c r="E60" s="20"/>
      <c r="F60" s="20"/>
      <c r="G60" s="20"/>
      <c r="H60" s="20"/>
    </row>
    <row r="61" spans="3:8" x14ac:dyDescent="0.25">
      <c r="C61" s="20"/>
      <c r="D61" s="20"/>
      <c r="E61" s="20"/>
      <c r="F61" s="20"/>
      <c r="G61" s="20"/>
      <c r="H61" s="20"/>
    </row>
    <row r="62" spans="3:8" x14ac:dyDescent="0.25">
      <c r="C62" s="20"/>
      <c r="D62" s="20"/>
      <c r="E62" s="20"/>
      <c r="F62" s="20"/>
      <c r="G62" s="20"/>
      <c r="H62" s="20"/>
    </row>
    <row r="63" spans="3:8" x14ac:dyDescent="0.25">
      <c r="C63" s="20"/>
      <c r="D63" s="20"/>
      <c r="E63" s="20"/>
      <c r="F63" s="20"/>
      <c r="G63" s="20"/>
      <c r="H63" s="20"/>
    </row>
    <row r="64" spans="3:8" x14ac:dyDescent="0.25">
      <c r="C64" s="20"/>
      <c r="D64" s="20"/>
      <c r="E64" s="20"/>
      <c r="F64" s="20"/>
      <c r="G64" s="20"/>
      <c r="H64" s="20"/>
    </row>
    <row r="65" spans="3:8" x14ac:dyDescent="0.25">
      <c r="C65" s="20"/>
      <c r="D65" s="20"/>
      <c r="E65" s="20"/>
      <c r="F65" s="20"/>
      <c r="G65" s="20"/>
      <c r="H65" s="20"/>
    </row>
    <row r="66" spans="3:8" x14ac:dyDescent="0.25">
      <c r="C66" s="20"/>
      <c r="D66" s="20"/>
      <c r="E66" s="20"/>
      <c r="F66" s="20"/>
      <c r="G66" s="20"/>
      <c r="H66" s="20"/>
    </row>
    <row r="67" spans="3:8" x14ac:dyDescent="0.25">
      <c r="C67" s="20"/>
      <c r="D67" s="20"/>
      <c r="E67" s="20"/>
      <c r="F67" s="20"/>
      <c r="G67" s="20"/>
      <c r="H67" s="20"/>
    </row>
    <row r="68" spans="3:8" x14ac:dyDescent="0.25">
      <c r="C68" s="20"/>
      <c r="D68" s="20"/>
      <c r="E68" s="20"/>
      <c r="F68" s="20"/>
      <c r="G68" s="20"/>
      <c r="H68" s="20"/>
    </row>
    <row r="69" spans="3:8" x14ac:dyDescent="0.25">
      <c r="C69" s="20"/>
      <c r="D69" s="20"/>
      <c r="E69" s="20"/>
      <c r="F69" s="20"/>
      <c r="G69" s="20"/>
      <c r="H69" s="20"/>
    </row>
    <row r="70" spans="3:8" x14ac:dyDescent="0.25">
      <c r="C70" s="20"/>
      <c r="D70" s="20"/>
      <c r="E70" s="20"/>
      <c r="F70" s="20"/>
      <c r="G70" s="20"/>
      <c r="H70" s="20"/>
    </row>
    <row r="71" spans="3:8" x14ac:dyDescent="0.25">
      <c r="C71" s="20"/>
      <c r="D71" s="20"/>
      <c r="E71" s="20"/>
      <c r="F71" s="20"/>
      <c r="G71" s="20"/>
      <c r="H71" s="20"/>
    </row>
    <row r="72" spans="3:8" x14ac:dyDescent="0.25">
      <c r="C72" s="20"/>
      <c r="D72" s="20"/>
      <c r="E72" s="20"/>
      <c r="F72" s="20"/>
      <c r="G72" s="20"/>
      <c r="H72" s="20"/>
    </row>
    <row r="73" spans="3:8" x14ac:dyDescent="0.25">
      <c r="C73" s="20"/>
      <c r="D73" s="20"/>
      <c r="E73" s="20"/>
      <c r="F73" s="20"/>
      <c r="G73" s="20"/>
      <c r="H73" s="20"/>
    </row>
    <row r="74" spans="3:8" x14ac:dyDescent="0.25">
      <c r="C74" s="20"/>
      <c r="D74" s="20"/>
      <c r="E74" s="20"/>
      <c r="F74" s="20"/>
      <c r="G74" s="20"/>
      <c r="H74" s="20"/>
    </row>
    <row r="75" spans="3:8" x14ac:dyDescent="0.25">
      <c r="C75" s="20"/>
      <c r="D75" s="20"/>
      <c r="E75" s="20"/>
      <c r="F75" s="20"/>
      <c r="G75" s="20"/>
      <c r="H75" s="20"/>
    </row>
    <row r="76" spans="3:8" x14ac:dyDescent="0.25">
      <c r="C76" s="20"/>
      <c r="D76" s="20"/>
      <c r="E76" s="20"/>
      <c r="F76" s="20"/>
      <c r="G76" s="20"/>
      <c r="H76" s="20"/>
    </row>
    <row r="77" spans="3:8" x14ac:dyDescent="0.25">
      <c r="C77" s="20"/>
      <c r="D77" s="20"/>
      <c r="E77" s="20"/>
      <c r="F77" s="20"/>
      <c r="G77" s="20"/>
      <c r="H77" s="20"/>
    </row>
    <row r="78" spans="3:8" x14ac:dyDescent="0.25">
      <c r="C78" s="20"/>
      <c r="D78" s="20"/>
      <c r="E78" s="20"/>
      <c r="F78" s="20"/>
      <c r="G78" s="20"/>
      <c r="H78" s="20"/>
    </row>
    <row r="79" spans="3:8" x14ac:dyDescent="0.25">
      <c r="C79" s="20"/>
      <c r="D79" s="20"/>
      <c r="E79" s="20"/>
      <c r="F79" s="20"/>
      <c r="G79" s="20"/>
      <c r="H79" s="20"/>
    </row>
    <row r="80" spans="3:8" x14ac:dyDescent="0.25">
      <c r="C80" s="20"/>
      <c r="D80" s="20"/>
      <c r="E80" s="20"/>
      <c r="F80" s="20"/>
      <c r="G80" s="20"/>
      <c r="H80" s="20"/>
    </row>
    <row r="81" spans="3:8" x14ac:dyDescent="0.25">
      <c r="C81" s="20"/>
      <c r="D81" s="20"/>
      <c r="E81" s="20"/>
      <c r="F81" s="20"/>
      <c r="G81" s="20"/>
      <c r="H81" s="20"/>
    </row>
    <row r="82" spans="3:8" x14ac:dyDescent="0.25">
      <c r="C82" s="20"/>
      <c r="D82" s="20"/>
      <c r="E82" s="20"/>
      <c r="F82" s="20"/>
      <c r="G82" s="20"/>
      <c r="H82" s="20"/>
    </row>
    <row r="83" spans="3:8" x14ac:dyDescent="0.25">
      <c r="C83" s="20"/>
      <c r="D83" s="20"/>
      <c r="E83" s="20"/>
      <c r="F83" s="20"/>
      <c r="G83" s="20"/>
      <c r="H83" s="20"/>
    </row>
    <row r="84" spans="3:8" x14ac:dyDescent="0.25">
      <c r="C84" s="20"/>
      <c r="D84" s="20"/>
      <c r="E84" s="20"/>
      <c r="F84" s="20"/>
      <c r="G84" s="20"/>
      <c r="H84" s="20"/>
    </row>
    <row r="85" spans="3:8" x14ac:dyDescent="0.25">
      <c r="C85" s="20"/>
      <c r="D85" s="20"/>
      <c r="E85" s="20"/>
      <c r="F85" s="20"/>
      <c r="G85" s="20"/>
      <c r="H85" s="20"/>
    </row>
    <row r="86" spans="3:8" x14ac:dyDescent="0.25">
      <c r="C86" s="20"/>
      <c r="D86" s="20"/>
      <c r="E86" s="20"/>
      <c r="F86" s="20"/>
      <c r="G86" s="20"/>
      <c r="H86" s="20"/>
    </row>
    <row r="87" spans="3:8" x14ac:dyDescent="0.25">
      <c r="C87" s="20"/>
      <c r="D87" s="20"/>
      <c r="E87" s="20"/>
      <c r="F87" s="20"/>
      <c r="G87" s="20"/>
      <c r="H87" s="20"/>
    </row>
    <row r="88" spans="3:8" x14ac:dyDescent="0.25">
      <c r="C88" s="20"/>
      <c r="D88" s="20"/>
      <c r="E88" s="20"/>
      <c r="F88" s="20"/>
      <c r="G88" s="20"/>
      <c r="H88" s="20"/>
    </row>
    <row r="89" spans="3:8" x14ac:dyDescent="0.25">
      <c r="C89" s="20"/>
      <c r="D89" s="20"/>
      <c r="E89" s="20"/>
      <c r="F89" s="20"/>
      <c r="G89" s="20"/>
      <c r="H89" s="20"/>
    </row>
    <row r="90" spans="3:8" x14ac:dyDescent="0.25">
      <c r="C90" s="20"/>
      <c r="D90" s="20"/>
      <c r="E90" s="20"/>
      <c r="F90" s="20"/>
      <c r="G90" s="20"/>
      <c r="H90" s="20"/>
    </row>
    <row r="91" spans="3:8" x14ac:dyDescent="0.25">
      <c r="C91" s="20"/>
      <c r="D91" s="20"/>
      <c r="E91" s="20"/>
      <c r="F91" s="20"/>
      <c r="G91" s="20"/>
      <c r="H91" s="20"/>
    </row>
    <row r="92" spans="3:8" x14ac:dyDescent="0.25">
      <c r="C92" s="20"/>
      <c r="D92" s="20"/>
      <c r="E92" s="20"/>
      <c r="F92" s="20"/>
      <c r="G92" s="20"/>
      <c r="H92" s="20"/>
    </row>
    <row r="93" spans="3:8" x14ac:dyDescent="0.25">
      <c r="C93" s="20"/>
      <c r="D93" s="20"/>
      <c r="E93" s="20"/>
      <c r="F93" s="20"/>
      <c r="G93" s="20"/>
      <c r="H93" s="20"/>
    </row>
    <row r="94" spans="3:8" x14ac:dyDescent="0.25">
      <c r="C94" s="20"/>
      <c r="D94" s="20"/>
      <c r="E94" s="20"/>
      <c r="F94" s="20"/>
      <c r="G94" s="20"/>
      <c r="H94" s="20"/>
    </row>
    <row r="95" spans="3:8" x14ac:dyDescent="0.25">
      <c r="C95" s="20"/>
      <c r="D95" s="20"/>
      <c r="E95" s="20"/>
      <c r="F95" s="20"/>
      <c r="G95" s="20"/>
      <c r="H95" s="20"/>
    </row>
    <row r="96" spans="3:8" x14ac:dyDescent="0.25">
      <c r="C96" s="20"/>
      <c r="D96" s="20"/>
      <c r="E96" s="20"/>
      <c r="F96" s="20"/>
      <c r="G96" s="20"/>
      <c r="H96" s="20"/>
    </row>
    <row r="97" spans="3:8" x14ac:dyDescent="0.25">
      <c r="C97" s="20"/>
      <c r="D97" s="20"/>
      <c r="E97" s="20"/>
      <c r="F97" s="20"/>
      <c r="G97" s="20"/>
      <c r="H97" s="20"/>
    </row>
    <row r="98" spans="3:8" x14ac:dyDescent="0.25">
      <c r="C98" s="20"/>
      <c r="D98" s="20"/>
      <c r="E98" s="20"/>
      <c r="F98" s="20"/>
      <c r="G98" s="20"/>
      <c r="H98" s="20"/>
    </row>
    <row r="99" spans="3:8" x14ac:dyDescent="0.25">
      <c r="C99" s="20"/>
      <c r="D99" s="20"/>
      <c r="E99" s="20"/>
      <c r="F99" s="20"/>
      <c r="G99" s="20"/>
      <c r="H99" s="20"/>
    </row>
    <row r="100" spans="3:8" x14ac:dyDescent="0.25">
      <c r="C100" s="29"/>
      <c r="D100" s="29"/>
      <c r="E100" s="29"/>
      <c r="F100" s="29"/>
      <c r="G100" s="29"/>
      <c r="H100" s="29"/>
    </row>
  </sheetData>
  <dataValidations count="2">
    <dataValidation type="list" allowBlank="1" showInputMessage="1" showErrorMessage="1" sqref="E9:E100" xr:uid="{EB51A024-BFD8-4A87-9256-E17AADD2A2D6}">
      <formula1>INDIRECT(D9)</formula1>
    </dataValidation>
    <dataValidation type="list" allowBlank="1" showInputMessage="1" showErrorMessage="1" sqref="G9:G100" xr:uid="{5420109C-FD53-4D43-A4FD-CD004EFAD5AD}">
      <formula1>"EOM, Net"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36739F-0385-4819-8878-CD6AC73A0D46}">
          <x14:formula1>
            <xm:f>'Category lookups'!$C$8:$C$14</xm:f>
          </x14:formula1>
          <xm:sqref>D9:D100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972E-9D11-4D4F-B6D5-3D9A26BFC023}">
  <sheetPr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5D18-E22D-4E0E-A53A-E9CCDDC9F3FA}">
  <sheetPr>
    <tabColor theme="9" tint="0.79998168889431442"/>
  </sheetPr>
  <dimension ref="A1:S22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0.7109375" style="1" bestFit="1" customWidth="1"/>
    <col min="4" max="4" width="1.7109375" style="1" customWidth="1"/>
    <col min="5" max="5" width="17.42578125" style="1" bestFit="1" customWidth="1"/>
    <col min="6" max="6" width="1.7109375" style="1" customWidth="1"/>
    <col min="7" max="7" width="19.140625" style="1" bestFit="1" customWidth="1"/>
    <col min="8" max="8" width="1.7109375" style="1" customWidth="1"/>
    <col min="9" max="9" width="24.140625" style="1" bestFit="1" customWidth="1"/>
    <col min="10" max="10" width="1.7109375" style="1" customWidth="1"/>
    <col min="11" max="11" width="18.85546875" style="1" bestFit="1" customWidth="1"/>
    <col min="12" max="12" width="1.7109375" style="1" customWidth="1"/>
    <col min="13" max="13" width="19.7109375" style="1" bestFit="1" customWidth="1"/>
    <col min="14" max="14" width="1.7109375" style="1" customWidth="1"/>
    <col min="15" max="15" width="15.7109375" style="1" bestFit="1" customWidth="1"/>
    <col min="16" max="16" width="1.7109375" style="1" customWidth="1"/>
    <col min="17" max="17" width="16.5703125" style="1" bestFit="1" customWidth="1"/>
    <col min="18" max="18" width="1.7109375" style="1" customWidth="1"/>
    <col min="19" max="19" width="0" style="1" hidden="1" customWidth="1"/>
    <col min="20" max="16384" width="9.140625" style="1" hidden="1"/>
  </cols>
  <sheetData>
    <row r="1" spans="1:1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16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/>
    <row r="6" spans="1:18" x14ac:dyDescent="0.25"/>
    <row r="7" spans="1:18" x14ac:dyDescent="0.25">
      <c r="C7" s="8" t="s">
        <v>71</v>
      </c>
      <c r="E7" s="8" t="s">
        <v>75</v>
      </c>
      <c r="G7" s="8" t="s">
        <v>76</v>
      </c>
      <c r="I7" s="8" t="s">
        <v>79</v>
      </c>
      <c r="K7" s="8" t="s">
        <v>17</v>
      </c>
      <c r="M7" s="8" t="s">
        <v>21</v>
      </c>
      <c r="O7" s="8" t="s">
        <v>77</v>
      </c>
      <c r="Q7" s="8" t="s">
        <v>78</v>
      </c>
    </row>
    <row r="8" spans="1:18" x14ac:dyDescent="0.25">
      <c r="C8" s="22" t="s">
        <v>75</v>
      </c>
      <c r="E8" s="22" t="str">
        <f>CFF!C41</f>
        <v>Trade receipts</v>
      </c>
      <c r="G8" s="22">
        <f>CFF!C57</f>
        <v>0</v>
      </c>
      <c r="I8" s="22">
        <f>CFF!C101</f>
        <v>0</v>
      </c>
      <c r="K8" s="22" t="str">
        <f>CFF!C129</f>
        <v>GST payments / receipts</v>
      </c>
      <c r="M8" s="22">
        <f>CFF!C243</f>
        <v>0</v>
      </c>
      <c r="O8" s="22">
        <f>CFF!C271</f>
        <v>0</v>
      </c>
      <c r="Q8" s="22" t="str">
        <f>CFF!C299</f>
        <v>Dividends</v>
      </c>
    </row>
    <row r="9" spans="1:18" x14ac:dyDescent="0.25">
      <c r="C9" s="22" t="s">
        <v>76</v>
      </c>
      <c r="E9" s="22" t="str">
        <f>CFF!C48</f>
        <v>Other trading receipts</v>
      </c>
      <c r="G9" s="22">
        <f>CFF!C65</f>
        <v>0</v>
      </c>
      <c r="I9" s="22">
        <f>CFF!C109</f>
        <v>0</v>
      </c>
      <c r="K9" s="22">
        <f>CFF!C138</f>
        <v>0</v>
      </c>
      <c r="M9" s="22">
        <f>CFF!C251</f>
        <v>0</v>
      </c>
      <c r="O9" s="22">
        <f>CFF!C279</f>
        <v>0</v>
      </c>
      <c r="Q9" s="22" t="str">
        <f>CFF!C304</f>
        <v>Equity injection</v>
      </c>
    </row>
    <row r="10" spans="1:18" x14ac:dyDescent="0.25">
      <c r="C10" s="22" t="s">
        <v>79</v>
      </c>
      <c r="G10" s="22">
        <f>CFF!C73</f>
        <v>0</v>
      </c>
      <c r="I10" s="22">
        <f>CFF!C117</f>
        <v>0</v>
      </c>
      <c r="K10" s="22">
        <f>CFF!C146</f>
        <v>0</v>
      </c>
      <c r="M10" s="22">
        <f>CFF!C259</f>
        <v>0</v>
      </c>
      <c r="O10" s="22">
        <f>CFF!C287</f>
        <v>0</v>
      </c>
      <c r="Q10" s="22" t="str">
        <f>CFF!C309</f>
        <v>M&amp;A</v>
      </c>
    </row>
    <row r="11" spans="1:18" x14ac:dyDescent="0.25">
      <c r="C11" s="22" t="s">
        <v>17</v>
      </c>
      <c r="G11" s="22">
        <f>CFF!C81</f>
        <v>0</v>
      </c>
      <c r="K11" s="22">
        <f>CFF!C154</f>
        <v>0</v>
      </c>
    </row>
    <row r="12" spans="1:18" x14ac:dyDescent="0.25">
      <c r="C12" s="22" t="s">
        <v>21</v>
      </c>
      <c r="G12" s="22">
        <f>CFF!C89</f>
        <v>0</v>
      </c>
      <c r="K12" s="22">
        <f>CFF!C162</f>
        <v>0</v>
      </c>
    </row>
    <row r="13" spans="1:18" x14ac:dyDescent="0.25">
      <c r="C13" s="22" t="s">
        <v>77</v>
      </c>
      <c r="K13" s="22">
        <f>CFF!C170</f>
        <v>0</v>
      </c>
    </row>
    <row r="14" spans="1:18" x14ac:dyDescent="0.25">
      <c r="C14" s="22" t="s">
        <v>78</v>
      </c>
      <c r="K14" s="22">
        <f>CFF!C178</f>
        <v>0</v>
      </c>
    </row>
    <row r="15" spans="1:18" x14ac:dyDescent="0.25">
      <c r="K15" s="22">
        <f>CFF!C186</f>
        <v>0</v>
      </c>
    </row>
    <row r="16" spans="1:18" x14ac:dyDescent="0.25">
      <c r="K16" s="22">
        <f>CFF!C194</f>
        <v>0</v>
      </c>
    </row>
    <row r="17" spans="11:11" x14ac:dyDescent="0.25">
      <c r="K17" s="22">
        <f>CFF!C202</f>
        <v>0</v>
      </c>
    </row>
    <row r="18" spans="11:11" x14ac:dyDescent="0.25">
      <c r="K18" s="22">
        <f>CFF!C210</f>
        <v>0</v>
      </c>
    </row>
    <row r="19" spans="11:11" x14ac:dyDescent="0.25">
      <c r="K19" s="22">
        <f>CFF!C218</f>
        <v>0</v>
      </c>
    </row>
    <row r="20" spans="11:11" x14ac:dyDescent="0.25">
      <c r="K20" s="22">
        <f>CFF!C226</f>
        <v>0</v>
      </c>
    </row>
    <row r="21" spans="11:11" x14ac:dyDescent="0.25">
      <c r="K21" s="22" t="str">
        <f>CFF!C234</f>
        <v>Corporation tax</v>
      </c>
    </row>
    <row r="22" spans="11:11" x14ac:dyDescent="0.25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7A3B4-2EA1-4AF8-B8BA-68A68E69EE81}">
  <sheetPr>
    <tabColor theme="9" tint="0.79998168889431442"/>
  </sheetPr>
  <dimension ref="A1:K583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4.140625" style="1" bestFit="1" customWidth="1"/>
    <col min="4" max="4" width="21.42578125" style="1" bestFit="1" customWidth="1"/>
    <col min="5" max="5" width="1.7109375" style="1" customWidth="1"/>
    <col min="6" max="11" width="0" style="1" hidden="1" customWidth="1"/>
    <col min="12" max="16384" width="9.140625" style="1" hidden="1"/>
  </cols>
  <sheetData>
    <row r="1" spans="1:5" x14ac:dyDescent="0.25">
      <c r="A1" s="2"/>
      <c r="B1" s="2"/>
      <c r="C1" s="2"/>
      <c r="D1" s="2"/>
      <c r="E1" s="2"/>
    </row>
    <row r="2" spans="1:5" ht="21" x14ac:dyDescent="0.35">
      <c r="A2" s="2"/>
      <c r="B2" s="17" t="str">
        <f>Assumptions!$D$9</f>
        <v>Example Company Australia</v>
      </c>
      <c r="C2" s="2"/>
      <c r="D2" s="2"/>
      <c r="E2" s="2"/>
    </row>
    <row r="3" spans="1:5" ht="15.75" x14ac:dyDescent="0.25">
      <c r="A3" s="2"/>
      <c r="B3" s="16" t="s">
        <v>23</v>
      </c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/>
    <row r="6" spans="1:5" x14ac:dyDescent="0.25"/>
    <row r="7" spans="1:5" x14ac:dyDescent="0.25">
      <c r="C7" s="8" t="s">
        <v>57</v>
      </c>
    </row>
    <row r="8" spans="1:5" x14ac:dyDescent="0.25">
      <c r="C8" s="22">
        <v>1</v>
      </c>
    </row>
    <row r="9" spans="1:5" x14ac:dyDescent="0.25">
      <c r="C9" s="22">
        <v>2</v>
      </c>
    </row>
    <row r="10" spans="1:5" x14ac:dyDescent="0.25">
      <c r="C10" s="22">
        <v>3</v>
      </c>
    </row>
    <row r="11" spans="1:5" x14ac:dyDescent="0.25">
      <c r="C11" s="22">
        <v>4</v>
      </c>
    </row>
    <row r="12" spans="1:5" x14ac:dyDescent="0.25">
      <c r="C12" s="22">
        <v>5</v>
      </c>
    </row>
    <row r="13" spans="1:5" x14ac:dyDescent="0.25">
      <c r="C13" s="22">
        <v>6</v>
      </c>
    </row>
    <row r="14" spans="1:5" x14ac:dyDescent="0.25">
      <c r="C14" s="22">
        <v>7</v>
      </c>
    </row>
    <row r="15" spans="1:5" x14ac:dyDescent="0.25">
      <c r="C15" s="22">
        <v>8</v>
      </c>
    </row>
    <row r="16" spans="1:5" x14ac:dyDescent="0.25">
      <c r="C16" s="22">
        <v>9</v>
      </c>
    </row>
    <row r="17" spans="3:3" x14ac:dyDescent="0.25">
      <c r="C17" s="22">
        <v>10</v>
      </c>
    </row>
    <row r="18" spans="3:3" x14ac:dyDescent="0.25">
      <c r="C18" s="22">
        <v>11</v>
      </c>
    </row>
    <row r="19" spans="3:3" x14ac:dyDescent="0.25">
      <c r="C19" s="22">
        <v>12</v>
      </c>
    </row>
    <row r="20" spans="3:3" x14ac:dyDescent="0.25">
      <c r="C20" s="22">
        <v>13</v>
      </c>
    </row>
    <row r="21" spans="3:3" x14ac:dyDescent="0.25">
      <c r="C21" s="22">
        <v>14</v>
      </c>
    </row>
    <row r="22" spans="3:3" x14ac:dyDescent="0.25">
      <c r="C22" s="22">
        <v>15</v>
      </c>
    </row>
    <row r="23" spans="3:3" x14ac:dyDescent="0.25">
      <c r="C23" s="22">
        <v>16</v>
      </c>
    </row>
    <row r="24" spans="3:3" x14ac:dyDescent="0.25">
      <c r="C24" s="22">
        <v>17</v>
      </c>
    </row>
    <row r="25" spans="3:3" x14ac:dyDescent="0.25">
      <c r="C25" s="22">
        <v>18</v>
      </c>
    </row>
    <row r="26" spans="3:3" x14ac:dyDescent="0.25">
      <c r="C26" s="22">
        <v>19</v>
      </c>
    </row>
    <row r="27" spans="3:3" x14ac:dyDescent="0.25">
      <c r="C27" s="22">
        <v>20</v>
      </c>
    </row>
    <row r="28" spans="3:3" x14ac:dyDescent="0.25">
      <c r="C28" s="22">
        <v>21</v>
      </c>
    </row>
    <row r="29" spans="3:3" x14ac:dyDescent="0.25">
      <c r="C29" s="22">
        <v>22</v>
      </c>
    </row>
    <row r="30" spans="3:3" x14ac:dyDescent="0.25">
      <c r="C30" s="22">
        <v>23</v>
      </c>
    </row>
    <row r="31" spans="3:3" x14ac:dyDescent="0.25">
      <c r="C31" s="22">
        <v>24</v>
      </c>
    </row>
    <row r="32" spans="3:3" x14ac:dyDescent="0.25">
      <c r="C32" s="22">
        <v>25</v>
      </c>
    </row>
    <row r="33" spans="3:3" x14ac:dyDescent="0.25">
      <c r="C33" s="22">
        <v>26</v>
      </c>
    </row>
    <row r="34" spans="3:3" x14ac:dyDescent="0.25">
      <c r="C34" s="22">
        <v>27</v>
      </c>
    </row>
    <row r="35" spans="3:3" x14ac:dyDescent="0.25">
      <c r="C35" s="22">
        <v>28</v>
      </c>
    </row>
    <row r="36" spans="3:3" x14ac:dyDescent="0.25">
      <c r="C36" s="22">
        <v>29</v>
      </c>
    </row>
    <row r="37" spans="3:3" x14ac:dyDescent="0.25">
      <c r="C37" s="22">
        <v>30</v>
      </c>
    </row>
    <row r="38" spans="3:3" x14ac:dyDescent="0.25">
      <c r="C38" s="22">
        <v>31</v>
      </c>
    </row>
    <row r="39" spans="3:3" x14ac:dyDescent="0.25"/>
    <row r="40" spans="3:3" x14ac:dyDescent="0.25">
      <c r="C40" s="8" t="s">
        <v>41</v>
      </c>
    </row>
    <row r="41" spans="3:3" x14ac:dyDescent="0.25">
      <c r="C41" s="33" t="s">
        <v>48</v>
      </c>
    </row>
    <row r="42" spans="3:3" x14ac:dyDescent="0.25">
      <c r="C42" s="33" t="s">
        <v>49</v>
      </c>
    </row>
    <row r="43" spans="3:3" x14ac:dyDescent="0.25">
      <c r="C43" s="33" t="s">
        <v>50</v>
      </c>
    </row>
    <row r="44" spans="3:3" x14ac:dyDescent="0.25">
      <c r="C44" s="33" t="s">
        <v>51</v>
      </c>
    </row>
    <row r="45" spans="3:3" x14ac:dyDescent="0.25">
      <c r="C45" s="33" t="s">
        <v>52</v>
      </c>
    </row>
    <row r="46" spans="3:3" x14ac:dyDescent="0.25">
      <c r="C46" s="33" t="s">
        <v>53</v>
      </c>
    </row>
    <row r="47" spans="3:3" x14ac:dyDescent="0.25">
      <c r="C47" s="33" t="s">
        <v>54</v>
      </c>
    </row>
    <row r="48" spans="3:3" x14ac:dyDescent="0.25">
      <c r="C48" s="33" t="s">
        <v>55</v>
      </c>
    </row>
    <row r="49" spans="3:4" x14ac:dyDescent="0.25">
      <c r="C49" s="33" t="s">
        <v>56</v>
      </c>
    </row>
    <row r="50" spans="3:4" x14ac:dyDescent="0.25"/>
    <row r="51" spans="3:4" x14ac:dyDescent="0.25">
      <c r="C51" s="8" t="s">
        <v>43</v>
      </c>
    </row>
    <row r="52" spans="3:4" x14ac:dyDescent="0.25">
      <c r="C52" s="22" t="s">
        <v>58</v>
      </c>
    </row>
    <row r="53" spans="3:4" x14ac:dyDescent="0.25">
      <c r="C53" s="22" t="s">
        <v>59</v>
      </c>
    </row>
    <row r="54" spans="3:4" x14ac:dyDescent="0.25">
      <c r="C54" s="22" t="s">
        <v>60</v>
      </c>
    </row>
    <row r="55" spans="3:4" x14ac:dyDescent="0.25"/>
    <row r="56" spans="3:4" x14ac:dyDescent="0.25">
      <c r="C56" s="8" t="s">
        <v>61</v>
      </c>
    </row>
    <row r="57" spans="3:4" x14ac:dyDescent="0.25">
      <c r="C57" s="22" t="s">
        <v>62</v>
      </c>
    </row>
    <row r="58" spans="3:4" x14ac:dyDescent="0.25">
      <c r="C58" s="22" t="s">
        <v>63</v>
      </c>
    </row>
    <row r="59" spans="3:4" x14ac:dyDescent="0.25">
      <c r="C59" s="22" t="s">
        <v>64</v>
      </c>
    </row>
    <row r="60" spans="3:4" x14ac:dyDescent="0.25">
      <c r="C60" s="22" t="s">
        <v>65</v>
      </c>
    </row>
    <row r="61" spans="3:4" x14ac:dyDescent="0.25">
      <c r="C61" s="22" t="s">
        <v>66</v>
      </c>
    </row>
    <row r="62" spans="3:4" x14ac:dyDescent="0.25"/>
    <row r="63" spans="3:4" x14ac:dyDescent="0.25">
      <c r="C63" s="8" t="s">
        <v>89</v>
      </c>
      <c r="D63" s="8" t="s">
        <v>102</v>
      </c>
    </row>
    <row r="64" spans="3:4" x14ac:dyDescent="0.25">
      <c r="C64" s="22" t="s">
        <v>90</v>
      </c>
      <c r="D64" s="22">
        <v>1</v>
      </c>
    </row>
    <row r="65" spans="3:4" x14ac:dyDescent="0.25">
      <c r="C65" s="22" t="s">
        <v>91</v>
      </c>
      <c r="D65" s="22">
        <v>2</v>
      </c>
    </row>
    <row r="66" spans="3:4" x14ac:dyDescent="0.25">
      <c r="C66" s="22" t="s">
        <v>92</v>
      </c>
      <c r="D66" s="22">
        <v>3</v>
      </c>
    </row>
    <row r="67" spans="3:4" x14ac:dyDescent="0.25">
      <c r="C67" s="22" t="s">
        <v>93</v>
      </c>
      <c r="D67" s="22">
        <v>4</v>
      </c>
    </row>
    <row r="68" spans="3:4" x14ac:dyDescent="0.25">
      <c r="C68" s="22" t="s">
        <v>94</v>
      </c>
      <c r="D68" s="22">
        <v>5</v>
      </c>
    </row>
    <row r="69" spans="3:4" x14ac:dyDescent="0.25">
      <c r="C69" s="22" t="s">
        <v>95</v>
      </c>
      <c r="D69" s="22">
        <v>6</v>
      </c>
    </row>
    <row r="70" spans="3:4" x14ac:dyDescent="0.25">
      <c r="C70" s="22" t="s">
        <v>96</v>
      </c>
      <c r="D70" s="22">
        <v>7</v>
      </c>
    </row>
    <row r="71" spans="3:4" x14ac:dyDescent="0.25">
      <c r="C71" s="22" t="s">
        <v>97</v>
      </c>
      <c r="D71" s="22">
        <v>8</v>
      </c>
    </row>
    <row r="72" spans="3:4" x14ac:dyDescent="0.25">
      <c r="C72" s="22" t="s">
        <v>98</v>
      </c>
      <c r="D72" s="22">
        <v>9</v>
      </c>
    </row>
    <row r="73" spans="3:4" x14ac:dyDescent="0.25">
      <c r="C73" s="22" t="s">
        <v>99</v>
      </c>
      <c r="D73" s="22">
        <v>10</v>
      </c>
    </row>
    <row r="74" spans="3:4" x14ac:dyDescent="0.25">
      <c r="C74" s="22" t="s">
        <v>100</v>
      </c>
      <c r="D74" s="22">
        <v>11</v>
      </c>
    </row>
    <row r="75" spans="3:4" x14ac:dyDescent="0.25">
      <c r="C75" s="22" t="s">
        <v>101</v>
      </c>
      <c r="D75" s="22">
        <v>12</v>
      </c>
    </row>
    <row r="76" spans="3:4" x14ac:dyDescent="0.25"/>
    <row r="77" spans="3:4" x14ac:dyDescent="0.25">
      <c r="C77" s="8" t="s">
        <v>24</v>
      </c>
    </row>
    <row r="78" spans="3:4" x14ac:dyDescent="0.25">
      <c r="C78" s="19">
        <v>46146</v>
      </c>
    </row>
    <row r="79" spans="3:4" x14ac:dyDescent="0.25">
      <c r="C79" s="19">
        <f>C78+7</f>
        <v>46153</v>
      </c>
    </row>
    <row r="80" spans="3:4" x14ac:dyDescent="0.25">
      <c r="C80" s="19">
        <f t="shared" ref="C80:C143" si="0">C79+7</f>
        <v>46160</v>
      </c>
    </row>
    <row r="81" spans="3:3" x14ac:dyDescent="0.25">
      <c r="C81" s="19">
        <f t="shared" si="0"/>
        <v>46167</v>
      </c>
    </row>
    <row r="82" spans="3:3" x14ac:dyDescent="0.25">
      <c r="C82" s="19">
        <f t="shared" si="0"/>
        <v>46174</v>
      </c>
    </row>
    <row r="83" spans="3:3" x14ac:dyDescent="0.25">
      <c r="C83" s="19">
        <f t="shared" si="0"/>
        <v>46181</v>
      </c>
    </row>
    <row r="84" spans="3:3" x14ac:dyDescent="0.25">
      <c r="C84" s="19">
        <f t="shared" si="0"/>
        <v>46188</v>
      </c>
    </row>
    <row r="85" spans="3:3" x14ac:dyDescent="0.25">
      <c r="C85" s="19">
        <f t="shared" si="0"/>
        <v>46195</v>
      </c>
    </row>
    <row r="86" spans="3:3" x14ac:dyDescent="0.25">
      <c r="C86" s="19">
        <f t="shared" si="0"/>
        <v>46202</v>
      </c>
    </row>
    <row r="87" spans="3:3" x14ac:dyDescent="0.25">
      <c r="C87" s="19">
        <f t="shared" si="0"/>
        <v>46209</v>
      </c>
    </row>
    <row r="88" spans="3:3" x14ac:dyDescent="0.25">
      <c r="C88" s="19">
        <f t="shared" si="0"/>
        <v>46216</v>
      </c>
    </row>
    <row r="89" spans="3:3" x14ac:dyDescent="0.25">
      <c r="C89" s="19">
        <f t="shared" si="0"/>
        <v>46223</v>
      </c>
    </row>
    <row r="90" spans="3:3" x14ac:dyDescent="0.25">
      <c r="C90" s="19">
        <f t="shared" si="0"/>
        <v>46230</v>
      </c>
    </row>
    <row r="91" spans="3:3" x14ac:dyDescent="0.25">
      <c r="C91" s="19">
        <f t="shared" si="0"/>
        <v>46237</v>
      </c>
    </row>
    <row r="92" spans="3:3" x14ac:dyDescent="0.25">
      <c r="C92" s="19">
        <f t="shared" si="0"/>
        <v>46244</v>
      </c>
    </row>
    <row r="93" spans="3:3" x14ac:dyDescent="0.25">
      <c r="C93" s="19">
        <f t="shared" si="0"/>
        <v>46251</v>
      </c>
    </row>
    <row r="94" spans="3:3" x14ac:dyDescent="0.25">
      <c r="C94" s="19">
        <f t="shared" si="0"/>
        <v>46258</v>
      </c>
    </row>
    <row r="95" spans="3:3" x14ac:dyDescent="0.25">
      <c r="C95" s="19">
        <f t="shared" si="0"/>
        <v>46265</v>
      </c>
    </row>
    <row r="96" spans="3:3" x14ac:dyDescent="0.25">
      <c r="C96" s="19">
        <f t="shared" si="0"/>
        <v>46272</v>
      </c>
    </row>
    <row r="97" spans="3:3" x14ac:dyDescent="0.25">
      <c r="C97" s="19">
        <f t="shared" si="0"/>
        <v>46279</v>
      </c>
    </row>
    <row r="98" spans="3:3" x14ac:dyDescent="0.25">
      <c r="C98" s="19">
        <f t="shared" si="0"/>
        <v>46286</v>
      </c>
    </row>
    <row r="99" spans="3:3" x14ac:dyDescent="0.25">
      <c r="C99" s="19">
        <f t="shared" si="0"/>
        <v>46293</v>
      </c>
    </row>
    <row r="100" spans="3:3" x14ac:dyDescent="0.25">
      <c r="C100" s="19">
        <f t="shared" si="0"/>
        <v>46300</v>
      </c>
    </row>
    <row r="101" spans="3:3" x14ac:dyDescent="0.25">
      <c r="C101" s="19">
        <f t="shared" si="0"/>
        <v>46307</v>
      </c>
    </row>
    <row r="102" spans="3:3" x14ac:dyDescent="0.25">
      <c r="C102" s="19">
        <f t="shared" si="0"/>
        <v>46314</v>
      </c>
    </row>
    <row r="103" spans="3:3" x14ac:dyDescent="0.25">
      <c r="C103" s="19">
        <f t="shared" si="0"/>
        <v>46321</v>
      </c>
    </row>
    <row r="104" spans="3:3" x14ac:dyDescent="0.25">
      <c r="C104" s="19">
        <f t="shared" si="0"/>
        <v>46328</v>
      </c>
    </row>
    <row r="105" spans="3:3" x14ac:dyDescent="0.25">
      <c r="C105" s="19">
        <f t="shared" si="0"/>
        <v>46335</v>
      </c>
    </row>
    <row r="106" spans="3:3" x14ac:dyDescent="0.25">
      <c r="C106" s="19">
        <f t="shared" si="0"/>
        <v>46342</v>
      </c>
    </row>
    <row r="107" spans="3:3" x14ac:dyDescent="0.25">
      <c r="C107" s="19">
        <f t="shared" si="0"/>
        <v>46349</v>
      </c>
    </row>
    <row r="108" spans="3:3" x14ac:dyDescent="0.25">
      <c r="C108" s="19">
        <f t="shared" si="0"/>
        <v>46356</v>
      </c>
    </row>
    <row r="109" spans="3:3" x14ac:dyDescent="0.25">
      <c r="C109" s="19">
        <f t="shared" si="0"/>
        <v>46363</v>
      </c>
    </row>
    <row r="110" spans="3:3" x14ac:dyDescent="0.25">
      <c r="C110" s="19">
        <f t="shared" si="0"/>
        <v>46370</v>
      </c>
    </row>
    <row r="111" spans="3:3" x14ac:dyDescent="0.25">
      <c r="C111" s="19">
        <f t="shared" si="0"/>
        <v>46377</v>
      </c>
    </row>
    <row r="112" spans="3:3" x14ac:dyDescent="0.25">
      <c r="C112" s="19">
        <f t="shared" si="0"/>
        <v>46384</v>
      </c>
    </row>
    <row r="113" spans="3:3" x14ac:dyDescent="0.25">
      <c r="C113" s="19">
        <f t="shared" si="0"/>
        <v>46391</v>
      </c>
    </row>
    <row r="114" spans="3:3" x14ac:dyDescent="0.25">
      <c r="C114" s="19">
        <f t="shared" si="0"/>
        <v>46398</v>
      </c>
    </row>
    <row r="115" spans="3:3" x14ac:dyDescent="0.25">
      <c r="C115" s="19">
        <f t="shared" si="0"/>
        <v>46405</v>
      </c>
    </row>
    <row r="116" spans="3:3" x14ac:dyDescent="0.25">
      <c r="C116" s="19">
        <f t="shared" si="0"/>
        <v>46412</v>
      </c>
    </row>
    <row r="117" spans="3:3" x14ac:dyDescent="0.25">
      <c r="C117" s="19">
        <f t="shared" si="0"/>
        <v>46419</v>
      </c>
    </row>
    <row r="118" spans="3:3" x14ac:dyDescent="0.25">
      <c r="C118" s="19">
        <f t="shared" si="0"/>
        <v>46426</v>
      </c>
    </row>
    <row r="119" spans="3:3" x14ac:dyDescent="0.25">
      <c r="C119" s="19">
        <f t="shared" si="0"/>
        <v>46433</v>
      </c>
    </row>
    <row r="120" spans="3:3" x14ac:dyDescent="0.25">
      <c r="C120" s="19">
        <f t="shared" si="0"/>
        <v>46440</v>
      </c>
    </row>
    <row r="121" spans="3:3" x14ac:dyDescent="0.25">
      <c r="C121" s="19">
        <f t="shared" si="0"/>
        <v>46447</v>
      </c>
    </row>
    <row r="122" spans="3:3" x14ac:dyDescent="0.25">
      <c r="C122" s="19">
        <f t="shared" si="0"/>
        <v>46454</v>
      </c>
    </row>
    <row r="123" spans="3:3" x14ac:dyDescent="0.25">
      <c r="C123" s="19">
        <f t="shared" si="0"/>
        <v>46461</v>
      </c>
    </row>
    <row r="124" spans="3:3" x14ac:dyDescent="0.25">
      <c r="C124" s="19">
        <f t="shared" si="0"/>
        <v>46468</v>
      </c>
    </row>
    <row r="125" spans="3:3" x14ac:dyDescent="0.25">
      <c r="C125" s="19">
        <f t="shared" si="0"/>
        <v>46475</v>
      </c>
    </row>
    <row r="126" spans="3:3" x14ac:dyDescent="0.25">
      <c r="C126" s="19">
        <f t="shared" si="0"/>
        <v>46482</v>
      </c>
    </row>
    <row r="127" spans="3:3" x14ac:dyDescent="0.25">
      <c r="C127" s="19">
        <f t="shared" si="0"/>
        <v>46489</v>
      </c>
    </row>
    <row r="128" spans="3:3" x14ac:dyDescent="0.25">
      <c r="C128" s="19">
        <f t="shared" si="0"/>
        <v>46496</v>
      </c>
    </row>
    <row r="129" spans="3:3" x14ac:dyDescent="0.25">
      <c r="C129" s="19">
        <f t="shared" si="0"/>
        <v>46503</v>
      </c>
    </row>
    <row r="130" spans="3:3" x14ac:dyDescent="0.25">
      <c r="C130" s="19">
        <f t="shared" si="0"/>
        <v>46510</v>
      </c>
    </row>
    <row r="131" spans="3:3" x14ac:dyDescent="0.25">
      <c r="C131" s="19">
        <f t="shared" si="0"/>
        <v>46517</v>
      </c>
    </row>
    <row r="132" spans="3:3" x14ac:dyDescent="0.25">
      <c r="C132" s="19">
        <f t="shared" si="0"/>
        <v>46524</v>
      </c>
    </row>
    <row r="133" spans="3:3" x14ac:dyDescent="0.25">
      <c r="C133" s="19">
        <f t="shared" si="0"/>
        <v>46531</v>
      </c>
    </row>
    <row r="134" spans="3:3" x14ac:dyDescent="0.25">
      <c r="C134" s="19">
        <f t="shared" si="0"/>
        <v>46538</v>
      </c>
    </row>
    <row r="135" spans="3:3" x14ac:dyDescent="0.25">
      <c r="C135" s="19">
        <f t="shared" si="0"/>
        <v>46545</v>
      </c>
    </row>
    <row r="136" spans="3:3" x14ac:dyDescent="0.25">
      <c r="C136" s="19">
        <f t="shared" si="0"/>
        <v>46552</v>
      </c>
    </row>
    <row r="137" spans="3:3" x14ac:dyDescent="0.25">
      <c r="C137" s="19">
        <f t="shared" si="0"/>
        <v>46559</v>
      </c>
    </row>
    <row r="138" spans="3:3" x14ac:dyDescent="0.25">
      <c r="C138" s="19">
        <f t="shared" si="0"/>
        <v>46566</v>
      </c>
    </row>
    <row r="139" spans="3:3" x14ac:dyDescent="0.25">
      <c r="C139" s="19">
        <f t="shared" si="0"/>
        <v>46573</v>
      </c>
    </row>
    <row r="140" spans="3:3" x14ac:dyDescent="0.25">
      <c r="C140" s="19">
        <f t="shared" si="0"/>
        <v>46580</v>
      </c>
    </row>
    <row r="141" spans="3:3" x14ac:dyDescent="0.25">
      <c r="C141" s="19">
        <f t="shared" si="0"/>
        <v>46587</v>
      </c>
    </row>
    <row r="142" spans="3:3" x14ac:dyDescent="0.25">
      <c r="C142" s="19">
        <f t="shared" si="0"/>
        <v>46594</v>
      </c>
    </row>
    <row r="143" spans="3:3" x14ac:dyDescent="0.25">
      <c r="C143" s="19">
        <f t="shared" si="0"/>
        <v>46601</v>
      </c>
    </row>
    <row r="144" spans="3:3" x14ac:dyDescent="0.25">
      <c r="C144" s="19">
        <f t="shared" ref="C144:C207" si="1">C143+7</f>
        <v>46608</v>
      </c>
    </row>
    <row r="145" spans="3:3" x14ac:dyDescent="0.25">
      <c r="C145" s="19">
        <f t="shared" si="1"/>
        <v>46615</v>
      </c>
    </row>
    <row r="146" spans="3:3" x14ac:dyDescent="0.25">
      <c r="C146" s="19">
        <f t="shared" si="1"/>
        <v>46622</v>
      </c>
    </row>
    <row r="147" spans="3:3" x14ac:dyDescent="0.25">
      <c r="C147" s="19">
        <f t="shared" si="1"/>
        <v>46629</v>
      </c>
    </row>
    <row r="148" spans="3:3" x14ac:dyDescent="0.25">
      <c r="C148" s="19">
        <f t="shared" si="1"/>
        <v>46636</v>
      </c>
    </row>
    <row r="149" spans="3:3" x14ac:dyDescent="0.25">
      <c r="C149" s="19">
        <f t="shared" si="1"/>
        <v>46643</v>
      </c>
    </row>
    <row r="150" spans="3:3" x14ac:dyDescent="0.25">
      <c r="C150" s="19">
        <f t="shared" si="1"/>
        <v>46650</v>
      </c>
    </row>
    <row r="151" spans="3:3" x14ac:dyDescent="0.25">
      <c r="C151" s="19">
        <f t="shared" si="1"/>
        <v>46657</v>
      </c>
    </row>
    <row r="152" spans="3:3" x14ac:dyDescent="0.25">
      <c r="C152" s="19">
        <f t="shared" si="1"/>
        <v>46664</v>
      </c>
    </row>
    <row r="153" spans="3:3" x14ac:dyDescent="0.25">
      <c r="C153" s="19">
        <f t="shared" si="1"/>
        <v>46671</v>
      </c>
    </row>
    <row r="154" spans="3:3" x14ac:dyDescent="0.25">
      <c r="C154" s="19">
        <f t="shared" si="1"/>
        <v>46678</v>
      </c>
    </row>
    <row r="155" spans="3:3" x14ac:dyDescent="0.25">
      <c r="C155" s="19">
        <f t="shared" si="1"/>
        <v>46685</v>
      </c>
    </row>
    <row r="156" spans="3:3" x14ac:dyDescent="0.25">
      <c r="C156" s="19">
        <f t="shared" si="1"/>
        <v>46692</v>
      </c>
    </row>
    <row r="157" spans="3:3" x14ac:dyDescent="0.25">
      <c r="C157" s="19">
        <f t="shared" si="1"/>
        <v>46699</v>
      </c>
    </row>
    <row r="158" spans="3:3" x14ac:dyDescent="0.25">
      <c r="C158" s="19">
        <f t="shared" si="1"/>
        <v>46706</v>
      </c>
    </row>
    <row r="159" spans="3:3" x14ac:dyDescent="0.25">
      <c r="C159" s="19">
        <f t="shared" si="1"/>
        <v>46713</v>
      </c>
    </row>
    <row r="160" spans="3:3" x14ac:dyDescent="0.25">
      <c r="C160" s="19">
        <f t="shared" si="1"/>
        <v>46720</v>
      </c>
    </row>
    <row r="161" spans="3:3" x14ac:dyDescent="0.25">
      <c r="C161" s="19">
        <f t="shared" si="1"/>
        <v>46727</v>
      </c>
    </row>
    <row r="162" spans="3:3" x14ac:dyDescent="0.25">
      <c r="C162" s="19">
        <f t="shared" si="1"/>
        <v>46734</v>
      </c>
    </row>
    <row r="163" spans="3:3" x14ac:dyDescent="0.25">
      <c r="C163" s="19">
        <f t="shared" si="1"/>
        <v>46741</v>
      </c>
    </row>
    <row r="164" spans="3:3" x14ac:dyDescent="0.25">
      <c r="C164" s="19">
        <f t="shared" si="1"/>
        <v>46748</v>
      </c>
    </row>
    <row r="165" spans="3:3" x14ac:dyDescent="0.25">
      <c r="C165" s="19">
        <f t="shared" si="1"/>
        <v>46755</v>
      </c>
    </row>
    <row r="166" spans="3:3" x14ac:dyDescent="0.25">
      <c r="C166" s="19">
        <f t="shared" si="1"/>
        <v>46762</v>
      </c>
    </row>
    <row r="167" spans="3:3" x14ac:dyDescent="0.25">
      <c r="C167" s="19">
        <f t="shared" si="1"/>
        <v>46769</v>
      </c>
    </row>
    <row r="168" spans="3:3" x14ac:dyDescent="0.25">
      <c r="C168" s="19">
        <f t="shared" si="1"/>
        <v>46776</v>
      </c>
    </row>
    <row r="169" spans="3:3" x14ac:dyDescent="0.25">
      <c r="C169" s="19">
        <f t="shared" si="1"/>
        <v>46783</v>
      </c>
    </row>
    <row r="170" spans="3:3" x14ac:dyDescent="0.25">
      <c r="C170" s="19">
        <f t="shared" si="1"/>
        <v>46790</v>
      </c>
    </row>
    <row r="171" spans="3:3" x14ac:dyDescent="0.25">
      <c r="C171" s="19">
        <f t="shared" si="1"/>
        <v>46797</v>
      </c>
    </row>
    <row r="172" spans="3:3" x14ac:dyDescent="0.25">
      <c r="C172" s="19">
        <f t="shared" si="1"/>
        <v>46804</v>
      </c>
    </row>
    <row r="173" spans="3:3" x14ac:dyDescent="0.25">
      <c r="C173" s="19">
        <f t="shared" si="1"/>
        <v>46811</v>
      </c>
    </row>
    <row r="174" spans="3:3" x14ac:dyDescent="0.25">
      <c r="C174" s="19">
        <f t="shared" si="1"/>
        <v>46818</v>
      </c>
    </row>
    <row r="175" spans="3:3" x14ac:dyDescent="0.25">
      <c r="C175" s="19">
        <f t="shared" si="1"/>
        <v>46825</v>
      </c>
    </row>
    <row r="176" spans="3:3" x14ac:dyDescent="0.25">
      <c r="C176" s="19">
        <f t="shared" si="1"/>
        <v>46832</v>
      </c>
    </row>
    <row r="177" spans="3:3" x14ac:dyDescent="0.25">
      <c r="C177" s="19">
        <f t="shared" si="1"/>
        <v>46839</v>
      </c>
    </row>
    <row r="178" spans="3:3" x14ac:dyDescent="0.25">
      <c r="C178" s="19">
        <f t="shared" si="1"/>
        <v>46846</v>
      </c>
    </row>
    <row r="179" spans="3:3" x14ac:dyDescent="0.25">
      <c r="C179" s="19">
        <f t="shared" si="1"/>
        <v>46853</v>
      </c>
    </row>
    <row r="180" spans="3:3" x14ac:dyDescent="0.25">
      <c r="C180" s="19">
        <f t="shared" si="1"/>
        <v>46860</v>
      </c>
    </row>
    <row r="181" spans="3:3" x14ac:dyDescent="0.25">
      <c r="C181" s="19">
        <f t="shared" si="1"/>
        <v>46867</v>
      </c>
    </row>
    <row r="182" spans="3:3" x14ac:dyDescent="0.25">
      <c r="C182" s="19">
        <f t="shared" si="1"/>
        <v>46874</v>
      </c>
    </row>
    <row r="183" spans="3:3" x14ac:dyDescent="0.25">
      <c r="C183" s="19">
        <f t="shared" si="1"/>
        <v>46881</v>
      </c>
    </row>
    <row r="184" spans="3:3" x14ac:dyDescent="0.25">
      <c r="C184" s="19">
        <f t="shared" si="1"/>
        <v>46888</v>
      </c>
    </row>
    <row r="185" spans="3:3" x14ac:dyDescent="0.25">
      <c r="C185" s="19">
        <f t="shared" si="1"/>
        <v>46895</v>
      </c>
    </row>
    <row r="186" spans="3:3" x14ac:dyDescent="0.25">
      <c r="C186" s="19">
        <f t="shared" si="1"/>
        <v>46902</v>
      </c>
    </row>
    <row r="187" spans="3:3" x14ac:dyDescent="0.25">
      <c r="C187" s="19">
        <f t="shared" si="1"/>
        <v>46909</v>
      </c>
    </row>
    <row r="188" spans="3:3" x14ac:dyDescent="0.25">
      <c r="C188" s="19">
        <f t="shared" si="1"/>
        <v>46916</v>
      </c>
    </row>
    <row r="189" spans="3:3" x14ac:dyDescent="0.25">
      <c r="C189" s="19">
        <f t="shared" si="1"/>
        <v>46923</v>
      </c>
    </row>
    <row r="190" spans="3:3" x14ac:dyDescent="0.25">
      <c r="C190" s="19">
        <f t="shared" si="1"/>
        <v>46930</v>
      </c>
    </row>
    <row r="191" spans="3:3" x14ac:dyDescent="0.25">
      <c r="C191" s="19">
        <f t="shared" si="1"/>
        <v>46937</v>
      </c>
    </row>
    <row r="192" spans="3:3" x14ac:dyDescent="0.25">
      <c r="C192" s="19">
        <f t="shared" si="1"/>
        <v>46944</v>
      </c>
    </row>
    <row r="193" spans="3:3" x14ac:dyDescent="0.25">
      <c r="C193" s="19">
        <f t="shared" si="1"/>
        <v>46951</v>
      </c>
    </row>
    <row r="194" spans="3:3" x14ac:dyDescent="0.25">
      <c r="C194" s="19">
        <f t="shared" si="1"/>
        <v>46958</v>
      </c>
    </row>
    <row r="195" spans="3:3" x14ac:dyDescent="0.25">
      <c r="C195" s="19">
        <f t="shared" si="1"/>
        <v>46965</v>
      </c>
    </row>
    <row r="196" spans="3:3" x14ac:dyDescent="0.25">
      <c r="C196" s="19">
        <f t="shared" si="1"/>
        <v>46972</v>
      </c>
    </row>
    <row r="197" spans="3:3" x14ac:dyDescent="0.25">
      <c r="C197" s="19">
        <f t="shared" si="1"/>
        <v>46979</v>
      </c>
    </row>
    <row r="198" spans="3:3" x14ac:dyDescent="0.25">
      <c r="C198" s="19">
        <f t="shared" si="1"/>
        <v>46986</v>
      </c>
    </row>
    <row r="199" spans="3:3" x14ac:dyDescent="0.25">
      <c r="C199" s="19">
        <f t="shared" si="1"/>
        <v>46993</v>
      </c>
    </row>
    <row r="200" spans="3:3" x14ac:dyDescent="0.25">
      <c r="C200" s="19">
        <f t="shared" si="1"/>
        <v>47000</v>
      </c>
    </row>
    <row r="201" spans="3:3" x14ac:dyDescent="0.25">
      <c r="C201" s="19">
        <f t="shared" si="1"/>
        <v>47007</v>
      </c>
    </row>
    <row r="202" spans="3:3" x14ac:dyDescent="0.25">
      <c r="C202" s="19">
        <f t="shared" si="1"/>
        <v>47014</v>
      </c>
    </row>
    <row r="203" spans="3:3" x14ac:dyDescent="0.25">
      <c r="C203" s="19">
        <f t="shared" si="1"/>
        <v>47021</v>
      </c>
    </row>
    <row r="204" spans="3:3" x14ac:dyDescent="0.25">
      <c r="C204" s="19">
        <f t="shared" si="1"/>
        <v>47028</v>
      </c>
    </row>
    <row r="205" spans="3:3" x14ac:dyDescent="0.25">
      <c r="C205" s="19">
        <f t="shared" si="1"/>
        <v>47035</v>
      </c>
    </row>
    <row r="206" spans="3:3" x14ac:dyDescent="0.25">
      <c r="C206" s="19">
        <f t="shared" si="1"/>
        <v>47042</v>
      </c>
    </row>
    <row r="207" spans="3:3" x14ac:dyDescent="0.25">
      <c r="C207" s="19">
        <f t="shared" si="1"/>
        <v>47049</v>
      </c>
    </row>
    <row r="208" spans="3:3" x14ac:dyDescent="0.25">
      <c r="C208" s="19">
        <f t="shared" ref="C208:C271" si="2">C207+7</f>
        <v>47056</v>
      </c>
    </row>
    <row r="209" spans="3:3" x14ac:dyDescent="0.25">
      <c r="C209" s="19">
        <f t="shared" si="2"/>
        <v>47063</v>
      </c>
    </row>
    <row r="210" spans="3:3" x14ac:dyDescent="0.25">
      <c r="C210" s="19">
        <f t="shared" si="2"/>
        <v>47070</v>
      </c>
    </row>
    <row r="211" spans="3:3" x14ac:dyDescent="0.25">
      <c r="C211" s="19">
        <f t="shared" si="2"/>
        <v>47077</v>
      </c>
    </row>
    <row r="212" spans="3:3" x14ac:dyDescent="0.25">
      <c r="C212" s="19">
        <f t="shared" si="2"/>
        <v>47084</v>
      </c>
    </row>
    <row r="213" spans="3:3" x14ac:dyDescent="0.25">
      <c r="C213" s="19">
        <f t="shared" si="2"/>
        <v>47091</v>
      </c>
    </row>
    <row r="214" spans="3:3" x14ac:dyDescent="0.25">
      <c r="C214" s="19">
        <f t="shared" si="2"/>
        <v>47098</v>
      </c>
    </row>
    <row r="215" spans="3:3" x14ac:dyDescent="0.25">
      <c r="C215" s="19">
        <f t="shared" si="2"/>
        <v>47105</v>
      </c>
    </row>
    <row r="216" spans="3:3" x14ac:dyDescent="0.25">
      <c r="C216" s="19">
        <f t="shared" si="2"/>
        <v>47112</v>
      </c>
    </row>
    <row r="217" spans="3:3" x14ac:dyDescent="0.25">
      <c r="C217" s="19">
        <f t="shared" si="2"/>
        <v>47119</v>
      </c>
    </row>
    <row r="218" spans="3:3" x14ac:dyDescent="0.25">
      <c r="C218" s="19">
        <f t="shared" si="2"/>
        <v>47126</v>
      </c>
    </row>
    <row r="219" spans="3:3" x14ac:dyDescent="0.25">
      <c r="C219" s="19">
        <f t="shared" si="2"/>
        <v>47133</v>
      </c>
    </row>
    <row r="220" spans="3:3" x14ac:dyDescent="0.25">
      <c r="C220" s="19">
        <f t="shared" si="2"/>
        <v>47140</v>
      </c>
    </row>
    <row r="221" spans="3:3" x14ac:dyDescent="0.25">
      <c r="C221" s="19">
        <f t="shared" si="2"/>
        <v>47147</v>
      </c>
    </row>
    <row r="222" spans="3:3" x14ac:dyDescent="0.25">
      <c r="C222" s="19">
        <f t="shared" si="2"/>
        <v>47154</v>
      </c>
    </row>
    <row r="223" spans="3:3" x14ac:dyDescent="0.25">
      <c r="C223" s="19">
        <f t="shared" si="2"/>
        <v>47161</v>
      </c>
    </row>
    <row r="224" spans="3:3" x14ac:dyDescent="0.25">
      <c r="C224" s="19">
        <f t="shared" si="2"/>
        <v>47168</v>
      </c>
    </row>
    <row r="225" spans="3:3" x14ac:dyDescent="0.25">
      <c r="C225" s="19">
        <f t="shared" si="2"/>
        <v>47175</v>
      </c>
    </row>
    <row r="226" spans="3:3" x14ac:dyDescent="0.25">
      <c r="C226" s="19">
        <f t="shared" si="2"/>
        <v>47182</v>
      </c>
    </row>
    <row r="227" spans="3:3" x14ac:dyDescent="0.25">
      <c r="C227" s="19">
        <f t="shared" si="2"/>
        <v>47189</v>
      </c>
    </row>
    <row r="228" spans="3:3" x14ac:dyDescent="0.25">
      <c r="C228" s="19">
        <f t="shared" si="2"/>
        <v>47196</v>
      </c>
    </row>
    <row r="229" spans="3:3" x14ac:dyDescent="0.25">
      <c r="C229" s="19">
        <f t="shared" si="2"/>
        <v>47203</v>
      </c>
    </row>
    <row r="230" spans="3:3" x14ac:dyDescent="0.25">
      <c r="C230" s="19">
        <f t="shared" si="2"/>
        <v>47210</v>
      </c>
    </row>
    <row r="231" spans="3:3" x14ac:dyDescent="0.25">
      <c r="C231" s="19">
        <f t="shared" si="2"/>
        <v>47217</v>
      </c>
    </row>
    <row r="232" spans="3:3" x14ac:dyDescent="0.25">
      <c r="C232" s="19">
        <f t="shared" si="2"/>
        <v>47224</v>
      </c>
    </row>
    <row r="233" spans="3:3" x14ac:dyDescent="0.25">
      <c r="C233" s="19">
        <f t="shared" si="2"/>
        <v>47231</v>
      </c>
    </row>
    <row r="234" spans="3:3" x14ac:dyDescent="0.25">
      <c r="C234" s="19">
        <f t="shared" si="2"/>
        <v>47238</v>
      </c>
    </row>
    <row r="235" spans="3:3" x14ac:dyDescent="0.25">
      <c r="C235" s="19">
        <f t="shared" si="2"/>
        <v>47245</v>
      </c>
    </row>
    <row r="236" spans="3:3" x14ac:dyDescent="0.25">
      <c r="C236" s="19">
        <f t="shared" si="2"/>
        <v>47252</v>
      </c>
    </row>
    <row r="237" spans="3:3" x14ac:dyDescent="0.25">
      <c r="C237" s="19">
        <f t="shared" si="2"/>
        <v>47259</v>
      </c>
    </row>
    <row r="238" spans="3:3" x14ac:dyDescent="0.25">
      <c r="C238" s="19">
        <f t="shared" si="2"/>
        <v>47266</v>
      </c>
    </row>
    <row r="239" spans="3:3" x14ac:dyDescent="0.25">
      <c r="C239" s="19">
        <f t="shared" si="2"/>
        <v>47273</v>
      </c>
    </row>
    <row r="240" spans="3:3" x14ac:dyDescent="0.25">
      <c r="C240" s="19">
        <f t="shared" si="2"/>
        <v>47280</v>
      </c>
    </row>
    <row r="241" spans="3:3" x14ac:dyDescent="0.25">
      <c r="C241" s="19">
        <f t="shared" si="2"/>
        <v>47287</v>
      </c>
    </row>
    <row r="242" spans="3:3" x14ac:dyDescent="0.25">
      <c r="C242" s="19">
        <f t="shared" si="2"/>
        <v>47294</v>
      </c>
    </row>
    <row r="243" spans="3:3" x14ac:dyDescent="0.25">
      <c r="C243" s="19">
        <f t="shared" si="2"/>
        <v>47301</v>
      </c>
    </row>
    <row r="244" spans="3:3" x14ac:dyDescent="0.25">
      <c r="C244" s="19">
        <f t="shared" si="2"/>
        <v>47308</v>
      </c>
    </row>
    <row r="245" spans="3:3" x14ac:dyDescent="0.25">
      <c r="C245" s="19">
        <f t="shared" si="2"/>
        <v>47315</v>
      </c>
    </row>
    <row r="246" spans="3:3" x14ac:dyDescent="0.25">
      <c r="C246" s="19">
        <f t="shared" si="2"/>
        <v>47322</v>
      </c>
    </row>
    <row r="247" spans="3:3" x14ac:dyDescent="0.25">
      <c r="C247" s="19">
        <f t="shared" si="2"/>
        <v>47329</v>
      </c>
    </row>
    <row r="248" spans="3:3" x14ac:dyDescent="0.25">
      <c r="C248" s="19">
        <f t="shared" si="2"/>
        <v>47336</v>
      </c>
    </row>
    <row r="249" spans="3:3" x14ac:dyDescent="0.25">
      <c r="C249" s="19">
        <f t="shared" si="2"/>
        <v>47343</v>
      </c>
    </row>
    <row r="250" spans="3:3" x14ac:dyDescent="0.25">
      <c r="C250" s="19">
        <f t="shared" si="2"/>
        <v>47350</v>
      </c>
    </row>
    <row r="251" spans="3:3" x14ac:dyDescent="0.25">
      <c r="C251" s="19">
        <f t="shared" si="2"/>
        <v>47357</v>
      </c>
    </row>
    <row r="252" spans="3:3" x14ac:dyDescent="0.25">
      <c r="C252" s="19">
        <f t="shared" si="2"/>
        <v>47364</v>
      </c>
    </row>
    <row r="253" spans="3:3" x14ac:dyDescent="0.25">
      <c r="C253" s="19">
        <f t="shared" si="2"/>
        <v>47371</v>
      </c>
    </row>
    <row r="254" spans="3:3" x14ac:dyDescent="0.25">
      <c r="C254" s="19">
        <f t="shared" si="2"/>
        <v>47378</v>
      </c>
    </row>
    <row r="255" spans="3:3" x14ac:dyDescent="0.25">
      <c r="C255" s="19">
        <f t="shared" si="2"/>
        <v>47385</v>
      </c>
    </row>
    <row r="256" spans="3:3" x14ac:dyDescent="0.25">
      <c r="C256" s="19">
        <f t="shared" si="2"/>
        <v>47392</v>
      </c>
    </row>
    <row r="257" spans="3:3" x14ac:dyDescent="0.25">
      <c r="C257" s="19">
        <f t="shared" si="2"/>
        <v>47399</v>
      </c>
    </row>
    <row r="258" spans="3:3" x14ac:dyDescent="0.25">
      <c r="C258" s="19">
        <f t="shared" si="2"/>
        <v>47406</v>
      </c>
    </row>
    <row r="259" spans="3:3" x14ac:dyDescent="0.25">
      <c r="C259" s="19">
        <f t="shared" si="2"/>
        <v>47413</v>
      </c>
    </row>
    <row r="260" spans="3:3" x14ac:dyDescent="0.25">
      <c r="C260" s="19">
        <f t="shared" si="2"/>
        <v>47420</v>
      </c>
    </row>
    <row r="261" spans="3:3" x14ac:dyDescent="0.25">
      <c r="C261" s="19">
        <f t="shared" si="2"/>
        <v>47427</v>
      </c>
    </row>
    <row r="262" spans="3:3" x14ac:dyDescent="0.25">
      <c r="C262" s="19">
        <f t="shared" si="2"/>
        <v>47434</v>
      </c>
    </row>
    <row r="263" spans="3:3" x14ac:dyDescent="0.25">
      <c r="C263" s="19">
        <f t="shared" si="2"/>
        <v>47441</v>
      </c>
    </row>
    <row r="264" spans="3:3" x14ac:dyDescent="0.25">
      <c r="C264" s="19">
        <f t="shared" si="2"/>
        <v>47448</v>
      </c>
    </row>
    <row r="265" spans="3:3" x14ac:dyDescent="0.25">
      <c r="C265" s="19">
        <f t="shared" si="2"/>
        <v>47455</v>
      </c>
    </row>
    <row r="266" spans="3:3" x14ac:dyDescent="0.25">
      <c r="C266" s="19">
        <f t="shared" si="2"/>
        <v>47462</v>
      </c>
    </row>
    <row r="267" spans="3:3" x14ac:dyDescent="0.25">
      <c r="C267" s="19">
        <f t="shared" si="2"/>
        <v>47469</v>
      </c>
    </row>
    <row r="268" spans="3:3" x14ac:dyDescent="0.25">
      <c r="C268" s="19">
        <f t="shared" si="2"/>
        <v>47476</v>
      </c>
    </row>
    <row r="269" spans="3:3" x14ac:dyDescent="0.25">
      <c r="C269" s="19">
        <f t="shared" si="2"/>
        <v>47483</v>
      </c>
    </row>
    <row r="270" spans="3:3" x14ac:dyDescent="0.25">
      <c r="C270" s="19">
        <f t="shared" si="2"/>
        <v>47490</v>
      </c>
    </row>
    <row r="271" spans="3:3" x14ac:dyDescent="0.25">
      <c r="C271" s="19">
        <f t="shared" si="2"/>
        <v>47497</v>
      </c>
    </row>
    <row r="272" spans="3:3" x14ac:dyDescent="0.25">
      <c r="C272" s="19">
        <f t="shared" ref="C272:C335" si="3">C271+7</f>
        <v>47504</v>
      </c>
    </row>
    <row r="273" spans="3:3" x14ac:dyDescent="0.25">
      <c r="C273" s="19">
        <f t="shared" si="3"/>
        <v>47511</v>
      </c>
    </row>
    <row r="274" spans="3:3" x14ac:dyDescent="0.25">
      <c r="C274" s="19">
        <f t="shared" si="3"/>
        <v>47518</v>
      </c>
    </row>
    <row r="275" spans="3:3" x14ac:dyDescent="0.25">
      <c r="C275" s="19">
        <f t="shared" si="3"/>
        <v>47525</v>
      </c>
    </row>
    <row r="276" spans="3:3" x14ac:dyDescent="0.25">
      <c r="C276" s="19">
        <f t="shared" si="3"/>
        <v>47532</v>
      </c>
    </row>
    <row r="277" spans="3:3" x14ac:dyDescent="0.25">
      <c r="C277" s="19">
        <f t="shared" si="3"/>
        <v>47539</v>
      </c>
    </row>
    <row r="278" spans="3:3" x14ac:dyDescent="0.25">
      <c r="C278" s="19">
        <f t="shared" si="3"/>
        <v>47546</v>
      </c>
    </row>
    <row r="279" spans="3:3" x14ac:dyDescent="0.25">
      <c r="C279" s="19">
        <f t="shared" si="3"/>
        <v>47553</v>
      </c>
    </row>
    <row r="280" spans="3:3" x14ac:dyDescent="0.25">
      <c r="C280" s="19">
        <f t="shared" si="3"/>
        <v>47560</v>
      </c>
    </row>
    <row r="281" spans="3:3" x14ac:dyDescent="0.25">
      <c r="C281" s="19">
        <f t="shared" si="3"/>
        <v>47567</v>
      </c>
    </row>
    <row r="282" spans="3:3" x14ac:dyDescent="0.25">
      <c r="C282" s="19">
        <f t="shared" si="3"/>
        <v>47574</v>
      </c>
    </row>
    <row r="283" spans="3:3" x14ac:dyDescent="0.25">
      <c r="C283" s="19">
        <f t="shared" si="3"/>
        <v>47581</v>
      </c>
    </row>
    <row r="284" spans="3:3" x14ac:dyDescent="0.25">
      <c r="C284" s="19">
        <f t="shared" si="3"/>
        <v>47588</v>
      </c>
    </row>
    <row r="285" spans="3:3" x14ac:dyDescent="0.25">
      <c r="C285" s="19">
        <f t="shared" si="3"/>
        <v>47595</v>
      </c>
    </row>
    <row r="286" spans="3:3" x14ac:dyDescent="0.25">
      <c r="C286" s="19">
        <f t="shared" si="3"/>
        <v>47602</v>
      </c>
    </row>
    <row r="287" spans="3:3" x14ac:dyDescent="0.25">
      <c r="C287" s="19">
        <f t="shared" si="3"/>
        <v>47609</v>
      </c>
    </row>
    <row r="288" spans="3:3" x14ac:dyDescent="0.25">
      <c r="C288" s="19">
        <f t="shared" si="3"/>
        <v>47616</v>
      </c>
    </row>
    <row r="289" spans="3:3" x14ac:dyDescent="0.25">
      <c r="C289" s="19">
        <f t="shared" si="3"/>
        <v>47623</v>
      </c>
    </row>
    <row r="290" spans="3:3" x14ac:dyDescent="0.25">
      <c r="C290" s="19">
        <f t="shared" si="3"/>
        <v>47630</v>
      </c>
    </row>
    <row r="291" spans="3:3" x14ac:dyDescent="0.25">
      <c r="C291" s="19">
        <f t="shared" si="3"/>
        <v>47637</v>
      </c>
    </row>
    <row r="292" spans="3:3" x14ac:dyDescent="0.25">
      <c r="C292" s="19">
        <f t="shared" si="3"/>
        <v>47644</v>
      </c>
    </row>
    <row r="293" spans="3:3" x14ac:dyDescent="0.25">
      <c r="C293" s="19">
        <f t="shared" si="3"/>
        <v>47651</v>
      </c>
    </row>
    <row r="294" spans="3:3" x14ac:dyDescent="0.25">
      <c r="C294" s="19">
        <f t="shared" si="3"/>
        <v>47658</v>
      </c>
    </row>
    <row r="295" spans="3:3" x14ac:dyDescent="0.25">
      <c r="C295" s="19">
        <f t="shared" si="3"/>
        <v>47665</v>
      </c>
    </row>
    <row r="296" spans="3:3" x14ac:dyDescent="0.25">
      <c r="C296" s="19">
        <f t="shared" si="3"/>
        <v>47672</v>
      </c>
    </row>
    <row r="297" spans="3:3" x14ac:dyDescent="0.25">
      <c r="C297" s="19">
        <f t="shared" si="3"/>
        <v>47679</v>
      </c>
    </row>
    <row r="298" spans="3:3" x14ac:dyDescent="0.25">
      <c r="C298" s="19">
        <f t="shared" si="3"/>
        <v>47686</v>
      </c>
    </row>
    <row r="299" spans="3:3" x14ac:dyDescent="0.25">
      <c r="C299" s="19">
        <f t="shared" si="3"/>
        <v>47693</v>
      </c>
    </row>
    <row r="300" spans="3:3" x14ac:dyDescent="0.25">
      <c r="C300" s="19">
        <f t="shared" si="3"/>
        <v>47700</v>
      </c>
    </row>
    <row r="301" spans="3:3" x14ac:dyDescent="0.25">
      <c r="C301" s="19">
        <f t="shared" si="3"/>
        <v>47707</v>
      </c>
    </row>
    <row r="302" spans="3:3" x14ac:dyDescent="0.25">
      <c r="C302" s="19">
        <f t="shared" si="3"/>
        <v>47714</v>
      </c>
    </row>
    <row r="303" spans="3:3" x14ac:dyDescent="0.25">
      <c r="C303" s="19">
        <f t="shared" si="3"/>
        <v>47721</v>
      </c>
    </row>
    <row r="304" spans="3:3" x14ac:dyDescent="0.25">
      <c r="C304" s="19">
        <f t="shared" si="3"/>
        <v>47728</v>
      </c>
    </row>
    <row r="305" spans="3:3" x14ac:dyDescent="0.25">
      <c r="C305" s="19">
        <f t="shared" si="3"/>
        <v>47735</v>
      </c>
    </row>
    <row r="306" spans="3:3" x14ac:dyDescent="0.25">
      <c r="C306" s="19">
        <f t="shared" si="3"/>
        <v>47742</v>
      </c>
    </row>
    <row r="307" spans="3:3" x14ac:dyDescent="0.25">
      <c r="C307" s="19">
        <f t="shared" si="3"/>
        <v>47749</v>
      </c>
    </row>
    <row r="308" spans="3:3" x14ac:dyDescent="0.25">
      <c r="C308" s="19">
        <f t="shared" si="3"/>
        <v>47756</v>
      </c>
    </row>
    <row r="309" spans="3:3" x14ac:dyDescent="0.25">
      <c r="C309" s="19">
        <f t="shared" si="3"/>
        <v>47763</v>
      </c>
    </row>
    <row r="310" spans="3:3" x14ac:dyDescent="0.25">
      <c r="C310" s="19">
        <f t="shared" si="3"/>
        <v>47770</v>
      </c>
    </row>
    <row r="311" spans="3:3" x14ac:dyDescent="0.25">
      <c r="C311" s="19">
        <f t="shared" si="3"/>
        <v>47777</v>
      </c>
    </row>
    <row r="312" spans="3:3" x14ac:dyDescent="0.25">
      <c r="C312" s="19">
        <f t="shared" si="3"/>
        <v>47784</v>
      </c>
    </row>
    <row r="313" spans="3:3" x14ac:dyDescent="0.25">
      <c r="C313" s="19">
        <f t="shared" si="3"/>
        <v>47791</v>
      </c>
    </row>
    <row r="314" spans="3:3" x14ac:dyDescent="0.25">
      <c r="C314" s="19">
        <f t="shared" si="3"/>
        <v>47798</v>
      </c>
    </row>
    <row r="315" spans="3:3" x14ac:dyDescent="0.25">
      <c r="C315" s="19">
        <f t="shared" si="3"/>
        <v>47805</v>
      </c>
    </row>
    <row r="316" spans="3:3" x14ac:dyDescent="0.25">
      <c r="C316" s="19">
        <f t="shared" si="3"/>
        <v>47812</v>
      </c>
    </row>
    <row r="317" spans="3:3" x14ac:dyDescent="0.25">
      <c r="C317" s="19">
        <f t="shared" si="3"/>
        <v>47819</v>
      </c>
    </row>
    <row r="318" spans="3:3" x14ac:dyDescent="0.25">
      <c r="C318" s="19">
        <f t="shared" si="3"/>
        <v>47826</v>
      </c>
    </row>
    <row r="319" spans="3:3" x14ac:dyDescent="0.25">
      <c r="C319" s="19">
        <f t="shared" si="3"/>
        <v>47833</v>
      </c>
    </row>
    <row r="320" spans="3:3" x14ac:dyDescent="0.25">
      <c r="C320" s="19">
        <f t="shared" si="3"/>
        <v>47840</v>
      </c>
    </row>
    <row r="321" spans="3:3" x14ac:dyDescent="0.25">
      <c r="C321" s="19">
        <f t="shared" si="3"/>
        <v>47847</v>
      </c>
    </row>
    <row r="322" spans="3:3" x14ac:dyDescent="0.25">
      <c r="C322" s="19">
        <f t="shared" si="3"/>
        <v>47854</v>
      </c>
    </row>
    <row r="323" spans="3:3" x14ac:dyDescent="0.25">
      <c r="C323" s="19">
        <f t="shared" si="3"/>
        <v>47861</v>
      </c>
    </row>
    <row r="324" spans="3:3" x14ac:dyDescent="0.25">
      <c r="C324" s="19">
        <f t="shared" si="3"/>
        <v>47868</v>
      </c>
    </row>
    <row r="325" spans="3:3" x14ac:dyDescent="0.25">
      <c r="C325" s="19">
        <f t="shared" si="3"/>
        <v>47875</v>
      </c>
    </row>
    <row r="326" spans="3:3" x14ac:dyDescent="0.25">
      <c r="C326" s="19">
        <f t="shared" si="3"/>
        <v>47882</v>
      </c>
    </row>
    <row r="327" spans="3:3" x14ac:dyDescent="0.25">
      <c r="C327" s="19">
        <f t="shared" si="3"/>
        <v>47889</v>
      </c>
    </row>
    <row r="328" spans="3:3" x14ac:dyDescent="0.25">
      <c r="C328" s="19">
        <f t="shared" si="3"/>
        <v>47896</v>
      </c>
    </row>
    <row r="329" spans="3:3" x14ac:dyDescent="0.25">
      <c r="C329" s="19">
        <f t="shared" si="3"/>
        <v>47903</v>
      </c>
    </row>
    <row r="330" spans="3:3" x14ac:dyDescent="0.25">
      <c r="C330" s="19">
        <f t="shared" si="3"/>
        <v>47910</v>
      </c>
    </row>
    <row r="331" spans="3:3" x14ac:dyDescent="0.25">
      <c r="C331" s="19">
        <f t="shared" si="3"/>
        <v>47917</v>
      </c>
    </row>
    <row r="332" spans="3:3" x14ac:dyDescent="0.25">
      <c r="C332" s="19">
        <f t="shared" si="3"/>
        <v>47924</v>
      </c>
    </row>
    <row r="333" spans="3:3" x14ac:dyDescent="0.25">
      <c r="C333" s="19">
        <f t="shared" si="3"/>
        <v>47931</v>
      </c>
    </row>
    <row r="334" spans="3:3" x14ac:dyDescent="0.25">
      <c r="C334" s="19">
        <f t="shared" si="3"/>
        <v>47938</v>
      </c>
    </row>
    <row r="335" spans="3:3" x14ac:dyDescent="0.25">
      <c r="C335" s="19">
        <f t="shared" si="3"/>
        <v>47945</v>
      </c>
    </row>
    <row r="336" spans="3:3" x14ac:dyDescent="0.25">
      <c r="C336" s="19">
        <f t="shared" ref="C336:C399" si="4">C335+7</f>
        <v>47952</v>
      </c>
    </row>
    <row r="337" spans="3:3" x14ac:dyDescent="0.25">
      <c r="C337" s="19">
        <f t="shared" si="4"/>
        <v>47959</v>
      </c>
    </row>
    <row r="338" spans="3:3" x14ac:dyDescent="0.25">
      <c r="C338" s="19">
        <f t="shared" si="4"/>
        <v>47966</v>
      </c>
    </row>
    <row r="339" spans="3:3" x14ac:dyDescent="0.25">
      <c r="C339" s="19">
        <f t="shared" si="4"/>
        <v>47973</v>
      </c>
    </row>
    <row r="340" spans="3:3" x14ac:dyDescent="0.25">
      <c r="C340" s="19">
        <f t="shared" si="4"/>
        <v>47980</v>
      </c>
    </row>
    <row r="341" spans="3:3" x14ac:dyDescent="0.25">
      <c r="C341" s="19">
        <f t="shared" si="4"/>
        <v>47987</v>
      </c>
    </row>
    <row r="342" spans="3:3" x14ac:dyDescent="0.25">
      <c r="C342" s="19">
        <f t="shared" si="4"/>
        <v>47994</v>
      </c>
    </row>
    <row r="343" spans="3:3" x14ac:dyDescent="0.25">
      <c r="C343" s="19">
        <f t="shared" si="4"/>
        <v>48001</v>
      </c>
    </row>
    <row r="344" spans="3:3" x14ac:dyDescent="0.25">
      <c r="C344" s="19">
        <f t="shared" si="4"/>
        <v>48008</v>
      </c>
    </row>
    <row r="345" spans="3:3" x14ac:dyDescent="0.25">
      <c r="C345" s="19">
        <f t="shared" si="4"/>
        <v>48015</v>
      </c>
    </row>
    <row r="346" spans="3:3" x14ac:dyDescent="0.25">
      <c r="C346" s="19">
        <f t="shared" si="4"/>
        <v>48022</v>
      </c>
    </row>
    <row r="347" spans="3:3" x14ac:dyDescent="0.25">
      <c r="C347" s="19">
        <f t="shared" si="4"/>
        <v>48029</v>
      </c>
    </row>
    <row r="348" spans="3:3" x14ac:dyDescent="0.25">
      <c r="C348" s="19">
        <f t="shared" si="4"/>
        <v>48036</v>
      </c>
    </row>
    <row r="349" spans="3:3" x14ac:dyDescent="0.25">
      <c r="C349" s="19">
        <f t="shared" si="4"/>
        <v>48043</v>
      </c>
    </row>
    <row r="350" spans="3:3" x14ac:dyDescent="0.25">
      <c r="C350" s="19">
        <f t="shared" si="4"/>
        <v>48050</v>
      </c>
    </row>
    <row r="351" spans="3:3" x14ac:dyDescent="0.25">
      <c r="C351" s="19">
        <f t="shared" si="4"/>
        <v>48057</v>
      </c>
    </row>
    <row r="352" spans="3:3" x14ac:dyDescent="0.25">
      <c r="C352" s="19">
        <f t="shared" si="4"/>
        <v>48064</v>
      </c>
    </row>
    <row r="353" spans="3:3" x14ac:dyDescent="0.25">
      <c r="C353" s="19">
        <f t="shared" si="4"/>
        <v>48071</v>
      </c>
    </row>
    <row r="354" spans="3:3" x14ac:dyDescent="0.25">
      <c r="C354" s="19">
        <f t="shared" si="4"/>
        <v>48078</v>
      </c>
    </row>
    <row r="355" spans="3:3" x14ac:dyDescent="0.25">
      <c r="C355" s="19">
        <f t="shared" si="4"/>
        <v>48085</v>
      </c>
    </row>
    <row r="356" spans="3:3" x14ac:dyDescent="0.25">
      <c r="C356" s="19">
        <f t="shared" si="4"/>
        <v>48092</v>
      </c>
    </row>
    <row r="357" spans="3:3" x14ac:dyDescent="0.25">
      <c r="C357" s="19">
        <f t="shared" si="4"/>
        <v>48099</v>
      </c>
    </row>
    <row r="358" spans="3:3" x14ac:dyDescent="0.25">
      <c r="C358" s="19">
        <f t="shared" si="4"/>
        <v>48106</v>
      </c>
    </row>
    <row r="359" spans="3:3" x14ac:dyDescent="0.25">
      <c r="C359" s="19">
        <f t="shared" si="4"/>
        <v>48113</v>
      </c>
    </row>
    <row r="360" spans="3:3" x14ac:dyDescent="0.25">
      <c r="C360" s="19">
        <f t="shared" si="4"/>
        <v>48120</v>
      </c>
    </row>
    <row r="361" spans="3:3" x14ac:dyDescent="0.25">
      <c r="C361" s="19">
        <f t="shared" si="4"/>
        <v>48127</v>
      </c>
    </row>
    <row r="362" spans="3:3" x14ac:dyDescent="0.25">
      <c r="C362" s="19">
        <f t="shared" si="4"/>
        <v>48134</v>
      </c>
    </row>
    <row r="363" spans="3:3" x14ac:dyDescent="0.25">
      <c r="C363" s="19">
        <f t="shared" si="4"/>
        <v>48141</v>
      </c>
    </row>
    <row r="364" spans="3:3" x14ac:dyDescent="0.25">
      <c r="C364" s="19">
        <f t="shared" si="4"/>
        <v>48148</v>
      </c>
    </row>
    <row r="365" spans="3:3" x14ac:dyDescent="0.25">
      <c r="C365" s="19">
        <f t="shared" si="4"/>
        <v>48155</v>
      </c>
    </row>
    <row r="366" spans="3:3" x14ac:dyDescent="0.25">
      <c r="C366" s="19">
        <f t="shared" si="4"/>
        <v>48162</v>
      </c>
    </row>
    <row r="367" spans="3:3" x14ac:dyDescent="0.25">
      <c r="C367" s="19">
        <f t="shared" si="4"/>
        <v>48169</v>
      </c>
    </row>
    <row r="368" spans="3:3" x14ac:dyDescent="0.25">
      <c r="C368" s="19">
        <f t="shared" si="4"/>
        <v>48176</v>
      </c>
    </row>
    <row r="369" spans="3:3" x14ac:dyDescent="0.25">
      <c r="C369" s="19">
        <f t="shared" si="4"/>
        <v>48183</v>
      </c>
    </row>
    <row r="370" spans="3:3" x14ac:dyDescent="0.25">
      <c r="C370" s="19">
        <f t="shared" si="4"/>
        <v>48190</v>
      </c>
    </row>
    <row r="371" spans="3:3" x14ac:dyDescent="0.25">
      <c r="C371" s="19">
        <f t="shared" si="4"/>
        <v>48197</v>
      </c>
    </row>
    <row r="372" spans="3:3" x14ac:dyDescent="0.25">
      <c r="C372" s="19">
        <f t="shared" si="4"/>
        <v>48204</v>
      </c>
    </row>
    <row r="373" spans="3:3" x14ac:dyDescent="0.25">
      <c r="C373" s="19">
        <f t="shared" si="4"/>
        <v>48211</v>
      </c>
    </row>
    <row r="374" spans="3:3" x14ac:dyDescent="0.25">
      <c r="C374" s="19">
        <f t="shared" si="4"/>
        <v>48218</v>
      </c>
    </row>
    <row r="375" spans="3:3" x14ac:dyDescent="0.25">
      <c r="C375" s="19">
        <f t="shared" si="4"/>
        <v>48225</v>
      </c>
    </row>
    <row r="376" spans="3:3" x14ac:dyDescent="0.25">
      <c r="C376" s="19">
        <f t="shared" si="4"/>
        <v>48232</v>
      </c>
    </row>
    <row r="377" spans="3:3" x14ac:dyDescent="0.25">
      <c r="C377" s="19">
        <f t="shared" si="4"/>
        <v>48239</v>
      </c>
    </row>
    <row r="378" spans="3:3" x14ac:dyDescent="0.25">
      <c r="C378" s="19">
        <f t="shared" si="4"/>
        <v>48246</v>
      </c>
    </row>
    <row r="379" spans="3:3" x14ac:dyDescent="0.25">
      <c r="C379" s="19">
        <f t="shared" si="4"/>
        <v>48253</v>
      </c>
    </row>
    <row r="380" spans="3:3" x14ac:dyDescent="0.25">
      <c r="C380" s="19">
        <f t="shared" si="4"/>
        <v>48260</v>
      </c>
    </row>
    <row r="381" spans="3:3" x14ac:dyDescent="0.25">
      <c r="C381" s="19">
        <f t="shared" si="4"/>
        <v>48267</v>
      </c>
    </row>
    <row r="382" spans="3:3" x14ac:dyDescent="0.25">
      <c r="C382" s="19">
        <f t="shared" si="4"/>
        <v>48274</v>
      </c>
    </row>
    <row r="383" spans="3:3" x14ac:dyDescent="0.25">
      <c r="C383" s="19">
        <f t="shared" si="4"/>
        <v>48281</v>
      </c>
    </row>
    <row r="384" spans="3:3" x14ac:dyDescent="0.25">
      <c r="C384" s="19">
        <f t="shared" si="4"/>
        <v>48288</v>
      </c>
    </row>
    <row r="385" spans="3:3" x14ac:dyDescent="0.25">
      <c r="C385" s="19">
        <f t="shared" si="4"/>
        <v>48295</v>
      </c>
    </row>
    <row r="386" spans="3:3" x14ac:dyDescent="0.25">
      <c r="C386" s="19">
        <f t="shared" si="4"/>
        <v>48302</v>
      </c>
    </row>
    <row r="387" spans="3:3" x14ac:dyDescent="0.25">
      <c r="C387" s="19">
        <f t="shared" si="4"/>
        <v>48309</v>
      </c>
    </row>
    <row r="388" spans="3:3" x14ac:dyDescent="0.25">
      <c r="C388" s="19">
        <f t="shared" si="4"/>
        <v>48316</v>
      </c>
    </row>
    <row r="389" spans="3:3" x14ac:dyDescent="0.25">
      <c r="C389" s="19">
        <f t="shared" si="4"/>
        <v>48323</v>
      </c>
    </row>
    <row r="390" spans="3:3" x14ac:dyDescent="0.25">
      <c r="C390" s="19">
        <f t="shared" si="4"/>
        <v>48330</v>
      </c>
    </row>
    <row r="391" spans="3:3" x14ac:dyDescent="0.25">
      <c r="C391" s="19">
        <f t="shared" si="4"/>
        <v>48337</v>
      </c>
    </row>
    <row r="392" spans="3:3" x14ac:dyDescent="0.25">
      <c r="C392" s="19">
        <f t="shared" si="4"/>
        <v>48344</v>
      </c>
    </row>
    <row r="393" spans="3:3" x14ac:dyDescent="0.25">
      <c r="C393" s="19">
        <f t="shared" si="4"/>
        <v>48351</v>
      </c>
    </row>
    <row r="394" spans="3:3" x14ac:dyDescent="0.25">
      <c r="C394" s="19">
        <f t="shared" si="4"/>
        <v>48358</v>
      </c>
    </row>
    <row r="395" spans="3:3" x14ac:dyDescent="0.25">
      <c r="C395" s="19">
        <f t="shared" si="4"/>
        <v>48365</v>
      </c>
    </row>
    <row r="396" spans="3:3" x14ac:dyDescent="0.25">
      <c r="C396" s="19">
        <f t="shared" si="4"/>
        <v>48372</v>
      </c>
    </row>
    <row r="397" spans="3:3" x14ac:dyDescent="0.25">
      <c r="C397" s="19">
        <f t="shared" si="4"/>
        <v>48379</v>
      </c>
    </row>
    <row r="398" spans="3:3" x14ac:dyDescent="0.25">
      <c r="C398" s="19">
        <f t="shared" si="4"/>
        <v>48386</v>
      </c>
    </row>
    <row r="399" spans="3:3" x14ac:dyDescent="0.25">
      <c r="C399" s="19">
        <f t="shared" si="4"/>
        <v>48393</v>
      </c>
    </row>
    <row r="400" spans="3:3" x14ac:dyDescent="0.25">
      <c r="C400" s="19">
        <f t="shared" ref="C400:C463" si="5">C399+7</f>
        <v>48400</v>
      </c>
    </row>
    <row r="401" spans="3:3" x14ac:dyDescent="0.25">
      <c r="C401" s="19">
        <f t="shared" si="5"/>
        <v>48407</v>
      </c>
    </row>
    <row r="402" spans="3:3" x14ac:dyDescent="0.25">
      <c r="C402" s="19">
        <f t="shared" si="5"/>
        <v>48414</v>
      </c>
    </row>
    <row r="403" spans="3:3" x14ac:dyDescent="0.25">
      <c r="C403" s="19">
        <f t="shared" si="5"/>
        <v>48421</v>
      </c>
    </row>
    <row r="404" spans="3:3" x14ac:dyDescent="0.25">
      <c r="C404" s="19">
        <f t="shared" si="5"/>
        <v>48428</v>
      </c>
    </row>
    <row r="405" spans="3:3" x14ac:dyDescent="0.25">
      <c r="C405" s="19">
        <f t="shared" si="5"/>
        <v>48435</v>
      </c>
    </row>
    <row r="406" spans="3:3" x14ac:dyDescent="0.25">
      <c r="C406" s="19">
        <f t="shared" si="5"/>
        <v>48442</v>
      </c>
    </row>
    <row r="407" spans="3:3" x14ac:dyDescent="0.25">
      <c r="C407" s="19">
        <f t="shared" si="5"/>
        <v>48449</v>
      </c>
    </row>
    <row r="408" spans="3:3" x14ac:dyDescent="0.25">
      <c r="C408" s="19">
        <f t="shared" si="5"/>
        <v>48456</v>
      </c>
    </row>
    <row r="409" spans="3:3" x14ac:dyDescent="0.25">
      <c r="C409" s="19">
        <f t="shared" si="5"/>
        <v>48463</v>
      </c>
    </row>
    <row r="410" spans="3:3" x14ac:dyDescent="0.25">
      <c r="C410" s="19">
        <f t="shared" si="5"/>
        <v>48470</v>
      </c>
    </row>
    <row r="411" spans="3:3" x14ac:dyDescent="0.25">
      <c r="C411" s="19">
        <f t="shared" si="5"/>
        <v>48477</v>
      </c>
    </row>
    <row r="412" spans="3:3" x14ac:dyDescent="0.25">
      <c r="C412" s="19">
        <f t="shared" si="5"/>
        <v>48484</v>
      </c>
    </row>
    <row r="413" spans="3:3" x14ac:dyDescent="0.25">
      <c r="C413" s="19">
        <f t="shared" si="5"/>
        <v>48491</v>
      </c>
    </row>
    <row r="414" spans="3:3" x14ac:dyDescent="0.25">
      <c r="C414" s="19">
        <f t="shared" si="5"/>
        <v>48498</v>
      </c>
    </row>
    <row r="415" spans="3:3" x14ac:dyDescent="0.25">
      <c r="C415" s="19">
        <f t="shared" si="5"/>
        <v>48505</v>
      </c>
    </row>
    <row r="416" spans="3:3" x14ac:dyDescent="0.25">
      <c r="C416" s="19">
        <f t="shared" si="5"/>
        <v>48512</v>
      </c>
    </row>
    <row r="417" spans="3:3" x14ac:dyDescent="0.25">
      <c r="C417" s="19">
        <f t="shared" si="5"/>
        <v>48519</v>
      </c>
    </row>
    <row r="418" spans="3:3" x14ac:dyDescent="0.25">
      <c r="C418" s="19">
        <f t="shared" si="5"/>
        <v>48526</v>
      </c>
    </row>
    <row r="419" spans="3:3" x14ac:dyDescent="0.25">
      <c r="C419" s="19">
        <f t="shared" si="5"/>
        <v>48533</v>
      </c>
    </row>
    <row r="420" spans="3:3" x14ac:dyDescent="0.25">
      <c r="C420" s="19">
        <f t="shared" si="5"/>
        <v>48540</v>
      </c>
    </row>
    <row r="421" spans="3:3" x14ac:dyDescent="0.25">
      <c r="C421" s="19">
        <f t="shared" si="5"/>
        <v>48547</v>
      </c>
    </row>
    <row r="422" spans="3:3" x14ac:dyDescent="0.25">
      <c r="C422" s="19">
        <f t="shared" si="5"/>
        <v>48554</v>
      </c>
    </row>
    <row r="423" spans="3:3" x14ac:dyDescent="0.25">
      <c r="C423" s="19">
        <f t="shared" si="5"/>
        <v>48561</v>
      </c>
    </row>
    <row r="424" spans="3:3" x14ac:dyDescent="0.25">
      <c r="C424" s="19">
        <f t="shared" si="5"/>
        <v>48568</v>
      </c>
    </row>
    <row r="425" spans="3:3" x14ac:dyDescent="0.25">
      <c r="C425" s="19">
        <f t="shared" si="5"/>
        <v>48575</v>
      </c>
    </row>
    <row r="426" spans="3:3" x14ac:dyDescent="0.25">
      <c r="C426" s="19">
        <f t="shared" si="5"/>
        <v>48582</v>
      </c>
    </row>
    <row r="427" spans="3:3" x14ac:dyDescent="0.25">
      <c r="C427" s="19">
        <f t="shared" si="5"/>
        <v>48589</v>
      </c>
    </row>
    <row r="428" spans="3:3" x14ac:dyDescent="0.25">
      <c r="C428" s="19">
        <f t="shared" si="5"/>
        <v>48596</v>
      </c>
    </row>
    <row r="429" spans="3:3" x14ac:dyDescent="0.25">
      <c r="C429" s="19">
        <f t="shared" si="5"/>
        <v>48603</v>
      </c>
    </row>
    <row r="430" spans="3:3" x14ac:dyDescent="0.25">
      <c r="C430" s="19">
        <f t="shared" si="5"/>
        <v>48610</v>
      </c>
    </row>
    <row r="431" spans="3:3" x14ac:dyDescent="0.25">
      <c r="C431" s="19">
        <f t="shared" si="5"/>
        <v>48617</v>
      </c>
    </row>
    <row r="432" spans="3:3" x14ac:dyDescent="0.25">
      <c r="C432" s="19">
        <f t="shared" si="5"/>
        <v>48624</v>
      </c>
    </row>
    <row r="433" spans="3:3" x14ac:dyDescent="0.25">
      <c r="C433" s="19">
        <f t="shared" si="5"/>
        <v>48631</v>
      </c>
    </row>
    <row r="434" spans="3:3" x14ac:dyDescent="0.25">
      <c r="C434" s="19">
        <f t="shared" si="5"/>
        <v>48638</v>
      </c>
    </row>
    <row r="435" spans="3:3" x14ac:dyDescent="0.25">
      <c r="C435" s="19">
        <f t="shared" si="5"/>
        <v>48645</v>
      </c>
    </row>
    <row r="436" spans="3:3" x14ac:dyDescent="0.25">
      <c r="C436" s="19">
        <f t="shared" si="5"/>
        <v>48652</v>
      </c>
    </row>
    <row r="437" spans="3:3" x14ac:dyDescent="0.25">
      <c r="C437" s="19">
        <f t="shared" si="5"/>
        <v>48659</v>
      </c>
    </row>
    <row r="438" spans="3:3" x14ac:dyDescent="0.25">
      <c r="C438" s="19">
        <f t="shared" si="5"/>
        <v>48666</v>
      </c>
    </row>
    <row r="439" spans="3:3" x14ac:dyDescent="0.25">
      <c r="C439" s="19">
        <f t="shared" si="5"/>
        <v>48673</v>
      </c>
    </row>
    <row r="440" spans="3:3" x14ac:dyDescent="0.25">
      <c r="C440" s="19">
        <f t="shared" si="5"/>
        <v>48680</v>
      </c>
    </row>
    <row r="441" spans="3:3" x14ac:dyDescent="0.25">
      <c r="C441" s="19">
        <f t="shared" si="5"/>
        <v>48687</v>
      </c>
    </row>
    <row r="442" spans="3:3" x14ac:dyDescent="0.25">
      <c r="C442" s="19">
        <f t="shared" si="5"/>
        <v>48694</v>
      </c>
    </row>
    <row r="443" spans="3:3" x14ac:dyDescent="0.25">
      <c r="C443" s="19">
        <f t="shared" si="5"/>
        <v>48701</v>
      </c>
    </row>
    <row r="444" spans="3:3" x14ac:dyDescent="0.25">
      <c r="C444" s="19">
        <f t="shared" si="5"/>
        <v>48708</v>
      </c>
    </row>
    <row r="445" spans="3:3" x14ac:dyDescent="0.25">
      <c r="C445" s="19">
        <f t="shared" si="5"/>
        <v>48715</v>
      </c>
    </row>
    <row r="446" spans="3:3" x14ac:dyDescent="0.25">
      <c r="C446" s="19">
        <f t="shared" si="5"/>
        <v>48722</v>
      </c>
    </row>
    <row r="447" spans="3:3" x14ac:dyDescent="0.25">
      <c r="C447" s="19">
        <f t="shared" si="5"/>
        <v>48729</v>
      </c>
    </row>
    <row r="448" spans="3:3" x14ac:dyDescent="0.25">
      <c r="C448" s="19">
        <f t="shared" si="5"/>
        <v>48736</v>
      </c>
    </row>
    <row r="449" spans="3:3" x14ac:dyDescent="0.25">
      <c r="C449" s="19">
        <f t="shared" si="5"/>
        <v>48743</v>
      </c>
    </row>
    <row r="450" spans="3:3" x14ac:dyDescent="0.25">
      <c r="C450" s="19">
        <f t="shared" si="5"/>
        <v>48750</v>
      </c>
    </row>
    <row r="451" spans="3:3" x14ac:dyDescent="0.25">
      <c r="C451" s="19">
        <f t="shared" si="5"/>
        <v>48757</v>
      </c>
    </row>
    <row r="452" spans="3:3" x14ac:dyDescent="0.25">
      <c r="C452" s="19">
        <f t="shared" si="5"/>
        <v>48764</v>
      </c>
    </row>
    <row r="453" spans="3:3" x14ac:dyDescent="0.25">
      <c r="C453" s="19">
        <f t="shared" si="5"/>
        <v>48771</v>
      </c>
    </row>
    <row r="454" spans="3:3" x14ac:dyDescent="0.25">
      <c r="C454" s="19">
        <f t="shared" si="5"/>
        <v>48778</v>
      </c>
    </row>
    <row r="455" spans="3:3" x14ac:dyDescent="0.25">
      <c r="C455" s="19">
        <f t="shared" si="5"/>
        <v>48785</v>
      </c>
    </row>
    <row r="456" spans="3:3" x14ac:dyDescent="0.25">
      <c r="C456" s="19">
        <f t="shared" si="5"/>
        <v>48792</v>
      </c>
    </row>
    <row r="457" spans="3:3" x14ac:dyDescent="0.25">
      <c r="C457" s="19">
        <f t="shared" si="5"/>
        <v>48799</v>
      </c>
    </row>
    <row r="458" spans="3:3" x14ac:dyDescent="0.25">
      <c r="C458" s="19">
        <f t="shared" si="5"/>
        <v>48806</v>
      </c>
    </row>
    <row r="459" spans="3:3" x14ac:dyDescent="0.25">
      <c r="C459" s="19">
        <f t="shared" si="5"/>
        <v>48813</v>
      </c>
    </row>
    <row r="460" spans="3:3" x14ac:dyDescent="0.25">
      <c r="C460" s="19">
        <f t="shared" si="5"/>
        <v>48820</v>
      </c>
    </row>
    <row r="461" spans="3:3" x14ac:dyDescent="0.25">
      <c r="C461" s="19">
        <f t="shared" si="5"/>
        <v>48827</v>
      </c>
    </row>
    <row r="462" spans="3:3" x14ac:dyDescent="0.25">
      <c r="C462" s="19">
        <f t="shared" si="5"/>
        <v>48834</v>
      </c>
    </row>
    <row r="463" spans="3:3" x14ac:dyDescent="0.25">
      <c r="C463" s="19">
        <f t="shared" si="5"/>
        <v>48841</v>
      </c>
    </row>
    <row r="464" spans="3:3" x14ac:dyDescent="0.25">
      <c r="C464" s="19">
        <f t="shared" ref="C464:C527" si="6">C463+7</f>
        <v>48848</v>
      </c>
    </row>
    <row r="465" spans="3:3" x14ac:dyDescent="0.25">
      <c r="C465" s="19">
        <f t="shared" si="6"/>
        <v>48855</v>
      </c>
    </row>
    <row r="466" spans="3:3" x14ac:dyDescent="0.25">
      <c r="C466" s="19">
        <f t="shared" si="6"/>
        <v>48862</v>
      </c>
    </row>
    <row r="467" spans="3:3" x14ac:dyDescent="0.25">
      <c r="C467" s="19">
        <f t="shared" si="6"/>
        <v>48869</v>
      </c>
    </row>
    <row r="468" spans="3:3" x14ac:dyDescent="0.25">
      <c r="C468" s="19">
        <f t="shared" si="6"/>
        <v>48876</v>
      </c>
    </row>
    <row r="469" spans="3:3" x14ac:dyDescent="0.25">
      <c r="C469" s="19">
        <f t="shared" si="6"/>
        <v>48883</v>
      </c>
    </row>
    <row r="470" spans="3:3" x14ac:dyDescent="0.25">
      <c r="C470" s="19">
        <f t="shared" si="6"/>
        <v>48890</v>
      </c>
    </row>
    <row r="471" spans="3:3" x14ac:dyDescent="0.25">
      <c r="C471" s="19">
        <f t="shared" si="6"/>
        <v>48897</v>
      </c>
    </row>
    <row r="472" spans="3:3" x14ac:dyDescent="0.25">
      <c r="C472" s="19">
        <f t="shared" si="6"/>
        <v>48904</v>
      </c>
    </row>
    <row r="473" spans="3:3" x14ac:dyDescent="0.25">
      <c r="C473" s="19">
        <f t="shared" si="6"/>
        <v>48911</v>
      </c>
    </row>
    <row r="474" spans="3:3" x14ac:dyDescent="0.25">
      <c r="C474" s="19">
        <f t="shared" si="6"/>
        <v>48918</v>
      </c>
    </row>
    <row r="475" spans="3:3" x14ac:dyDescent="0.25">
      <c r="C475" s="19">
        <f t="shared" si="6"/>
        <v>48925</v>
      </c>
    </row>
    <row r="476" spans="3:3" x14ac:dyDescent="0.25">
      <c r="C476" s="19">
        <f t="shared" si="6"/>
        <v>48932</v>
      </c>
    </row>
    <row r="477" spans="3:3" x14ac:dyDescent="0.25">
      <c r="C477" s="19">
        <f t="shared" si="6"/>
        <v>48939</v>
      </c>
    </row>
    <row r="478" spans="3:3" x14ac:dyDescent="0.25">
      <c r="C478" s="19">
        <f t="shared" si="6"/>
        <v>48946</v>
      </c>
    </row>
    <row r="479" spans="3:3" x14ac:dyDescent="0.25">
      <c r="C479" s="19">
        <f t="shared" si="6"/>
        <v>48953</v>
      </c>
    </row>
    <row r="480" spans="3:3" x14ac:dyDescent="0.25">
      <c r="C480" s="19">
        <f t="shared" si="6"/>
        <v>48960</v>
      </c>
    </row>
    <row r="481" spans="3:3" x14ac:dyDescent="0.25">
      <c r="C481" s="19">
        <f t="shared" si="6"/>
        <v>48967</v>
      </c>
    </row>
    <row r="482" spans="3:3" x14ac:dyDescent="0.25">
      <c r="C482" s="19">
        <f t="shared" si="6"/>
        <v>48974</v>
      </c>
    </row>
    <row r="483" spans="3:3" x14ac:dyDescent="0.25">
      <c r="C483" s="19">
        <f t="shared" si="6"/>
        <v>48981</v>
      </c>
    </row>
    <row r="484" spans="3:3" x14ac:dyDescent="0.25">
      <c r="C484" s="19">
        <f t="shared" si="6"/>
        <v>48988</v>
      </c>
    </row>
    <row r="485" spans="3:3" x14ac:dyDescent="0.25">
      <c r="C485" s="19">
        <f t="shared" si="6"/>
        <v>48995</v>
      </c>
    </row>
    <row r="486" spans="3:3" x14ac:dyDescent="0.25">
      <c r="C486" s="19">
        <f t="shared" si="6"/>
        <v>49002</v>
      </c>
    </row>
    <row r="487" spans="3:3" x14ac:dyDescent="0.25">
      <c r="C487" s="19">
        <f t="shared" si="6"/>
        <v>49009</v>
      </c>
    </row>
    <row r="488" spans="3:3" x14ac:dyDescent="0.25">
      <c r="C488" s="19">
        <f t="shared" si="6"/>
        <v>49016</v>
      </c>
    </row>
    <row r="489" spans="3:3" x14ac:dyDescent="0.25">
      <c r="C489" s="19">
        <f t="shared" si="6"/>
        <v>49023</v>
      </c>
    </row>
    <row r="490" spans="3:3" x14ac:dyDescent="0.25">
      <c r="C490" s="19">
        <f t="shared" si="6"/>
        <v>49030</v>
      </c>
    </row>
    <row r="491" spans="3:3" x14ac:dyDescent="0.25">
      <c r="C491" s="19">
        <f t="shared" si="6"/>
        <v>49037</v>
      </c>
    </row>
    <row r="492" spans="3:3" x14ac:dyDescent="0.25">
      <c r="C492" s="19">
        <f t="shared" si="6"/>
        <v>49044</v>
      </c>
    </row>
    <row r="493" spans="3:3" x14ac:dyDescent="0.25">
      <c r="C493" s="19">
        <f t="shared" si="6"/>
        <v>49051</v>
      </c>
    </row>
    <row r="494" spans="3:3" x14ac:dyDescent="0.25">
      <c r="C494" s="19">
        <f t="shared" si="6"/>
        <v>49058</v>
      </c>
    </row>
    <row r="495" spans="3:3" x14ac:dyDescent="0.25">
      <c r="C495" s="19">
        <f t="shared" si="6"/>
        <v>49065</v>
      </c>
    </row>
    <row r="496" spans="3:3" x14ac:dyDescent="0.25">
      <c r="C496" s="19">
        <f t="shared" si="6"/>
        <v>49072</v>
      </c>
    </row>
    <row r="497" spans="3:3" x14ac:dyDescent="0.25">
      <c r="C497" s="19">
        <f t="shared" si="6"/>
        <v>49079</v>
      </c>
    </row>
    <row r="498" spans="3:3" x14ac:dyDescent="0.25">
      <c r="C498" s="19">
        <f t="shared" si="6"/>
        <v>49086</v>
      </c>
    </row>
    <row r="499" spans="3:3" x14ac:dyDescent="0.25">
      <c r="C499" s="19">
        <f t="shared" si="6"/>
        <v>49093</v>
      </c>
    </row>
    <row r="500" spans="3:3" x14ac:dyDescent="0.25">
      <c r="C500" s="19">
        <f t="shared" si="6"/>
        <v>49100</v>
      </c>
    </row>
    <row r="501" spans="3:3" x14ac:dyDescent="0.25">
      <c r="C501" s="19">
        <f t="shared" si="6"/>
        <v>49107</v>
      </c>
    </row>
    <row r="502" spans="3:3" x14ac:dyDescent="0.25">
      <c r="C502" s="19">
        <f t="shared" si="6"/>
        <v>49114</v>
      </c>
    </row>
    <row r="503" spans="3:3" x14ac:dyDescent="0.25">
      <c r="C503" s="19">
        <f t="shared" si="6"/>
        <v>49121</v>
      </c>
    </row>
    <row r="504" spans="3:3" x14ac:dyDescent="0.25">
      <c r="C504" s="19">
        <f t="shared" si="6"/>
        <v>49128</v>
      </c>
    </row>
    <row r="505" spans="3:3" x14ac:dyDescent="0.25">
      <c r="C505" s="19">
        <f t="shared" si="6"/>
        <v>49135</v>
      </c>
    </row>
    <row r="506" spans="3:3" x14ac:dyDescent="0.25">
      <c r="C506" s="19">
        <f t="shared" si="6"/>
        <v>49142</v>
      </c>
    </row>
    <row r="507" spans="3:3" x14ac:dyDescent="0.25">
      <c r="C507" s="19">
        <f t="shared" si="6"/>
        <v>49149</v>
      </c>
    </row>
    <row r="508" spans="3:3" x14ac:dyDescent="0.25">
      <c r="C508" s="19">
        <f t="shared" si="6"/>
        <v>49156</v>
      </c>
    </row>
    <row r="509" spans="3:3" x14ac:dyDescent="0.25">
      <c r="C509" s="19">
        <f t="shared" si="6"/>
        <v>49163</v>
      </c>
    </row>
    <row r="510" spans="3:3" x14ac:dyDescent="0.25">
      <c r="C510" s="19">
        <f t="shared" si="6"/>
        <v>49170</v>
      </c>
    </row>
    <row r="511" spans="3:3" x14ac:dyDescent="0.25">
      <c r="C511" s="19">
        <f t="shared" si="6"/>
        <v>49177</v>
      </c>
    </row>
    <row r="512" spans="3:3" x14ac:dyDescent="0.25">
      <c r="C512" s="19">
        <f t="shared" si="6"/>
        <v>49184</v>
      </c>
    </row>
    <row r="513" spans="3:3" x14ac:dyDescent="0.25">
      <c r="C513" s="19">
        <f t="shared" si="6"/>
        <v>49191</v>
      </c>
    </row>
    <row r="514" spans="3:3" x14ac:dyDescent="0.25">
      <c r="C514" s="19">
        <f t="shared" si="6"/>
        <v>49198</v>
      </c>
    </row>
    <row r="515" spans="3:3" x14ac:dyDescent="0.25">
      <c r="C515" s="19">
        <f t="shared" si="6"/>
        <v>49205</v>
      </c>
    </row>
    <row r="516" spans="3:3" x14ac:dyDescent="0.25">
      <c r="C516" s="19">
        <f t="shared" si="6"/>
        <v>49212</v>
      </c>
    </row>
    <row r="517" spans="3:3" x14ac:dyDescent="0.25">
      <c r="C517" s="19">
        <f t="shared" si="6"/>
        <v>49219</v>
      </c>
    </row>
    <row r="518" spans="3:3" x14ac:dyDescent="0.25">
      <c r="C518" s="19">
        <f t="shared" si="6"/>
        <v>49226</v>
      </c>
    </row>
    <row r="519" spans="3:3" x14ac:dyDescent="0.25">
      <c r="C519" s="19">
        <f t="shared" si="6"/>
        <v>49233</v>
      </c>
    </row>
    <row r="520" spans="3:3" x14ac:dyDescent="0.25">
      <c r="C520" s="19">
        <f t="shared" si="6"/>
        <v>49240</v>
      </c>
    </row>
    <row r="521" spans="3:3" x14ac:dyDescent="0.25">
      <c r="C521" s="19">
        <f t="shared" si="6"/>
        <v>49247</v>
      </c>
    </row>
    <row r="522" spans="3:3" x14ac:dyDescent="0.25">
      <c r="C522" s="19">
        <f t="shared" si="6"/>
        <v>49254</v>
      </c>
    </row>
    <row r="523" spans="3:3" x14ac:dyDescent="0.25">
      <c r="C523" s="19">
        <f t="shared" si="6"/>
        <v>49261</v>
      </c>
    </row>
    <row r="524" spans="3:3" x14ac:dyDescent="0.25">
      <c r="C524" s="19">
        <f t="shared" si="6"/>
        <v>49268</v>
      </c>
    </row>
    <row r="525" spans="3:3" x14ac:dyDescent="0.25">
      <c r="C525" s="19">
        <f t="shared" si="6"/>
        <v>49275</v>
      </c>
    </row>
    <row r="526" spans="3:3" x14ac:dyDescent="0.25">
      <c r="C526" s="19">
        <f t="shared" si="6"/>
        <v>49282</v>
      </c>
    </row>
    <row r="527" spans="3:3" x14ac:dyDescent="0.25">
      <c r="C527" s="19">
        <f t="shared" si="6"/>
        <v>49289</v>
      </c>
    </row>
    <row r="528" spans="3:3" x14ac:dyDescent="0.25">
      <c r="C528" s="19">
        <f t="shared" ref="C528:C582" si="7">C527+7</f>
        <v>49296</v>
      </c>
    </row>
    <row r="529" spans="3:3" x14ac:dyDescent="0.25">
      <c r="C529" s="19">
        <f t="shared" si="7"/>
        <v>49303</v>
      </c>
    </row>
    <row r="530" spans="3:3" x14ac:dyDescent="0.25">
      <c r="C530" s="19">
        <f t="shared" si="7"/>
        <v>49310</v>
      </c>
    </row>
    <row r="531" spans="3:3" x14ac:dyDescent="0.25">
      <c r="C531" s="19">
        <f t="shared" si="7"/>
        <v>49317</v>
      </c>
    </row>
    <row r="532" spans="3:3" x14ac:dyDescent="0.25">
      <c r="C532" s="19">
        <f t="shared" si="7"/>
        <v>49324</v>
      </c>
    </row>
    <row r="533" spans="3:3" x14ac:dyDescent="0.25">
      <c r="C533" s="19">
        <f t="shared" si="7"/>
        <v>49331</v>
      </c>
    </row>
    <row r="534" spans="3:3" x14ac:dyDescent="0.25">
      <c r="C534" s="19">
        <f t="shared" si="7"/>
        <v>49338</v>
      </c>
    </row>
    <row r="535" spans="3:3" x14ac:dyDescent="0.25">
      <c r="C535" s="19">
        <f t="shared" si="7"/>
        <v>49345</v>
      </c>
    </row>
    <row r="536" spans="3:3" x14ac:dyDescent="0.25">
      <c r="C536" s="19">
        <f t="shared" si="7"/>
        <v>49352</v>
      </c>
    </row>
    <row r="537" spans="3:3" x14ac:dyDescent="0.25">
      <c r="C537" s="19">
        <f t="shared" si="7"/>
        <v>49359</v>
      </c>
    </row>
    <row r="538" spans="3:3" x14ac:dyDescent="0.25">
      <c r="C538" s="19">
        <f t="shared" si="7"/>
        <v>49366</v>
      </c>
    </row>
    <row r="539" spans="3:3" x14ac:dyDescent="0.25">
      <c r="C539" s="19">
        <f t="shared" si="7"/>
        <v>49373</v>
      </c>
    </row>
    <row r="540" spans="3:3" x14ac:dyDescent="0.25">
      <c r="C540" s="19">
        <f t="shared" si="7"/>
        <v>49380</v>
      </c>
    </row>
    <row r="541" spans="3:3" x14ac:dyDescent="0.25">
      <c r="C541" s="19">
        <f t="shared" si="7"/>
        <v>49387</v>
      </c>
    </row>
    <row r="542" spans="3:3" x14ac:dyDescent="0.25">
      <c r="C542" s="19">
        <f t="shared" si="7"/>
        <v>49394</v>
      </c>
    </row>
    <row r="543" spans="3:3" x14ac:dyDescent="0.25">
      <c r="C543" s="19">
        <f t="shared" si="7"/>
        <v>49401</v>
      </c>
    </row>
    <row r="544" spans="3:3" x14ac:dyDescent="0.25">
      <c r="C544" s="19">
        <f t="shared" si="7"/>
        <v>49408</v>
      </c>
    </row>
    <row r="545" spans="3:3" x14ac:dyDescent="0.25">
      <c r="C545" s="19">
        <f t="shared" si="7"/>
        <v>49415</v>
      </c>
    </row>
    <row r="546" spans="3:3" x14ac:dyDescent="0.25">
      <c r="C546" s="19">
        <f t="shared" si="7"/>
        <v>49422</v>
      </c>
    </row>
    <row r="547" spans="3:3" x14ac:dyDescent="0.25">
      <c r="C547" s="19">
        <f t="shared" si="7"/>
        <v>49429</v>
      </c>
    </row>
    <row r="548" spans="3:3" x14ac:dyDescent="0.25">
      <c r="C548" s="19">
        <f t="shared" si="7"/>
        <v>49436</v>
      </c>
    </row>
    <row r="549" spans="3:3" x14ac:dyDescent="0.25">
      <c r="C549" s="19">
        <f t="shared" si="7"/>
        <v>49443</v>
      </c>
    </row>
    <row r="550" spans="3:3" x14ac:dyDescent="0.25">
      <c r="C550" s="19">
        <f t="shared" si="7"/>
        <v>49450</v>
      </c>
    </row>
    <row r="551" spans="3:3" x14ac:dyDescent="0.25">
      <c r="C551" s="19">
        <f t="shared" si="7"/>
        <v>49457</v>
      </c>
    </row>
    <row r="552" spans="3:3" x14ac:dyDescent="0.25">
      <c r="C552" s="19">
        <f t="shared" si="7"/>
        <v>49464</v>
      </c>
    </row>
    <row r="553" spans="3:3" x14ac:dyDescent="0.25">
      <c r="C553" s="19">
        <f t="shared" si="7"/>
        <v>49471</v>
      </c>
    </row>
    <row r="554" spans="3:3" x14ac:dyDescent="0.25">
      <c r="C554" s="19">
        <f t="shared" si="7"/>
        <v>49478</v>
      </c>
    </row>
    <row r="555" spans="3:3" x14ac:dyDescent="0.25">
      <c r="C555" s="19">
        <f t="shared" si="7"/>
        <v>49485</v>
      </c>
    </row>
    <row r="556" spans="3:3" x14ac:dyDescent="0.25">
      <c r="C556" s="19">
        <f t="shared" si="7"/>
        <v>49492</v>
      </c>
    </row>
    <row r="557" spans="3:3" x14ac:dyDescent="0.25">
      <c r="C557" s="19">
        <f t="shared" si="7"/>
        <v>49499</v>
      </c>
    </row>
    <row r="558" spans="3:3" x14ac:dyDescent="0.25">
      <c r="C558" s="19">
        <f t="shared" si="7"/>
        <v>49506</v>
      </c>
    </row>
    <row r="559" spans="3:3" x14ac:dyDescent="0.25">
      <c r="C559" s="19">
        <f t="shared" si="7"/>
        <v>49513</v>
      </c>
    </row>
    <row r="560" spans="3:3" x14ac:dyDescent="0.25">
      <c r="C560" s="19">
        <f t="shared" si="7"/>
        <v>49520</v>
      </c>
    </row>
    <row r="561" spans="3:3" x14ac:dyDescent="0.25">
      <c r="C561" s="19">
        <f t="shared" si="7"/>
        <v>49527</v>
      </c>
    </row>
    <row r="562" spans="3:3" x14ac:dyDescent="0.25">
      <c r="C562" s="19">
        <f t="shared" si="7"/>
        <v>49534</v>
      </c>
    </row>
    <row r="563" spans="3:3" x14ac:dyDescent="0.25">
      <c r="C563" s="19">
        <f t="shared" si="7"/>
        <v>49541</v>
      </c>
    </row>
    <row r="564" spans="3:3" x14ac:dyDescent="0.25">
      <c r="C564" s="19">
        <f t="shared" si="7"/>
        <v>49548</v>
      </c>
    </row>
    <row r="565" spans="3:3" x14ac:dyDescent="0.25">
      <c r="C565" s="19">
        <f t="shared" si="7"/>
        <v>49555</v>
      </c>
    </row>
    <row r="566" spans="3:3" x14ac:dyDescent="0.25">
      <c r="C566" s="19">
        <f t="shared" si="7"/>
        <v>49562</v>
      </c>
    </row>
    <row r="567" spans="3:3" x14ac:dyDescent="0.25">
      <c r="C567" s="19">
        <f t="shared" si="7"/>
        <v>49569</v>
      </c>
    </row>
    <row r="568" spans="3:3" x14ac:dyDescent="0.25">
      <c r="C568" s="19">
        <f t="shared" si="7"/>
        <v>49576</v>
      </c>
    </row>
    <row r="569" spans="3:3" x14ac:dyDescent="0.25">
      <c r="C569" s="19">
        <f t="shared" si="7"/>
        <v>49583</v>
      </c>
    </row>
    <row r="570" spans="3:3" x14ac:dyDescent="0.25">
      <c r="C570" s="19">
        <f t="shared" si="7"/>
        <v>49590</v>
      </c>
    </row>
    <row r="571" spans="3:3" x14ac:dyDescent="0.25">
      <c r="C571" s="19">
        <f t="shared" si="7"/>
        <v>49597</v>
      </c>
    </row>
    <row r="572" spans="3:3" x14ac:dyDescent="0.25">
      <c r="C572" s="19">
        <f t="shared" si="7"/>
        <v>49604</v>
      </c>
    </row>
    <row r="573" spans="3:3" x14ac:dyDescent="0.25">
      <c r="C573" s="19">
        <f t="shared" si="7"/>
        <v>49611</v>
      </c>
    </row>
    <row r="574" spans="3:3" x14ac:dyDescent="0.25">
      <c r="C574" s="19">
        <f t="shared" si="7"/>
        <v>49618</v>
      </c>
    </row>
    <row r="575" spans="3:3" x14ac:dyDescent="0.25">
      <c r="C575" s="19">
        <f t="shared" si="7"/>
        <v>49625</v>
      </c>
    </row>
    <row r="576" spans="3:3" x14ac:dyDescent="0.25">
      <c r="C576" s="19">
        <f t="shared" si="7"/>
        <v>49632</v>
      </c>
    </row>
    <row r="577" spans="3:3" x14ac:dyDescent="0.25">
      <c r="C577" s="19">
        <f t="shared" si="7"/>
        <v>49639</v>
      </c>
    </row>
    <row r="578" spans="3:3" x14ac:dyDescent="0.25">
      <c r="C578" s="19">
        <f t="shared" si="7"/>
        <v>49646</v>
      </c>
    </row>
    <row r="579" spans="3:3" x14ac:dyDescent="0.25">
      <c r="C579" s="19">
        <f t="shared" si="7"/>
        <v>49653</v>
      </c>
    </row>
    <row r="580" spans="3:3" x14ac:dyDescent="0.25">
      <c r="C580" s="19">
        <f t="shared" si="7"/>
        <v>49660</v>
      </c>
    </row>
    <row r="581" spans="3:3" x14ac:dyDescent="0.25">
      <c r="C581" s="19">
        <f t="shared" si="7"/>
        <v>49667</v>
      </c>
    </row>
    <row r="582" spans="3:3" x14ac:dyDescent="0.25">
      <c r="C582" s="19">
        <f t="shared" si="7"/>
        <v>49674</v>
      </c>
    </row>
    <row r="583" spans="3:3" x14ac:dyDescent="0.25">
      <c r="C583" s="18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9</vt:i4>
      </vt:variant>
    </vt:vector>
  </HeadingPairs>
  <TitlesOfParts>
    <vt:vector size="30" baseType="lpstr">
      <vt:lpstr>Disclaimer!</vt:lpstr>
      <vt:lpstr>Index</vt:lpstr>
      <vt:lpstr>Outputs &gt;&gt;</vt:lpstr>
      <vt:lpstr>Dashboard</vt:lpstr>
      <vt:lpstr>CFF</vt:lpstr>
      <vt:lpstr>Cash actuals</vt:lpstr>
      <vt:lpstr>Forecast versions &gt;&gt;</vt:lpstr>
      <vt:lpstr>Forecast output table</vt:lpstr>
      <vt:lpstr>Forecast versions</vt:lpstr>
      <vt:lpstr>Inputs &gt;&gt;</vt:lpstr>
      <vt:lpstr>Assumptions</vt:lpstr>
      <vt:lpstr>Bank postings</vt:lpstr>
      <vt:lpstr>Accounts receivable</vt:lpstr>
      <vt:lpstr>Accounts payable</vt:lpstr>
      <vt:lpstr>Sales orders</vt:lpstr>
      <vt:lpstr>Purchase orders</vt:lpstr>
      <vt:lpstr>Customer master data</vt:lpstr>
      <vt:lpstr>Supplier master data</vt:lpstr>
      <vt:lpstr>Lookups &gt;&gt;</vt:lpstr>
      <vt:lpstr>Category lookups</vt:lpstr>
      <vt:lpstr>Lists</vt:lpstr>
      <vt:lpstr>Capex</vt:lpstr>
      <vt:lpstr>Finance_Cashflows</vt:lpstr>
      <vt:lpstr>GST_First_Month</vt:lpstr>
      <vt:lpstr>GST_Freq</vt:lpstr>
      <vt:lpstr>Investing_Cashflows</vt:lpstr>
      <vt:lpstr>Overheads</vt:lpstr>
      <vt:lpstr>Staff_Costs</vt:lpstr>
      <vt:lpstr>Supplier_and_Cost_of_Sales</vt:lpstr>
      <vt:lpstr>Trading_Receipts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Gunes</dc:creator>
  <cp:lastModifiedBy>Deniz Gunes</cp:lastModifiedBy>
  <dcterms:created xsi:type="dcterms:W3CDTF">2026-06-08T14:43:13Z</dcterms:created>
  <dcterms:modified xsi:type="dcterms:W3CDTF">2026-06-11T15:13:54Z</dcterms:modified>
</cp:coreProperties>
</file>